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tables/table1.xml" ContentType="application/vnd.openxmlformats-officedocument.spreadsheetml.table+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5.xml" ContentType="application/vnd.openxmlformats-officedocument.drawing+xml"/>
  <Override PartName="/xl/comments3.xml" ContentType="application/vnd.openxmlformats-officedocument.spreadsheetml.comments+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comments7.xml" ContentType="application/vnd.openxmlformats-officedocument.spreadsheetml.comments+xml"/>
  <Override PartName="/xl/drawings/drawing10.xml" ContentType="application/vnd.openxmlformats-officedocument.drawing+xml"/>
  <Override PartName="/xl/comments8.xml" ContentType="application/vnd.openxmlformats-officedocument.spreadsheetml.comments+xml"/>
  <Override PartName="/xl/drawings/drawing11.xml" ContentType="application/vnd.openxmlformats-officedocument.drawing+xml"/>
  <Override PartName="/xl/comments9.xml" ContentType="application/vnd.openxmlformats-officedocument.spreadsheetml.comments+xml"/>
  <Override PartName="/xl/drawings/drawing12.xml" ContentType="application/vnd.openxmlformats-officedocument.drawing+xml"/>
  <Override PartName="/xl/comments10.xml" ContentType="application/vnd.openxmlformats-officedocument.spreadsheetml.comments+xml"/>
  <Override PartName="/xl/drawings/drawing13.xml" ContentType="application/vnd.openxmlformats-officedocument.drawing+xml"/>
  <Override PartName="/xl/comments11.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14.xml" ContentType="application/vnd.openxmlformats-officedocument.drawing+xml"/>
  <Override PartName="/xl/comments12.xml" ContentType="application/vnd.openxmlformats-officedocument.spreadsheetml.comments+xml"/>
  <Override PartName="/xl/drawings/drawing15.xml" ContentType="application/vnd.openxmlformats-officedocument.drawing+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929" codeName="{28389E77-7640-9E18-AD5C-E98E2F4A8B83}"/>
  <workbookPr codeName="ThisWorkbook"/>
  <mc:AlternateContent xmlns:mc="http://schemas.openxmlformats.org/markup-compatibility/2006">
    <mc:Choice Requires="x15">
      <x15ac:absPath xmlns:x15ac="http://schemas.microsoft.com/office/spreadsheetml/2010/11/ac" url="C:\Users\12508\Desktop\毕业论文\数据\"/>
    </mc:Choice>
  </mc:AlternateContent>
  <xr:revisionPtr revIDLastSave="0" documentId="8_{B00CA044-8966-44BE-A2CB-1F359259B9E9}" xr6:coauthVersionLast="47" xr6:coauthVersionMax="47" xr10:uidLastSave="{00000000-0000-0000-0000-000000000000}"/>
  <bookViews>
    <workbookView xWindow="-110" yWindow="-110" windowWidth="25820" windowHeight="15500" tabRatio="804" firstSheet="2" activeTab="2" xr2:uid="{00000000-000D-0000-FFFF-FFFF00000000}"/>
  </bookViews>
  <sheets>
    <sheet name="ReadMe" sheetId="20" r:id="rId1"/>
    <sheet name="Input" sheetId="1" r:id="rId2"/>
    <sheet name="Output" sheetId="2" r:id="rId3"/>
    <sheet name="Report" sheetId="16" r:id="rId4"/>
    <sheet name="Man Par." sheetId="8" r:id="rId5"/>
    <sheet name="Col&amp;Trans Par." sheetId="9" r:id="rId6"/>
    <sheet name="Disassembly" sheetId="23" r:id="rId7"/>
    <sheet name="Preproc. Par." sheetId="24" r:id="rId8"/>
    <sheet name="CM Rec Par." sheetId="11" r:id="rId9"/>
    <sheet name="Cath. Prod. Par." sheetId="21" r:id="rId10"/>
    <sheet name="Man Rec Par." sheetId="15" r:id="rId11"/>
    <sheet name="Mat. Conv Par." sheetId="18" r:id="rId12"/>
    <sheet name="Unit Ops" sheetId="17" r:id="rId13"/>
    <sheet name="Materials" sheetId="19" r:id="rId14"/>
    <sheet name="Geographic Par." sheetId="22" r:id="rId15"/>
    <sheet name="BatPaC IO" sheetId="12" r:id="rId16"/>
    <sheet name="GREET IO" sheetId="13" r:id="rId17"/>
  </sheets>
  <definedNames>
    <definedName name="_xlnm._FilterDatabase" localSheetId="11" hidden="1">'Mat. Conv Par.'!#REF!</definedName>
    <definedName name="_xlnm._FilterDatabase" localSheetId="2" hidden="1">Output!$J$217:$K$227</definedName>
    <definedName name="_xlcn.LinkedTable_Table1" hidden="1">Table1[]</definedName>
    <definedName name="_xlcn.LinkedTable_Table2" hidden="1">Table2</definedName>
    <definedName name="Allocation">Input!$AE$23:$AE$27</definedName>
    <definedName name="CathProdChemistry">Input!$AF$23:$AF$29</definedName>
    <definedName name="Cell_metric">Input!$AI$4:$AI$6</definedName>
    <definedName name="Chemistry">Input!$AC$4:$AC$12</definedName>
    <definedName name="ComparisonMetric">Report!$AA$2:$AA$9</definedName>
    <definedName name="Custom_Output">Materials!$AG$2:$AG$23</definedName>
    <definedName name="Custompre_Output">Materials!$AI$2:$AI$11</definedName>
    <definedName name="Default">Input!$AG$34:$AG$40</definedName>
    <definedName name="Direct_Output">Materials!$AF$2:$AF$15</definedName>
    <definedName name="DollarYear">'Unit Ops'!$AB$132:$AB$135</definedName>
    <definedName name="Emission_unit">Input!$AH$4:$AH$6</definedName>
    <definedName name="Energy_unit">Input!$AF$4:$AF$6</definedName>
    <definedName name="Equipment">'Unit Ops'!$B$300:$B$333</definedName>
    <definedName name="Fate">Input!$AD$23:$AD$28</definedName>
    <definedName name="Hydro_Output">Materials!$AE$2:$AE$12</definedName>
    <definedName name="Locations">Input!$AD$34:$AD$39</definedName>
    <definedName name="Mass_unit">Input!$AJ$4:$AJ$7</definedName>
    <definedName name="Material">Materials!$AA$1:$AA$23</definedName>
    <definedName name="Preprocessing">Materials!$AF$26:$AF$28</definedName>
    <definedName name="Preprocessing_Output">Materials!$AH$2:'Materials'!$AH$8</definedName>
    <definedName name="Processes">Input!$AC$34:$AC$38</definedName>
    <definedName name="Pyro_Output">Materials!$AD$2:$AD$6</definedName>
    <definedName name="Recycle_Process">Report!$AC$2:$AC$6</definedName>
    <definedName name="Recycled_Other">Input!$AC$70:$AC$72</definedName>
    <definedName name="Select_Battery">Input!$AG$23:$AG$25</definedName>
    <definedName name="Select_cell_materials">Output!$AB$13:$AB$18</definedName>
    <definedName name="Select_plant_type">Materials!$AD$26:$AD$28</definedName>
    <definedName name="select_precursor_materials">Output!$AE$13:$AE$17</definedName>
    <definedName name="Select_Recycle_Battery">Input!$AH$23:$AH$25</definedName>
    <definedName name="Select_Type">Input!$AG$34:$AG$40</definedName>
    <definedName name="Solvent">Input!$AE$4:$AE$6</definedName>
    <definedName name="Transportation">Input!$AC$23:$AC$28</definedName>
    <definedName name="Water_unit">Input!$AG$4:$AG$6</definedName>
    <definedName name="YorN">Input!$AE$34:$AE$36</definedName>
  </definedNames>
  <calcPr calcId="191029" iterate="1"/>
  <extLst>
    <ext xmlns:x15="http://schemas.microsoft.com/office/spreadsheetml/2010/11/main" uri="{FCE2AD5D-F65C-4FA6-A056-5C36A1767C68}">
      <x15:dataModel>
        <x15:modelTables>
          <x15:modelTable id="Table1-bfd1986a-7a78-47f4-bb28-5a149c826141" name="Table1" connection="LinkedTable_Table1"/>
          <x15:modelTable id="Table2-2ddd0292-5c67-44a2-87aa-5ff38999b739" name="Table2" connection="LinkedTable_Table2"/>
        </x15:modelTables>
      </x15:dataModel>
    </ext>
  </extLst>
</workbook>
</file>

<file path=xl/calcChain.xml><?xml version="1.0" encoding="utf-8"?>
<calcChain xmlns="http://schemas.openxmlformats.org/spreadsheetml/2006/main">
  <c r="DE186" i="11" l="1"/>
  <c r="EI188" i="11"/>
  <c r="I112" i="18"/>
  <c r="C106" i="19"/>
  <c r="EC11" i="11"/>
  <c r="E8" i="1"/>
  <c r="I44" i="2"/>
  <c r="E45" i="11"/>
  <c r="C77" i="11"/>
  <c r="E77" i="11"/>
  <c r="CC22" i="11"/>
  <c r="CC110" i="11"/>
  <c r="D9" i="21"/>
  <c r="DC126" i="11"/>
  <c r="DC134" i="11"/>
  <c r="DC136" i="11"/>
  <c r="DC135" i="11"/>
  <c r="DC152" i="11"/>
  <c r="C89" i="24"/>
  <c r="AC194" i="24" s="1"/>
  <c r="BB12" i="11"/>
  <c r="BC134" i="11"/>
  <c r="BC105" i="11"/>
  <c r="E33" i="11"/>
  <c r="CC92" i="11"/>
  <c r="E46" i="1"/>
  <c r="C49" i="1"/>
  <c r="BC24" i="11"/>
  <c r="H28" i="1"/>
  <c r="H21" i="1"/>
  <c r="BC90" i="11"/>
  <c r="H29" i="1"/>
  <c r="C62" i="9"/>
  <c r="C61" i="9"/>
  <c r="D41" i="23"/>
  <c r="I59" i="2"/>
  <c r="I45" i="2"/>
  <c r="I38" i="2"/>
  <c r="I37" i="2"/>
  <c r="C64" i="9"/>
  <c r="G32" i="1"/>
  <c r="G31" i="1"/>
  <c r="G30" i="1"/>
  <c r="G29" i="1"/>
  <c r="G28" i="1"/>
  <c r="BD505" i="11"/>
  <c r="CD505" i="11"/>
  <c r="DD505" i="11"/>
  <c r="ED505" i="11"/>
  <c r="BD470" i="24"/>
  <c r="AD471" i="24"/>
  <c r="G95" i="24"/>
  <c r="F95" i="24"/>
  <c r="H85" i="18" l="1"/>
  <c r="D85" i="18"/>
  <c r="U52" i="18"/>
  <c r="U53" i="18" s="1"/>
  <c r="CD106" i="11" l="1"/>
  <c r="EE467" i="11" l="1"/>
  <c r="EE463" i="11"/>
  <c r="EE462" i="11"/>
  <c r="EE461" i="11"/>
  <c r="EE460" i="11"/>
  <c r="EE459" i="11"/>
  <c r="EE458" i="11"/>
  <c r="EE457" i="11"/>
  <c r="D172" i="17"/>
  <c r="G172" i="17" l="1"/>
  <c r="G165" i="17" l="1"/>
  <c r="ZB115" i="17"/>
  <c r="ZB110" i="17"/>
  <c r="ZB111" i="17"/>
  <c r="ZB112" i="17"/>
  <c r="ZB113" i="17"/>
  <c r="ZB114" i="17"/>
  <c r="ZB109" i="17"/>
  <c r="ZD109" i="17"/>
  <c r="G153" i="17"/>
  <c r="NA10" i="17"/>
  <c r="B153" i="17"/>
  <c r="G166" i="17"/>
  <c r="EA3439" i="11" l="1"/>
  <c r="EA3438" i="11"/>
  <c r="EA3437" i="11"/>
  <c r="EA3436" i="11"/>
  <c r="EA3435" i="11"/>
  <c r="EA3434" i="11"/>
  <c r="EA3433" i="11"/>
  <c r="EA3432" i="11"/>
  <c r="EA3431" i="11"/>
  <c r="EA3430" i="11"/>
  <c r="EA3429" i="11"/>
  <c r="EA3428" i="11"/>
  <c r="EA3427" i="11"/>
  <c r="EA3426" i="11"/>
  <c r="EA3425" i="11"/>
  <c r="EA3424" i="11"/>
  <c r="EA3423" i="11"/>
  <c r="EA3422" i="11"/>
  <c r="EA3421" i="11"/>
  <c r="EA3420" i="11"/>
  <c r="EA3419" i="11"/>
  <c r="EA3418" i="11"/>
  <c r="EA3417" i="11"/>
  <c r="EA3416" i="11"/>
  <c r="EA3415" i="11"/>
  <c r="EA3414" i="11"/>
  <c r="EA3413" i="11"/>
  <c r="EA3412" i="11"/>
  <c r="EA3411" i="11"/>
  <c r="EA3410" i="11"/>
  <c r="EA3339" i="11"/>
  <c r="EA3338" i="11"/>
  <c r="EA3337" i="11"/>
  <c r="EA3336" i="11"/>
  <c r="EA3335" i="11"/>
  <c r="EA3334" i="11"/>
  <c r="EA3333" i="11"/>
  <c r="EA3332" i="11"/>
  <c r="EA3331" i="11"/>
  <c r="EA3330" i="11"/>
  <c r="EA3329" i="11"/>
  <c r="EA3328" i="11"/>
  <c r="EA3327" i="11"/>
  <c r="EA3326" i="11"/>
  <c r="EA3325" i="11"/>
  <c r="EA3324" i="11"/>
  <c r="EA3323" i="11"/>
  <c r="EA3322" i="11"/>
  <c r="EA3321" i="11"/>
  <c r="EA3320" i="11"/>
  <c r="EA3319" i="11"/>
  <c r="EA3318" i="11"/>
  <c r="EA3317" i="11"/>
  <c r="EA3316" i="11"/>
  <c r="EA3315" i="11"/>
  <c r="EA3314" i="11"/>
  <c r="EA3313" i="11"/>
  <c r="EA3312" i="11"/>
  <c r="EA3311" i="11"/>
  <c r="EA3310" i="11"/>
  <c r="EA3239" i="11"/>
  <c r="EA3238" i="11"/>
  <c r="EA3237" i="11"/>
  <c r="EA3236" i="11"/>
  <c r="EA3235" i="11"/>
  <c r="EA3234" i="11"/>
  <c r="EA3233" i="11"/>
  <c r="EA3232" i="11"/>
  <c r="EA3231" i="11"/>
  <c r="EA3230" i="11"/>
  <c r="EA3229" i="11"/>
  <c r="EA3228" i="11"/>
  <c r="EA3227" i="11"/>
  <c r="EA3226" i="11"/>
  <c r="EA3225" i="11"/>
  <c r="EA3224" i="11"/>
  <c r="EA3223" i="11"/>
  <c r="EA3222" i="11"/>
  <c r="EA3221" i="11"/>
  <c r="EA3220" i="11"/>
  <c r="EA3219" i="11"/>
  <c r="EA3218" i="11"/>
  <c r="EA3217" i="11"/>
  <c r="EA3216" i="11"/>
  <c r="EA3215" i="11"/>
  <c r="EA3214" i="11"/>
  <c r="EA3213" i="11"/>
  <c r="EA3212" i="11"/>
  <c r="EA3211" i="11"/>
  <c r="EA3210" i="11"/>
  <c r="EA3139" i="11"/>
  <c r="EA3138" i="11"/>
  <c r="EA3137" i="11"/>
  <c r="EA3136" i="11"/>
  <c r="EA3135" i="11"/>
  <c r="EA3134" i="11"/>
  <c r="EA3133" i="11"/>
  <c r="EA3132" i="11"/>
  <c r="EA3131" i="11"/>
  <c r="EA3130" i="11"/>
  <c r="EA3129" i="11"/>
  <c r="EA3128" i="11"/>
  <c r="EA3127" i="11"/>
  <c r="EA3126" i="11"/>
  <c r="EA3125" i="11"/>
  <c r="EA3124" i="11"/>
  <c r="EA3123" i="11"/>
  <c r="EA3122" i="11"/>
  <c r="EA3121" i="11"/>
  <c r="EA3120" i="11"/>
  <c r="EA3119" i="11"/>
  <c r="EA3118" i="11"/>
  <c r="EA3117" i="11"/>
  <c r="EA3116" i="11"/>
  <c r="EA3115" i="11"/>
  <c r="EA3114" i="11"/>
  <c r="EA3113" i="11"/>
  <c r="EA3112" i="11"/>
  <c r="EA3111" i="11"/>
  <c r="EA3110" i="11"/>
  <c r="EA3039" i="11"/>
  <c r="EA3038" i="11"/>
  <c r="EA3037" i="11"/>
  <c r="EA3036" i="11"/>
  <c r="EA3035" i="11"/>
  <c r="EA3034" i="11"/>
  <c r="EA3033" i="11"/>
  <c r="EA3032" i="11"/>
  <c r="EA3031" i="11"/>
  <c r="EA3030" i="11"/>
  <c r="EA3029" i="11"/>
  <c r="EA3028" i="11"/>
  <c r="EA3027" i="11"/>
  <c r="EA3026" i="11"/>
  <c r="EA3025" i="11"/>
  <c r="EA3024" i="11"/>
  <c r="EA3023" i="11"/>
  <c r="EA3022" i="11"/>
  <c r="EA3021" i="11"/>
  <c r="EA3020" i="11"/>
  <c r="EA3019" i="11"/>
  <c r="EA3018" i="11"/>
  <c r="EA3017" i="11"/>
  <c r="EA3016" i="11"/>
  <c r="EA3015" i="11"/>
  <c r="EA3014" i="11"/>
  <c r="EA3013" i="11"/>
  <c r="EA3012" i="11"/>
  <c r="EA3011" i="11"/>
  <c r="EA3010" i="11"/>
  <c r="EA2939" i="11"/>
  <c r="EA2938" i="11"/>
  <c r="EA2937" i="11"/>
  <c r="EA2936" i="11"/>
  <c r="EA2935" i="11"/>
  <c r="EA2934" i="11"/>
  <c r="EA2933" i="11"/>
  <c r="EA2932" i="11"/>
  <c r="EA2931" i="11"/>
  <c r="EA2930" i="11"/>
  <c r="EA2929" i="11"/>
  <c r="EA2928" i="11"/>
  <c r="EA2927" i="11"/>
  <c r="EA2926" i="11"/>
  <c r="EA2925" i="11"/>
  <c r="EA2924" i="11"/>
  <c r="EA2923" i="11"/>
  <c r="EA2922" i="11"/>
  <c r="EA2921" i="11"/>
  <c r="EA2920" i="11"/>
  <c r="EA2919" i="11"/>
  <c r="EA2918" i="11"/>
  <c r="EA2917" i="11"/>
  <c r="EA2916" i="11"/>
  <c r="EA2915" i="11"/>
  <c r="EA2914" i="11"/>
  <c r="EA2913" i="11"/>
  <c r="EA2912" i="11"/>
  <c r="EA2911" i="11"/>
  <c r="EA2910" i="11"/>
  <c r="EA2839" i="11"/>
  <c r="EA2838" i="11"/>
  <c r="EA2837" i="11"/>
  <c r="EA2836" i="11"/>
  <c r="EA2835" i="11"/>
  <c r="EA2834" i="11"/>
  <c r="EA2833" i="11"/>
  <c r="EA2832" i="11"/>
  <c r="EA2831" i="11"/>
  <c r="EA2830" i="11"/>
  <c r="EA2829" i="11"/>
  <c r="EA2828" i="11"/>
  <c r="EA2827" i="11"/>
  <c r="EA2826" i="11"/>
  <c r="EA2825" i="11"/>
  <c r="EA2824" i="11"/>
  <c r="EA2823" i="11"/>
  <c r="EA2822" i="11"/>
  <c r="EA2821" i="11"/>
  <c r="EA2820" i="11"/>
  <c r="EA2819" i="11"/>
  <c r="EA2818" i="11"/>
  <c r="EA2817" i="11"/>
  <c r="EA2816" i="11"/>
  <c r="EA2815" i="11"/>
  <c r="EA2814" i="11"/>
  <c r="EA2813" i="11"/>
  <c r="EA2812" i="11"/>
  <c r="EA2811" i="11"/>
  <c r="EA2810" i="11"/>
  <c r="EA2739" i="11"/>
  <c r="EA2738" i="11"/>
  <c r="EA2737" i="11"/>
  <c r="EA2736" i="11"/>
  <c r="EA2735" i="11"/>
  <c r="EA2734" i="11"/>
  <c r="EA2733" i="11"/>
  <c r="EA2732" i="11"/>
  <c r="EA2731" i="11"/>
  <c r="EA2730" i="11"/>
  <c r="EA2729" i="11"/>
  <c r="EA2728" i="11"/>
  <c r="EA2727" i="11"/>
  <c r="EA2726" i="11"/>
  <c r="EA2725" i="11"/>
  <c r="EA2724" i="11"/>
  <c r="EA2723" i="11"/>
  <c r="EA2722" i="11"/>
  <c r="EA2721" i="11"/>
  <c r="EA2720" i="11"/>
  <c r="EA2719" i="11"/>
  <c r="EA2718" i="11"/>
  <c r="EA2717" i="11"/>
  <c r="EA2716" i="11"/>
  <c r="EA2715" i="11"/>
  <c r="EA2714" i="11"/>
  <c r="EA2713" i="11"/>
  <c r="EA2712" i="11"/>
  <c r="EA2711" i="11"/>
  <c r="EA2710" i="11"/>
  <c r="EA2639" i="11"/>
  <c r="EA2638" i="11"/>
  <c r="EA2637" i="11"/>
  <c r="EA2636" i="11"/>
  <c r="EA2635" i="11"/>
  <c r="EA2634" i="11"/>
  <c r="EA2633" i="11"/>
  <c r="EA2632" i="11"/>
  <c r="EA2631" i="11"/>
  <c r="EA2630" i="11"/>
  <c r="EA2629" i="11"/>
  <c r="EA2628" i="11"/>
  <c r="EA2627" i="11"/>
  <c r="EA2626" i="11"/>
  <c r="EA2625" i="11"/>
  <c r="EA2624" i="11"/>
  <c r="EA2623" i="11"/>
  <c r="EA2622" i="11"/>
  <c r="EA2621" i="11"/>
  <c r="EA2620" i="11"/>
  <c r="EA2619" i="11"/>
  <c r="EA2618" i="11"/>
  <c r="EA2617" i="11"/>
  <c r="EA2616" i="11"/>
  <c r="EA2615" i="11"/>
  <c r="EA2614" i="11"/>
  <c r="EA2613" i="11"/>
  <c r="EA2612" i="11"/>
  <c r="EA2611" i="11"/>
  <c r="EA2610" i="11"/>
  <c r="EA2539" i="11"/>
  <c r="EA2538" i="11"/>
  <c r="EA2537" i="11"/>
  <c r="EA2536" i="11"/>
  <c r="EA2535" i="11"/>
  <c r="EA2534" i="11"/>
  <c r="EA2533" i="11"/>
  <c r="EA2532" i="11"/>
  <c r="EA2531" i="11"/>
  <c r="EA2530" i="11"/>
  <c r="EA2529" i="11"/>
  <c r="EA2528" i="11"/>
  <c r="EA2527" i="11"/>
  <c r="EA2526" i="11"/>
  <c r="EA2525" i="11"/>
  <c r="EA2524" i="11"/>
  <c r="EA2523" i="11"/>
  <c r="EA2522" i="11"/>
  <c r="EA2521" i="11"/>
  <c r="EA2520" i="11"/>
  <c r="EA2519" i="11"/>
  <c r="EA2518" i="11"/>
  <c r="EA2517" i="11"/>
  <c r="EA2516" i="11"/>
  <c r="EA2515" i="11"/>
  <c r="EA2514" i="11"/>
  <c r="EA2513" i="11"/>
  <c r="EA2512" i="11"/>
  <c r="EA2511" i="11"/>
  <c r="EA2510" i="11"/>
  <c r="EA2439" i="11"/>
  <c r="EA2438" i="11"/>
  <c r="EA2437" i="11"/>
  <c r="EA2436" i="11"/>
  <c r="EA2435" i="11"/>
  <c r="EA2434" i="11"/>
  <c r="EA2433" i="11"/>
  <c r="EA2432" i="11"/>
  <c r="EA2431" i="11"/>
  <c r="EA2430" i="11"/>
  <c r="EA2429" i="11"/>
  <c r="EA2428" i="11"/>
  <c r="EA2427" i="11"/>
  <c r="EA2426" i="11"/>
  <c r="EA2425" i="11"/>
  <c r="EA2424" i="11"/>
  <c r="EA2423" i="11"/>
  <c r="EA2422" i="11"/>
  <c r="EA2421" i="11"/>
  <c r="EA2420" i="11"/>
  <c r="EA2419" i="11"/>
  <c r="EA2418" i="11"/>
  <c r="EA2417" i="11"/>
  <c r="EA2416" i="11"/>
  <c r="EA2415" i="11"/>
  <c r="EA2414" i="11"/>
  <c r="EA2413" i="11"/>
  <c r="EA2412" i="11"/>
  <c r="EA2411" i="11"/>
  <c r="EA2410" i="11"/>
  <c r="EA2339" i="11"/>
  <c r="EA2338" i="11"/>
  <c r="EA2337" i="11"/>
  <c r="EA2336" i="11"/>
  <c r="EA2335" i="11"/>
  <c r="EA2334" i="11"/>
  <c r="EA2333" i="11"/>
  <c r="EA2332" i="11"/>
  <c r="EA2331" i="11"/>
  <c r="EA2330" i="11"/>
  <c r="EA2329" i="11"/>
  <c r="EA2328" i="11"/>
  <c r="EA2327" i="11"/>
  <c r="EA2326" i="11"/>
  <c r="EA2325" i="11"/>
  <c r="EA2324" i="11"/>
  <c r="EA2323" i="11"/>
  <c r="EA2322" i="11"/>
  <c r="EA2321" i="11"/>
  <c r="EA2320" i="11"/>
  <c r="EA2319" i="11"/>
  <c r="EA2318" i="11"/>
  <c r="EA2317" i="11"/>
  <c r="EA2316" i="11"/>
  <c r="EA2315" i="11"/>
  <c r="EA2314" i="11"/>
  <c r="EA2313" i="11"/>
  <c r="EA2312" i="11"/>
  <c r="EA2311" i="11"/>
  <c r="EA2310" i="11"/>
  <c r="EA2239" i="11"/>
  <c r="EA2238" i="11"/>
  <c r="EA2237" i="11"/>
  <c r="EA2236" i="11"/>
  <c r="EA2235" i="11"/>
  <c r="EA2234" i="11"/>
  <c r="EA2233" i="11"/>
  <c r="EA2232" i="11"/>
  <c r="EA2231" i="11"/>
  <c r="EA2230" i="11"/>
  <c r="EA2229" i="11"/>
  <c r="EA2228" i="11"/>
  <c r="EA2227" i="11"/>
  <c r="EA2226" i="11"/>
  <c r="EA2225" i="11"/>
  <c r="EA2224" i="11"/>
  <c r="EA2223" i="11"/>
  <c r="EA2222" i="11"/>
  <c r="EA2221" i="11"/>
  <c r="EA2220" i="11"/>
  <c r="EA2219" i="11"/>
  <c r="EA2218" i="11"/>
  <c r="EA2217" i="11"/>
  <c r="EA2216" i="11"/>
  <c r="EA2215" i="11"/>
  <c r="EA2214" i="11"/>
  <c r="EA2213" i="11"/>
  <c r="EA2212" i="11"/>
  <c r="EA2211" i="11"/>
  <c r="EA2210" i="11"/>
  <c r="EA2139" i="11"/>
  <c r="EA2138" i="11"/>
  <c r="EA2137" i="11"/>
  <c r="EA2136" i="11"/>
  <c r="EA2135" i="11"/>
  <c r="EA2134" i="11"/>
  <c r="EA2133" i="11"/>
  <c r="EA2132" i="11"/>
  <c r="EA2131" i="11"/>
  <c r="EA2130" i="11"/>
  <c r="EA2129" i="11"/>
  <c r="EA2128" i="11"/>
  <c r="EA2127" i="11"/>
  <c r="EA2126" i="11"/>
  <c r="EA2125" i="11"/>
  <c r="EA2124" i="11"/>
  <c r="EA2123" i="11"/>
  <c r="EA2122" i="11"/>
  <c r="EA2121" i="11"/>
  <c r="EA2120" i="11"/>
  <c r="EA2119" i="11"/>
  <c r="EA2118" i="11"/>
  <c r="EA2117" i="11"/>
  <c r="EA2116" i="11"/>
  <c r="EA2115" i="11"/>
  <c r="EA2114" i="11"/>
  <c r="EA2113" i="11"/>
  <c r="EA2112" i="11"/>
  <c r="EA2111" i="11"/>
  <c r="EA2110" i="11"/>
  <c r="EA2039" i="11"/>
  <c r="EA2038" i="11"/>
  <c r="EA2037" i="11"/>
  <c r="EA2036" i="11"/>
  <c r="EA2035" i="11"/>
  <c r="EA2034" i="11"/>
  <c r="EA2033" i="11"/>
  <c r="EA2032" i="11"/>
  <c r="EA2031" i="11"/>
  <c r="EA2030" i="11"/>
  <c r="EA2029" i="11"/>
  <c r="EA2028" i="11"/>
  <c r="EA2027" i="11"/>
  <c r="EA2026" i="11"/>
  <c r="EA2025" i="11"/>
  <c r="EA2024" i="11"/>
  <c r="EA2023" i="11"/>
  <c r="EA2022" i="11"/>
  <c r="EA2021" i="11"/>
  <c r="EA2020" i="11"/>
  <c r="EA2019" i="11"/>
  <c r="EA2018" i="11"/>
  <c r="EA2017" i="11"/>
  <c r="EA2016" i="11"/>
  <c r="EA2015" i="11"/>
  <c r="EA2014" i="11"/>
  <c r="EA2013" i="11"/>
  <c r="EA2012" i="11"/>
  <c r="EA2011" i="11"/>
  <c r="EA2010" i="11"/>
  <c r="EA1939" i="11"/>
  <c r="EA1938" i="11"/>
  <c r="EA1937" i="11"/>
  <c r="EA1936" i="11"/>
  <c r="EA1935" i="11"/>
  <c r="EA1934" i="11"/>
  <c r="EA1933" i="11"/>
  <c r="EA1932" i="11"/>
  <c r="EA1931" i="11"/>
  <c r="EA1930" i="11"/>
  <c r="EA1929" i="11"/>
  <c r="EA1928" i="11"/>
  <c r="EA1927" i="11"/>
  <c r="EA1926" i="11"/>
  <c r="EA1925" i="11"/>
  <c r="EA1924" i="11"/>
  <c r="EA1923" i="11"/>
  <c r="EA1922" i="11"/>
  <c r="EA1921" i="11"/>
  <c r="EA1920" i="11"/>
  <c r="EA1919" i="11"/>
  <c r="EA1918" i="11"/>
  <c r="EA1917" i="11"/>
  <c r="EA1916" i="11"/>
  <c r="EA1915" i="11"/>
  <c r="EA1914" i="11"/>
  <c r="EA1913" i="11"/>
  <c r="EA1912" i="11"/>
  <c r="EA1911" i="11"/>
  <c r="EA1910" i="11"/>
  <c r="EA1839" i="11"/>
  <c r="EA1838" i="11"/>
  <c r="EA1837" i="11"/>
  <c r="EA1836" i="11"/>
  <c r="EA1835" i="11"/>
  <c r="EA1834" i="11"/>
  <c r="EA1833" i="11"/>
  <c r="EA1832" i="11"/>
  <c r="EA1831" i="11"/>
  <c r="EA1830" i="11"/>
  <c r="EA1829" i="11"/>
  <c r="EA1828" i="11"/>
  <c r="EA1827" i="11"/>
  <c r="EA1826" i="11"/>
  <c r="EA1825" i="11"/>
  <c r="EA1824" i="11"/>
  <c r="EA1823" i="11"/>
  <c r="EA1822" i="11"/>
  <c r="EA1821" i="11"/>
  <c r="EA1820" i="11"/>
  <c r="EA1819" i="11"/>
  <c r="EA1818" i="11"/>
  <c r="EA1817" i="11"/>
  <c r="EA1816" i="11"/>
  <c r="EA1815" i="11"/>
  <c r="EA1814" i="11"/>
  <c r="EA1813" i="11"/>
  <c r="EA1812" i="11"/>
  <c r="EA1811" i="11"/>
  <c r="EA1810" i="11"/>
  <c r="EA1739" i="11"/>
  <c r="EA1738" i="11"/>
  <c r="EA1737" i="11"/>
  <c r="EA1736" i="11"/>
  <c r="EA1735" i="11"/>
  <c r="EA1734" i="11"/>
  <c r="EA1733" i="11"/>
  <c r="EA1732" i="11"/>
  <c r="EA1731" i="11"/>
  <c r="EA1730" i="11"/>
  <c r="EA1729" i="11"/>
  <c r="EA1728" i="11"/>
  <c r="EA1727" i="11"/>
  <c r="EA1726" i="11"/>
  <c r="EA1725" i="11"/>
  <c r="EA1724" i="11"/>
  <c r="EA1723" i="11"/>
  <c r="EA1722" i="11"/>
  <c r="EA1721" i="11"/>
  <c r="EA1720" i="11"/>
  <c r="EA1719" i="11"/>
  <c r="EA1718" i="11"/>
  <c r="EA1717" i="11"/>
  <c r="EA1716" i="11"/>
  <c r="EA1715" i="11"/>
  <c r="EA1714" i="11"/>
  <c r="EA1713" i="11"/>
  <c r="EA1712" i="11"/>
  <c r="EA1711" i="11"/>
  <c r="EA1710" i="11"/>
  <c r="EA1639" i="11"/>
  <c r="EA1638" i="11"/>
  <c r="EA1637" i="11"/>
  <c r="EA1636" i="11"/>
  <c r="EA1635" i="11"/>
  <c r="EA1634" i="11"/>
  <c r="EA1633" i="11"/>
  <c r="EA1632" i="11"/>
  <c r="EA1631" i="11"/>
  <c r="EA1630" i="11"/>
  <c r="EA1629" i="11"/>
  <c r="EA1628" i="11"/>
  <c r="EA1627" i="11"/>
  <c r="EA1626" i="11"/>
  <c r="EA1625" i="11"/>
  <c r="EA1624" i="11"/>
  <c r="EA1623" i="11"/>
  <c r="EA1622" i="11"/>
  <c r="EA1621" i="11"/>
  <c r="EA1620" i="11"/>
  <c r="EA1619" i="11"/>
  <c r="EA1618" i="11"/>
  <c r="EA1617" i="11"/>
  <c r="EA1616" i="11"/>
  <c r="EA1615" i="11"/>
  <c r="EA1614" i="11"/>
  <c r="EA1613" i="11"/>
  <c r="EA1612" i="11"/>
  <c r="EA1611" i="11"/>
  <c r="EA1610" i="11"/>
  <c r="EA1539" i="11"/>
  <c r="EA1538" i="11"/>
  <c r="EA1537" i="11"/>
  <c r="EA1536" i="11"/>
  <c r="EA1535" i="11"/>
  <c r="EA1534" i="11"/>
  <c r="EA1533" i="11"/>
  <c r="EA1532" i="11"/>
  <c r="EA1531" i="11"/>
  <c r="EA1530" i="11"/>
  <c r="EA1529" i="11"/>
  <c r="EA1528" i="11"/>
  <c r="EA1527" i="11"/>
  <c r="EA1526" i="11"/>
  <c r="EA1525" i="11"/>
  <c r="EA1524" i="11"/>
  <c r="EA1523" i="11"/>
  <c r="EA1522" i="11"/>
  <c r="EA1521" i="11"/>
  <c r="EA1520" i="11"/>
  <c r="EA1519" i="11"/>
  <c r="EA1518" i="11"/>
  <c r="EA1517" i="11"/>
  <c r="EA1516" i="11"/>
  <c r="EA1515" i="11"/>
  <c r="EA1514" i="11"/>
  <c r="EA1513" i="11"/>
  <c r="EA1512" i="11"/>
  <c r="EA1511" i="11"/>
  <c r="EA1510" i="11"/>
  <c r="EA1439" i="11"/>
  <c r="EA1438" i="11"/>
  <c r="EA1437" i="11"/>
  <c r="EA1436" i="11"/>
  <c r="EA1435" i="11"/>
  <c r="EA1434" i="11"/>
  <c r="EA1433" i="11"/>
  <c r="EA1432" i="11"/>
  <c r="EA1431" i="11"/>
  <c r="EA1430" i="11"/>
  <c r="EA1429" i="11"/>
  <c r="EA1428" i="11"/>
  <c r="EA1427" i="11"/>
  <c r="EA1426" i="11"/>
  <c r="EA1425" i="11"/>
  <c r="EA1424" i="11"/>
  <c r="EA1423" i="11"/>
  <c r="EA1422" i="11"/>
  <c r="EA1421" i="11"/>
  <c r="EA1420" i="11"/>
  <c r="EA1419" i="11"/>
  <c r="EA1418" i="11"/>
  <c r="EA1417" i="11"/>
  <c r="EA1416" i="11"/>
  <c r="EA1415" i="11"/>
  <c r="EA1414" i="11"/>
  <c r="EA1413" i="11"/>
  <c r="EA1412" i="11"/>
  <c r="EA1411" i="11"/>
  <c r="EA1410" i="11"/>
  <c r="EA1339" i="11"/>
  <c r="EA1338" i="11"/>
  <c r="EA1337" i="11"/>
  <c r="EA1336" i="11"/>
  <c r="EA1335" i="11"/>
  <c r="EA1334" i="11"/>
  <c r="EA1333" i="11"/>
  <c r="EA1332" i="11"/>
  <c r="EA1331" i="11"/>
  <c r="EA1330" i="11"/>
  <c r="EA1329" i="11"/>
  <c r="EA1328" i="11"/>
  <c r="EA1327" i="11"/>
  <c r="EA1326" i="11"/>
  <c r="EA1325" i="11"/>
  <c r="EA1324" i="11"/>
  <c r="EA1323" i="11"/>
  <c r="EA1322" i="11"/>
  <c r="EA1321" i="11"/>
  <c r="EA1320" i="11"/>
  <c r="EA1319" i="11"/>
  <c r="EA1318" i="11"/>
  <c r="EA1317" i="11"/>
  <c r="EA1316" i="11"/>
  <c r="EA1315" i="11"/>
  <c r="EA1314" i="11"/>
  <c r="EA1313" i="11"/>
  <c r="EA1312" i="11"/>
  <c r="EA1311" i="11"/>
  <c r="EA1310" i="11"/>
  <c r="EA1239" i="11"/>
  <c r="EA1238" i="11"/>
  <c r="EA1237" i="11"/>
  <c r="EA1236" i="11"/>
  <c r="EA1235" i="11"/>
  <c r="EA1234" i="11"/>
  <c r="EA1233" i="11"/>
  <c r="EA1232" i="11"/>
  <c r="EA1231" i="11"/>
  <c r="EA1230" i="11"/>
  <c r="EA1229" i="11"/>
  <c r="EA1228" i="11"/>
  <c r="EA1227" i="11"/>
  <c r="EA1226" i="11"/>
  <c r="EA1225" i="11"/>
  <c r="EA1224" i="11"/>
  <c r="EA1223" i="11"/>
  <c r="EA1222" i="11"/>
  <c r="EA1221" i="11"/>
  <c r="EA1220" i="11"/>
  <c r="EA1219" i="11"/>
  <c r="EA1218" i="11"/>
  <c r="EA1217" i="11"/>
  <c r="EA1216" i="11"/>
  <c r="EA1215" i="11"/>
  <c r="EA1214" i="11"/>
  <c r="EA1213" i="11"/>
  <c r="EA1212" i="11"/>
  <c r="EA1211" i="11"/>
  <c r="EA1210" i="11"/>
  <c r="EA1139" i="11"/>
  <c r="EA1138" i="11"/>
  <c r="EA1137" i="11"/>
  <c r="EA1136" i="11"/>
  <c r="EA1135" i="11"/>
  <c r="EA1134" i="11"/>
  <c r="EA1133" i="11"/>
  <c r="EA1132" i="11"/>
  <c r="EA1131" i="11"/>
  <c r="EA1130" i="11"/>
  <c r="EA1129" i="11"/>
  <c r="EA1128" i="11"/>
  <c r="EA1127" i="11"/>
  <c r="EA1126" i="11"/>
  <c r="EA1125" i="11"/>
  <c r="EA1124" i="11"/>
  <c r="EA1123" i="11"/>
  <c r="EA1122" i="11"/>
  <c r="EA1121" i="11"/>
  <c r="EA1120" i="11"/>
  <c r="EA1119" i="11"/>
  <c r="EA1118" i="11"/>
  <c r="EA1117" i="11"/>
  <c r="EA1116" i="11"/>
  <c r="EA1115" i="11"/>
  <c r="EA1114" i="11"/>
  <c r="EA1113" i="11"/>
  <c r="EA1112" i="11"/>
  <c r="EA1111" i="11"/>
  <c r="EA1110" i="11"/>
  <c r="EA1039" i="11"/>
  <c r="EA1038" i="11"/>
  <c r="EA1037" i="11"/>
  <c r="EA1036" i="11"/>
  <c r="EA1035" i="11"/>
  <c r="EA1034" i="11"/>
  <c r="EA1033" i="11"/>
  <c r="EA1032" i="11"/>
  <c r="EA1031" i="11"/>
  <c r="EA1030" i="11"/>
  <c r="EA1029" i="11"/>
  <c r="EA1028" i="11"/>
  <c r="EA1027" i="11"/>
  <c r="EA1026" i="11"/>
  <c r="EA1025" i="11"/>
  <c r="EA1024" i="11"/>
  <c r="EA1023" i="11"/>
  <c r="EA1022" i="11"/>
  <c r="EA1021" i="11"/>
  <c r="EA1020" i="11"/>
  <c r="EA1019" i="11"/>
  <c r="EA1018" i="11"/>
  <c r="EA1017" i="11"/>
  <c r="EA1016" i="11"/>
  <c r="EA1015" i="11"/>
  <c r="EA1014" i="11"/>
  <c r="EA1013" i="11"/>
  <c r="EA1012" i="11"/>
  <c r="EA1011" i="11"/>
  <c r="EA1010" i="11"/>
  <c r="EA939" i="11"/>
  <c r="EA938" i="11"/>
  <c r="EA937" i="11"/>
  <c r="EA936" i="11"/>
  <c r="EA935" i="11"/>
  <c r="EA934" i="11"/>
  <c r="EA933" i="11"/>
  <c r="EA932" i="11"/>
  <c r="EA931" i="11"/>
  <c r="EA930" i="11"/>
  <c r="EA929" i="11"/>
  <c r="EA928" i="11"/>
  <c r="EA927" i="11"/>
  <c r="EA926" i="11"/>
  <c r="EA925" i="11"/>
  <c r="EA924" i="11"/>
  <c r="EA923" i="11"/>
  <c r="EA922" i="11"/>
  <c r="EA921" i="11"/>
  <c r="EA920" i="11"/>
  <c r="EA919" i="11"/>
  <c r="EA918" i="11"/>
  <c r="EA917" i="11"/>
  <c r="EA916" i="11"/>
  <c r="EA915" i="11"/>
  <c r="EA914" i="11"/>
  <c r="EA913" i="11"/>
  <c r="EA912" i="11"/>
  <c r="EA911" i="11"/>
  <c r="EA910" i="11"/>
  <c r="EA839" i="11"/>
  <c r="EA838" i="11"/>
  <c r="EA837" i="11"/>
  <c r="EA836" i="11"/>
  <c r="EA835" i="11"/>
  <c r="EA834" i="11"/>
  <c r="EA833" i="11"/>
  <c r="EA832" i="11"/>
  <c r="EA831" i="11"/>
  <c r="EA830" i="11"/>
  <c r="EA829" i="11"/>
  <c r="EA828" i="11"/>
  <c r="EA827" i="11"/>
  <c r="EA826" i="11"/>
  <c r="EA825" i="11"/>
  <c r="EA824" i="11"/>
  <c r="EA823" i="11"/>
  <c r="EA822" i="11"/>
  <c r="EA821" i="11"/>
  <c r="EA820" i="11"/>
  <c r="EA819" i="11"/>
  <c r="EA818" i="11"/>
  <c r="EA817" i="11"/>
  <c r="EA816" i="11"/>
  <c r="EA815" i="11"/>
  <c r="EA814" i="11"/>
  <c r="EA813" i="11"/>
  <c r="EA812" i="11"/>
  <c r="EA811" i="11"/>
  <c r="EA810" i="11"/>
  <c r="EA739" i="11"/>
  <c r="EA738" i="11"/>
  <c r="EA737" i="11"/>
  <c r="EA736" i="11"/>
  <c r="EA735" i="11"/>
  <c r="EA734" i="11"/>
  <c r="EA733" i="11"/>
  <c r="EA732" i="11"/>
  <c r="EA731" i="11"/>
  <c r="EA730" i="11"/>
  <c r="EA729" i="11"/>
  <c r="EA728" i="11"/>
  <c r="EA727" i="11"/>
  <c r="EA726" i="11"/>
  <c r="EA725" i="11"/>
  <c r="EA724" i="11"/>
  <c r="EA723" i="11"/>
  <c r="EA722" i="11"/>
  <c r="EA721" i="11"/>
  <c r="EA720" i="11"/>
  <c r="EA719" i="11"/>
  <c r="EA718" i="11"/>
  <c r="EA717" i="11"/>
  <c r="EA716" i="11"/>
  <c r="EA715" i="11"/>
  <c r="EA714" i="11"/>
  <c r="EA713" i="11"/>
  <c r="EA712" i="11"/>
  <c r="EA711" i="11"/>
  <c r="EA710" i="11"/>
  <c r="EA639" i="11"/>
  <c r="EA638" i="11"/>
  <c r="EA637" i="11"/>
  <c r="EA636" i="11"/>
  <c r="EA635" i="11"/>
  <c r="EA634" i="11"/>
  <c r="EA633" i="11"/>
  <c r="EA632" i="11"/>
  <c r="EA631" i="11"/>
  <c r="EA630" i="11"/>
  <c r="EA629" i="11"/>
  <c r="EA628" i="11"/>
  <c r="EA627" i="11"/>
  <c r="EA626" i="11"/>
  <c r="EA625" i="11"/>
  <c r="EA624" i="11"/>
  <c r="EA623" i="11"/>
  <c r="EA622" i="11"/>
  <c r="EA621" i="11"/>
  <c r="EA620" i="11"/>
  <c r="EA619" i="11"/>
  <c r="EA618" i="11"/>
  <c r="EA617" i="11"/>
  <c r="EA616" i="11"/>
  <c r="EA615" i="11"/>
  <c r="EA614" i="11"/>
  <c r="EA613" i="11"/>
  <c r="EA612" i="11"/>
  <c r="EA611" i="11"/>
  <c r="EA610" i="11"/>
  <c r="EE501" i="11"/>
  <c r="ED154" i="11"/>
  <c r="EC16" i="11"/>
  <c r="ED167" i="11" s="1"/>
  <c r="EB16" i="11"/>
  <c r="EC15" i="11"/>
  <c r="EB15" i="11"/>
  <c r="EC14" i="11"/>
  <c r="EB14" i="11"/>
  <c r="EC13" i="11"/>
  <c r="EB13" i="11"/>
  <c r="EC12" i="11"/>
  <c r="EB12" i="11"/>
  <c r="EB11" i="11"/>
  <c r="DA3439" i="11"/>
  <c r="DA3438" i="11"/>
  <c r="DA3437" i="11"/>
  <c r="DA3436" i="11"/>
  <c r="DA3435" i="11"/>
  <c r="DA3434" i="11"/>
  <c r="DA3433" i="11"/>
  <c r="DA3432" i="11"/>
  <c r="DA3431" i="11"/>
  <c r="DA3430" i="11"/>
  <c r="DA3429" i="11"/>
  <c r="DA3428" i="11"/>
  <c r="DA3427" i="11"/>
  <c r="DA3426" i="11"/>
  <c r="DA3425" i="11"/>
  <c r="DA3424" i="11"/>
  <c r="DA3423" i="11"/>
  <c r="DA3422" i="11"/>
  <c r="DA3421" i="11"/>
  <c r="DA3420" i="11"/>
  <c r="DA3419" i="11"/>
  <c r="DA3418" i="11"/>
  <c r="DA3417" i="11"/>
  <c r="DA3416" i="11"/>
  <c r="DA3415" i="11"/>
  <c r="DA3414" i="11"/>
  <c r="DA3413" i="11"/>
  <c r="DA3412" i="11"/>
  <c r="DA3411" i="11"/>
  <c r="DA3410" i="11"/>
  <c r="DA3339" i="11"/>
  <c r="DA3338" i="11"/>
  <c r="DA3337" i="11"/>
  <c r="DA3336" i="11"/>
  <c r="DA3335" i="11"/>
  <c r="DA3334" i="11"/>
  <c r="DA3333" i="11"/>
  <c r="DA3332" i="11"/>
  <c r="DA3331" i="11"/>
  <c r="DA3330" i="11"/>
  <c r="DA3329" i="11"/>
  <c r="DA3328" i="11"/>
  <c r="DA3327" i="11"/>
  <c r="DA3326" i="11"/>
  <c r="DA3325" i="11"/>
  <c r="DA3324" i="11"/>
  <c r="DA3323" i="11"/>
  <c r="DA3322" i="11"/>
  <c r="DA3321" i="11"/>
  <c r="DA3320" i="11"/>
  <c r="DA3319" i="11"/>
  <c r="DA3318" i="11"/>
  <c r="DA3317" i="11"/>
  <c r="DA3316" i="11"/>
  <c r="DA3315" i="11"/>
  <c r="DA3314" i="11"/>
  <c r="DA3313" i="11"/>
  <c r="DA3312" i="11"/>
  <c r="DA3311" i="11"/>
  <c r="DA3310" i="11"/>
  <c r="DA3239" i="11"/>
  <c r="DA3238" i="11"/>
  <c r="DA3237" i="11"/>
  <c r="DA3236" i="11"/>
  <c r="DA3235" i="11"/>
  <c r="DA3234" i="11"/>
  <c r="DA3233" i="11"/>
  <c r="DA3232" i="11"/>
  <c r="DA3231" i="11"/>
  <c r="DA3230" i="11"/>
  <c r="DA3229" i="11"/>
  <c r="DA3228" i="11"/>
  <c r="DA3227" i="11"/>
  <c r="DA3226" i="11"/>
  <c r="DA3225" i="11"/>
  <c r="DA3224" i="11"/>
  <c r="DA3223" i="11"/>
  <c r="DA3222" i="11"/>
  <c r="DA3221" i="11"/>
  <c r="DA3220" i="11"/>
  <c r="DA3219" i="11"/>
  <c r="DA3218" i="11"/>
  <c r="DA3217" i="11"/>
  <c r="DA3216" i="11"/>
  <c r="DA3215" i="11"/>
  <c r="DA3214" i="11"/>
  <c r="DA3213" i="11"/>
  <c r="DA3212" i="11"/>
  <c r="DA3211" i="11"/>
  <c r="DA3210" i="11"/>
  <c r="DA3139" i="11"/>
  <c r="DA3138" i="11"/>
  <c r="DA3137" i="11"/>
  <c r="DA3136" i="11"/>
  <c r="DA3135" i="11"/>
  <c r="DA3134" i="11"/>
  <c r="DA3133" i="11"/>
  <c r="DA3132" i="11"/>
  <c r="DA3131" i="11"/>
  <c r="DA3130" i="11"/>
  <c r="DA3129" i="11"/>
  <c r="DA3128" i="11"/>
  <c r="DA3127" i="11"/>
  <c r="DA3126" i="11"/>
  <c r="DA3125" i="11"/>
  <c r="DA3124" i="11"/>
  <c r="DA3123" i="11"/>
  <c r="DA3122" i="11"/>
  <c r="DA3121" i="11"/>
  <c r="DA3120" i="11"/>
  <c r="DA3119" i="11"/>
  <c r="DA3118" i="11"/>
  <c r="DA3117" i="11"/>
  <c r="DA3116" i="11"/>
  <c r="DA3115" i="11"/>
  <c r="DA3114" i="11"/>
  <c r="DA3113" i="11"/>
  <c r="DA3112" i="11"/>
  <c r="DA3111" i="11"/>
  <c r="DA3110" i="11"/>
  <c r="DA3039" i="11"/>
  <c r="DA3038" i="11"/>
  <c r="DA3037" i="11"/>
  <c r="DA3036" i="11"/>
  <c r="DA3035" i="11"/>
  <c r="DA3034" i="11"/>
  <c r="DA3033" i="11"/>
  <c r="DA3032" i="11"/>
  <c r="DA3031" i="11"/>
  <c r="DA3030" i="11"/>
  <c r="DA3029" i="11"/>
  <c r="DA3028" i="11"/>
  <c r="DA3027" i="11"/>
  <c r="DA3026" i="11"/>
  <c r="DA3025" i="11"/>
  <c r="DA3024" i="11"/>
  <c r="DA3023" i="11"/>
  <c r="DA3022" i="11"/>
  <c r="DA3021" i="11"/>
  <c r="DA3020" i="11"/>
  <c r="DA3019" i="11"/>
  <c r="DA3018" i="11"/>
  <c r="DA3017" i="11"/>
  <c r="DA3016" i="11"/>
  <c r="DA3015" i="11"/>
  <c r="DA3014" i="11"/>
  <c r="DA3013" i="11"/>
  <c r="DA3012" i="11"/>
  <c r="DA3011" i="11"/>
  <c r="DA3010" i="11"/>
  <c r="DA2939" i="11"/>
  <c r="DA2938" i="11"/>
  <c r="DA2937" i="11"/>
  <c r="DA2936" i="11"/>
  <c r="DA2935" i="11"/>
  <c r="DA2934" i="11"/>
  <c r="DA2933" i="11"/>
  <c r="DA2932" i="11"/>
  <c r="DA2931" i="11"/>
  <c r="DA2930" i="11"/>
  <c r="DA2929" i="11"/>
  <c r="DA2928" i="11"/>
  <c r="DA2927" i="11"/>
  <c r="DA2926" i="11"/>
  <c r="DA2925" i="11"/>
  <c r="DA2924" i="11"/>
  <c r="DA2923" i="11"/>
  <c r="DA2922" i="11"/>
  <c r="DA2921" i="11"/>
  <c r="DA2920" i="11"/>
  <c r="DA2919" i="11"/>
  <c r="DA2918" i="11"/>
  <c r="DA2917" i="11"/>
  <c r="DA2916" i="11"/>
  <c r="DA2915" i="11"/>
  <c r="DA2914" i="11"/>
  <c r="DA2913" i="11"/>
  <c r="DA2912" i="11"/>
  <c r="DA2911" i="11"/>
  <c r="DA2910" i="11"/>
  <c r="DA2839" i="11"/>
  <c r="DA2838" i="11"/>
  <c r="DA2837" i="11"/>
  <c r="DA2836" i="11"/>
  <c r="DA2835" i="11"/>
  <c r="DA2834" i="11"/>
  <c r="DA2833" i="11"/>
  <c r="DA2832" i="11"/>
  <c r="DA2831" i="11"/>
  <c r="DA2830" i="11"/>
  <c r="DA2829" i="11"/>
  <c r="DA2828" i="11"/>
  <c r="DA2827" i="11"/>
  <c r="DA2826" i="11"/>
  <c r="DA2825" i="11"/>
  <c r="DA2824" i="11"/>
  <c r="DA2823" i="11"/>
  <c r="DA2822" i="11"/>
  <c r="DA2821" i="11"/>
  <c r="DA2820" i="11"/>
  <c r="DA2819" i="11"/>
  <c r="DA2818" i="11"/>
  <c r="DA2817" i="11"/>
  <c r="DA2816" i="11"/>
  <c r="DA2815" i="11"/>
  <c r="DA2814" i="11"/>
  <c r="DA2813" i="11"/>
  <c r="DA2812" i="11"/>
  <c r="DA2811" i="11"/>
  <c r="DA2810" i="11"/>
  <c r="DA2739" i="11"/>
  <c r="DA2738" i="11"/>
  <c r="DA2737" i="11"/>
  <c r="DA2736" i="11"/>
  <c r="DA2735" i="11"/>
  <c r="DA2734" i="11"/>
  <c r="DA2733" i="11"/>
  <c r="DA2732" i="11"/>
  <c r="DA2731" i="11"/>
  <c r="DA2730" i="11"/>
  <c r="DA2729" i="11"/>
  <c r="DA2728" i="11"/>
  <c r="DA2727" i="11"/>
  <c r="DA2726" i="11"/>
  <c r="DA2725" i="11"/>
  <c r="DA2724" i="11"/>
  <c r="DA2723" i="11"/>
  <c r="DA2722" i="11"/>
  <c r="DA2721" i="11"/>
  <c r="DA2720" i="11"/>
  <c r="DA2719" i="11"/>
  <c r="DA2718" i="11"/>
  <c r="DA2717" i="11"/>
  <c r="DA2716" i="11"/>
  <c r="DA2715" i="11"/>
  <c r="DA2714" i="11"/>
  <c r="DA2713" i="11"/>
  <c r="DA2712" i="11"/>
  <c r="DA2711" i="11"/>
  <c r="DA2710" i="11"/>
  <c r="DA2639" i="11"/>
  <c r="DA2638" i="11"/>
  <c r="DA2637" i="11"/>
  <c r="DA2636" i="11"/>
  <c r="DA2635" i="11"/>
  <c r="DA2634" i="11"/>
  <c r="DA2633" i="11"/>
  <c r="DA2632" i="11"/>
  <c r="DA2631" i="11"/>
  <c r="DA2630" i="11"/>
  <c r="DA2629" i="11"/>
  <c r="DA2628" i="11"/>
  <c r="DA2627" i="11"/>
  <c r="DA2626" i="11"/>
  <c r="DA2625" i="11"/>
  <c r="DA2624" i="11"/>
  <c r="DA2623" i="11"/>
  <c r="DA2622" i="11"/>
  <c r="DA2621" i="11"/>
  <c r="DA2620" i="11"/>
  <c r="DA2619" i="11"/>
  <c r="DA2618" i="11"/>
  <c r="DA2617" i="11"/>
  <c r="DA2616" i="11"/>
  <c r="DA2615" i="11"/>
  <c r="DA2614" i="11"/>
  <c r="DA2613" i="11"/>
  <c r="DA2612" i="11"/>
  <c r="DA2611" i="11"/>
  <c r="DA2610" i="11"/>
  <c r="DA2539" i="11"/>
  <c r="DA2538" i="11"/>
  <c r="DA2537" i="11"/>
  <c r="DA2536" i="11"/>
  <c r="DA2535" i="11"/>
  <c r="DA2534" i="11"/>
  <c r="DA2533" i="11"/>
  <c r="DA2532" i="11"/>
  <c r="DA2531" i="11"/>
  <c r="DA2530" i="11"/>
  <c r="DA2529" i="11"/>
  <c r="DA2528" i="11"/>
  <c r="DA2527" i="11"/>
  <c r="DA2526" i="11"/>
  <c r="DA2525" i="11"/>
  <c r="DA2524" i="11"/>
  <c r="DA2523" i="11"/>
  <c r="DA2522" i="11"/>
  <c r="DA2521" i="11"/>
  <c r="DA2520" i="11"/>
  <c r="DA2519" i="11"/>
  <c r="DA2518" i="11"/>
  <c r="DA2517" i="11"/>
  <c r="DA2516" i="11"/>
  <c r="DA2515" i="11"/>
  <c r="DA2514" i="11"/>
  <c r="DA2513" i="11"/>
  <c r="DA2512" i="11"/>
  <c r="DA2511" i="11"/>
  <c r="DA2510" i="11"/>
  <c r="DA2439" i="11"/>
  <c r="DA2438" i="11"/>
  <c r="DA2437" i="11"/>
  <c r="DA2436" i="11"/>
  <c r="DA2435" i="11"/>
  <c r="DA2434" i="11"/>
  <c r="DA2433" i="11"/>
  <c r="DA2432" i="11"/>
  <c r="DA2431" i="11"/>
  <c r="DA2430" i="11"/>
  <c r="DA2429" i="11"/>
  <c r="DA2428" i="11"/>
  <c r="DA2427" i="11"/>
  <c r="DA2426" i="11"/>
  <c r="DA2425" i="11"/>
  <c r="DA2424" i="11"/>
  <c r="DA2423" i="11"/>
  <c r="DA2422" i="11"/>
  <c r="DA2421" i="11"/>
  <c r="DA2420" i="11"/>
  <c r="DA2419" i="11"/>
  <c r="DA2418" i="11"/>
  <c r="DA2417" i="11"/>
  <c r="DA2416" i="11"/>
  <c r="DA2415" i="11"/>
  <c r="DA2414" i="11"/>
  <c r="DA2413" i="11"/>
  <c r="DA2412" i="11"/>
  <c r="DA2411" i="11"/>
  <c r="DA2410" i="11"/>
  <c r="DA2339" i="11"/>
  <c r="DA2338" i="11"/>
  <c r="DA2337" i="11"/>
  <c r="DA2336" i="11"/>
  <c r="DA2335" i="11"/>
  <c r="DA2334" i="11"/>
  <c r="DA2333" i="11"/>
  <c r="DA2332" i="11"/>
  <c r="DA2331" i="11"/>
  <c r="DA2330" i="11"/>
  <c r="DA2329" i="11"/>
  <c r="DA2328" i="11"/>
  <c r="DA2327" i="11"/>
  <c r="DA2326" i="11"/>
  <c r="DA2325" i="11"/>
  <c r="DA2324" i="11"/>
  <c r="DA2323" i="11"/>
  <c r="DA2322" i="11"/>
  <c r="DA2321" i="11"/>
  <c r="DA2320" i="11"/>
  <c r="DA2319" i="11"/>
  <c r="DA2318" i="11"/>
  <c r="DA2317" i="11"/>
  <c r="DA2316" i="11"/>
  <c r="DA2315" i="11"/>
  <c r="DA2314" i="11"/>
  <c r="DA2313" i="11"/>
  <c r="DA2312" i="11"/>
  <c r="DA2311" i="11"/>
  <c r="DA2310" i="11"/>
  <c r="DA2239" i="11"/>
  <c r="DA2238" i="11"/>
  <c r="DA2237" i="11"/>
  <c r="DA2236" i="11"/>
  <c r="DA2235" i="11"/>
  <c r="DA2234" i="11"/>
  <c r="DA2233" i="11"/>
  <c r="DA2232" i="11"/>
  <c r="DA2231" i="11"/>
  <c r="DA2230" i="11"/>
  <c r="DA2229" i="11"/>
  <c r="DA2228" i="11"/>
  <c r="DA2227" i="11"/>
  <c r="DA2226" i="11"/>
  <c r="DA2225" i="11"/>
  <c r="DA2224" i="11"/>
  <c r="DA2223" i="11"/>
  <c r="DA2222" i="11"/>
  <c r="DA2221" i="11"/>
  <c r="DA2220" i="11"/>
  <c r="DA2219" i="11"/>
  <c r="DA2218" i="11"/>
  <c r="DA2217" i="11"/>
  <c r="DA2216" i="11"/>
  <c r="DA2215" i="11"/>
  <c r="DA2214" i="11"/>
  <c r="DA2213" i="11"/>
  <c r="DA2212" i="11"/>
  <c r="DA2211" i="11"/>
  <c r="DA2210" i="11"/>
  <c r="DA2139" i="11"/>
  <c r="DA2138" i="11"/>
  <c r="DA2137" i="11"/>
  <c r="DA2136" i="11"/>
  <c r="DA2135" i="11"/>
  <c r="DA2134" i="11"/>
  <c r="DA2133" i="11"/>
  <c r="DA2132" i="11"/>
  <c r="DA2131" i="11"/>
  <c r="DA2130" i="11"/>
  <c r="DA2129" i="11"/>
  <c r="DA2128" i="11"/>
  <c r="DA2127" i="11"/>
  <c r="DA2126" i="11"/>
  <c r="DA2125" i="11"/>
  <c r="DA2124" i="11"/>
  <c r="DA2123" i="11"/>
  <c r="DA2122" i="11"/>
  <c r="DA2121" i="11"/>
  <c r="DA2120" i="11"/>
  <c r="DA2119" i="11"/>
  <c r="DA2118" i="11"/>
  <c r="DA2117" i="11"/>
  <c r="DA2116" i="11"/>
  <c r="DA2115" i="11"/>
  <c r="DA2114" i="11"/>
  <c r="DA2113" i="11"/>
  <c r="DA2112" i="11"/>
  <c r="DA2111" i="11"/>
  <c r="DA2110" i="11"/>
  <c r="DA2039" i="11"/>
  <c r="DA2038" i="11"/>
  <c r="DA2037" i="11"/>
  <c r="DA2036" i="11"/>
  <c r="DA2035" i="11"/>
  <c r="DA2034" i="11"/>
  <c r="DA2033" i="11"/>
  <c r="DA2032" i="11"/>
  <c r="DA2031" i="11"/>
  <c r="DA2030" i="11"/>
  <c r="DA2029" i="11"/>
  <c r="DA2028" i="11"/>
  <c r="DA2027" i="11"/>
  <c r="DA2026" i="11"/>
  <c r="DA2025" i="11"/>
  <c r="DA2024" i="11"/>
  <c r="DA2023" i="11"/>
  <c r="DA2022" i="11"/>
  <c r="DA2021" i="11"/>
  <c r="DA2020" i="11"/>
  <c r="DA2019" i="11"/>
  <c r="DA2018" i="11"/>
  <c r="DA2017" i="11"/>
  <c r="DA2016" i="11"/>
  <c r="DA2015" i="11"/>
  <c r="DA2014" i="11"/>
  <c r="DA2013" i="11"/>
  <c r="DA2012" i="11"/>
  <c r="DA2011" i="11"/>
  <c r="DA2010" i="11"/>
  <c r="DA1939" i="11"/>
  <c r="DA1938" i="11"/>
  <c r="DA1937" i="11"/>
  <c r="DA1936" i="11"/>
  <c r="DA1935" i="11"/>
  <c r="DA1934" i="11"/>
  <c r="DA1933" i="11"/>
  <c r="DA1932" i="11"/>
  <c r="DA1931" i="11"/>
  <c r="DA1930" i="11"/>
  <c r="DA1929" i="11"/>
  <c r="DA1928" i="11"/>
  <c r="DA1927" i="11"/>
  <c r="DA1926" i="11"/>
  <c r="DA1925" i="11"/>
  <c r="DA1924" i="11"/>
  <c r="DA1923" i="11"/>
  <c r="DA1922" i="11"/>
  <c r="DA1921" i="11"/>
  <c r="DA1920" i="11"/>
  <c r="DA1919" i="11"/>
  <c r="DA1918" i="11"/>
  <c r="DA1917" i="11"/>
  <c r="DA1916" i="11"/>
  <c r="DA1915" i="11"/>
  <c r="DA1914" i="11"/>
  <c r="DA1913" i="11"/>
  <c r="DA1912" i="11"/>
  <c r="DA1911" i="11"/>
  <c r="DA1910" i="11"/>
  <c r="DA1839" i="11"/>
  <c r="DA1838" i="11"/>
  <c r="DA1837" i="11"/>
  <c r="DA1836" i="11"/>
  <c r="DA1835" i="11"/>
  <c r="DA1834" i="11"/>
  <c r="DA1833" i="11"/>
  <c r="DA1832" i="11"/>
  <c r="DA1831" i="11"/>
  <c r="DA1830" i="11"/>
  <c r="DA1829" i="11"/>
  <c r="DA1828" i="11"/>
  <c r="DA1827" i="11"/>
  <c r="DA1826" i="11"/>
  <c r="DA1825" i="11"/>
  <c r="DA1824" i="11"/>
  <c r="DA1823" i="11"/>
  <c r="DA1822" i="11"/>
  <c r="DA1821" i="11"/>
  <c r="DA1820" i="11"/>
  <c r="DA1819" i="11"/>
  <c r="DA1818" i="11"/>
  <c r="DA1817" i="11"/>
  <c r="DA1816" i="11"/>
  <c r="DA1815" i="11"/>
  <c r="DA1814" i="11"/>
  <c r="DA1813" i="11"/>
  <c r="DA1812" i="11"/>
  <c r="DA1811" i="11"/>
  <c r="DA1810" i="11"/>
  <c r="DA1739" i="11"/>
  <c r="DA1738" i="11"/>
  <c r="DA1737" i="11"/>
  <c r="DA1736" i="11"/>
  <c r="DA1735" i="11"/>
  <c r="DA1734" i="11"/>
  <c r="DA1733" i="11"/>
  <c r="DA1732" i="11"/>
  <c r="DA1731" i="11"/>
  <c r="DA1730" i="11"/>
  <c r="DA1729" i="11"/>
  <c r="DA1728" i="11"/>
  <c r="DA1727" i="11"/>
  <c r="DA1726" i="11"/>
  <c r="DA1725" i="11"/>
  <c r="DA1724" i="11"/>
  <c r="DA1723" i="11"/>
  <c r="DA1722" i="11"/>
  <c r="DA1721" i="11"/>
  <c r="DA1720" i="11"/>
  <c r="DA1719" i="11"/>
  <c r="DA1718" i="11"/>
  <c r="DA1717" i="11"/>
  <c r="DA1716" i="11"/>
  <c r="DA1715" i="11"/>
  <c r="DA1714" i="11"/>
  <c r="DA1713" i="11"/>
  <c r="DA1712" i="11"/>
  <c r="DA1711" i="11"/>
  <c r="DA1710" i="11"/>
  <c r="DA1639" i="11"/>
  <c r="DA1638" i="11"/>
  <c r="DA1637" i="11"/>
  <c r="DA1636" i="11"/>
  <c r="DA1635" i="11"/>
  <c r="DA1634" i="11"/>
  <c r="DA1633" i="11"/>
  <c r="DA1632" i="11"/>
  <c r="DA1631" i="11"/>
  <c r="DA1630" i="11"/>
  <c r="DA1629" i="11"/>
  <c r="DA1628" i="11"/>
  <c r="DA1627" i="11"/>
  <c r="DA1626" i="11"/>
  <c r="DA1625" i="11"/>
  <c r="DA1624" i="11"/>
  <c r="DA1623" i="11"/>
  <c r="DA1622" i="11"/>
  <c r="DA1621" i="11"/>
  <c r="DA1620" i="11"/>
  <c r="DA1619" i="11"/>
  <c r="DA1618" i="11"/>
  <c r="DA1617" i="11"/>
  <c r="DA1616" i="11"/>
  <c r="DA1615" i="11"/>
  <c r="DA1614" i="11"/>
  <c r="DA1613" i="11"/>
  <c r="DA1612" i="11"/>
  <c r="DA1611" i="11"/>
  <c r="DA1610" i="11"/>
  <c r="DA1539" i="11"/>
  <c r="DA1538" i="11"/>
  <c r="DA1537" i="11"/>
  <c r="DA1536" i="11"/>
  <c r="DA1535" i="11"/>
  <c r="DA1534" i="11"/>
  <c r="DA1533" i="11"/>
  <c r="DA1532" i="11"/>
  <c r="DA1531" i="11"/>
  <c r="DA1530" i="11"/>
  <c r="DA1529" i="11"/>
  <c r="DA1528" i="11"/>
  <c r="DA1527" i="11"/>
  <c r="DA1526" i="11"/>
  <c r="DA1525" i="11"/>
  <c r="DA1524" i="11"/>
  <c r="DA1523" i="11"/>
  <c r="DA1522" i="11"/>
  <c r="DA1521" i="11"/>
  <c r="DA1520" i="11"/>
  <c r="DA1519" i="11"/>
  <c r="DA1518" i="11"/>
  <c r="DA1517" i="11"/>
  <c r="DA1516" i="11"/>
  <c r="DA1515" i="11"/>
  <c r="DA1514" i="11"/>
  <c r="DA1513" i="11"/>
  <c r="DA1512" i="11"/>
  <c r="DA1511" i="11"/>
  <c r="DA1510" i="11"/>
  <c r="DA1439" i="11"/>
  <c r="DA1438" i="11"/>
  <c r="DA1437" i="11"/>
  <c r="DA1436" i="11"/>
  <c r="DA1435" i="11"/>
  <c r="DA1434" i="11"/>
  <c r="DA1433" i="11"/>
  <c r="DA1432" i="11"/>
  <c r="DA1431" i="11"/>
  <c r="DA1430" i="11"/>
  <c r="DA1429" i="11"/>
  <c r="DA1428" i="11"/>
  <c r="DA1427" i="11"/>
  <c r="DA1426" i="11"/>
  <c r="DA1425" i="11"/>
  <c r="DA1424" i="11"/>
  <c r="DA1423" i="11"/>
  <c r="DA1422" i="11"/>
  <c r="DA1421" i="11"/>
  <c r="DA1420" i="11"/>
  <c r="DA1419" i="11"/>
  <c r="DA1418" i="11"/>
  <c r="DA1417" i="11"/>
  <c r="DA1416" i="11"/>
  <c r="DA1415" i="11"/>
  <c r="DA1414" i="11"/>
  <c r="DA1413" i="11"/>
  <c r="DA1412" i="11"/>
  <c r="DA1411" i="11"/>
  <c r="DA1410" i="11"/>
  <c r="DA1339" i="11"/>
  <c r="DA1338" i="11"/>
  <c r="DA1337" i="11"/>
  <c r="DA1336" i="11"/>
  <c r="DA1335" i="11"/>
  <c r="DA1334" i="11"/>
  <c r="DA1333" i="11"/>
  <c r="DA1332" i="11"/>
  <c r="DA1331" i="11"/>
  <c r="DA1330" i="11"/>
  <c r="DA1329" i="11"/>
  <c r="DA1328" i="11"/>
  <c r="DA1327" i="11"/>
  <c r="DA1326" i="11"/>
  <c r="DA1325" i="11"/>
  <c r="DA1324" i="11"/>
  <c r="DA1323" i="11"/>
  <c r="DA1322" i="11"/>
  <c r="DA1321" i="11"/>
  <c r="DA1320" i="11"/>
  <c r="DA1319" i="11"/>
  <c r="DA1318" i="11"/>
  <c r="DA1317" i="11"/>
  <c r="DA1316" i="11"/>
  <c r="DA1315" i="11"/>
  <c r="DA1314" i="11"/>
  <c r="DA1313" i="11"/>
  <c r="DA1312" i="11"/>
  <c r="DA1311" i="11"/>
  <c r="DA1310" i="11"/>
  <c r="DA1239" i="11"/>
  <c r="DA1238" i="11"/>
  <c r="DA1237" i="11"/>
  <c r="DA1236" i="11"/>
  <c r="DA1235" i="11"/>
  <c r="DA1234" i="11"/>
  <c r="DA1233" i="11"/>
  <c r="DA1232" i="11"/>
  <c r="DA1231" i="11"/>
  <c r="DA1230" i="11"/>
  <c r="DA1229" i="11"/>
  <c r="DA1228" i="11"/>
  <c r="DA1227" i="11"/>
  <c r="DA1226" i="11"/>
  <c r="DA1225" i="11"/>
  <c r="DA1224" i="11"/>
  <c r="DA1223" i="11"/>
  <c r="DA1222" i="11"/>
  <c r="DA1221" i="11"/>
  <c r="DA1220" i="11"/>
  <c r="DA1219" i="11"/>
  <c r="DA1218" i="11"/>
  <c r="DA1217" i="11"/>
  <c r="DA1216" i="11"/>
  <c r="DA1215" i="11"/>
  <c r="DA1214" i="11"/>
  <c r="DA1213" i="11"/>
  <c r="DA1212" i="11"/>
  <c r="DA1211" i="11"/>
  <c r="DA1210" i="11"/>
  <c r="DA1139" i="11"/>
  <c r="DA1138" i="11"/>
  <c r="DA1137" i="11"/>
  <c r="DA1136" i="11"/>
  <c r="DA1135" i="11"/>
  <c r="DA1134" i="11"/>
  <c r="DA1133" i="11"/>
  <c r="DA1132" i="11"/>
  <c r="DA1131" i="11"/>
  <c r="DA1130" i="11"/>
  <c r="DA1129" i="11"/>
  <c r="DA1128" i="11"/>
  <c r="DA1127" i="11"/>
  <c r="DA1126" i="11"/>
  <c r="DA1125" i="11"/>
  <c r="DA1124" i="11"/>
  <c r="DA1123" i="11"/>
  <c r="DA1122" i="11"/>
  <c r="DA1121" i="11"/>
  <c r="DA1120" i="11"/>
  <c r="DA1119" i="11"/>
  <c r="DA1118" i="11"/>
  <c r="DA1117" i="11"/>
  <c r="DA1116" i="11"/>
  <c r="DA1115" i="11"/>
  <c r="DA1114" i="11"/>
  <c r="DA1113" i="11"/>
  <c r="DA1112" i="11"/>
  <c r="DA1111" i="11"/>
  <c r="DA1110" i="11"/>
  <c r="DA1039" i="11"/>
  <c r="DA1038" i="11"/>
  <c r="DA1037" i="11"/>
  <c r="DA1036" i="11"/>
  <c r="DA1035" i="11"/>
  <c r="DA1034" i="11"/>
  <c r="DA1033" i="11"/>
  <c r="DA1032" i="11"/>
  <c r="DA1031" i="11"/>
  <c r="DA1030" i="11"/>
  <c r="DA1029" i="11"/>
  <c r="DA1028" i="11"/>
  <c r="DA1027" i="11"/>
  <c r="DA1026" i="11"/>
  <c r="DA1025" i="11"/>
  <c r="DA1024" i="11"/>
  <c r="DA1023" i="11"/>
  <c r="DA1022" i="11"/>
  <c r="DA1021" i="11"/>
  <c r="DA1020" i="11"/>
  <c r="DA1019" i="11"/>
  <c r="DA1018" i="11"/>
  <c r="DA1017" i="11"/>
  <c r="DA1016" i="11"/>
  <c r="DA1015" i="11"/>
  <c r="DA1014" i="11"/>
  <c r="DA1013" i="11"/>
  <c r="DA1012" i="11"/>
  <c r="DA1011" i="11"/>
  <c r="DA1010" i="11"/>
  <c r="DA939" i="11"/>
  <c r="DA938" i="11"/>
  <c r="DA937" i="11"/>
  <c r="DA936" i="11"/>
  <c r="DA935" i="11"/>
  <c r="DA934" i="11"/>
  <c r="DA933" i="11"/>
  <c r="DA932" i="11"/>
  <c r="DA931" i="11"/>
  <c r="DA930" i="11"/>
  <c r="DA929" i="11"/>
  <c r="DA928" i="11"/>
  <c r="DA927" i="11"/>
  <c r="DA926" i="11"/>
  <c r="DA925" i="11"/>
  <c r="DA924" i="11"/>
  <c r="DA923" i="11"/>
  <c r="DA922" i="11"/>
  <c r="DA921" i="11"/>
  <c r="DA920" i="11"/>
  <c r="DA919" i="11"/>
  <c r="DA918" i="11"/>
  <c r="DA917" i="11"/>
  <c r="DA916" i="11"/>
  <c r="DA915" i="11"/>
  <c r="DA914" i="11"/>
  <c r="DA913" i="11"/>
  <c r="DA912" i="11"/>
  <c r="DA911" i="11"/>
  <c r="DA910" i="11"/>
  <c r="DA839" i="11"/>
  <c r="DA838" i="11"/>
  <c r="DA837" i="11"/>
  <c r="DA836" i="11"/>
  <c r="DA835" i="11"/>
  <c r="DA834" i="11"/>
  <c r="DA833" i="11"/>
  <c r="DA832" i="11"/>
  <c r="DA831" i="11"/>
  <c r="DA830" i="11"/>
  <c r="DA829" i="11"/>
  <c r="DA828" i="11"/>
  <c r="DA827" i="11"/>
  <c r="DA826" i="11"/>
  <c r="DA825" i="11"/>
  <c r="DA824" i="11"/>
  <c r="DA823" i="11"/>
  <c r="DA822" i="11"/>
  <c r="DA821" i="11"/>
  <c r="DA820" i="11"/>
  <c r="DA819" i="11"/>
  <c r="DA818" i="11"/>
  <c r="DA817" i="11"/>
  <c r="DA816" i="11"/>
  <c r="DA815" i="11"/>
  <c r="DA814" i="11"/>
  <c r="DA813" i="11"/>
  <c r="DA812" i="11"/>
  <c r="DA811" i="11"/>
  <c r="DA810" i="11"/>
  <c r="DA739" i="11"/>
  <c r="DA738" i="11"/>
  <c r="DA737" i="11"/>
  <c r="DA736" i="11"/>
  <c r="DA735" i="11"/>
  <c r="DA734" i="11"/>
  <c r="DA733" i="11"/>
  <c r="DA732" i="11"/>
  <c r="DA731" i="11"/>
  <c r="DA730" i="11"/>
  <c r="DA729" i="11"/>
  <c r="DA728" i="11"/>
  <c r="DA727" i="11"/>
  <c r="DA726" i="11"/>
  <c r="DA725" i="11"/>
  <c r="DA724" i="11"/>
  <c r="DA723" i="11"/>
  <c r="DA722" i="11"/>
  <c r="DA721" i="11"/>
  <c r="DA720" i="11"/>
  <c r="DA719" i="11"/>
  <c r="DA718" i="11"/>
  <c r="DA717" i="11"/>
  <c r="DA716" i="11"/>
  <c r="DA715" i="11"/>
  <c r="DA714" i="11"/>
  <c r="DA713" i="11"/>
  <c r="DA712" i="11"/>
  <c r="DA711" i="11"/>
  <c r="DA710" i="11"/>
  <c r="DA639" i="11"/>
  <c r="DA638" i="11"/>
  <c r="DA637" i="11"/>
  <c r="DA636" i="11"/>
  <c r="DA635" i="11"/>
  <c r="DA634" i="11"/>
  <c r="DA633" i="11"/>
  <c r="DA632" i="11"/>
  <c r="DA631" i="11"/>
  <c r="DA630" i="11"/>
  <c r="DA629" i="11"/>
  <c r="DA628" i="11"/>
  <c r="DA627" i="11"/>
  <c r="DA626" i="11"/>
  <c r="DA625" i="11"/>
  <c r="DA624" i="11"/>
  <c r="DA623" i="11"/>
  <c r="DA622" i="11"/>
  <c r="DA621" i="11"/>
  <c r="DA620" i="11"/>
  <c r="DA619" i="11"/>
  <c r="DA618" i="11"/>
  <c r="DA617" i="11"/>
  <c r="DA616" i="11"/>
  <c r="DA615" i="11"/>
  <c r="DA614" i="11"/>
  <c r="DA613" i="11"/>
  <c r="DA612" i="11"/>
  <c r="DA611" i="11"/>
  <c r="DA610" i="11"/>
  <c r="DE501" i="11"/>
  <c r="DB356" i="11"/>
  <c r="DC356" i="11" s="1"/>
  <c r="DB355" i="11"/>
  <c r="DC355" i="11" s="1"/>
  <c r="DB354" i="11"/>
  <c r="DC354" i="11" s="1"/>
  <c r="DB353" i="11"/>
  <c r="DC353" i="11" s="1"/>
  <c r="CA3439" i="11"/>
  <c r="CA3438" i="11"/>
  <c r="CA3437" i="11"/>
  <c r="CA3436" i="11"/>
  <c r="CA3435" i="11"/>
  <c r="CA3434" i="11"/>
  <c r="CA3433" i="11"/>
  <c r="CA3432" i="11"/>
  <c r="CA3431" i="11"/>
  <c r="CA3430" i="11"/>
  <c r="CA3429" i="11"/>
  <c r="CA3428" i="11"/>
  <c r="CA3427" i="11"/>
  <c r="CA3426" i="11"/>
  <c r="CA3425" i="11"/>
  <c r="CA3424" i="11"/>
  <c r="CA3423" i="11"/>
  <c r="CA3422" i="11"/>
  <c r="CA3421" i="11"/>
  <c r="CA3420" i="11"/>
  <c r="CA3419" i="11"/>
  <c r="CA3418" i="11"/>
  <c r="CA3417" i="11"/>
  <c r="CA3416" i="11"/>
  <c r="CA3415" i="11"/>
  <c r="CA3414" i="11"/>
  <c r="CA3413" i="11"/>
  <c r="CA3412" i="11"/>
  <c r="CA3411" i="11"/>
  <c r="CA3410" i="11"/>
  <c r="CA3339" i="11"/>
  <c r="CA3338" i="11"/>
  <c r="CA3337" i="11"/>
  <c r="CA3336" i="11"/>
  <c r="CA3335" i="11"/>
  <c r="CA3334" i="11"/>
  <c r="CA3333" i="11"/>
  <c r="CA3332" i="11"/>
  <c r="CA3331" i="11"/>
  <c r="CA3330" i="11"/>
  <c r="CA3329" i="11"/>
  <c r="CA3328" i="11"/>
  <c r="CA3327" i="11"/>
  <c r="CA3326" i="11"/>
  <c r="CA3325" i="11"/>
  <c r="CA3324" i="11"/>
  <c r="CA3323" i="11"/>
  <c r="CA3322" i="11"/>
  <c r="CA3321" i="11"/>
  <c r="CA3320" i="11"/>
  <c r="CA3319" i="11"/>
  <c r="CA3318" i="11"/>
  <c r="CA3317" i="11"/>
  <c r="CA3316" i="11"/>
  <c r="CA3315" i="11"/>
  <c r="CA3314" i="11"/>
  <c r="CA3313" i="11"/>
  <c r="CA3312" i="11"/>
  <c r="CA3311" i="11"/>
  <c r="CA3310" i="11"/>
  <c r="CA3239" i="11"/>
  <c r="CA3238" i="11"/>
  <c r="CA3237" i="11"/>
  <c r="CA3236" i="11"/>
  <c r="CA3235" i="11"/>
  <c r="CA3234" i="11"/>
  <c r="CA3233" i="11"/>
  <c r="CA3232" i="11"/>
  <c r="CA3231" i="11"/>
  <c r="CA3230" i="11"/>
  <c r="CA3229" i="11"/>
  <c r="CA3228" i="11"/>
  <c r="CA3227" i="11"/>
  <c r="CA3226" i="11"/>
  <c r="CA3225" i="11"/>
  <c r="CA3224" i="11"/>
  <c r="CA3223" i="11"/>
  <c r="CA3222" i="11"/>
  <c r="CA3221" i="11"/>
  <c r="CA3220" i="11"/>
  <c r="CA3219" i="11"/>
  <c r="CA3218" i="11"/>
  <c r="CA3217" i="11"/>
  <c r="CA3216" i="11"/>
  <c r="CA3215" i="11"/>
  <c r="CA3214" i="11"/>
  <c r="CA3213" i="11"/>
  <c r="CA3212" i="11"/>
  <c r="CA3211" i="11"/>
  <c r="CA3210" i="11"/>
  <c r="CA3139" i="11"/>
  <c r="CA3138" i="11"/>
  <c r="CA3137" i="11"/>
  <c r="CA3136" i="11"/>
  <c r="CA3135" i="11"/>
  <c r="CA3134" i="11"/>
  <c r="CA3133" i="11"/>
  <c r="CA3132" i="11"/>
  <c r="CA3131" i="11"/>
  <c r="CA3130" i="11"/>
  <c r="CA3129" i="11"/>
  <c r="CA3128" i="11"/>
  <c r="CA3127" i="11"/>
  <c r="CA3126" i="11"/>
  <c r="CA3125" i="11"/>
  <c r="CA3124" i="11"/>
  <c r="CA3123" i="11"/>
  <c r="CA3122" i="11"/>
  <c r="CA3121" i="11"/>
  <c r="CA3120" i="11"/>
  <c r="CA3119" i="11"/>
  <c r="CA3118" i="11"/>
  <c r="CA3117" i="11"/>
  <c r="CA3116" i="11"/>
  <c r="CA3115" i="11"/>
  <c r="CA3114" i="11"/>
  <c r="CA3113" i="11"/>
  <c r="CA3112" i="11"/>
  <c r="CA3111" i="11"/>
  <c r="CA3110" i="11"/>
  <c r="CA3039" i="11"/>
  <c r="CA3038" i="11"/>
  <c r="CA3037" i="11"/>
  <c r="CA3036" i="11"/>
  <c r="CA3035" i="11"/>
  <c r="CA3034" i="11"/>
  <c r="CA3033" i="11"/>
  <c r="CA3032" i="11"/>
  <c r="CA3031" i="11"/>
  <c r="CA3030" i="11"/>
  <c r="CA3029" i="11"/>
  <c r="CA3028" i="11"/>
  <c r="CA3027" i="11"/>
  <c r="CA3026" i="11"/>
  <c r="CA3025" i="11"/>
  <c r="CA3024" i="11"/>
  <c r="CA3023" i="11"/>
  <c r="CA3022" i="11"/>
  <c r="CA3021" i="11"/>
  <c r="CA3020" i="11"/>
  <c r="CA3019" i="11"/>
  <c r="CA3018" i="11"/>
  <c r="CA3017" i="11"/>
  <c r="CA3016" i="11"/>
  <c r="CA3015" i="11"/>
  <c r="CA3014" i="11"/>
  <c r="CA3013" i="11"/>
  <c r="CA3012" i="11"/>
  <c r="CA3011" i="11"/>
  <c r="CA3010" i="11"/>
  <c r="CA2939" i="11"/>
  <c r="CA2938" i="11"/>
  <c r="CA2937" i="11"/>
  <c r="CA2936" i="11"/>
  <c r="CA2935" i="11"/>
  <c r="CA2934" i="11"/>
  <c r="CA2933" i="11"/>
  <c r="CA2932" i="11"/>
  <c r="CA2931" i="11"/>
  <c r="CA2930" i="11"/>
  <c r="CA2929" i="11"/>
  <c r="CA2928" i="11"/>
  <c r="CA2927" i="11"/>
  <c r="CA2926" i="11"/>
  <c r="CA2925" i="11"/>
  <c r="CA2924" i="11"/>
  <c r="CA2923" i="11"/>
  <c r="CA2922" i="11"/>
  <c r="CA2921" i="11"/>
  <c r="CA2920" i="11"/>
  <c r="CA2919" i="11"/>
  <c r="CA2918" i="11"/>
  <c r="CA2917" i="11"/>
  <c r="CA2916" i="11"/>
  <c r="CA2915" i="11"/>
  <c r="CA2914" i="11"/>
  <c r="CA2913" i="11"/>
  <c r="CA2912" i="11"/>
  <c r="CA2911" i="11"/>
  <c r="CA2910" i="11"/>
  <c r="CA2839" i="11"/>
  <c r="CA2838" i="11"/>
  <c r="CA2837" i="11"/>
  <c r="CA2836" i="11"/>
  <c r="CA2835" i="11"/>
  <c r="CA2834" i="11"/>
  <c r="CA2833" i="11"/>
  <c r="CA2832" i="11"/>
  <c r="CA2831" i="11"/>
  <c r="CA2830" i="11"/>
  <c r="CA2829" i="11"/>
  <c r="CA2828" i="11"/>
  <c r="CA2827" i="11"/>
  <c r="CA2826" i="11"/>
  <c r="CA2825" i="11"/>
  <c r="CA2824" i="11"/>
  <c r="CA2823" i="11"/>
  <c r="CA2822" i="11"/>
  <c r="CA2821" i="11"/>
  <c r="CA2820" i="11"/>
  <c r="CA2819" i="11"/>
  <c r="CA2818" i="11"/>
  <c r="CA2817" i="11"/>
  <c r="CA2816" i="11"/>
  <c r="CA2815" i="11"/>
  <c r="CA2814" i="11"/>
  <c r="CA2813" i="11"/>
  <c r="CA2812" i="11"/>
  <c r="CA2811" i="11"/>
  <c r="CA2810" i="11"/>
  <c r="CA2739" i="11"/>
  <c r="CA2738" i="11"/>
  <c r="CA2737" i="11"/>
  <c r="CA2736" i="11"/>
  <c r="CA2735" i="11"/>
  <c r="CA2734" i="11"/>
  <c r="CA2733" i="11"/>
  <c r="CA2732" i="11"/>
  <c r="CA2731" i="11"/>
  <c r="CA2730" i="11"/>
  <c r="CA2729" i="11"/>
  <c r="CA2728" i="11"/>
  <c r="CA2727" i="11"/>
  <c r="CA2726" i="11"/>
  <c r="CA2725" i="11"/>
  <c r="CA2724" i="11"/>
  <c r="CA2723" i="11"/>
  <c r="CA2722" i="11"/>
  <c r="CA2721" i="11"/>
  <c r="CA2720" i="11"/>
  <c r="CA2719" i="11"/>
  <c r="CA2718" i="11"/>
  <c r="CA2717" i="11"/>
  <c r="CA2716" i="11"/>
  <c r="CA2715" i="11"/>
  <c r="CA2714" i="11"/>
  <c r="CA2713" i="11"/>
  <c r="CA2712" i="11"/>
  <c r="CA2711" i="11"/>
  <c r="CA2710" i="11"/>
  <c r="CA2639" i="11"/>
  <c r="CA2638" i="11"/>
  <c r="CA2637" i="11"/>
  <c r="CA2636" i="11"/>
  <c r="CA2635" i="11"/>
  <c r="CA2634" i="11"/>
  <c r="CA2633" i="11"/>
  <c r="CA2632" i="11"/>
  <c r="CA2631" i="11"/>
  <c r="CA2630" i="11"/>
  <c r="CA2629" i="11"/>
  <c r="CA2628" i="11"/>
  <c r="CA2627" i="11"/>
  <c r="CA2626" i="11"/>
  <c r="CA2625" i="11"/>
  <c r="CA2624" i="11"/>
  <c r="CA2623" i="11"/>
  <c r="CA2622" i="11"/>
  <c r="CA2621" i="11"/>
  <c r="CA2620" i="11"/>
  <c r="CA2619" i="11"/>
  <c r="CA2618" i="11"/>
  <c r="CA2617" i="11"/>
  <c r="CA2616" i="11"/>
  <c r="CA2615" i="11"/>
  <c r="CA2614" i="11"/>
  <c r="CA2613" i="11"/>
  <c r="CA2612" i="11"/>
  <c r="CA2611" i="11"/>
  <c r="CA2610" i="11"/>
  <c r="CA2539" i="11"/>
  <c r="CA2538" i="11"/>
  <c r="CA2537" i="11"/>
  <c r="CA2536" i="11"/>
  <c r="CA2535" i="11"/>
  <c r="CA2534" i="11"/>
  <c r="CA2533" i="11"/>
  <c r="CA2532" i="11"/>
  <c r="CA2531" i="11"/>
  <c r="CA2530" i="11"/>
  <c r="CA2529" i="11"/>
  <c r="CA2528" i="11"/>
  <c r="CA2527" i="11"/>
  <c r="CA2526" i="11"/>
  <c r="CA2525" i="11"/>
  <c r="CA2524" i="11"/>
  <c r="CA2523" i="11"/>
  <c r="CA2522" i="11"/>
  <c r="CA2521" i="11"/>
  <c r="CA2520" i="11"/>
  <c r="CA2519" i="11"/>
  <c r="CA2518" i="11"/>
  <c r="CA2517" i="11"/>
  <c r="CA2516" i="11"/>
  <c r="CA2515" i="11"/>
  <c r="CA2514" i="11"/>
  <c r="CA2513" i="11"/>
  <c r="CA2512" i="11"/>
  <c r="CA2511" i="11"/>
  <c r="CA2510" i="11"/>
  <c r="CA2439" i="11"/>
  <c r="CA2438" i="11"/>
  <c r="CA2437" i="11"/>
  <c r="CA2436" i="11"/>
  <c r="CA2435" i="11"/>
  <c r="CA2434" i="11"/>
  <c r="CA2433" i="11"/>
  <c r="CA2432" i="11"/>
  <c r="CA2431" i="11"/>
  <c r="CA2430" i="11"/>
  <c r="CA2429" i="11"/>
  <c r="CA2428" i="11"/>
  <c r="CA2427" i="11"/>
  <c r="CA2426" i="11"/>
  <c r="CA2425" i="11"/>
  <c r="CA2424" i="11"/>
  <c r="CA2423" i="11"/>
  <c r="CA2422" i="11"/>
  <c r="CA2421" i="11"/>
  <c r="CA2420" i="11"/>
  <c r="CA2419" i="11"/>
  <c r="CA2418" i="11"/>
  <c r="CA2417" i="11"/>
  <c r="CA2416" i="11"/>
  <c r="CA2415" i="11"/>
  <c r="CA2414" i="11"/>
  <c r="CA2413" i="11"/>
  <c r="CA2412" i="11"/>
  <c r="CA2411" i="11"/>
  <c r="CA2410" i="11"/>
  <c r="CA2339" i="11"/>
  <c r="CA2338" i="11"/>
  <c r="CA2337" i="11"/>
  <c r="CA2336" i="11"/>
  <c r="CA2335" i="11"/>
  <c r="CA2334" i="11"/>
  <c r="CA2333" i="11"/>
  <c r="CA2332" i="11"/>
  <c r="CA2331" i="11"/>
  <c r="CA2330" i="11"/>
  <c r="CA2329" i="11"/>
  <c r="CA2328" i="11"/>
  <c r="CA2327" i="11"/>
  <c r="CA2326" i="11"/>
  <c r="CA2325" i="11"/>
  <c r="CA2324" i="11"/>
  <c r="CA2323" i="11"/>
  <c r="CA2322" i="11"/>
  <c r="CA2321" i="11"/>
  <c r="CA2320" i="11"/>
  <c r="CA2319" i="11"/>
  <c r="CA2318" i="11"/>
  <c r="CA2317" i="11"/>
  <c r="CA2316" i="11"/>
  <c r="CA2315" i="11"/>
  <c r="CA2314" i="11"/>
  <c r="CA2313" i="11"/>
  <c r="CA2312" i="11"/>
  <c r="CA2311" i="11"/>
  <c r="CA2310" i="11"/>
  <c r="CA2239" i="11"/>
  <c r="CA2238" i="11"/>
  <c r="CA2237" i="11"/>
  <c r="CA2236" i="11"/>
  <c r="CA2235" i="11"/>
  <c r="CA2234" i="11"/>
  <c r="CA2233" i="11"/>
  <c r="CA2232" i="11"/>
  <c r="CA2231" i="11"/>
  <c r="CA2230" i="11"/>
  <c r="CA2229" i="11"/>
  <c r="CA2228" i="11"/>
  <c r="CA2227" i="11"/>
  <c r="CA2226" i="11"/>
  <c r="CA2225" i="11"/>
  <c r="CA2224" i="11"/>
  <c r="CA2223" i="11"/>
  <c r="CA2222" i="11"/>
  <c r="CA2221" i="11"/>
  <c r="CA2220" i="11"/>
  <c r="CA2219" i="11"/>
  <c r="CA2218" i="11"/>
  <c r="CA2217" i="11"/>
  <c r="CA2216" i="11"/>
  <c r="CA2215" i="11"/>
  <c r="CA2214" i="11"/>
  <c r="CA2213" i="11"/>
  <c r="CA2212" i="11"/>
  <c r="CA2211" i="11"/>
  <c r="CA2210" i="11"/>
  <c r="CA2139" i="11"/>
  <c r="CA2138" i="11"/>
  <c r="CA2137" i="11"/>
  <c r="CA2136" i="11"/>
  <c r="CA2135" i="11"/>
  <c r="CA2134" i="11"/>
  <c r="CA2133" i="11"/>
  <c r="CA2132" i="11"/>
  <c r="CA2131" i="11"/>
  <c r="CA2130" i="11"/>
  <c r="CA2129" i="11"/>
  <c r="CA2128" i="11"/>
  <c r="CA2127" i="11"/>
  <c r="CA2126" i="11"/>
  <c r="CA2125" i="11"/>
  <c r="CA2124" i="11"/>
  <c r="CA2123" i="11"/>
  <c r="CA2122" i="11"/>
  <c r="CA2121" i="11"/>
  <c r="CA2120" i="11"/>
  <c r="CA2119" i="11"/>
  <c r="CA2118" i="11"/>
  <c r="CA2117" i="11"/>
  <c r="CA2116" i="11"/>
  <c r="CA2115" i="11"/>
  <c r="CA2114" i="11"/>
  <c r="CA2113" i="11"/>
  <c r="CA2112" i="11"/>
  <c r="CA2111" i="11"/>
  <c r="CA2110" i="11"/>
  <c r="CA2039" i="11"/>
  <c r="CA2038" i="11"/>
  <c r="CA2037" i="11"/>
  <c r="CA2036" i="11"/>
  <c r="CA2035" i="11"/>
  <c r="CA2034" i="11"/>
  <c r="CA2033" i="11"/>
  <c r="CA2032" i="11"/>
  <c r="CA2031" i="11"/>
  <c r="CA2030" i="11"/>
  <c r="CA2029" i="11"/>
  <c r="CA2028" i="11"/>
  <c r="CA2027" i="11"/>
  <c r="CA2026" i="11"/>
  <c r="CA2025" i="11"/>
  <c r="CA2024" i="11"/>
  <c r="CA2023" i="11"/>
  <c r="CA2022" i="11"/>
  <c r="CA2021" i="11"/>
  <c r="CA2020" i="11"/>
  <c r="CA2019" i="11"/>
  <c r="CA2018" i="11"/>
  <c r="CA2017" i="11"/>
  <c r="CA2016" i="11"/>
  <c r="CA2015" i="11"/>
  <c r="CA2014" i="11"/>
  <c r="CA2013" i="11"/>
  <c r="CA2012" i="11"/>
  <c r="CA2011" i="11"/>
  <c r="CA2010" i="11"/>
  <c r="CA1939" i="11"/>
  <c r="CA1938" i="11"/>
  <c r="CA1937" i="11"/>
  <c r="CA1936" i="11"/>
  <c r="CA1935" i="11"/>
  <c r="CA1934" i="11"/>
  <c r="CA1933" i="11"/>
  <c r="CA1932" i="11"/>
  <c r="CA1931" i="11"/>
  <c r="CA1930" i="11"/>
  <c r="CA1929" i="11"/>
  <c r="CA1928" i="11"/>
  <c r="CA1927" i="11"/>
  <c r="CA1926" i="11"/>
  <c r="CA1925" i="11"/>
  <c r="CA1924" i="11"/>
  <c r="CA1923" i="11"/>
  <c r="CA1922" i="11"/>
  <c r="CA1921" i="11"/>
  <c r="CA1920" i="11"/>
  <c r="CA1919" i="11"/>
  <c r="CA1918" i="11"/>
  <c r="CA1917" i="11"/>
  <c r="CA1916" i="11"/>
  <c r="CA1915" i="11"/>
  <c r="CA1914" i="11"/>
  <c r="CA1913" i="11"/>
  <c r="CA1912" i="11"/>
  <c r="CA1911" i="11"/>
  <c r="CA1910" i="11"/>
  <c r="CA1839" i="11"/>
  <c r="CA1838" i="11"/>
  <c r="CA1837" i="11"/>
  <c r="CA1836" i="11"/>
  <c r="CA1835" i="11"/>
  <c r="CA1834" i="11"/>
  <c r="CA1833" i="11"/>
  <c r="CA1832" i="11"/>
  <c r="CA1831" i="11"/>
  <c r="CA1830" i="11"/>
  <c r="CA1829" i="11"/>
  <c r="CA1828" i="11"/>
  <c r="CA1827" i="11"/>
  <c r="CA1826" i="11"/>
  <c r="CA1825" i="11"/>
  <c r="CA1824" i="11"/>
  <c r="CA1823" i="11"/>
  <c r="CA1822" i="11"/>
  <c r="CA1821" i="11"/>
  <c r="CA1820" i="11"/>
  <c r="CA1819" i="11"/>
  <c r="CA1818" i="11"/>
  <c r="CA1817" i="11"/>
  <c r="CA1816" i="11"/>
  <c r="CA1815" i="11"/>
  <c r="CA1814" i="11"/>
  <c r="CA1813" i="11"/>
  <c r="CA1812" i="11"/>
  <c r="CA1811" i="11"/>
  <c r="CA1810" i="11"/>
  <c r="CA1739" i="11"/>
  <c r="CA1738" i="11"/>
  <c r="CA1737" i="11"/>
  <c r="CA1736" i="11"/>
  <c r="CA1735" i="11"/>
  <c r="CA1734" i="11"/>
  <c r="CA1733" i="11"/>
  <c r="CA1732" i="11"/>
  <c r="CA1731" i="11"/>
  <c r="CA1730" i="11"/>
  <c r="CA1729" i="11"/>
  <c r="CA1728" i="11"/>
  <c r="CA1727" i="11"/>
  <c r="CA1726" i="11"/>
  <c r="CA1725" i="11"/>
  <c r="CA1724" i="11"/>
  <c r="CA1723" i="11"/>
  <c r="CA1722" i="11"/>
  <c r="CA1721" i="11"/>
  <c r="CA1720" i="11"/>
  <c r="CA1719" i="11"/>
  <c r="CA1718" i="11"/>
  <c r="CA1717" i="11"/>
  <c r="CA1716" i="11"/>
  <c r="CA1715" i="11"/>
  <c r="CA1714" i="11"/>
  <c r="CA1713" i="11"/>
  <c r="CA1712" i="11"/>
  <c r="CA1711" i="11"/>
  <c r="CA1710" i="11"/>
  <c r="CA1639" i="11"/>
  <c r="CA1638" i="11"/>
  <c r="CA1637" i="11"/>
  <c r="CA1636" i="11"/>
  <c r="CA1635" i="11"/>
  <c r="CA1634" i="11"/>
  <c r="CA1633" i="11"/>
  <c r="CA1632" i="11"/>
  <c r="CA1631" i="11"/>
  <c r="CA1630" i="11"/>
  <c r="CA1629" i="11"/>
  <c r="CA1628" i="11"/>
  <c r="CA1627" i="11"/>
  <c r="CA1626" i="11"/>
  <c r="CA1625" i="11"/>
  <c r="CA1624" i="11"/>
  <c r="CA1623" i="11"/>
  <c r="CA1622" i="11"/>
  <c r="CA1621" i="11"/>
  <c r="CA1620" i="11"/>
  <c r="CA1619" i="11"/>
  <c r="CA1618" i="11"/>
  <c r="CA1617" i="11"/>
  <c r="CA1616" i="11"/>
  <c r="CA1615" i="11"/>
  <c r="CA1614" i="11"/>
  <c r="CA1613" i="11"/>
  <c r="CA1612" i="11"/>
  <c r="CA1611" i="11"/>
  <c r="CA1610" i="11"/>
  <c r="CA1539" i="11"/>
  <c r="CA1538" i="11"/>
  <c r="CA1537" i="11"/>
  <c r="CA1536" i="11"/>
  <c r="CA1535" i="11"/>
  <c r="CA1534" i="11"/>
  <c r="CA1533" i="11"/>
  <c r="CA1532" i="11"/>
  <c r="CA1531" i="11"/>
  <c r="CA1530" i="11"/>
  <c r="CA1529" i="11"/>
  <c r="CA1528" i="11"/>
  <c r="CA1527" i="11"/>
  <c r="CA1526" i="11"/>
  <c r="CA1525" i="11"/>
  <c r="CA1524" i="11"/>
  <c r="CA1523" i="11"/>
  <c r="CA1522" i="11"/>
  <c r="CA1521" i="11"/>
  <c r="CA1520" i="11"/>
  <c r="CA1519" i="11"/>
  <c r="CA1518" i="11"/>
  <c r="CA1517" i="11"/>
  <c r="CA1516" i="11"/>
  <c r="CA1515" i="11"/>
  <c r="CA1514" i="11"/>
  <c r="CA1513" i="11"/>
  <c r="CA1512" i="11"/>
  <c r="CA1511" i="11"/>
  <c r="CA1510" i="11"/>
  <c r="CA1439" i="11"/>
  <c r="CA1438" i="11"/>
  <c r="CA1437" i="11"/>
  <c r="CA1436" i="11"/>
  <c r="CA1435" i="11"/>
  <c r="CA1434" i="11"/>
  <c r="CA1433" i="11"/>
  <c r="CA1432" i="11"/>
  <c r="CA1431" i="11"/>
  <c r="CA1430" i="11"/>
  <c r="CA1429" i="11"/>
  <c r="CA1428" i="11"/>
  <c r="CA1427" i="11"/>
  <c r="CA1426" i="11"/>
  <c r="CA1425" i="11"/>
  <c r="CA1424" i="11"/>
  <c r="CA1423" i="11"/>
  <c r="CA1422" i="11"/>
  <c r="CA1421" i="11"/>
  <c r="CA1420" i="11"/>
  <c r="CA1419" i="11"/>
  <c r="CA1418" i="11"/>
  <c r="CA1417" i="11"/>
  <c r="CA1416" i="11"/>
  <c r="CA1415" i="11"/>
  <c r="CA1414" i="11"/>
  <c r="CA1413" i="11"/>
  <c r="CA1412" i="11"/>
  <c r="CA1411" i="11"/>
  <c r="CA1410" i="11"/>
  <c r="CA1339" i="11"/>
  <c r="CA1338" i="11"/>
  <c r="CA1337" i="11"/>
  <c r="CA1336" i="11"/>
  <c r="CA1335" i="11"/>
  <c r="CA1334" i="11"/>
  <c r="CA1333" i="11"/>
  <c r="CA1332" i="11"/>
  <c r="CA1331" i="11"/>
  <c r="CA1330" i="11"/>
  <c r="CA1329" i="11"/>
  <c r="CA1328" i="11"/>
  <c r="CA1327" i="11"/>
  <c r="CA1326" i="11"/>
  <c r="CA1325" i="11"/>
  <c r="CA1324" i="11"/>
  <c r="CA1323" i="11"/>
  <c r="CA1322" i="11"/>
  <c r="CA1321" i="11"/>
  <c r="CA1320" i="11"/>
  <c r="CA1319" i="11"/>
  <c r="CA1318" i="11"/>
  <c r="CA1317" i="11"/>
  <c r="CA1316" i="11"/>
  <c r="CA1315" i="11"/>
  <c r="CA1314" i="11"/>
  <c r="CA1313" i="11"/>
  <c r="CA1312" i="11"/>
  <c r="CA1311" i="11"/>
  <c r="CA1310" i="11"/>
  <c r="CA1239" i="11"/>
  <c r="CA1238" i="11"/>
  <c r="CA1237" i="11"/>
  <c r="CA1236" i="11"/>
  <c r="CA1235" i="11"/>
  <c r="CA1234" i="11"/>
  <c r="CA1233" i="11"/>
  <c r="CA1232" i="11"/>
  <c r="CA1231" i="11"/>
  <c r="CA1230" i="11"/>
  <c r="CA1229" i="11"/>
  <c r="CA1228" i="11"/>
  <c r="CA1227" i="11"/>
  <c r="CA1226" i="11"/>
  <c r="CA1225" i="11"/>
  <c r="CA1224" i="11"/>
  <c r="CA1223" i="11"/>
  <c r="CA1222" i="11"/>
  <c r="CA1221" i="11"/>
  <c r="CA1220" i="11"/>
  <c r="CA1219" i="11"/>
  <c r="CA1218" i="11"/>
  <c r="CA1217" i="11"/>
  <c r="CA1216" i="11"/>
  <c r="CA1215" i="11"/>
  <c r="CA1214" i="11"/>
  <c r="CA1213" i="11"/>
  <c r="CA1212" i="11"/>
  <c r="CA1211" i="11"/>
  <c r="CA1210" i="11"/>
  <c r="CA1139" i="11"/>
  <c r="CA1138" i="11"/>
  <c r="CA1137" i="11"/>
  <c r="CA1136" i="11"/>
  <c r="CA1135" i="11"/>
  <c r="CA1134" i="11"/>
  <c r="CA1133" i="11"/>
  <c r="CA1132" i="11"/>
  <c r="CA1131" i="11"/>
  <c r="CA1130" i="11"/>
  <c r="CA1129" i="11"/>
  <c r="CA1128" i="11"/>
  <c r="CA1127" i="11"/>
  <c r="CA1126" i="11"/>
  <c r="CA1125" i="11"/>
  <c r="CA1124" i="11"/>
  <c r="CA1123" i="11"/>
  <c r="CA1122" i="11"/>
  <c r="CA1121" i="11"/>
  <c r="CA1120" i="11"/>
  <c r="CA1119" i="11"/>
  <c r="CA1118" i="11"/>
  <c r="CA1117" i="11"/>
  <c r="CA1116" i="11"/>
  <c r="CA1115" i="11"/>
  <c r="CA1114" i="11"/>
  <c r="CA1113" i="11"/>
  <c r="CA1112" i="11"/>
  <c r="CA1111" i="11"/>
  <c r="CA1110" i="11"/>
  <c r="CA1039" i="11"/>
  <c r="CA1038" i="11"/>
  <c r="CA1037" i="11"/>
  <c r="CA1036" i="11"/>
  <c r="CA1035" i="11"/>
  <c r="CA1034" i="11"/>
  <c r="CA1033" i="11"/>
  <c r="CA1032" i="11"/>
  <c r="CA1031" i="11"/>
  <c r="CA1030" i="11"/>
  <c r="CA1029" i="11"/>
  <c r="CA1028" i="11"/>
  <c r="CA1027" i="11"/>
  <c r="CA1026" i="11"/>
  <c r="CA1025" i="11"/>
  <c r="CA1024" i="11"/>
  <c r="CA1023" i="11"/>
  <c r="CA1022" i="11"/>
  <c r="CA1021" i="11"/>
  <c r="CA1020" i="11"/>
  <c r="CA1019" i="11"/>
  <c r="CA1018" i="11"/>
  <c r="CA1017" i="11"/>
  <c r="CA1016" i="11"/>
  <c r="CA1015" i="11"/>
  <c r="CA1014" i="11"/>
  <c r="CA1013" i="11"/>
  <c r="CA1012" i="11"/>
  <c r="CA1011" i="11"/>
  <c r="CA1010" i="11"/>
  <c r="CA939" i="11"/>
  <c r="CA938" i="11"/>
  <c r="CA937" i="11"/>
  <c r="CA936" i="11"/>
  <c r="CA935" i="11"/>
  <c r="CA934" i="11"/>
  <c r="CA933" i="11"/>
  <c r="CA932" i="11"/>
  <c r="CA931" i="11"/>
  <c r="CA930" i="11"/>
  <c r="CA929" i="11"/>
  <c r="CA928" i="11"/>
  <c r="CA927" i="11"/>
  <c r="CA926" i="11"/>
  <c r="CA925" i="11"/>
  <c r="CA924" i="11"/>
  <c r="CA923" i="11"/>
  <c r="CA922" i="11"/>
  <c r="CA921" i="11"/>
  <c r="CA920" i="11"/>
  <c r="CA919" i="11"/>
  <c r="CA918" i="11"/>
  <c r="CA917" i="11"/>
  <c r="CA916" i="11"/>
  <c r="CA915" i="11"/>
  <c r="CA914" i="11"/>
  <c r="CA913" i="11"/>
  <c r="CA912" i="11"/>
  <c r="CA911" i="11"/>
  <c r="CA910" i="11"/>
  <c r="CA839" i="11"/>
  <c r="CA838" i="11"/>
  <c r="CA837" i="11"/>
  <c r="CA836" i="11"/>
  <c r="CA835" i="11"/>
  <c r="CA834" i="11"/>
  <c r="CA833" i="11"/>
  <c r="CA832" i="11"/>
  <c r="CA831" i="11"/>
  <c r="CA830" i="11"/>
  <c r="CA829" i="11"/>
  <c r="CA828" i="11"/>
  <c r="CA827" i="11"/>
  <c r="CA826" i="11"/>
  <c r="CA825" i="11"/>
  <c r="CA824" i="11"/>
  <c r="CA823" i="11"/>
  <c r="CA822" i="11"/>
  <c r="CA821" i="11"/>
  <c r="CA820" i="11"/>
  <c r="CA819" i="11"/>
  <c r="CA818" i="11"/>
  <c r="CA817" i="11"/>
  <c r="CA816" i="11"/>
  <c r="CA815" i="11"/>
  <c r="CA814" i="11"/>
  <c r="CA813" i="11"/>
  <c r="CA812" i="11"/>
  <c r="CA811" i="11"/>
  <c r="CA810" i="11"/>
  <c r="CA739" i="11"/>
  <c r="CA738" i="11"/>
  <c r="CA737" i="11"/>
  <c r="CA736" i="11"/>
  <c r="CA735" i="11"/>
  <c r="CA734" i="11"/>
  <c r="CA733" i="11"/>
  <c r="CA732" i="11"/>
  <c r="CA731" i="11"/>
  <c r="CA730" i="11"/>
  <c r="CA729" i="11"/>
  <c r="CA728" i="11"/>
  <c r="CA727" i="11"/>
  <c r="CA726" i="11"/>
  <c r="CA725" i="11"/>
  <c r="CA724" i="11"/>
  <c r="CA723" i="11"/>
  <c r="CA722" i="11"/>
  <c r="CA721" i="11"/>
  <c r="CA720" i="11"/>
  <c r="CA719" i="11"/>
  <c r="CA718" i="11"/>
  <c r="CA717" i="11"/>
  <c r="CA716" i="11"/>
  <c r="CA715" i="11"/>
  <c r="CA714" i="11"/>
  <c r="CA713" i="11"/>
  <c r="CA712" i="11"/>
  <c r="CA711" i="11"/>
  <c r="CA710" i="11"/>
  <c r="CA639" i="11"/>
  <c r="CA638" i="11"/>
  <c r="CA637" i="11"/>
  <c r="CA636" i="11"/>
  <c r="CA635" i="11"/>
  <c r="CA634" i="11"/>
  <c r="CA633" i="11"/>
  <c r="CA632" i="11"/>
  <c r="CA631" i="11"/>
  <c r="CA630" i="11"/>
  <c r="CA629" i="11"/>
  <c r="CA628" i="11"/>
  <c r="CA627" i="11"/>
  <c r="CA626" i="11"/>
  <c r="CA625" i="11"/>
  <c r="CA624" i="11"/>
  <c r="CA623" i="11"/>
  <c r="CA622" i="11"/>
  <c r="CA621" i="11"/>
  <c r="CA620" i="11"/>
  <c r="CA619" i="11"/>
  <c r="CA618" i="11"/>
  <c r="CA617" i="11"/>
  <c r="CA616" i="11"/>
  <c r="CA615" i="11"/>
  <c r="CA614" i="11"/>
  <c r="CA613" i="11"/>
  <c r="CA612" i="11"/>
  <c r="CA611" i="11"/>
  <c r="CA610" i="11"/>
  <c r="DB130" i="11"/>
  <c r="DB352" i="11" s="1"/>
  <c r="DB351" i="11"/>
  <c r="DB350" i="11"/>
  <c r="DB349" i="11"/>
  <c r="DC23" i="11"/>
  <c r="DC22" i="11"/>
  <c r="DC21" i="11"/>
  <c r="DC20" i="11"/>
  <c r="DC16" i="11"/>
  <c r="DB16" i="11"/>
  <c r="DC15" i="11"/>
  <c r="DB15" i="11"/>
  <c r="DC14" i="11"/>
  <c r="DB14" i="11"/>
  <c r="DC13" i="11"/>
  <c r="DB13" i="11"/>
  <c r="DC12" i="11"/>
  <c r="DB12" i="11"/>
  <c r="DB11" i="11"/>
  <c r="CE501" i="11"/>
  <c r="CC355" i="11"/>
  <c r="CB355" i="11"/>
  <c r="CB356" i="11"/>
  <c r="CC356" i="11" s="1"/>
  <c r="D42" i="11"/>
  <c r="C93" i="19"/>
  <c r="CD152" i="11"/>
  <c r="CC23" i="11"/>
  <c r="CC21" i="11"/>
  <c r="CC20" i="11"/>
  <c r="CC16" i="11"/>
  <c r="CB16" i="11"/>
  <c r="CC15" i="11"/>
  <c r="CB15" i="11"/>
  <c r="CC14" i="11"/>
  <c r="CB14" i="11"/>
  <c r="CC13" i="11"/>
  <c r="CB13" i="11"/>
  <c r="CC12" i="11"/>
  <c r="CB12" i="11"/>
  <c r="CB11" i="11"/>
  <c r="BC15" i="11"/>
  <c r="BC14" i="11"/>
  <c r="BC13" i="11"/>
  <c r="BC12" i="11"/>
  <c r="BC16" i="11"/>
  <c r="BB16" i="11"/>
  <c r="BB15" i="11"/>
  <c r="BB14" i="11"/>
  <c r="BB13" i="11"/>
  <c r="BB11" i="11"/>
  <c r="BE501" i="11"/>
  <c r="BA3439" i="11"/>
  <c r="BA3438" i="11"/>
  <c r="BA3437" i="11"/>
  <c r="BA3436" i="11"/>
  <c r="BA3435" i="11"/>
  <c r="BA3434" i="11"/>
  <c r="BA3433" i="11"/>
  <c r="BA3432" i="11"/>
  <c r="BA3431" i="11"/>
  <c r="BA3430" i="11"/>
  <c r="BA3429" i="11"/>
  <c r="BA3428" i="11"/>
  <c r="BA3427" i="11"/>
  <c r="BA3426" i="11"/>
  <c r="BA3425" i="11"/>
  <c r="BA3424" i="11"/>
  <c r="BA3423" i="11"/>
  <c r="BA3422" i="11"/>
  <c r="BA3421" i="11"/>
  <c r="BA3420" i="11"/>
  <c r="BA3419" i="11"/>
  <c r="BA3418" i="11"/>
  <c r="BA3417" i="11"/>
  <c r="BA3416" i="11"/>
  <c r="BA3415" i="11"/>
  <c r="BA3414" i="11"/>
  <c r="BA3413" i="11"/>
  <c r="BA3412" i="11"/>
  <c r="BA3411" i="11"/>
  <c r="BA3410" i="11"/>
  <c r="BA3339" i="11"/>
  <c r="BA3338" i="11"/>
  <c r="BA3337" i="11"/>
  <c r="BA3336" i="11"/>
  <c r="BA3335" i="11"/>
  <c r="BA3334" i="11"/>
  <c r="BA3333" i="11"/>
  <c r="BA3332" i="11"/>
  <c r="BA3331" i="11"/>
  <c r="BA3330" i="11"/>
  <c r="BA3329" i="11"/>
  <c r="BA3328" i="11"/>
  <c r="BA3327" i="11"/>
  <c r="BA3326" i="11"/>
  <c r="BA3325" i="11"/>
  <c r="BA3324" i="11"/>
  <c r="BA3323" i="11"/>
  <c r="BA3322" i="11"/>
  <c r="BA3321" i="11"/>
  <c r="BA3320" i="11"/>
  <c r="BA3319" i="11"/>
  <c r="BA3318" i="11"/>
  <c r="BA3317" i="11"/>
  <c r="BA3316" i="11"/>
  <c r="BA3315" i="11"/>
  <c r="BA3314" i="11"/>
  <c r="BA3313" i="11"/>
  <c r="BA3312" i="11"/>
  <c r="BA3311" i="11"/>
  <c r="BA3310" i="11"/>
  <c r="BA3239" i="11"/>
  <c r="BA3238" i="11"/>
  <c r="BA3237" i="11"/>
  <c r="BA3236" i="11"/>
  <c r="BA3235" i="11"/>
  <c r="BA3234" i="11"/>
  <c r="BA3233" i="11"/>
  <c r="BA3232" i="11"/>
  <c r="BA3231" i="11"/>
  <c r="BA3230" i="11"/>
  <c r="BA3229" i="11"/>
  <c r="BA3228" i="11"/>
  <c r="BA3227" i="11"/>
  <c r="BA3226" i="11"/>
  <c r="BA3225" i="11"/>
  <c r="BA3224" i="11"/>
  <c r="BA3223" i="11"/>
  <c r="BA3222" i="11"/>
  <c r="BA3221" i="11"/>
  <c r="BA3220" i="11"/>
  <c r="BA3219" i="11"/>
  <c r="BA3218" i="11"/>
  <c r="BA3217" i="11"/>
  <c r="BA3216" i="11"/>
  <c r="BA3215" i="11"/>
  <c r="BA3214" i="11"/>
  <c r="BA3213" i="11"/>
  <c r="BA3212" i="11"/>
  <c r="BA3211" i="11"/>
  <c r="BA3210" i="11"/>
  <c r="BA3139" i="11"/>
  <c r="BA3138" i="11"/>
  <c r="BA3137" i="11"/>
  <c r="BA3136" i="11"/>
  <c r="BA3135" i="11"/>
  <c r="BA3134" i="11"/>
  <c r="BA3133" i="11"/>
  <c r="BA3132" i="11"/>
  <c r="BA3131" i="11"/>
  <c r="BA3130" i="11"/>
  <c r="BA3129" i="11"/>
  <c r="BA3128" i="11"/>
  <c r="BA3127" i="11"/>
  <c r="BA3126" i="11"/>
  <c r="BA3125" i="11"/>
  <c r="BA3124" i="11"/>
  <c r="BA3123" i="11"/>
  <c r="BA3122" i="11"/>
  <c r="BA3121" i="11"/>
  <c r="BA3120" i="11"/>
  <c r="BA3119" i="11"/>
  <c r="BA3118" i="11"/>
  <c r="BA3117" i="11"/>
  <c r="BA3116" i="11"/>
  <c r="BA3115" i="11"/>
  <c r="BA3114" i="11"/>
  <c r="BA3113" i="11"/>
  <c r="BA3112" i="11"/>
  <c r="BA3111" i="11"/>
  <c r="BA3110" i="11"/>
  <c r="BA3039" i="11"/>
  <c r="BA3038" i="11"/>
  <c r="BA3037" i="11"/>
  <c r="BA3036" i="11"/>
  <c r="BA3035" i="11"/>
  <c r="BA3034" i="11"/>
  <c r="BA3033" i="11"/>
  <c r="BA3032" i="11"/>
  <c r="BA3031" i="11"/>
  <c r="BA3030" i="11"/>
  <c r="BA3029" i="11"/>
  <c r="BA3028" i="11"/>
  <c r="BA3027" i="11"/>
  <c r="BA3026" i="11"/>
  <c r="BA3025" i="11"/>
  <c r="BA3024" i="11"/>
  <c r="BA3023" i="11"/>
  <c r="BA3022" i="11"/>
  <c r="BA3021" i="11"/>
  <c r="BA3020" i="11"/>
  <c r="BA3019" i="11"/>
  <c r="BA3018" i="11"/>
  <c r="BA3017" i="11"/>
  <c r="BA3016" i="11"/>
  <c r="BA3015" i="11"/>
  <c r="BA3014" i="11"/>
  <c r="BA3013" i="11"/>
  <c r="BA3012" i="11"/>
  <c r="BA3011" i="11"/>
  <c r="BA3010" i="11"/>
  <c r="BA2939" i="11"/>
  <c r="BA2938" i="11"/>
  <c r="BA2937" i="11"/>
  <c r="BA2936" i="11"/>
  <c r="BA2935" i="11"/>
  <c r="BA2934" i="11"/>
  <c r="BA2933" i="11"/>
  <c r="BA2932" i="11"/>
  <c r="BA2931" i="11"/>
  <c r="BA2930" i="11"/>
  <c r="BA2929" i="11"/>
  <c r="BA2928" i="11"/>
  <c r="BA2927" i="11"/>
  <c r="BA2926" i="11"/>
  <c r="BA2925" i="11"/>
  <c r="BA2924" i="11"/>
  <c r="BA2923" i="11"/>
  <c r="BA2922" i="11"/>
  <c r="BA2921" i="11"/>
  <c r="BA2920" i="11"/>
  <c r="BA2919" i="11"/>
  <c r="BA2918" i="11"/>
  <c r="BA2917" i="11"/>
  <c r="BA2916" i="11"/>
  <c r="BA2915" i="11"/>
  <c r="BA2914" i="11"/>
  <c r="BA2913" i="11"/>
  <c r="BA2912" i="11"/>
  <c r="BA2911" i="11"/>
  <c r="BA2910" i="11"/>
  <c r="BA2839" i="11"/>
  <c r="BA2838" i="11"/>
  <c r="BA2837" i="11"/>
  <c r="BA2836" i="11"/>
  <c r="BA2835" i="11"/>
  <c r="BA2834" i="11"/>
  <c r="BA2833" i="11"/>
  <c r="BA2832" i="11"/>
  <c r="BA2831" i="11"/>
  <c r="BA2830" i="11"/>
  <c r="BA2829" i="11"/>
  <c r="BA2828" i="11"/>
  <c r="BA2827" i="11"/>
  <c r="BA2826" i="11"/>
  <c r="BA2825" i="11"/>
  <c r="BA2824" i="11"/>
  <c r="BA2823" i="11"/>
  <c r="BA2822" i="11"/>
  <c r="BA2821" i="11"/>
  <c r="BA2820" i="11"/>
  <c r="BA2819" i="11"/>
  <c r="BA2818" i="11"/>
  <c r="BA2817" i="11"/>
  <c r="BA2816" i="11"/>
  <c r="BA2815" i="11"/>
  <c r="BA2814" i="11"/>
  <c r="BA2813" i="11"/>
  <c r="BA2812" i="11"/>
  <c r="BA2811" i="11"/>
  <c r="BA2810" i="11"/>
  <c r="BA2739" i="11"/>
  <c r="BA2738" i="11"/>
  <c r="BA2737" i="11"/>
  <c r="BA2736" i="11"/>
  <c r="BA2735" i="11"/>
  <c r="BA2734" i="11"/>
  <c r="BA2733" i="11"/>
  <c r="BA2732" i="11"/>
  <c r="BA2731" i="11"/>
  <c r="BA2730" i="11"/>
  <c r="BA2729" i="11"/>
  <c r="BA2728" i="11"/>
  <c r="BA2727" i="11"/>
  <c r="BA2726" i="11"/>
  <c r="BA2725" i="11"/>
  <c r="BA2724" i="11"/>
  <c r="BA2723" i="11"/>
  <c r="BA2722" i="11"/>
  <c r="BA2721" i="11"/>
  <c r="BA2720" i="11"/>
  <c r="BA2719" i="11"/>
  <c r="BA2718" i="11"/>
  <c r="BA2717" i="11"/>
  <c r="BA2716" i="11"/>
  <c r="BA2715" i="11"/>
  <c r="BA2714" i="11"/>
  <c r="BA2713" i="11"/>
  <c r="BA2712" i="11"/>
  <c r="BA2711" i="11"/>
  <c r="BA2710" i="11"/>
  <c r="BA2639" i="11"/>
  <c r="BA2638" i="11"/>
  <c r="BA2637" i="11"/>
  <c r="BA2636" i="11"/>
  <c r="BA2635" i="11"/>
  <c r="BA2634" i="11"/>
  <c r="BA2633" i="11"/>
  <c r="BA2632" i="11"/>
  <c r="BA2631" i="11"/>
  <c r="BA2630" i="11"/>
  <c r="BA2629" i="11"/>
  <c r="BA2628" i="11"/>
  <c r="BA2627" i="11"/>
  <c r="BA2626" i="11"/>
  <c r="BA2625" i="11"/>
  <c r="BA2624" i="11"/>
  <c r="BA2623" i="11"/>
  <c r="BA2622" i="11"/>
  <c r="BA2621" i="11"/>
  <c r="BA2620" i="11"/>
  <c r="BA2619" i="11"/>
  <c r="BA2618" i="11"/>
  <c r="BA2617" i="11"/>
  <c r="BA2616" i="11"/>
  <c r="BA2615" i="11"/>
  <c r="BA2614" i="11"/>
  <c r="BA2613" i="11"/>
  <c r="BA2612" i="11"/>
  <c r="BA2611" i="11"/>
  <c r="BA2610" i="11"/>
  <c r="BA2539" i="11"/>
  <c r="BA2538" i="11"/>
  <c r="BA2537" i="11"/>
  <c r="BA2536" i="11"/>
  <c r="BA2535" i="11"/>
  <c r="BA2534" i="11"/>
  <c r="BA2533" i="11"/>
  <c r="BA2532" i="11"/>
  <c r="BA2531" i="11"/>
  <c r="BA2530" i="11"/>
  <c r="BA2529" i="11"/>
  <c r="BA2528" i="11"/>
  <c r="BA2527" i="11"/>
  <c r="BA2526" i="11"/>
  <c r="BA2525" i="11"/>
  <c r="BA2524" i="11"/>
  <c r="BA2523" i="11"/>
  <c r="BA2522" i="11"/>
  <c r="BA2521" i="11"/>
  <c r="BA2520" i="11"/>
  <c r="BA2519" i="11"/>
  <c r="BA2518" i="11"/>
  <c r="BA2517" i="11"/>
  <c r="BA2516" i="11"/>
  <c r="BA2515" i="11"/>
  <c r="BA2514" i="11"/>
  <c r="BA2513" i="11"/>
  <c r="BA2512" i="11"/>
  <c r="BA2511" i="11"/>
  <c r="BA2510" i="11"/>
  <c r="BA2439" i="11"/>
  <c r="BA2438" i="11"/>
  <c r="BA2437" i="11"/>
  <c r="BA2436" i="11"/>
  <c r="BA2435" i="11"/>
  <c r="BA2434" i="11"/>
  <c r="BA2433" i="11"/>
  <c r="BA2432" i="11"/>
  <c r="BA2431" i="11"/>
  <c r="BA2430" i="11"/>
  <c r="BA2429" i="11"/>
  <c r="BA2428" i="11"/>
  <c r="BA2427" i="11"/>
  <c r="BA2426" i="11"/>
  <c r="BA2425" i="11"/>
  <c r="BA2424" i="11"/>
  <c r="BA2423" i="11"/>
  <c r="BA2422" i="11"/>
  <c r="BA2421" i="11"/>
  <c r="BA2420" i="11"/>
  <c r="BA2419" i="11"/>
  <c r="BA2418" i="11"/>
  <c r="BA2417" i="11"/>
  <c r="BA2416" i="11"/>
  <c r="BA2415" i="11"/>
  <c r="BA2414" i="11"/>
  <c r="BA2413" i="11"/>
  <c r="BA2412" i="11"/>
  <c r="BA2411" i="11"/>
  <c r="BA2410" i="11"/>
  <c r="BA2339" i="11"/>
  <c r="BA2338" i="11"/>
  <c r="BA2337" i="11"/>
  <c r="BA2336" i="11"/>
  <c r="BA2335" i="11"/>
  <c r="BA2334" i="11"/>
  <c r="BA2333" i="11"/>
  <c r="BA2332" i="11"/>
  <c r="BA2331" i="11"/>
  <c r="BA2330" i="11"/>
  <c r="BA2329" i="11"/>
  <c r="BA2328" i="11"/>
  <c r="BA2327" i="11"/>
  <c r="BA2326" i="11"/>
  <c r="BA2325" i="11"/>
  <c r="BA2324" i="11"/>
  <c r="BA2323" i="11"/>
  <c r="BA2322" i="11"/>
  <c r="BA2321" i="11"/>
  <c r="BA2320" i="11"/>
  <c r="BA2319" i="11"/>
  <c r="BA2318" i="11"/>
  <c r="BA2317" i="11"/>
  <c r="BA2316" i="11"/>
  <c r="BA2315" i="11"/>
  <c r="BA2314" i="11"/>
  <c r="BA2313" i="11"/>
  <c r="BA2312" i="11"/>
  <c r="BA2311" i="11"/>
  <c r="BA2310" i="11"/>
  <c r="BA2239" i="11"/>
  <c r="BA2238" i="11"/>
  <c r="BA2237" i="11"/>
  <c r="BA2236" i="11"/>
  <c r="BA2235" i="11"/>
  <c r="BA2234" i="11"/>
  <c r="BA2233" i="11"/>
  <c r="BA2232" i="11"/>
  <c r="BA2231" i="11"/>
  <c r="BA2230" i="11"/>
  <c r="BA2229" i="11"/>
  <c r="BA2228" i="11"/>
  <c r="BA2227" i="11"/>
  <c r="BA2226" i="11"/>
  <c r="BA2225" i="11"/>
  <c r="BA2224" i="11"/>
  <c r="BA2223" i="11"/>
  <c r="BA2222" i="11"/>
  <c r="BA2221" i="11"/>
  <c r="BA2220" i="11"/>
  <c r="BA2219" i="11"/>
  <c r="BA2218" i="11"/>
  <c r="BA2217" i="11"/>
  <c r="BA2216" i="11"/>
  <c r="BA2215" i="11"/>
  <c r="BA2214" i="11"/>
  <c r="BA2213" i="11"/>
  <c r="BA2212" i="11"/>
  <c r="BA2211" i="11"/>
  <c r="BA2210" i="11"/>
  <c r="BA2139" i="11"/>
  <c r="BA2138" i="11"/>
  <c r="BA2137" i="11"/>
  <c r="BA2136" i="11"/>
  <c r="BA2135" i="11"/>
  <c r="BA2134" i="11"/>
  <c r="BA2133" i="11"/>
  <c r="BA2132" i="11"/>
  <c r="BA2131" i="11"/>
  <c r="BA2130" i="11"/>
  <c r="BA2129" i="11"/>
  <c r="BA2128" i="11"/>
  <c r="BA2127" i="11"/>
  <c r="BA2126" i="11"/>
  <c r="BA2125" i="11"/>
  <c r="BA2124" i="11"/>
  <c r="BA2123" i="11"/>
  <c r="BA2122" i="11"/>
  <c r="BA2121" i="11"/>
  <c r="BA2120" i="11"/>
  <c r="BA2119" i="11"/>
  <c r="BA2118" i="11"/>
  <c r="BA2117" i="11"/>
  <c r="BA2116" i="11"/>
  <c r="BA2115" i="11"/>
  <c r="BA2114" i="11"/>
  <c r="BA2113" i="11"/>
  <c r="BA2112" i="11"/>
  <c r="BA2111" i="11"/>
  <c r="BA2110" i="11"/>
  <c r="BA2039" i="11"/>
  <c r="BA2038" i="11"/>
  <c r="BA2037" i="11"/>
  <c r="BA2036" i="11"/>
  <c r="BA2035" i="11"/>
  <c r="BA2034" i="11"/>
  <c r="BA2033" i="11"/>
  <c r="BA2032" i="11"/>
  <c r="BA2031" i="11"/>
  <c r="BA2030" i="11"/>
  <c r="BA2029" i="11"/>
  <c r="BA2028" i="11"/>
  <c r="BA2027" i="11"/>
  <c r="BA2026" i="11"/>
  <c r="BA2025" i="11"/>
  <c r="BA2024" i="11"/>
  <c r="BA2023" i="11"/>
  <c r="BA2022" i="11"/>
  <c r="BA2021" i="11"/>
  <c r="BA2020" i="11"/>
  <c r="BA2019" i="11"/>
  <c r="BA2018" i="11"/>
  <c r="BA2017" i="11"/>
  <c r="BA2016" i="11"/>
  <c r="BA2015" i="11"/>
  <c r="BA2014" i="11"/>
  <c r="BA2013" i="11"/>
  <c r="BA2012" i="11"/>
  <c r="BA2011" i="11"/>
  <c r="BA2010" i="11"/>
  <c r="BA1939" i="11"/>
  <c r="BA1938" i="11"/>
  <c r="BA1937" i="11"/>
  <c r="BA1936" i="11"/>
  <c r="BA1935" i="11"/>
  <c r="BA1934" i="11"/>
  <c r="BA1933" i="11"/>
  <c r="BA1932" i="11"/>
  <c r="BA1931" i="11"/>
  <c r="BA1930" i="11"/>
  <c r="BA1929" i="11"/>
  <c r="BA1928" i="11"/>
  <c r="BA1927" i="11"/>
  <c r="BA1926" i="11"/>
  <c r="BA1925" i="11"/>
  <c r="BA1924" i="11"/>
  <c r="BA1923" i="11"/>
  <c r="BA1922" i="11"/>
  <c r="BA1921" i="11"/>
  <c r="BA1920" i="11"/>
  <c r="BA1919" i="11"/>
  <c r="BA1918" i="11"/>
  <c r="BA1917" i="11"/>
  <c r="BA1916" i="11"/>
  <c r="BA1915" i="11"/>
  <c r="BA1914" i="11"/>
  <c r="BA1913" i="11"/>
  <c r="BA1912" i="11"/>
  <c r="BA1911" i="11"/>
  <c r="BA1910" i="11"/>
  <c r="BA1839" i="11"/>
  <c r="BA1838" i="11"/>
  <c r="BA1837" i="11"/>
  <c r="BA1836" i="11"/>
  <c r="BA1835" i="11"/>
  <c r="BA1834" i="11"/>
  <c r="BA1833" i="11"/>
  <c r="BA1832" i="11"/>
  <c r="BA1831" i="11"/>
  <c r="BA1830" i="11"/>
  <c r="BA1829" i="11"/>
  <c r="BA1828" i="11"/>
  <c r="BA1827" i="11"/>
  <c r="BA1826" i="11"/>
  <c r="BA1825" i="11"/>
  <c r="BA1824" i="11"/>
  <c r="BA1823" i="11"/>
  <c r="BA1822" i="11"/>
  <c r="BA1821" i="11"/>
  <c r="BA1820" i="11"/>
  <c r="BA1819" i="11"/>
  <c r="BA1818" i="11"/>
  <c r="BA1817" i="11"/>
  <c r="BA1816" i="11"/>
  <c r="BA1815" i="11"/>
  <c r="BA1814" i="11"/>
  <c r="BA1813" i="11"/>
  <c r="BA1812" i="11"/>
  <c r="BA1811" i="11"/>
  <c r="BA1810" i="11"/>
  <c r="BA1739" i="11"/>
  <c r="BA1738" i="11"/>
  <c r="BA1737" i="11"/>
  <c r="BA1736" i="11"/>
  <c r="BA1735" i="11"/>
  <c r="BA1734" i="11"/>
  <c r="BA1733" i="11"/>
  <c r="BA1732" i="11"/>
  <c r="BA1731" i="11"/>
  <c r="BA1730" i="11"/>
  <c r="BA1729" i="11"/>
  <c r="BA1728" i="11"/>
  <c r="BA1727" i="11"/>
  <c r="BA1726" i="11"/>
  <c r="BA1725" i="11"/>
  <c r="BA1724" i="11"/>
  <c r="BA1723" i="11"/>
  <c r="BA1722" i="11"/>
  <c r="BA1721" i="11"/>
  <c r="BA1720" i="11"/>
  <c r="BA1719" i="11"/>
  <c r="BA1718" i="11"/>
  <c r="BA1717" i="11"/>
  <c r="BA1716" i="11"/>
  <c r="BA1715" i="11"/>
  <c r="BA1714" i="11"/>
  <c r="BA1713" i="11"/>
  <c r="BA1712" i="11"/>
  <c r="BA1711" i="11"/>
  <c r="BA1710" i="11"/>
  <c r="BA1639" i="11"/>
  <c r="BA1638" i="11"/>
  <c r="BA1637" i="11"/>
  <c r="BA1636" i="11"/>
  <c r="BA1635" i="11"/>
  <c r="BA1634" i="11"/>
  <c r="BA1633" i="11"/>
  <c r="BA1632" i="11"/>
  <c r="BA1631" i="11"/>
  <c r="BA1630" i="11"/>
  <c r="BA1629" i="11"/>
  <c r="BA1628" i="11"/>
  <c r="BA1627" i="11"/>
  <c r="BA1626" i="11"/>
  <c r="BA1625" i="11"/>
  <c r="BA1624" i="11"/>
  <c r="BA1623" i="11"/>
  <c r="BA1622" i="11"/>
  <c r="BA1621" i="11"/>
  <c r="BA1620" i="11"/>
  <c r="BA1619" i="11"/>
  <c r="BA1618" i="11"/>
  <c r="BA1617" i="11"/>
  <c r="BA1616" i="11"/>
  <c r="BA1615" i="11"/>
  <c r="BA1614" i="11"/>
  <c r="BA1613" i="11"/>
  <c r="BA1612" i="11"/>
  <c r="BA1611" i="11"/>
  <c r="BA1610" i="11"/>
  <c r="BA1539" i="11"/>
  <c r="BA1538" i="11"/>
  <c r="BA1537" i="11"/>
  <c r="BA1536" i="11"/>
  <c r="BA1535" i="11"/>
  <c r="BA1534" i="11"/>
  <c r="BA1533" i="11"/>
  <c r="BA1532" i="11"/>
  <c r="BA1531" i="11"/>
  <c r="BA1530" i="11"/>
  <c r="BA1529" i="11"/>
  <c r="BA1528" i="11"/>
  <c r="BA1527" i="11"/>
  <c r="BA1526" i="11"/>
  <c r="BA1525" i="11"/>
  <c r="BA1524" i="11"/>
  <c r="BA1523" i="11"/>
  <c r="BA1522" i="11"/>
  <c r="BA1521" i="11"/>
  <c r="BA1520" i="11"/>
  <c r="BA1519" i="11"/>
  <c r="BA1518" i="11"/>
  <c r="BA1517" i="11"/>
  <c r="BA1516" i="11"/>
  <c r="BA1515" i="11"/>
  <c r="BA1514" i="11"/>
  <c r="BA1513" i="11"/>
  <c r="BA1512" i="11"/>
  <c r="BA1511" i="11"/>
  <c r="BA1510" i="11"/>
  <c r="BA1439" i="11"/>
  <c r="BA1438" i="11"/>
  <c r="BA1437" i="11"/>
  <c r="BA1436" i="11"/>
  <c r="BA1435" i="11"/>
  <c r="BA1434" i="11"/>
  <c r="BA1433" i="11"/>
  <c r="BA1432" i="11"/>
  <c r="BA1431" i="11"/>
  <c r="BA1430" i="11"/>
  <c r="BA1429" i="11"/>
  <c r="BA1428" i="11"/>
  <c r="BA1427" i="11"/>
  <c r="BA1426" i="11"/>
  <c r="BA1425" i="11"/>
  <c r="BA1424" i="11"/>
  <c r="BA1423" i="11"/>
  <c r="BA1422" i="11"/>
  <c r="BA1421" i="11"/>
  <c r="BA1420" i="11"/>
  <c r="BA1419" i="11"/>
  <c r="BA1418" i="11"/>
  <c r="BA1417" i="11"/>
  <c r="BA1416" i="11"/>
  <c r="BA1415" i="11"/>
  <c r="BA1414" i="11"/>
  <c r="BA1413" i="11"/>
  <c r="BA1412" i="11"/>
  <c r="BA1411" i="11"/>
  <c r="BA1410" i="11"/>
  <c r="BA1339" i="11"/>
  <c r="BA1338" i="11"/>
  <c r="BA1337" i="11"/>
  <c r="BA1336" i="11"/>
  <c r="BA1335" i="11"/>
  <c r="BA1334" i="11"/>
  <c r="BA1333" i="11"/>
  <c r="BA1332" i="11"/>
  <c r="BA1331" i="11"/>
  <c r="BA1330" i="11"/>
  <c r="BA1329" i="11"/>
  <c r="BA1328" i="11"/>
  <c r="BA1327" i="11"/>
  <c r="BA1326" i="11"/>
  <c r="BA1325" i="11"/>
  <c r="BA1324" i="11"/>
  <c r="BA1323" i="11"/>
  <c r="BA1322" i="11"/>
  <c r="BA1321" i="11"/>
  <c r="BA1320" i="11"/>
  <c r="BA1319" i="11"/>
  <c r="BA1318" i="11"/>
  <c r="BA1317" i="11"/>
  <c r="BA1316" i="11"/>
  <c r="BA1315" i="11"/>
  <c r="BA1314" i="11"/>
  <c r="BA1313" i="11"/>
  <c r="BA1312" i="11"/>
  <c r="BA1311" i="11"/>
  <c r="BA1310" i="11"/>
  <c r="BA1239" i="11"/>
  <c r="BA1238" i="11"/>
  <c r="BA1237" i="11"/>
  <c r="BA1236" i="11"/>
  <c r="BA1235" i="11"/>
  <c r="BA1234" i="11"/>
  <c r="BA1233" i="11"/>
  <c r="BA1232" i="11"/>
  <c r="BA1231" i="11"/>
  <c r="BA1230" i="11"/>
  <c r="BA1229" i="11"/>
  <c r="BA1228" i="11"/>
  <c r="BA1227" i="11"/>
  <c r="BA1226" i="11"/>
  <c r="BA1225" i="11"/>
  <c r="BA1224" i="11"/>
  <c r="BA1223" i="11"/>
  <c r="BA1222" i="11"/>
  <c r="BA1221" i="11"/>
  <c r="BA1220" i="11"/>
  <c r="BA1219" i="11"/>
  <c r="BA1218" i="11"/>
  <c r="BA1217" i="11"/>
  <c r="BA1216" i="11"/>
  <c r="BA1215" i="11"/>
  <c r="BA1214" i="11"/>
  <c r="BA1213" i="11"/>
  <c r="BA1212" i="11"/>
  <c r="BA1211" i="11"/>
  <c r="BA1210" i="11"/>
  <c r="BA1139" i="11"/>
  <c r="BA1138" i="11"/>
  <c r="BA1137" i="11"/>
  <c r="BA1136" i="11"/>
  <c r="BA1135" i="11"/>
  <c r="BA1134" i="11"/>
  <c r="BA1133" i="11"/>
  <c r="BA1132" i="11"/>
  <c r="BA1131" i="11"/>
  <c r="BA1130" i="11"/>
  <c r="BA1129" i="11"/>
  <c r="BA1128" i="11"/>
  <c r="BA1127" i="11"/>
  <c r="BA1126" i="11"/>
  <c r="BA1125" i="11"/>
  <c r="BA1124" i="11"/>
  <c r="BA1123" i="11"/>
  <c r="BA1122" i="11"/>
  <c r="BA1121" i="11"/>
  <c r="BA1120" i="11"/>
  <c r="BA1119" i="11"/>
  <c r="BA1118" i="11"/>
  <c r="BA1117" i="11"/>
  <c r="BA1116" i="11"/>
  <c r="BA1115" i="11"/>
  <c r="BA1114" i="11"/>
  <c r="BA1113" i="11"/>
  <c r="BA1112" i="11"/>
  <c r="BA1111" i="11"/>
  <c r="BA1110" i="11"/>
  <c r="BA1039" i="11"/>
  <c r="BA1038" i="11"/>
  <c r="BA1037" i="11"/>
  <c r="BA1036" i="11"/>
  <c r="BA1035" i="11"/>
  <c r="BA1034" i="11"/>
  <c r="BA1033" i="11"/>
  <c r="BA1032" i="11"/>
  <c r="BA1031" i="11"/>
  <c r="BA1030" i="11"/>
  <c r="BA1029" i="11"/>
  <c r="BA1028" i="11"/>
  <c r="BA1027" i="11"/>
  <c r="BA1026" i="11"/>
  <c r="BA1025" i="11"/>
  <c r="BA1024" i="11"/>
  <c r="BA1023" i="11"/>
  <c r="BA1022" i="11"/>
  <c r="BA1021" i="11"/>
  <c r="BA1020" i="11"/>
  <c r="BA1019" i="11"/>
  <c r="BA1018" i="11"/>
  <c r="BA1017" i="11"/>
  <c r="BA1016" i="11"/>
  <c r="BA1015" i="11"/>
  <c r="BA1014" i="11"/>
  <c r="BA1013" i="11"/>
  <c r="BA1012" i="11"/>
  <c r="BA1011" i="11"/>
  <c r="BA1010" i="11"/>
  <c r="BA939" i="11"/>
  <c r="BA938" i="11"/>
  <c r="BA937" i="11"/>
  <c r="BA936" i="11"/>
  <c r="BA935" i="11"/>
  <c r="BA934" i="11"/>
  <c r="BA933" i="11"/>
  <c r="BA932" i="11"/>
  <c r="BA931" i="11"/>
  <c r="BA930" i="11"/>
  <c r="BA929" i="11"/>
  <c r="BA928" i="11"/>
  <c r="BA927" i="11"/>
  <c r="BA926" i="11"/>
  <c r="BA925" i="11"/>
  <c r="BA924" i="11"/>
  <c r="BA923" i="11"/>
  <c r="BA922" i="11"/>
  <c r="BA921" i="11"/>
  <c r="BA920" i="11"/>
  <c r="BA919" i="11"/>
  <c r="BA918" i="11"/>
  <c r="BA917" i="11"/>
  <c r="BA916" i="11"/>
  <c r="BA915" i="11"/>
  <c r="BA914" i="11"/>
  <c r="BA913" i="11"/>
  <c r="BA912" i="11"/>
  <c r="BA911" i="11"/>
  <c r="BA910" i="11"/>
  <c r="BA839" i="11"/>
  <c r="BA838" i="11"/>
  <c r="BA837" i="11"/>
  <c r="BA836" i="11"/>
  <c r="BA835" i="11"/>
  <c r="BA834" i="11"/>
  <c r="BA833" i="11"/>
  <c r="BA832" i="11"/>
  <c r="BA831" i="11"/>
  <c r="BA830" i="11"/>
  <c r="BA829" i="11"/>
  <c r="BA828" i="11"/>
  <c r="BA827" i="11"/>
  <c r="BA826" i="11"/>
  <c r="BA825" i="11"/>
  <c r="BA824" i="11"/>
  <c r="BA823" i="11"/>
  <c r="BA822" i="11"/>
  <c r="BA821" i="11"/>
  <c r="BA820" i="11"/>
  <c r="BA819" i="11"/>
  <c r="BA818" i="11"/>
  <c r="BA817" i="11"/>
  <c r="BA816" i="11"/>
  <c r="BA815" i="11"/>
  <c r="BA814" i="11"/>
  <c r="BA813" i="11"/>
  <c r="BA812" i="11"/>
  <c r="BA811" i="11"/>
  <c r="BA810" i="11"/>
  <c r="BA739" i="11"/>
  <c r="BA738" i="11"/>
  <c r="BA737" i="11"/>
  <c r="BA736" i="11"/>
  <c r="BA735" i="11"/>
  <c r="BA734" i="11"/>
  <c r="BA733" i="11"/>
  <c r="BA732" i="11"/>
  <c r="BA731" i="11"/>
  <c r="BA730" i="11"/>
  <c r="BA729" i="11"/>
  <c r="BA728" i="11"/>
  <c r="BA727" i="11"/>
  <c r="BA726" i="11"/>
  <c r="BA725" i="11"/>
  <c r="BA724" i="11"/>
  <c r="BA723" i="11"/>
  <c r="BA722" i="11"/>
  <c r="BA721" i="11"/>
  <c r="BA720" i="11"/>
  <c r="BA719" i="11"/>
  <c r="BA718" i="11"/>
  <c r="BA717" i="11"/>
  <c r="BA716" i="11"/>
  <c r="BA715" i="11"/>
  <c r="BA714" i="11"/>
  <c r="BA713" i="11"/>
  <c r="BA712" i="11"/>
  <c r="BA711" i="11"/>
  <c r="BA710" i="11"/>
  <c r="BA639" i="11"/>
  <c r="BA638" i="11"/>
  <c r="BA637" i="11"/>
  <c r="BA636" i="11"/>
  <c r="BA635" i="11"/>
  <c r="BA634" i="11"/>
  <c r="BA633" i="11"/>
  <c r="BA632" i="11"/>
  <c r="BA631" i="11"/>
  <c r="BA630" i="11"/>
  <c r="BA629" i="11"/>
  <c r="BA628" i="11"/>
  <c r="BA627" i="11"/>
  <c r="BA626" i="11"/>
  <c r="BA625" i="11"/>
  <c r="BA624" i="11"/>
  <c r="BA623" i="11"/>
  <c r="BA622" i="11"/>
  <c r="BA621" i="11"/>
  <c r="BA620" i="11"/>
  <c r="BA619" i="11"/>
  <c r="BA618" i="11"/>
  <c r="BA617" i="11"/>
  <c r="BA616" i="11"/>
  <c r="BA615" i="11"/>
  <c r="BA614" i="11"/>
  <c r="BA613" i="11"/>
  <c r="BA612" i="11"/>
  <c r="BA611" i="11"/>
  <c r="BA610" i="11"/>
  <c r="BP139" i="11"/>
  <c r="BO139" i="11"/>
  <c r="C51" i="11"/>
  <c r="E51" i="11"/>
  <c r="B102" i="19"/>
  <c r="ED160" i="11" l="1"/>
  <c r="ED168" i="11"/>
  <c r="ED169" i="11"/>
  <c r="ED172" i="11"/>
  <c r="ED170" i="11"/>
  <c r="ED171" i="11"/>
  <c r="ED173" i="11"/>
  <c r="ED174" i="11"/>
  <c r="ED175" i="11"/>
  <c r="ED176" i="11"/>
  <c r="ED159" i="11"/>
  <c r="ED161" i="11"/>
  <c r="ED162" i="11"/>
  <c r="ED163" i="11"/>
  <c r="ED164" i="11"/>
  <c r="ED166" i="11"/>
  <c r="DB348" i="11"/>
  <c r="D78" i="11"/>
  <c r="AC133" i="24"/>
  <c r="C37" i="22"/>
  <c r="C36" i="22"/>
  <c r="C35" i="22"/>
  <c r="C34" i="22"/>
  <c r="C33" i="22"/>
  <c r="C32" i="22"/>
  <c r="C31" i="22"/>
  <c r="C13" i="23"/>
  <c r="H26" i="1"/>
  <c r="E59" i="2"/>
  <c r="E45" i="2"/>
  <c r="E38" i="2"/>
  <c r="E37" i="2"/>
  <c r="B45" i="2"/>
  <c r="B38" i="2"/>
  <c r="B37" i="2"/>
  <c r="F17" i="1"/>
  <c r="H15" i="1"/>
  <c r="C10" i="9"/>
  <c r="B11" i="9"/>
  <c r="C11" i="9"/>
  <c r="D11" i="9"/>
  <c r="F24" i="9" s="1"/>
  <c r="B12" i="9"/>
  <c r="C12" i="9"/>
  <c r="D12" i="9"/>
  <c r="F26" i="9" s="1"/>
  <c r="B13" i="9"/>
  <c r="C13" i="9"/>
  <c r="D13" i="9"/>
  <c r="F28" i="9" s="1"/>
  <c r="B14" i="9"/>
  <c r="C14" i="9"/>
  <c r="D14" i="9"/>
  <c r="F30" i="9" s="1"/>
  <c r="C9" i="9"/>
  <c r="F33" i="1"/>
  <c r="BK178" i="24"/>
  <c r="BE432" i="24"/>
  <c r="BE428" i="24"/>
  <c r="BE427" i="24"/>
  <c r="BE426" i="24"/>
  <c r="BE425" i="24"/>
  <c r="BE424" i="24"/>
  <c r="BE423" i="24"/>
  <c r="BE422" i="24"/>
  <c r="BE466" i="24"/>
  <c r="E30" i="9" l="1"/>
  <c r="E28" i="9"/>
  <c r="E24" i="9"/>
  <c r="E26" i="9"/>
  <c r="AE467" i="24"/>
  <c r="H32" i="1" l="1"/>
  <c r="H30" i="1"/>
  <c r="H31" i="1"/>
  <c r="BF683" i="24"/>
  <c r="BF783" i="24"/>
  <c r="BF883" i="24"/>
  <c r="BF983" i="24"/>
  <c r="BF1083" i="24"/>
  <c r="BF1183" i="24"/>
  <c r="BF1283" i="24"/>
  <c r="BF1383" i="24"/>
  <c r="BF1483" i="24"/>
  <c r="BF1583" i="24"/>
  <c r="BF1683" i="24"/>
  <c r="BF1783" i="24"/>
  <c r="BF1883" i="24"/>
  <c r="BF1983" i="24"/>
  <c r="BF2083" i="24"/>
  <c r="BF2183" i="24"/>
  <c r="BF2283" i="24"/>
  <c r="BF2383" i="24"/>
  <c r="BF2483" i="24"/>
  <c r="BA2423" i="24"/>
  <c r="BA2422" i="24"/>
  <c r="BA2421" i="24"/>
  <c r="BA2420" i="24"/>
  <c r="BA2419" i="24"/>
  <c r="BA2418" i="24"/>
  <c r="BA2417" i="24"/>
  <c r="BA2416" i="24"/>
  <c r="BA2415" i="24"/>
  <c r="BA2414" i="24"/>
  <c r="BA2413" i="24"/>
  <c r="BA2412" i="24"/>
  <c r="BA2411" i="24"/>
  <c r="BA2410" i="24"/>
  <c r="BA2409" i="24"/>
  <c r="BA2408" i="24"/>
  <c r="BA2407" i="24"/>
  <c r="BA2406" i="24"/>
  <c r="BA2405" i="24"/>
  <c r="BA2404" i="24"/>
  <c r="BA2323" i="24"/>
  <c r="BA2322" i="24"/>
  <c r="BA2321" i="24"/>
  <c r="BA2320" i="24"/>
  <c r="BA2319" i="24"/>
  <c r="BA2318" i="24"/>
  <c r="BA2317" i="24"/>
  <c r="BA2316" i="24"/>
  <c r="BA2315" i="24"/>
  <c r="BA2314" i="24"/>
  <c r="BA2313" i="24"/>
  <c r="BA2312" i="24"/>
  <c r="BA2311" i="24"/>
  <c r="BA2310" i="24"/>
  <c r="BA2309" i="24"/>
  <c r="BA2308" i="24"/>
  <c r="BA2307" i="24"/>
  <c r="BA2306" i="24"/>
  <c r="BA2305" i="24"/>
  <c r="BA2304" i="24"/>
  <c r="BA2223" i="24"/>
  <c r="BA2222" i="24"/>
  <c r="BA2221" i="24"/>
  <c r="BA2220" i="24"/>
  <c r="BA2219" i="24"/>
  <c r="BA2218" i="24"/>
  <c r="BA2217" i="24"/>
  <c r="BA2216" i="24"/>
  <c r="BA2215" i="24"/>
  <c r="BA2214" i="24"/>
  <c r="BA2213" i="24"/>
  <c r="BA2212" i="24"/>
  <c r="BA2211" i="24"/>
  <c r="BA2210" i="24"/>
  <c r="BA2209" i="24"/>
  <c r="BA2208" i="24"/>
  <c r="BA2207" i="24"/>
  <c r="BA2206" i="24"/>
  <c r="BA2205" i="24"/>
  <c r="BA2204" i="24"/>
  <c r="BA2123" i="24"/>
  <c r="BA2122" i="24"/>
  <c r="BA2121" i="24"/>
  <c r="BA2120" i="24"/>
  <c r="BA2119" i="24"/>
  <c r="BA2118" i="24"/>
  <c r="BA2117" i="24"/>
  <c r="BA2116" i="24"/>
  <c r="BA2115" i="24"/>
  <c r="BA2114" i="24"/>
  <c r="BA2113" i="24"/>
  <c r="BA2112" i="24"/>
  <c r="BA2111" i="24"/>
  <c r="BA2110" i="24"/>
  <c r="BA2109" i="24"/>
  <c r="BA2108" i="24"/>
  <c r="BA2107" i="24"/>
  <c r="BA2106" i="24"/>
  <c r="BA2105" i="24"/>
  <c r="BA2104" i="24"/>
  <c r="BA2023" i="24"/>
  <c r="BA2022" i="24"/>
  <c r="BA2021" i="24"/>
  <c r="BA2020" i="24"/>
  <c r="BA2019" i="24"/>
  <c r="BA2018" i="24"/>
  <c r="BA2017" i="24"/>
  <c r="BA2016" i="24"/>
  <c r="BA2015" i="24"/>
  <c r="BA2014" i="24"/>
  <c r="BA2013" i="24"/>
  <c r="BA2012" i="24"/>
  <c r="BA2011" i="24"/>
  <c r="BA2010" i="24"/>
  <c r="BA2009" i="24"/>
  <c r="BA2008" i="24"/>
  <c r="BA2007" i="24"/>
  <c r="BA2006" i="24"/>
  <c r="BA2005" i="24"/>
  <c r="BA2004" i="24"/>
  <c r="BA1923" i="24"/>
  <c r="BA1922" i="24"/>
  <c r="BA1921" i="24"/>
  <c r="BA1920" i="24"/>
  <c r="BA1919" i="24"/>
  <c r="BA1918" i="24"/>
  <c r="BA1917" i="24"/>
  <c r="BA1916" i="24"/>
  <c r="BA1915" i="24"/>
  <c r="BA1914" i="24"/>
  <c r="BA1913" i="24"/>
  <c r="BA1912" i="24"/>
  <c r="BA1911" i="24"/>
  <c r="BA1910" i="24"/>
  <c r="BA1909" i="24"/>
  <c r="BA1908" i="24"/>
  <c r="BA1907" i="24"/>
  <c r="BA1906" i="24"/>
  <c r="BA1905" i="24"/>
  <c r="BA1904" i="24"/>
  <c r="BA1823" i="24"/>
  <c r="BA1822" i="24"/>
  <c r="BA1821" i="24"/>
  <c r="BA1820" i="24"/>
  <c r="BA1819" i="24"/>
  <c r="BA1818" i="24"/>
  <c r="BA1817" i="24"/>
  <c r="BA1816" i="24"/>
  <c r="BA1815" i="24"/>
  <c r="BA1814" i="24"/>
  <c r="BA1813" i="24"/>
  <c r="BA1812" i="24"/>
  <c r="BA1811" i="24"/>
  <c r="BA1810" i="24"/>
  <c r="BA1809" i="24"/>
  <c r="BA1808" i="24"/>
  <c r="BA1807" i="24"/>
  <c r="BA1806" i="24"/>
  <c r="BA1805" i="24"/>
  <c r="BA1804" i="24"/>
  <c r="BA1723" i="24"/>
  <c r="BA1722" i="24"/>
  <c r="BA1721" i="24"/>
  <c r="BA1720" i="24"/>
  <c r="BA1719" i="24"/>
  <c r="BA1718" i="24"/>
  <c r="BA1717" i="24"/>
  <c r="BA1716" i="24"/>
  <c r="BA1715" i="24"/>
  <c r="BA1714" i="24"/>
  <c r="BA1713" i="24"/>
  <c r="BA1712" i="24"/>
  <c r="BA1711" i="24"/>
  <c r="BA1710" i="24"/>
  <c r="BA1709" i="24"/>
  <c r="BA1708" i="24"/>
  <c r="BA1707" i="24"/>
  <c r="BA1706" i="24"/>
  <c r="BA1705" i="24"/>
  <c r="BA1704" i="24"/>
  <c r="BA1623" i="24"/>
  <c r="BA1622" i="24"/>
  <c r="BA1621" i="24"/>
  <c r="BA1620" i="24"/>
  <c r="BA1619" i="24"/>
  <c r="BA1618" i="24"/>
  <c r="BA1617" i="24"/>
  <c r="BA1616" i="24"/>
  <c r="BA1615" i="24"/>
  <c r="BA1614" i="24"/>
  <c r="BA1613" i="24"/>
  <c r="BA1612" i="24"/>
  <c r="BA1611" i="24"/>
  <c r="BA1610" i="24"/>
  <c r="BA1609" i="24"/>
  <c r="BA1608" i="24"/>
  <c r="BA1607" i="24"/>
  <c r="BA1606" i="24"/>
  <c r="BA1605" i="24"/>
  <c r="BA1604" i="24"/>
  <c r="BA1523" i="24"/>
  <c r="BA1522" i="24"/>
  <c r="BA1521" i="24"/>
  <c r="BA1520" i="24"/>
  <c r="BA1519" i="24"/>
  <c r="BA1518" i="24"/>
  <c r="BA1517" i="24"/>
  <c r="BA1516" i="24"/>
  <c r="BA1515" i="24"/>
  <c r="BA1514" i="24"/>
  <c r="BA1513" i="24"/>
  <c r="BA1512" i="24"/>
  <c r="BA1511" i="24"/>
  <c r="BA1510" i="24"/>
  <c r="BA1509" i="24"/>
  <c r="BA1508" i="24"/>
  <c r="BA1507" i="24"/>
  <c r="BA1506" i="24"/>
  <c r="BA1505" i="24"/>
  <c r="BA1504" i="24"/>
  <c r="BA1423" i="24"/>
  <c r="BA1422" i="24"/>
  <c r="BA1421" i="24"/>
  <c r="BA1420" i="24"/>
  <c r="BA1419" i="24"/>
  <c r="BA1418" i="24"/>
  <c r="BA1417" i="24"/>
  <c r="BA1416" i="24"/>
  <c r="BA1415" i="24"/>
  <c r="BA1414" i="24"/>
  <c r="BA1413" i="24"/>
  <c r="BA1412" i="24"/>
  <c r="BA1411" i="24"/>
  <c r="BA1410" i="24"/>
  <c r="BA1409" i="24"/>
  <c r="BA1408" i="24"/>
  <c r="BA1407" i="24"/>
  <c r="BA1406" i="24"/>
  <c r="BA1405" i="24"/>
  <c r="BA1404" i="24"/>
  <c r="BA1323" i="24"/>
  <c r="BA1322" i="24"/>
  <c r="BA1321" i="24"/>
  <c r="BA1320" i="24"/>
  <c r="BA1319" i="24"/>
  <c r="BA1318" i="24"/>
  <c r="BA1317" i="24"/>
  <c r="BA1316" i="24"/>
  <c r="BA1315" i="24"/>
  <c r="BA1314" i="24"/>
  <c r="BA1313" i="24"/>
  <c r="BA1312" i="24"/>
  <c r="BA1311" i="24"/>
  <c r="BA1310" i="24"/>
  <c r="BA1309" i="24"/>
  <c r="BA1308" i="24"/>
  <c r="BA1307" i="24"/>
  <c r="BA1306" i="24"/>
  <c r="BA1305" i="24"/>
  <c r="BA1304" i="24"/>
  <c r="BA1223" i="24"/>
  <c r="BA1222" i="24"/>
  <c r="BA1221" i="24"/>
  <c r="BA1220" i="24"/>
  <c r="BA1219" i="24"/>
  <c r="BA1218" i="24"/>
  <c r="BA1217" i="24"/>
  <c r="BA1216" i="24"/>
  <c r="BA1215" i="24"/>
  <c r="BA1214" i="24"/>
  <c r="BA1213" i="24"/>
  <c r="BA1212" i="24"/>
  <c r="BA1211" i="24"/>
  <c r="BA1210" i="24"/>
  <c r="BA1209" i="24"/>
  <c r="BA1208" i="24"/>
  <c r="BA1207" i="24"/>
  <c r="BA1206" i="24"/>
  <c r="BA1205" i="24"/>
  <c r="BA1204" i="24"/>
  <c r="BA1123" i="24"/>
  <c r="BA1122" i="24"/>
  <c r="BA1121" i="24"/>
  <c r="BA1120" i="24"/>
  <c r="BA1119" i="24"/>
  <c r="BA1118" i="24"/>
  <c r="BA1117" i="24"/>
  <c r="BA1116" i="24"/>
  <c r="BA1115" i="24"/>
  <c r="BA1114" i="24"/>
  <c r="BA1113" i="24"/>
  <c r="BA1112" i="24"/>
  <c r="BA1111" i="24"/>
  <c r="BA1110" i="24"/>
  <c r="BA1109" i="24"/>
  <c r="BA1108" i="24"/>
  <c r="BA1107" i="24"/>
  <c r="BA1106" i="24"/>
  <c r="BA1105" i="24"/>
  <c r="BA1104" i="24"/>
  <c r="BA1023" i="24"/>
  <c r="BA1022" i="24"/>
  <c r="BA1021" i="24"/>
  <c r="BA1020" i="24"/>
  <c r="BA1019" i="24"/>
  <c r="BA1018" i="24"/>
  <c r="BA1017" i="24"/>
  <c r="BA1016" i="24"/>
  <c r="BA1015" i="24"/>
  <c r="BA1014" i="24"/>
  <c r="BA1013" i="24"/>
  <c r="BA1012" i="24"/>
  <c r="BA1011" i="24"/>
  <c r="BA1010" i="24"/>
  <c r="BA1009" i="24"/>
  <c r="BA1008" i="24"/>
  <c r="BA1007" i="24"/>
  <c r="BA1006" i="24"/>
  <c r="BA1005" i="24"/>
  <c r="BA1004" i="24"/>
  <c r="BA923" i="24"/>
  <c r="BA922" i="24"/>
  <c r="BA921" i="24"/>
  <c r="BA920" i="24"/>
  <c r="BA919" i="24"/>
  <c r="BA918" i="24"/>
  <c r="BA917" i="24"/>
  <c r="BA916" i="24"/>
  <c r="BA915" i="24"/>
  <c r="BA914" i="24"/>
  <c r="BA913" i="24"/>
  <c r="BA912" i="24"/>
  <c r="BA911" i="24"/>
  <c r="BA910" i="24"/>
  <c r="BA909" i="24"/>
  <c r="BA908" i="24"/>
  <c r="BA907" i="24"/>
  <c r="BA906" i="24"/>
  <c r="BA905" i="24"/>
  <c r="BA904" i="24"/>
  <c r="BA823" i="24"/>
  <c r="BA822" i="24"/>
  <c r="BA821" i="24"/>
  <c r="BA820" i="24"/>
  <c r="BA819" i="24"/>
  <c r="BA818" i="24"/>
  <c r="BA817" i="24"/>
  <c r="BA816" i="24"/>
  <c r="BA815" i="24"/>
  <c r="BA814" i="24"/>
  <c r="BA813" i="24"/>
  <c r="BA812" i="24"/>
  <c r="BA811" i="24"/>
  <c r="BA810" i="24"/>
  <c r="BA809" i="24"/>
  <c r="BA808" i="24"/>
  <c r="BA807" i="24"/>
  <c r="BA806" i="24"/>
  <c r="BA805" i="24"/>
  <c r="BA804" i="24"/>
  <c r="BA723" i="24"/>
  <c r="BA722" i="24"/>
  <c r="BA721" i="24"/>
  <c r="BA720" i="24"/>
  <c r="BA719" i="24"/>
  <c r="BA718" i="24"/>
  <c r="BA717" i="24"/>
  <c r="BA716" i="24"/>
  <c r="BA715" i="24"/>
  <c r="BA714" i="24"/>
  <c r="BA713" i="24"/>
  <c r="BA712" i="24"/>
  <c r="BA711" i="24"/>
  <c r="BA710" i="24"/>
  <c r="BA709" i="24"/>
  <c r="BA708" i="24"/>
  <c r="BA707" i="24"/>
  <c r="BA706" i="24"/>
  <c r="BA705" i="24"/>
  <c r="BA704" i="24"/>
  <c r="BA623" i="24"/>
  <c r="BA622" i="24"/>
  <c r="BA621" i="24"/>
  <c r="BA620" i="24"/>
  <c r="BA619" i="24"/>
  <c r="BA618" i="24"/>
  <c r="BA617" i="24"/>
  <c r="BA616" i="24"/>
  <c r="BA615" i="24"/>
  <c r="BA614" i="24"/>
  <c r="BA613" i="24"/>
  <c r="BA612" i="24"/>
  <c r="BA611" i="24"/>
  <c r="BA610" i="24"/>
  <c r="BA609" i="24"/>
  <c r="BA608" i="24"/>
  <c r="BA607" i="24"/>
  <c r="BA606" i="24"/>
  <c r="BA605" i="24"/>
  <c r="BA604" i="24"/>
  <c r="BF583" i="24"/>
  <c r="BC327" i="24"/>
  <c r="BC328" i="24"/>
  <c r="BB322" i="24"/>
  <c r="AE368" i="24"/>
  <c r="AE366" i="24"/>
  <c r="AE364" i="24"/>
  <c r="AC368" i="24"/>
  <c r="AC366" i="24"/>
  <c r="AC364" i="24"/>
  <c r="AC362" i="24"/>
  <c r="AC360" i="24"/>
  <c r="AC358" i="24"/>
  <c r="BJ184" i="24"/>
  <c r="BI184" i="24"/>
  <c r="BH184" i="24"/>
  <c r="BG184" i="24"/>
  <c r="BF184" i="24"/>
  <c r="BE184" i="24"/>
  <c r="BD184" i="24"/>
  <c r="BC184" i="24"/>
  <c r="BC156" i="24"/>
  <c r="BC157" i="24"/>
  <c r="BC158" i="24"/>
  <c r="BC159" i="24"/>
  <c r="BC160" i="24"/>
  <c r="BC162" i="24"/>
  <c r="BC163" i="24"/>
  <c r="BC164" i="24"/>
  <c r="BC165" i="24"/>
  <c r="BC166" i="24"/>
  <c r="BC167" i="24"/>
  <c r="BC168" i="24"/>
  <c r="BC169" i="24"/>
  <c r="BC170" i="24"/>
  <c r="BC171" i="24"/>
  <c r="BC172" i="24"/>
  <c r="BC173" i="24"/>
  <c r="BC174" i="24"/>
  <c r="BC155" i="24"/>
  <c r="BE160" i="24"/>
  <c r="BC150" i="24"/>
  <c r="F106" i="19"/>
  <c r="E106" i="19"/>
  <c r="BD75" i="24"/>
  <c r="BD74" i="24"/>
  <c r="BB26" i="24"/>
  <c r="BB27" i="24"/>
  <c r="BB28" i="24"/>
  <c r="BB29" i="24"/>
  <c r="BB30" i="24"/>
  <c r="BB31" i="24"/>
  <c r="BB32" i="24"/>
  <c r="BB33" i="24"/>
  <c r="BB34" i="24"/>
  <c r="BB35" i="24"/>
  <c r="BB36" i="24"/>
  <c r="BB37" i="24"/>
  <c r="BB38" i="24"/>
  <c r="BB39" i="24"/>
  <c r="BB40" i="24"/>
  <c r="BB41" i="24"/>
  <c r="BB25" i="24"/>
  <c r="BB20" i="24"/>
  <c r="BB21" i="24"/>
  <c r="BB22" i="24"/>
  <c r="BB23" i="24"/>
  <c r="BB19" i="24"/>
  <c r="BB18" i="24"/>
  <c r="BC13" i="24"/>
  <c r="BC308" i="24" s="1"/>
  <c r="BC12" i="24"/>
  <c r="BC307" i="24" s="1"/>
  <c r="BC11" i="24"/>
  <c r="BC306" i="24" s="1"/>
  <c r="BC10" i="24"/>
  <c r="BC305" i="24" s="1"/>
  <c r="AQB111" i="17"/>
  <c r="AQB112" i="17"/>
  <c r="AQB113" i="17"/>
  <c r="AQB114" i="17"/>
  <c r="AQB115" i="17"/>
  <c r="AQB116" i="17"/>
  <c r="AQB110" i="17"/>
  <c r="AF2483" i="24"/>
  <c r="AF2383" i="24"/>
  <c r="AF2283" i="24"/>
  <c r="AF2183" i="24"/>
  <c r="AF2083" i="24"/>
  <c r="AF1983" i="24"/>
  <c r="AF1883" i="24"/>
  <c r="AF1783" i="24"/>
  <c r="AF1683" i="24"/>
  <c r="AF1583" i="24"/>
  <c r="AF1483" i="24"/>
  <c r="AF1383" i="24"/>
  <c r="AF1283" i="24"/>
  <c r="AF1183" i="24"/>
  <c r="AF1083" i="24"/>
  <c r="AF983" i="24"/>
  <c r="AF883" i="24"/>
  <c r="AF783" i="24"/>
  <c r="AA2422" i="24"/>
  <c r="AA2421" i="24"/>
  <c r="AA2420" i="24"/>
  <c r="AA2419" i="24"/>
  <c r="AA2418" i="24"/>
  <c r="AA2417" i="24"/>
  <c r="AA2416" i="24"/>
  <c r="AA2415" i="24"/>
  <c r="AA2414" i="24"/>
  <c r="AA2413" i="24"/>
  <c r="AA2412" i="24"/>
  <c r="AA2411" i="24"/>
  <c r="AA2410" i="24"/>
  <c r="AA2409" i="24"/>
  <c r="AA2408" i="24"/>
  <c r="AA2407" i="24"/>
  <c r="AA2406" i="24"/>
  <c r="AA2405" i="24"/>
  <c r="AA2404" i="24"/>
  <c r="AA2403" i="24"/>
  <c r="AA2322" i="24"/>
  <c r="AA2321" i="24"/>
  <c r="AA2320" i="24"/>
  <c r="AA2319" i="24"/>
  <c r="AA2318" i="24"/>
  <c r="AA2317" i="24"/>
  <c r="AA2316" i="24"/>
  <c r="AA2315" i="24"/>
  <c r="AA2314" i="24"/>
  <c r="AA2313" i="24"/>
  <c r="AA2312" i="24"/>
  <c r="AA2311" i="24"/>
  <c r="AA2310" i="24"/>
  <c r="AA2309" i="24"/>
  <c r="AA2308" i="24"/>
  <c r="AA2307" i="24"/>
  <c r="AA2306" i="24"/>
  <c r="AA2305" i="24"/>
  <c r="AA2304" i="24"/>
  <c r="AA2303" i="24"/>
  <c r="AA2222" i="24"/>
  <c r="AA2221" i="24"/>
  <c r="AA2220" i="24"/>
  <c r="AA2219" i="24"/>
  <c r="AA2218" i="24"/>
  <c r="AA2217" i="24"/>
  <c r="AA2216" i="24"/>
  <c r="AA2215" i="24"/>
  <c r="AA2214" i="24"/>
  <c r="AA2213" i="24"/>
  <c r="AA2212" i="24"/>
  <c r="AA2211" i="24"/>
  <c r="AA2210" i="24"/>
  <c r="AA2209" i="24"/>
  <c r="AA2208" i="24"/>
  <c r="AA2207" i="24"/>
  <c r="AA2206" i="24"/>
  <c r="AA2205" i="24"/>
  <c r="AA2204" i="24"/>
  <c r="AA2203" i="24"/>
  <c r="AA2122" i="24"/>
  <c r="AA2121" i="24"/>
  <c r="AA2120" i="24"/>
  <c r="AA2119" i="24"/>
  <c r="AA2118" i="24"/>
  <c r="AA2117" i="24"/>
  <c r="AA2116" i="24"/>
  <c r="AA2115" i="24"/>
  <c r="AA2114" i="24"/>
  <c r="AA2113" i="24"/>
  <c r="AA2112" i="24"/>
  <c r="AA2111" i="24"/>
  <c r="AA2110" i="24"/>
  <c r="AA2109" i="24"/>
  <c r="AA2108" i="24"/>
  <c r="AA2107" i="24"/>
  <c r="AA2106" i="24"/>
  <c r="AA2105" i="24"/>
  <c r="AA2104" i="24"/>
  <c r="AA2103" i="24"/>
  <c r="AA2022" i="24"/>
  <c r="AA2021" i="24"/>
  <c r="AA2020" i="24"/>
  <c r="AA2019" i="24"/>
  <c r="AA2018" i="24"/>
  <c r="AA2017" i="24"/>
  <c r="AA2016" i="24"/>
  <c r="AA2015" i="24"/>
  <c r="AA2014" i="24"/>
  <c r="AA2013" i="24"/>
  <c r="AA2012" i="24"/>
  <c r="AA2011" i="24"/>
  <c r="AA2010" i="24"/>
  <c r="AA2009" i="24"/>
  <c r="AA2008" i="24"/>
  <c r="AA2007" i="24"/>
  <c r="AA2006" i="24"/>
  <c r="AA2005" i="24"/>
  <c r="AA2004" i="24"/>
  <c r="AA2003" i="24"/>
  <c r="AA1922" i="24"/>
  <c r="AA1921" i="24"/>
  <c r="AA1920" i="24"/>
  <c r="AA1919" i="24"/>
  <c r="AA1918" i="24"/>
  <c r="AA1917" i="24"/>
  <c r="AA1916" i="24"/>
  <c r="AA1915" i="24"/>
  <c r="AA1914" i="24"/>
  <c r="AA1913" i="24"/>
  <c r="AA1912" i="24"/>
  <c r="AA1911" i="24"/>
  <c r="AA1910" i="24"/>
  <c r="AA1909" i="24"/>
  <c r="AA1908" i="24"/>
  <c r="AA1907" i="24"/>
  <c r="AA1906" i="24"/>
  <c r="AA1905" i="24"/>
  <c r="AA1904" i="24"/>
  <c r="AA1903" i="24"/>
  <c r="AA1822" i="24"/>
  <c r="AA1821" i="24"/>
  <c r="AA1820" i="24"/>
  <c r="AA1819" i="24"/>
  <c r="AA1818" i="24"/>
  <c r="AA1817" i="24"/>
  <c r="AA1816" i="24"/>
  <c r="AA1815" i="24"/>
  <c r="AA1814" i="24"/>
  <c r="AA1813" i="24"/>
  <c r="AA1812" i="24"/>
  <c r="AA1811" i="24"/>
  <c r="AA1810" i="24"/>
  <c r="AA1809" i="24"/>
  <c r="AA1808" i="24"/>
  <c r="AA1807" i="24"/>
  <c r="AA1806" i="24"/>
  <c r="AA1805" i="24"/>
  <c r="AA1804" i="24"/>
  <c r="AA1803" i="24"/>
  <c r="AA1722" i="24"/>
  <c r="AA1721" i="24"/>
  <c r="AA1720" i="24"/>
  <c r="AA1719" i="24"/>
  <c r="AA1718" i="24"/>
  <c r="AA1717" i="24"/>
  <c r="AA1716" i="24"/>
  <c r="AA1715" i="24"/>
  <c r="AA1714" i="24"/>
  <c r="AA1713" i="24"/>
  <c r="AA1712" i="24"/>
  <c r="AA1711" i="24"/>
  <c r="AA1710" i="24"/>
  <c r="AA1709" i="24"/>
  <c r="AA1708" i="24"/>
  <c r="AA1707" i="24"/>
  <c r="AA1706" i="24"/>
  <c r="AA1705" i="24"/>
  <c r="AA1704" i="24"/>
  <c r="AA1703" i="24"/>
  <c r="AA1622" i="24"/>
  <c r="AA1621" i="24"/>
  <c r="AA1620" i="24"/>
  <c r="AA1619" i="24"/>
  <c r="AA1618" i="24"/>
  <c r="AA1617" i="24"/>
  <c r="AA1616" i="24"/>
  <c r="AA1615" i="24"/>
  <c r="AA1614" i="24"/>
  <c r="AA1613" i="24"/>
  <c r="AA1612" i="24"/>
  <c r="AA1611" i="24"/>
  <c r="AA1610" i="24"/>
  <c r="AA1609" i="24"/>
  <c r="AA1608" i="24"/>
  <c r="AA1607" i="24"/>
  <c r="AA1606" i="24"/>
  <c r="AA1605" i="24"/>
  <c r="AA1604" i="24"/>
  <c r="AA1603" i="24"/>
  <c r="AA1522" i="24"/>
  <c r="AA1521" i="24"/>
  <c r="AA1520" i="24"/>
  <c r="AA1519" i="24"/>
  <c r="AA1518" i="24"/>
  <c r="AA1517" i="24"/>
  <c r="AA1516" i="24"/>
  <c r="AA1515" i="24"/>
  <c r="AA1514" i="24"/>
  <c r="AA1513" i="24"/>
  <c r="AA1512" i="24"/>
  <c r="AA1511" i="24"/>
  <c r="AA1510" i="24"/>
  <c r="AA1509" i="24"/>
  <c r="AA1508" i="24"/>
  <c r="AA1507" i="24"/>
  <c r="AA1506" i="24"/>
  <c r="AA1505" i="24"/>
  <c r="AA1504" i="24"/>
  <c r="AA1503" i="24"/>
  <c r="AA1422" i="24"/>
  <c r="AA1421" i="24"/>
  <c r="AA1420" i="24"/>
  <c r="AA1419" i="24"/>
  <c r="AA1418" i="24"/>
  <c r="AA1417" i="24"/>
  <c r="AA1416" i="24"/>
  <c r="AA1415" i="24"/>
  <c r="AA1414" i="24"/>
  <c r="AA1413" i="24"/>
  <c r="AA1412" i="24"/>
  <c r="AA1411" i="24"/>
  <c r="AA1410" i="24"/>
  <c r="AA1409" i="24"/>
  <c r="AA1408" i="24"/>
  <c r="AA1407" i="24"/>
  <c r="AA1406" i="24"/>
  <c r="AA1405" i="24"/>
  <c r="AA1404" i="24"/>
  <c r="AA1403" i="24"/>
  <c r="AA1322" i="24"/>
  <c r="AA1321" i="24"/>
  <c r="AA1320" i="24"/>
  <c r="AA1319" i="24"/>
  <c r="AA1318" i="24"/>
  <c r="AA1317" i="24"/>
  <c r="AA1316" i="24"/>
  <c r="AA1315" i="24"/>
  <c r="AA1314" i="24"/>
  <c r="AA1313" i="24"/>
  <c r="AA1312" i="24"/>
  <c r="AA1311" i="24"/>
  <c r="AA1310" i="24"/>
  <c r="AA1309" i="24"/>
  <c r="AA1308" i="24"/>
  <c r="AA1307" i="24"/>
  <c r="AA1306" i="24"/>
  <c r="AA1305" i="24"/>
  <c r="AA1304" i="24"/>
  <c r="AA1303" i="24"/>
  <c r="AA1222" i="24"/>
  <c r="AA1221" i="24"/>
  <c r="AA1220" i="24"/>
  <c r="AA1219" i="24"/>
  <c r="AA1218" i="24"/>
  <c r="AA1217" i="24"/>
  <c r="AA1216" i="24"/>
  <c r="AA1215" i="24"/>
  <c r="AA1214" i="24"/>
  <c r="AA1213" i="24"/>
  <c r="AA1212" i="24"/>
  <c r="AA1211" i="24"/>
  <c r="AA1210" i="24"/>
  <c r="AA1209" i="24"/>
  <c r="AA1208" i="24"/>
  <c r="AA1207" i="24"/>
  <c r="AA1206" i="24"/>
  <c r="AA1205" i="24"/>
  <c r="AA1204" i="24"/>
  <c r="AA1203" i="24"/>
  <c r="AA1122" i="24"/>
  <c r="AA1121" i="24"/>
  <c r="AA1120" i="24"/>
  <c r="AA1119" i="24"/>
  <c r="AA1118" i="24"/>
  <c r="AA1117" i="24"/>
  <c r="AA1116" i="24"/>
  <c r="AA1115" i="24"/>
  <c r="AA1114" i="24"/>
  <c r="AA1113" i="24"/>
  <c r="AA1112" i="24"/>
  <c r="AA1111" i="24"/>
  <c r="AA1110" i="24"/>
  <c r="AA1109" i="24"/>
  <c r="AA1108" i="24"/>
  <c r="AA1107" i="24"/>
  <c r="AA1106" i="24"/>
  <c r="AA1105" i="24"/>
  <c r="AA1104" i="24"/>
  <c r="AA1103" i="24"/>
  <c r="AA1022" i="24"/>
  <c r="AA1021" i="24"/>
  <c r="AA1020" i="24"/>
  <c r="AA1019" i="24"/>
  <c r="AA1018" i="24"/>
  <c r="AA1017" i="24"/>
  <c r="AA1016" i="24"/>
  <c r="AA1015" i="24"/>
  <c r="AA1014" i="24"/>
  <c r="AA1013" i="24"/>
  <c r="AA1012" i="24"/>
  <c r="AA1011" i="24"/>
  <c r="AA1010" i="24"/>
  <c r="AA1009" i="24"/>
  <c r="AA1008" i="24"/>
  <c r="AA1007" i="24"/>
  <c r="AA1006" i="24"/>
  <c r="AA1005" i="24"/>
  <c r="AA1004" i="24"/>
  <c r="AA1003" i="24"/>
  <c r="AA922" i="24"/>
  <c r="AA921" i="24"/>
  <c r="AA920" i="24"/>
  <c r="AA919" i="24"/>
  <c r="AA918" i="24"/>
  <c r="AA917" i="24"/>
  <c r="AA916" i="24"/>
  <c r="AA915" i="24"/>
  <c r="AA914" i="24"/>
  <c r="AA913" i="24"/>
  <c r="AA912" i="24"/>
  <c r="AA911" i="24"/>
  <c r="AA910" i="24"/>
  <c r="AA909" i="24"/>
  <c r="AA908" i="24"/>
  <c r="AA907" i="24"/>
  <c r="AA906" i="24"/>
  <c r="AA905" i="24"/>
  <c r="AA904" i="24"/>
  <c r="AA903" i="24"/>
  <c r="AA822" i="24"/>
  <c r="AA821" i="24"/>
  <c r="AA820" i="24"/>
  <c r="AA819" i="24"/>
  <c r="AA818" i="24"/>
  <c r="AA817" i="24"/>
  <c r="AA816" i="24"/>
  <c r="AA815" i="24"/>
  <c r="AA814" i="24"/>
  <c r="AA813" i="24"/>
  <c r="AA812" i="24"/>
  <c r="AA811" i="24"/>
  <c r="AA810" i="24"/>
  <c r="AA809" i="24"/>
  <c r="AA808" i="24"/>
  <c r="AA807" i="24"/>
  <c r="AA806" i="24"/>
  <c r="AA805" i="24"/>
  <c r="AA804" i="24"/>
  <c r="AA803" i="24"/>
  <c r="AA722" i="24"/>
  <c r="AA721" i="24"/>
  <c r="AA720" i="24"/>
  <c r="AA719" i="24"/>
  <c r="AA718" i="24"/>
  <c r="AA717" i="24"/>
  <c r="AA716" i="24"/>
  <c r="AA715" i="24"/>
  <c r="AA714" i="24"/>
  <c r="AA713" i="24"/>
  <c r="AA712" i="24"/>
  <c r="AA711" i="24"/>
  <c r="AA710" i="24"/>
  <c r="AA709" i="24"/>
  <c r="AA708" i="24"/>
  <c r="AA707" i="24"/>
  <c r="AA706" i="24"/>
  <c r="AA705" i="24"/>
  <c r="AA704" i="24"/>
  <c r="AA703" i="24"/>
  <c r="AA622" i="24"/>
  <c r="AA621" i="24"/>
  <c r="AA620" i="24"/>
  <c r="AA619" i="24"/>
  <c r="AA618" i="24"/>
  <c r="AA617" i="24"/>
  <c r="AA616" i="24"/>
  <c r="AA615" i="24"/>
  <c r="AA614" i="24"/>
  <c r="AA613" i="24"/>
  <c r="AA612" i="24"/>
  <c r="AA611" i="24"/>
  <c r="AA610" i="24"/>
  <c r="AA609" i="24"/>
  <c r="AA608" i="24"/>
  <c r="AA607" i="24"/>
  <c r="AA606" i="24"/>
  <c r="AA605" i="24"/>
  <c r="AA604" i="24"/>
  <c r="AA603" i="24"/>
  <c r="AF683" i="24"/>
  <c r="AF583" i="24"/>
  <c r="AB341" i="24"/>
  <c r="AC341" i="24" s="1"/>
  <c r="AB338" i="24"/>
  <c r="AC338" i="24" s="1"/>
  <c r="AB339" i="24"/>
  <c r="AC339" i="24" s="1"/>
  <c r="AB340" i="24"/>
  <c r="AC340" i="24" s="1"/>
  <c r="AC329" i="24"/>
  <c r="AC328" i="24"/>
  <c r="AD112" i="24"/>
  <c r="AC112" i="24" s="1"/>
  <c r="BK184" i="24"/>
  <c r="C73" i="24"/>
  <c r="AC131" i="24"/>
  <c r="AC132" i="24"/>
  <c r="AC134" i="24"/>
  <c r="BM184" i="24" l="1"/>
  <c r="BL184" i="24"/>
  <c r="BE307" i="24"/>
  <c r="D106" i="19"/>
  <c r="AC68" i="24"/>
  <c r="E91" i="24"/>
  <c r="B22" i="19"/>
  <c r="AB25" i="24"/>
  <c r="AB26" i="24"/>
  <c r="AB27" i="24"/>
  <c r="AB28" i="24"/>
  <c r="AB29" i="24"/>
  <c r="AB30" i="24"/>
  <c r="AB31" i="24"/>
  <c r="AB32" i="24"/>
  <c r="AB33" i="24"/>
  <c r="AB34" i="24"/>
  <c r="AB35" i="24"/>
  <c r="AB36" i="24"/>
  <c r="AB37" i="24"/>
  <c r="AB38" i="24"/>
  <c r="AB39" i="24"/>
  <c r="AB40" i="24"/>
  <c r="AB24" i="24"/>
  <c r="AB18" i="24"/>
  <c r="AB19" i="24"/>
  <c r="AB20" i="24"/>
  <c r="AB21" i="24"/>
  <c r="AB22" i="24"/>
  <c r="AB17" i="24"/>
  <c r="AO137" i="24"/>
  <c r="AP137" i="24"/>
  <c r="BE179" i="24" l="1"/>
  <c r="BD457" i="24"/>
  <c r="BI179" i="24"/>
  <c r="BJ179" i="24"/>
  <c r="BH179" i="24"/>
  <c r="BD179" i="24"/>
  <c r="BK179" i="24"/>
  <c r="BG179" i="24"/>
  <c r="BC179" i="24"/>
  <c r="BF179" i="24"/>
  <c r="D14" i="24"/>
  <c r="AD162" i="24" s="1"/>
  <c r="D13" i="24"/>
  <c r="C13" i="24"/>
  <c r="B13" i="24"/>
  <c r="AC12" i="24"/>
  <c r="D12" i="24"/>
  <c r="C12" i="24"/>
  <c r="B12" i="24"/>
  <c r="AC11" i="24"/>
  <c r="D11" i="24"/>
  <c r="C11" i="24"/>
  <c r="B11" i="24"/>
  <c r="AC10" i="24"/>
  <c r="D10" i="24"/>
  <c r="C10" i="24"/>
  <c r="B10" i="24"/>
  <c r="AC9" i="24"/>
  <c r="D9" i="24"/>
  <c r="C9" i="24"/>
  <c r="B9" i="24"/>
  <c r="T18" i="24" l="1"/>
  <c r="H18" i="24"/>
  <c r="L18" i="24"/>
  <c r="D18" i="24"/>
  <c r="P18" i="24"/>
  <c r="D8" i="24"/>
  <c r="BD162" i="24"/>
  <c r="BD160" i="24"/>
  <c r="BD159" i="24"/>
  <c r="BD158" i="24"/>
  <c r="BD157" i="24"/>
  <c r="BD156" i="24"/>
  <c r="BD155" i="24"/>
  <c r="BD170" i="24"/>
  <c r="BD172" i="24"/>
  <c r="BD171" i="24"/>
  <c r="BD169" i="24"/>
  <c r="BD168" i="24"/>
  <c r="BD167" i="24"/>
  <c r="BD166" i="24"/>
  <c r="BD165" i="24"/>
  <c r="BD164" i="24"/>
  <c r="BD163" i="24"/>
  <c r="E90" i="24"/>
  <c r="C90" i="24" s="1"/>
  <c r="BC322" i="24" s="1"/>
  <c r="C91" i="24"/>
  <c r="E70" i="24"/>
  <c r="C70" i="24" s="1"/>
  <c r="E71" i="24"/>
  <c r="C71" i="24" s="1"/>
  <c r="E72" i="24"/>
  <c r="C72" i="24" s="1"/>
  <c r="E69" i="24"/>
  <c r="C69" i="24" s="1"/>
  <c r="BD173" i="24" l="1"/>
  <c r="BD174" i="24" s="1"/>
  <c r="H140" i="17"/>
  <c r="G140" i="17"/>
  <c r="G195" i="17"/>
  <c r="H195" i="17"/>
  <c r="BCD125" i="17"/>
  <c r="G163" i="17" l="1"/>
  <c r="D158" i="17" l="1"/>
  <c r="H158" i="17"/>
  <c r="G158" i="17"/>
  <c r="PB110" i="17"/>
  <c r="C71" i="23" l="1"/>
  <c r="D58" i="23"/>
  <c r="D59" i="23"/>
  <c r="G13" i="23"/>
  <c r="F13" i="23"/>
  <c r="F11" i="23" s="1"/>
  <c r="E13" i="23"/>
  <c r="D13" i="23"/>
  <c r="G10" i="23"/>
  <c r="G11" i="23" s="1"/>
  <c r="F10" i="23"/>
  <c r="E10" i="23"/>
  <c r="D10" i="23"/>
  <c r="C10" i="23"/>
  <c r="C11" i="23" s="1"/>
  <c r="C12" i="23" s="1"/>
  <c r="D11" i="23" l="1"/>
  <c r="E11" i="23"/>
  <c r="E10" i="24"/>
  <c r="E11" i="24"/>
  <c r="E12" i="24"/>
  <c r="E13" i="24"/>
  <c r="E9" i="24"/>
  <c r="F19" i="24"/>
  <c r="L30" i="24"/>
  <c r="K30" i="24" s="1"/>
  <c r="N19" i="24"/>
  <c r="D22" i="24"/>
  <c r="F21" i="24"/>
  <c r="R21" i="24"/>
  <c r="H34" i="24"/>
  <c r="G34" i="24" s="1"/>
  <c r="J21" i="24"/>
  <c r="G12" i="23" l="1"/>
  <c r="D12" i="23"/>
  <c r="E12" i="23"/>
  <c r="F12" i="23"/>
  <c r="D32" i="24"/>
  <c r="D30" i="24"/>
  <c r="D23" i="24"/>
  <c r="D29" i="24"/>
  <c r="D26" i="24"/>
  <c r="H31" i="24"/>
  <c r="G31" i="24" s="1"/>
  <c r="H24" i="24"/>
  <c r="G24" i="24" s="1"/>
  <c r="H30" i="24"/>
  <c r="G30" i="24" s="1"/>
  <c r="H23" i="24"/>
  <c r="G23" i="24" s="1"/>
  <c r="H22" i="24"/>
  <c r="G22" i="24" s="1"/>
  <c r="L21" i="24"/>
  <c r="K21" i="24" s="1"/>
  <c r="L31" i="24"/>
  <c r="K31" i="24" s="1"/>
  <c r="L28" i="24"/>
  <c r="K28" i="24" s="1"/>
  <c r="L32" i="24"/>
  <c r="K32" i="24" s="1"/>
  <c r="H21" i="24"/>
  <c r="G21" i="24" s="1"/>
  <c r="L23" i="24"/>
  <c r="K23" i="24" s="1"/>
  <c r="H37" i="24"/>
  <c r="G37" i="24" s="1"/>
  <c r="L25" i="24"/>
  <c r="K25" i="24" s="1"/>
  <c r="H36" i="24"/>
  <c r="G36" i="24" s="1"/>
  <c r="L26" i="24"/>
  <c r="K26" i="24" s="1"/>
  <c r="L22" i="24"/>
  <c r="K22" i="24" s="1"/>
  <c r="H35" i="24"/>
  <c r="G35" i="24" s="1"/>
  <c r="L27" i="24"/>
  <c r="K27" i="24" s="1"/>
  <c r="H33" i="24"/>
  <c r="G33" i="24" s="1"/>
  <c r="L29" i="24"/>
  <c r="K29" i="24" s="1"/>
  <c r="D24" i="24"/>
  <c r="B19" i="24"/>
  <c r="H32" i="24"/>
  <c r="G32" i="24" s="1"/>
  <c r="T38" i="24"/>
  <c r="S38" i="24" s="1"/>
  <c r="R19" i="24"/>
  <c r="L33" i="24"/>
  <c r="K33" i="24" s="1"/>
  <c r="J19" i="24"/>
  <c r="D21" i="24"/>
  <c r="C21" i="24" s="1"/>
  <c r="H29" i="24"/>
  <c r="G29" i="24" s="1"/>
  <c r="L34" i="24"/>
  <c r="K34" i="24" s="1"/>
  <c r="D38" i="24"/>
  <c r="H28" i="24"/>
  <c r="G28" i="24" s="1"/>
  <c r="L35" i="24"/>
  <c r="K35" i="24" s="1"/>
  <c r="D33" i="24"/>
  <c r="H27" i="24"/>
  <c r="G27" i="24" s="1"/>
  <c r="L36" i="24"/>
  <c r="K36" i="24" s="1"/>
  <c r="H26" i="24"/>
  <c r="G26" i="24" s="1"/>
  <c r="L37" i="24"/>
  <c r="K37" i="24" s="1"/>
  <c r="D31" i="24"/>
  <c r="H25" i="24"/>
  <c r="G25" i="24" s="1"/>
  <c r="L38" i="24"/>
  <c r="K38" i="24" s="1"/>
  <c r="H38" i="24"/>
  <c r="G38" i="24" s="1"/>
  <c r="L24" i="24"/>
  <c r="K24" i="24" s="1"/>
  <c r="D27" i="24"/>
  <c r="T27" i="24"/>
  <c r="S27" i="24" s="1"/>
  <c r="T28" i="24"/>
  <c r="S28" i="24" s="1"/>
  <c r="T29" i="24"/>
  <c r="S29" i="24" s="1"/>
  <c r="T30" i="24"/>
  <c r="S30" i="24" s="1"/>
  <c r="T21" i="24"/>
  <c r="S21" i="24" s="1"/>
  <c r="T36" i="24"/>
  <c r="S36" i="24" s="1"/>
  <c r="T22" i="24"/>
  <c r="S22" i="24" s="1"/>
  <c r="T37" i="24"/>
  <c r="S37" i="24" s="1"/>
  <c r="T34" i="24"/>
  <c r="S34" i="24" s="1"/>
  <c r="T26" i="24"/>
  <c r="S26" i="24" s="1"/>
  <c r="T33" i="24"/>
  <c r="S33" i="24" s="1"/>
  <c r="D37" i="24"/>
  <c r="D25" i="24"/>
  <c r="D34" i="24"/>
  <c r="T35" i="24"/>
  <c r="S35" i="24" s="1"/>
  <c r="T23" i="24"/>
  <c r="S23" i="24" s="1"/>
  <c r="T31" i="24"/>
  <c r="S31" i="24" s="1"/>
  <c r="T24" i="24"/>
  <c r="S24" i="24" s="1"/>
  <c r="T32" i="24"/>
  <c r="S32" i="24" s="1"/>
  <c r="T25" i="24"/>
  <c r="S25" i="24" s="1"/>
  <c r="D36" i="24"/>
  <c r="D28" i="24"/>
  <c r="D35" i="24"/>
  <c r="D38" i="23" l="1"/>
  <c r="D49" i="23"/>
  <c r="D45" i="23"/>
  <c r="D48" i="23"/>
  <c r="D47" i="23"/>
  <c r="D46" i="23"/>
  <c r="D42" i="23"/>
  <c r="D20" i="23"/>
  <c r="D40" i="23"/>
  <c r="D37" i="23"/>
  <c r="B21" i="24"/>
  <c r="BB2401" i="24"/>
  <c r="AB2401" i="24"/>
  <c r="BB2301" i="24"/>
  <c r="AB2301" i="24"/>
  <c r="BB2201" i="24"/>
  <c r="AB2201" i="24"/>
  <c r="BB2101" i="24"/>
  <c r="AB2101" i="24"/>
  <c r="BB2001" i="24"/>
  <c r="AB2001" i="24"/>
  <c r="BB1901" i="24"/>
  <c r="AB1901" i="24"/>
  <c r="BB1801" i="24"/>
  <c r="AB1801" i="24"/>
  <c r="BB1701" i="24"/>
  <c r="AB1701" i="24"/>
  <c r="BB1601" i="24"/>
  <c r="AB1601" i="24"/>
  <c r="BB1501" i="24"/>
  <c r="AB1501" i="24"/>
  <c r="BB1401" i="24"/>
  <c r="AB1401" i="24"/>
  <c r="BB1301" i="24"/>
  <c r="AB1301" i="24"/>
  <c r="BB1201" i="24"/>
  <c r="AB1201" i="24"/>
  <c r="BB1101" i="24"/>
  <c r="AB1101" i="24"/>
  <c r="BB1001" i="24"/>
  <c r="AB1001" i="24"/>
  <c r="BB901" i="24"/>
  <c r="AB901" i="24"/>
  <c r="BB801" i="24"/>
  <c r="AB801" i="24"/>
  <c r="BB701" i="24"/>
  <c r="AB701" i="24"/>
  <c r="BB601" i="24"/>
  <c r="AB601" i="24"/>
  <c r="BA523" i="24"/>
  <c r="AA522" i="24"/>
  <c r="BA522" i="24"/>
  <c r="AA521" i="24"/>
  <c r="BA521" i="24"/>
  <c r="AA520" i="24"/>
  <c r="BA520" i="24"/>
  <c r="AA519" i="24"/>
  <c r="BA519" i="24"/>
  <c r="AA518" i="24"/>
  <c r="BA518" i="24"/>
  <c r="AA517" i="24"/>
  <c r="BA517" i="24"/>
  <c r="AA516" i="24"/>
  <c r="BA516" i="24"/>
  <c r="AA515" i="24"/>
  <c r="BA515" i="24"/>
  <c r="AA514" i="24"/>
  <c r="BA514" i="24"/>
  <c r="AA513" i="24"/>
  <c r="BA513" i="24"/>
  <c r="AA512" i="24"/>
  <c r="BA512" i="24"/>
  <c r="AA511" i="24"/>
  <c r="BA511" i="24"/>
  <c r="AA510" i="24"/>
  <c r="BA510" i="24"/>
  <c r="AA509" i="24"/>
  <c r="BA509" i="24"/>
  <c r="AA508" i="24"/>
  <c r="BA508" i="24"/>
  <c r="AA507" i="24"/>
  <c r="BA507" i="24"/>
  <c r="AA506" i="24"/>
  <c r="BA506" i="24"/>
  <c r="AA505" i="24"/>
  <c r="BA505" i="24"/>
  <c r="AA504" i="24"/>
  <c r="BA504" i="24"/>
  <c r="AA503" i="24"/>
  <c r="BB501" i="24"/>
  <c r="AB501" i="24"/>
  <c r="BB393" i="24"/>
  <c r="AB394" i="24"/>
  <c r="BB392" i="24"/>
  <c r="AB393" i="24"/>
  <c r="BB391" i="24"/>
  <c r="AB392" i="24"/>
  <c r="BB390" i="24"/>
  <c r="AB391" i="24"/>
  <c r="BB389" i="24"/>
  <c r="AB390" i="24"/>
  <c r="BB388" i="24"/>
  <c r="AB389" i="24"/>
  <c r="BB387" i="24"/>
  <c r="AB388" i="24"/>
  <c r="BB386" i="24"/>
  <c r="AB387" i="24"/>
  <c r="BB385" i="24"/>
  <c r="AB386" i="24"/>
  <c r="BB384" i="24"/>
  <c r="AB385" i="24"/>
  <c r="BB383" i="24"/>
  <c r="AB384" i="24"/>
  <c r="BB382" i="24"/>
  <c r="AB383" i="24"/>
  <c r="BB381" i="24"/>
  <c r="AB382" i="24"/>
  <c r="BB380" i="24"/>
  <c r="AB381" i="24"/>
  <c r="BB379" i="24"/>
  <c r="AB380" i="24"/>
  <c r="BB378" i="24"/>
  <c r="AB379" i="24"/>
  <c r="BB377" i="24"/>
  <c r="AB378" i="24"/>
  <c r="BB376" i="24"/>
  <c r="AB377" i="24"/>
  <c r="BB375" i="24"/>
  <c r="AB376" i="24"/>
  <c r="BB374" i="24"/>
  <c r="AB375" i="24"/>
  <c r="BB341" i="24"/>
  <c r="BC341" i="24" s="1"/>
  <c r="BB340" i="24"/>
  <c r="BC340" i="24" s="1"/>
  <c r="BB339" i="24"/>
  <c r="BC339" i="24" s="1"/>
  <c r="BB338" i="24"/>
  <c r="BC338" i="24" s="1"/>
  <c r="BB337" i="24"/>
  <c r="BC337" i="24" s="1"/>
  <c r="BB336" i="24"/>
  <c r="BC336" i="24" s="1"/>
  <c r="AB337" i="24"/>
  <c r="AC337" i="24" s="1"/>
  <c r="BB335" i="24"/>
  <c r="BC335" i="24" s="1"/>
  <c r="AB336" i="24"/>
  <c r="AC336" i="24" s="1"/>
  <c r="BB334" i="24"/>
  <c r="BC334" i="24" s="1"/>
  <c r="AB335" i="24"/>
  <c r="AC335" i="24" s="1"/>
  <c r="BB333" i="24"/>
  <c r="BC333" i="24" s="1"/>
  <c r="AB334" i="24"/>
  <c r="BB328" i="24"/>
  <c r="AB329" i="24"/>
  <c r="BB327" i="24"/>
  <c r="AB328" i="24"/>
  <c r="BB326" i="24"/>
  <c r="BC326" i="24" s="1"/>
  <c r="AB327" i="24"/>
  <c r="AC327" i="24" s="1"/>
  <c r="BB325" i="24"/>
  <c r="BC325" i="24" s="1"/>
  <c r="AB326" i="24"/>
  <c r="AC326" i="24" s="1"/>
  <c r="BB324" i="24"/>
  <c r="BC324" i="24" s="1"/>
  <c r="AB325" i="24"/>
  <c r="AC325" i="24" s="1"/>
  <c r="BB323" i="24"/>
  <c r="BC323" i="24" s="1"/>
  <c r="AB324" i="24"/>
  <c r="AC324" i="24" s="1"/>
  <c r="AB323" i="24"/>
  <c r="AC323" i="24" s="1"/>
  <c r="K128" i="24"/>
  <c r="J128" i="24"/>
  <c r="N125" i="24"/>
  <c r="M125" i="24"/>
  <c r="L125" i="24"/>
  <c r="K125" i="24"/>
  <c r="J125" i="24"/>
  <c r="I125" i="24"/>
  <c r="H125" i="24"/>
  <c r="G125" i="24"/>
  <c r="F125" i="24"/>
  <c r="N124" i="24"/>
  <c r="M124" i="24"/>
  <c r="L124" i="24"/>
  <c r="K124" i="24"/>
  <c r="J124" i="24"/>
  <c r="I124" i="24"/>
  <c r="H124" i="24"/>
  <c r="G124" i="24"/>
  <c r="F124" i="24"/>
  <c r="N123" i="24"/>
  <c r="M123" i="24"/>
  <c r="L123" i="24"/>
  <c r="K123" i="24"/>
  <c r="J123" i="24"/>
  <c r="I123" i="24"/>
  <c r="H123" i="24"/>
  <c r="G123" i="24"/>
  <c r="F123" i="24"/>
  <c r="BJ178" i="24"/>
  <c r="BI178" i="24"/>
  <c r="BH178" i="24"/>
  <c r="BG178" i="24"/>
  <c r="BF178" i="24"/>
  <c r="BE178" i="24"/>
  <c r="BD178" i="24"/>
  <c r="BC178" i="24"/>
  <c r="N122" i="24"/>
  <c r="M122" i="24"/>
  <c r="L122" i="24"/>
  <c r="K122" i="24"/>
  <c r="J122" i="24"/>
  <c r="I122" i="24"/>
  <c r="H122" i="24"/>
  <c r="G122" i="24"/>
  <c r="F122" i="24"/>
  <c r="BK177" i="24"/>
  <c r="BK183" i="24" s="1"/>
  <c r="BJ177" i="24"/>
  <c r="BJ183" i="24" s="1"/>
  <c r="BI177" i="24"/>
  <c r="BI183" i="24" s="1"/>
  <c r="BH177" i="24"/>
  <c r="BH183" i="24" s="1"/>
  <c r="BG177" i="24"/>
  <c r="BG183" i="24" s="1"/>
  <c r="BF177" i="24"/>
  <c r="BF183" i="24" s="1"/>
  <c r="BE177" i="24"/>
  <c r="BE183" i="24" s="1"/>
  <c r="BD177" i="24"/>
  <c r="BD183" i="24" s="1"/>
  <c r="BC177" i="24"/>
  <c r="BC183" i="24" s="1"/>
  <c r="N121" i="24"/>
  <c r="M121" i="24"/>
  <c r="L121" i="24"/>
  <c r="K121" i="24"/>
  <c r="J121" i="24"/>
  <c r="I121" i="24"/>
  <c r="H121" i="24"/>
  <c r="G121" i="24"/>
  <c r="F121" i="24"/>
  <c r="N120" i="24"/>
  <c r="M120" i="24"/>
  <c r="L120" i="24"/>
  <c r="K120" i="24"/>
  <c r="J120" i="24"/>
  <c r="I120" i="24"/>
  <c r="H120" i="24"/>
  <c r="G120" i="24"/>
  <c r="F120" i="24"/>
  <c r="AJ177" i="24"/>
  <c r="AJ183" i="24" s="1"/>
  <c r="AI177" i="24"/>
  <c r="AI183" i="24" s="1"/>
  <c r="AH177" i="24"/>
  <c r="AH183" i="24" s="1"/>
  <c r="AG177" i="24"/>
  <c r="AG183" i="24" s="1"/>
  <c r="AF177" i="24"/>
  <c r="AF183" i="24" s="1"/>
  <c r="AE177" i="24"/>
  <c r="AE183" i="24" s="1"/>
  <c r="AD177" i="24"/>
  <c r="AD183" i="24" s="1"/>
  <c r="AC177" i="24"/>
  <c r="AC183" i="24" s="1"/>
  <c r="N119" i="24"/>
  <c r="M119" i="24"/>
  <c r="L119" i="24"/>
  <c r="K119" i="24"/>
  <c r="J119" i="24"/>
  <c r="I119" i="24"/>
  <c r="H119" i="24"/>
  <c r="G119" i="24"/>
  <c r="F119" i="24"/>
  <c r="N118" i="24"/>
  <c r="M118" i="24"/>
  <c r="L118" i="24"/>
  <c r="K118" i="24"/>
  <c r="J118" i="24"/>
  <c r="F118" i="24"/>
  <c r="N117" i="24"/>
  <c r="M117" i="24"/>
  <c r="L117" i="24"/>
  <c r="K117" i="24"/>
  <c r="J117" i="24"/>
  <c r="I117" i="24"/>
  <c r="H117" i="24"/>
  <c r="G117" i="24"/>
  <c r="F117" i="24"/>
  <c r="I106" i="24"/>
  <c r="I118" i="24" s="1"/>
  <c r="H106" i="24"/>
  <c r="H118" i="24" s="1"/>
  <c r="G106" i="24"/>
  <c r="G118" i="24" s="1"/>
  <c r="BE149" i="24"/>
  <c r="BE171" i="24" s="1"/>
  <c r="BE148" i="24"/>
  <c r="BE170" i="24" s="1"/>
  <c r="BE147" i="24"/>
  <c r="BE169" i="24" s="1"/>
  <c r="AE149" i="24"/>
  <c r="AE171" i="24" s="1"/>
  <c r="BE146" i="24"/>
  <c r="BE168" i="24" s="1"/>
  <c r="AE148" i="24"/>
  <c r="AE170" i="24" s="1"/>
  <c r="BE145" i="24"/>
  <c r="BE167" i="24" s="1"/>
  <c r="AE147" i="24"/>
  <c r="AE169" i="24" s="1"/>
  <c r="BE144" i="24"/>
  <c r="BE166" i="24" s="1"/>
  <c r="AE146" i="24"/>
  <c r="AE168" i="24" s="1"/>
  <c r="BE143" i="24"/>
  <c r="BE165" i="24" s="1"/>
  <c r="AE145" i="24"/>
  <c r="AE167" i="24" s="1"/>
  <c r="BE142" i="24"/>
  <c r="BE164" i="24" s="1"/>
  <c r="AE144" i="24"/>
  <c r="AE166" i="24" s="1"/>
  <c r="BE141" i="24"/>
  <c r="BE163" i="24" s="1"/>
  <c r="AE143" i="24"/>
  <c r="AE165" i="24" s="1"/>
  <c r="BE140" i="24"/>
  <c r="BE162" i="24" s="1"/>
  <c r="AE142" i="24"/>
  <c r="AE164" i="24" s="1"/>
  <c r="AE141" i="24"/>
  <c r="AE163" i="24" s="1"/>
  <c r="AE140" i="24"/>
  <c r="AE162" i="24" s="1"/>
  <c r="AD75" i="24"/>
  <c r="AD74" i="24"/>
  <c r="AC308" i="24"/>
  <c r="AC307" i="24"/>
  <c r="AC306" i="24"/>
  <c r="AC305" i="24"/>
  <c r="B14" i="24"/>
  <c r="C13" i="11" l="1"/>
  <c r="C12" i="11"/>
  <c r="C17" i="11"/>
  <c r="C14" i="11"/>
  <c r="C18" i="11"/>
  <c r="C15" i="11"/>
  <c r="C19" i="11"/>
  <c r="C16" i="11"/>
  <c r="BE150" i="24"/>
  <c r="AE307" i="24"/>
  <c r="O120" i="24"/>
  <c r="O121" i="24"/>
  <c r="O124" i="24"/>
  <c r="G94" i="24"/>
  <c r="P34" i="24"/>
  <c r="P26" i="24"/>
  <c r="P33" i="24"/>
  <c r="P25" i="24"/>
  <c r="P31" i="24"/>
  <c r="N21" i="24"/>
  <c r="P22" i="24"/>
  <c r="P37" i="24"/>
  <c r="P32" i="24"/>
  <c r="P24" i="24"/>
  <c r="P23" i="24"/>
  <c r="P38" i="24"/>
  <c r="P29" i="24"/>
  <c r="P36" i="24"/>
  <c r="P28" i="24"/>
  <c r="P35" i="24"/>
  <c r="P27" i="24"/>
  <c r="P30" i="24"/>
  <c r="P21" i="24"/>
  <c r="O21" i="24" s="1"/>
  <c r="AC107" i="24"/>
  <c r="AH184" i="24" s="1"/>
  <c r="AC106" i="24"/>
  <c r="AG184" i="24" s="1"/>
  <c r="C28" i="24"/>
  <c r="C27" i="11" s="1"/>
  <c r="AC79" i="24"/>
  <c r="C22" i="24"/>
  <c r="C20" i="11" s="1"/>
  <c r="C24" i="24"/>
  <c r="C22" i="11" s="1"/>
  <c r="C25" i="24"/>
  <c r="C23" i="11" s="1"/>
  <c r="C30" i="24"/>
  <c r="C34" i="24"/>
  <c r="C26" i="11" s="1"/>
  <c r="C31" i="24"/>
  <c r="C35" i="24"/>
  <c r="C38" i="24"/>
  <c r="C29" i="24"/>
  <c r="AC109" i="24"/>
  <c r="AJ184" i="24" s="1"/>
  <c r="O118" i="24"/>
  <c r="C26" i="24"/>
  <c r="C24" i="11" s="1"/>
  <c r="C36" i="24"/>
  <c r="O123" i="24"/>
  <c r="C32" i="24"/>
  <c r="C27" i="24"/>
  <c r="C25" i="11" s="1"/>
  <c r="C37" i="24"/>
  <c r="C23" i="24"/>
  <c r="C21" i="11" s="1"/>
  <c r="C33" i="24"/>
  <c r="O119" i="24"/>
  <c r="AC108" i="24"/>
  <c r="AI184" i="24" s="1"/>
  <c r="O117" i="24"/>
  <c r="O122" i="24"/>
  <c r="O125" i="24"/>
  <c r="AH60" i="15"/>
  <c r="AH59" i="15"/>
  <c r="AE60" i="15"/>
  <c r="AE59" i="15"/>
  <c r="AD55" i="15"/>
  <c r="AD54" i="15"/>
  <c r="AD53" i="15"/>
  <c r="AD52" i="15"/>
  <c r="AD51" i="15"/>
  <c r="AD50" i="15"/>
  <c r="AD47" i="15"/>
  <c r="AK40" i="15"/>
  <c r="AJ40" i="15"/>
  <c r="AI40" i="15"/>
  <c r="AH40" i="15"/>
  <c r="AG40" i="15"/>
  <c r="AF40" i="15"/>
  <c r="AE40" i="15"/>
  <c r="AD40" i="15"/>
  <c r="C29" i="11" l="1"/>
  <c r="C28" i="11"/>
  <c r="C95" i="24"/>
  <c r="C94" i="24" s="1"/>
  <c r="D95" i="24"/>
  <c r="D94" i="24" s="1"/>
  <c r="E95" i="24"/>
  <c r="E94" i="24" s="1"/>
  <c r="F94" i="24"/>
  <c r="D43" i="24"/>
  <c r="C43" i="24" s="1"/>
  <c r="BE172" i="24"/>
  <c r="BE173" i="24" s="1"/>
  <c r="BE174" i="24" s="1"/>
  <c r="D48" i="24"/>
  <c r="C48" i="24" s="1"/>
  <c r="D47" i="24"/>
  <c r="C47" i="24" s="1"/>
  <c r="D46" i="24"/>
  <c r="C46" i="24" s="1"/>
  <c r="D45" i="24"/>
  <c r="C45" i="24" s="1"/>
  <c r="D42" i="24"/>
  <c r="C42" i="24" s="1"/>
  <c r="D41" i="24"/>
  <c r="C41" i="24" s="1"/>
  <c r="D44" i="24"/>
  <c r="C44" i="24" s="1"/>
  <c r="O30" i="24"/>
  <c r="D57" i="24"/>
  <c r="C57" i="24" s="1"/>
  <c r="O32" i="24"/>
  <c r="D59" i="24"/>
  <c r="O34" i="24"/>
  <c r="D61" i="24"/>
  <c r="C61" i="24" s="1"/>
  <c r="BC37" i="24" s="1"/>
  <c r="O35" i="24"/>
  <c r="D62" i="24"/>
  <c r="C62" i="24" s="1"/>
  <c r="BC38" i="24" s="1"/>
  <c r="O37" i="24"/>
  <c r="D64" i="24"/>
  <c r="C64" i="24" s="1"/>
  <c r="BC40" i="24" s="1"/>
  <c r="O27" i="24"/>
  <c r="D54" i="24"/>
  <c r="C54" i="24" s="1"/>
  <c r="O36" i="24"/>
  <c r="D63" i="24"/>
  <c r="C63" i="24" s="1"/>
  <c r="BC39" i="24" s="1"/>
  <c r="O29" i="24"/>
  <c r="D56" i="24"/>
  <c r="O31" i="24"/>
  <c r="D58" i="24"/>
  <c r="O26" i="24"/>
  <c r="D53" i="24"/>
  <c r="C53" i="24" s="1"/>
  <c r="O22" i="24"/>
  <c r="D49" i="24"/>
  <c r="C49" i="24" s="1"/>
  <c r="O38" i="24"/>
  <c r="D65" i="24"/>
  <c r="C65" i="24" s="1"/>
  <c r="BC41" i="24" s="1"/>
  <c r="O25" i="24"/>
  <c r="D52" i="24"/>
  <c r="C52" i="24" s="1"/>
  <c r="O24" i="24"/>
  <c r="D51" i="24"/>
  <c r="C51" i="24" s="1"/>
  <c r="O28" i="24"/>
  <c r="D55" i="24"/>
  <c r="C55" i="24" s="1"/>
  <c r="O23" i="24"/>
  <c r="D50" i="24"/>
  <c r="C50" i="24" s="1"/>
  <c r="O33" i="24"/>
  <c r="D60" i="24"/>
  <c r="AC85" i="24"/>
  <c r="AC80" i="24"/>
  <c r="BF167" i="24"/>
  <c r="BF166" i="24"/>
  <c r="BF165" i="24"/>
  <c r="BF160" i="24"/>
  <c r="BF163" i="24"/>
  <c r="BF159" i="24"/>
  <c r="BF157" i="24"/>
  <c r="BF164" i="24"/>
  <c r="BF168" i="24"/>
  <c r="BF162" i="24"/>
  <c r="BF171" i="24"/>
  <c r="BF170" i="24"/>
  <c r="BF158" i="24"/>
  <c r="BF156" i="24"/>
  <c r="BF169" i="24"/>
  <c r="BF155" i="24"/>
  <c r="E19" i="1"/>
  <c r="C18" i="1"/>
  <c r="B10" i="9" s="1"/>
  <c r="D61" i="21"/>
  <c r="D59" i="21"/>
  <c r="D54" i="21"/>
  <c r="D161" i="18"/>
  <c r="D147" i="18"/>
  <c r="D145" i="18"/>
  <c r="D140" i="18"/>
  <c r="D139" i="18"/>
  <c r="D48" i="11"/>
  <c r="D46" i="11"/>
  <c r="D75" i="11"/>
  <c r="D71" i="11"/>
  <c r="D69" i="11"/>
  <c r="D68" i="11"/>
  <c r="D67" i="11"/>
  <c r="EF3490" i="11"/>
  <c r="EF3390" i="11"/>
  <c r="EF3290" i="11"/>
  <c r="EF3190" i="11"/>
  <c r="EF3090" i="11"/>
  <c r="EF2990" i="11"/>
  <c r="EF2890" i="11"/>
  <c r="EF2790" i="11"/>
  <c r="EF2690" i="11"/>
  <c r="EF2590" i="11"/>
  <c r="EF2490" i="11"/>
  <c r="EF2390" i="11"/>
  <c r="EF2290" i="11"/>
  <c r="EF2190" i="11"/>
  <c r="EF2090" i="11"/>
  <c r="EF1990" i="11"/>
  <c r="EF1890" i="11"/>
  <c r="EF1790" i="11"/>
  <c r="EF1690" i="11"/>
  <c r="EF1590" i="11"/>
  <c r="EF1490" i="11"/>
  <c r="EF1390" i="11"/>
  <c r="EF1290" i="11"/>
  <c r="EF1190" i="11"/>
  <c r="EF1090" i="11"/>
  <c r="EF990" i="11"/>
  <c r="EF890" i="11"/>
  <c r="EF790" i="11"/>
  <c r="EF690" i="11"/>
  <c r="EF590" i="11"/>
  <c r="DF3490" i="11"/>
  <c r="DF3390" i="11"/>
  <c r="DF3290" i="11"/>
  <c r="DF3190" i="11"/>
  <c r="DF3090" i="11"/>
  <c r="DF2990" i="11"/>
  <c r="DF2890" i="11"/>
  <c r="DF2790" i="11"/>
  <c r="DF2690" i="11"/>
  <c r="DF2590" i="11"/>
  <c r="DF2490" i="11"/>
  <c r="DF2390" i="11"/>
  <c r="DF2290" i="11"/>
  <c r="DF2190" i="11"/>
  <c r="DF2090" i="11"/>
  <c r="DF1990" i="11"/>
  <c r="DF1890" i="11"/>
  <c r="DF1790" i="11"/>
  <c r="DF1690" i="11"/>
  <c r="DF1590" i="11"/>
  <c r="DF1490" i="11"/>
  <c r="DF1390" i="11"/>
  <c r="DF1290" i="11"/>
  <c r="DF1190" i="11"/>
  <c r="DF1090" i="11"/>
  <c r="DF990" i="11"/>
  <c r="DF890" i="11"/>
  <c r="DF790" i="11"/>
  <c r="DF690" i="11"/>
  <c r="DF590" i="11"/>
  <c r="CF3490" i="11"/>
  <c r="CF3390" i="11"/>
  <c r="CF3290" i="11"/>
  <c r="CF3190" i="11"/>
  <c r="CF3090" i="11"/>
  <c r="CF2990" i="11"/>
  <c r="CF2890" i="11"/>
  <c r="CF2790" i="11"/>
  <c r="CF2690" i="11"/>
  <c r="CF2590" i="11"/>
  <c r="CF2490" i="11"/>
  <c r="CF2390" i="11"/>
  <c r="CF2290" i="11"/>
  <c r="CF2190" i="11"/>
  <c r="CF2090" i="11"/>
  <c r="CF1990" i="11"/>
  <c r="CF1890" i="11"/>
  <c r="CF1790" i="11"/>
  <c r="CF1690" i="11"/>
  <c r="CF1590" i="11"/>
  <c r="CF1490" i="11"/>
  <c r="CF1390" i="11"/>
  <c r="CF1290" i="11"/>
  <c r="CF1190" i="11"/>
  <c r="CF1090" i="11"/>
  <c r="CF990" i="11"/>
  <c r="CF890" i="11"/>
  <c r="CF790" i="11"/>
  <c r="CF690" i="11"/>
  <c r="CF590" i="11"/>
  <c r="BF3490" i="11"/>
  <c r="BF3390" i="11"/>
  <c r="BF3290" i="11"/>
  <c r="BF3190" i="11"/>
  <c r="BF3090" i="11"/>
  <c r="BF2990" i="11"/>
  <c r="BF2890" i="11"/>
  <c r="BF2790" i="11"/>
  <c r="BF2690" i="11"/>
  <c r="BF2590" i="11"/>
  <c r="BF2490" i="11"/>
  <c r="BF2390" i="11"/>
  <c r="BF2290" i="11"/>
  <c r="BF2190" i="11"/>
  <c r="BF2090" i="11"/>
  <c r="BF1990" i="11"/>
  <c r="BF1890" i="11"/>
  <c r="BF1790" i="11"/>
  <c r="BF1690" i="11"/>
  <c r="BF1590" i="11"/>
  <c r="BF1490" i="11"/>
  <c r="BF1390" i="11"/>
  <c r="BF1290" i="11"/>
  <c r="BF1190" i="11"/>
  <c r="BF1090" i="11"/>
  <c r="BF990" i="11"/>
  <c r="BF890" i="11"/>
  <c r="BF790" i="11"/>
  <c r="BF690" i="11"/>
  <c r="BF590" i="11"/>
  <c r="G207" i="17"/>
  <c r="G203" i="17"/>
  <c r="G201" i="17"/>
  <c r="G200" i="17"/>
  <c r="G194" i="17"/>
  <c r="G192" i="17"/>
  <c r="G191" i="17"/>
  <c r="G189" i="17"/>
  <c r="G188" i="17"/>
  <c r="G179" i="17"/>
  <c r="G178" i="17"/>
  <c r="G177" i="17"/>
  <c r="G176" i="17"/>
  <c r="G175" i="17"/>
  <c r="G168" i="17"/>
  <c r="G161" i="17"/>
  <c r="G155" i="17"/>
  <c r="G154" i="17"/>
  <c r="G152" i="17"/>
  <c r="G151" i="17"/>
  <c r="G150" i="17"/>
  <c r="G148" i="17"/>
  <c r="C69" i="19"/>
  <c r="C67" i="19"/>
  <c r="C62" i="19"/>
  <c r="C46" i="19"/>
  <c r="C44" i="19"/>
  <c r="C39" i="19"/>
  <c r="C38" i="19"/>
  <c r="C15" i="19"/>
  <c r="BC31" i="24" l="1"/>
  <c r="C105" i="24"/>
  <c r="BM140" i="11"/>
  <c r="BN140" i="11" s="1"/>
  <c r="C127" i="24"/>
  <c r="C128" i="24"/>
  <c r="C135" i="24"/>
  <c r="C131" i="24"/>
  <c r="C132" i="24"/>
  <c r="C124" i="24"/>
  <c r="C129" i="24"/>
  <c r="C133" i="24"/>
  <c r="C130" i="24"/>
  <c r="C134" i="24"/>
  <c r="C125" i="24"/>
  <c r="C122" i="24"/>
  <c r="D89" i="24"/>
  <c r="C123" i="24"/>
  <c r="C126" i="24"/>
  <c r="BK140" i="11"/>
  <c r="BJ140" i="11"/>
  <c r="BL140" i="11"/>
  <c r="BC30" i="24"/>
  <c r="C60" i="24"/>
  <c r="AC35" i="24" s="1"/>
  <c r="BC26" i="24"/>
  <c r="BC27" i="24"/>
  <c r="BC28" i="24"/>
  <c r="C56" i="24"/>
  <c r="BC32" i="24" s="1"/>
  <c r="C59" i="24"/>
  <c r="AC34" i="24" s="1"/>
  <c r="BC29" i="24"/>
  <c r="C58" i="24"/>
  <c r="BC25" i="24"/>
  <c r="AC32" i="24"/>
  <c r="AD71" i="24" s="1"/>
  <c r="AC71" i="24" s="1"/>
  <c r="BC33" i="24"/>
  <c r="BC24" i="24"/>
  <c r="AE160" i="24"/>
  <c r="AC27" i="24"/>
  <c r="C115" i="24"/>
  <c r="AC36" i="24"/>
  <c r="C119" i="24"/>
  <c r="AC40" i="24"/>
  <c r="AC24" i="24"/>
  <c r="AC28" i="24"/>
  <c r="AC23" i="24"/>
  <c r="C117" i="24"/>
  <c r="AC38" i="24"/>
  <c r="AC25" i="24"/>
  <c r="AC29" i="24"/>
  <c r="C114" i="24"/>
  <c r="AC30" i="24"/>
  <c r="C118" i="24"/>
  <c r="AC39" i="24"/>
  <c r="AC26" i="24"/>
  <c r="C116" i="24"/>
  <c r="AC37" i="24"/>
  <c r="C113" i="24"/>
  <c r="C110" i="24"/>
  <c r="C108" i="24"/>
  <c r="C106" i="24"/>
  <c r="C109" i="24"/>
  <c r="C107" i="24"/>
  <c r="C101" i="24"/>
  <c r="C103" i="24"/>
  <c r="C100" i="24"/>
  <c r="C104" i="24"/>
  <c r="AC21" i="24" s="1"/>
  <c r="C102" i="24"/>
  <c r="AD14" i="24"/>
  <c r="BF172" i="24"/>
  <c r="C13" i="19"/>
  <c r="C12" i="19"/>
  <c r="C11" i="19"/>
  <c r="C46" i="9"/>
  <c r="D42" i="9"/>
  <c r="E46" i="22"/>
  <c r="E45" i="22"/>
  <c r="D45" i="22"/>
  <c r="E36" i="22"/>
  <c r="E35" i="22"/>
  <c r="E34" i="22"/>
  <c r="D34" i="22"/>
  <c r="R24" i="22"/>
  <c r="S24" i="22" s="1"/>
  <c r="S23" i="22"/>
  <c r="N24" i="22"/>
  <c r="M24" i="22"/>
  <c r="N23" i="22"/>
  <c r="H24" i="22"/>
  <c r="I24" i="22" s="1"/>
  <c r="I23" i="22"/>
  <c r="D24" i="22"/>
  <c r="D23" i="22"/>
  <c r="C24" i="22"/>
  <c r="P17" i="22"/>
  <c r="O17" i="22"/>
  <c r="N17" i="22"/>
  <c r="M17" i="22"/>
  <c r="P16" i="22"/>
  <c r="O16" i="22"/>
  <c r="N16" i="22"/>
  <c r="M16" i="22"/>
  <c r="C17" i="22"/>
  <c r="D16" i="22"/>
  <c r="I16" i="22"/>
  <c r="H17" i="22"/>
  <c r="BC194" i="24" l="1"/>
  <c r="AC322" i="24"/>
  <c r="BC329" i="24"/>
  <c r="H33" i="1"/>
  <c r="H35" i="1"/>
  <c r="H34" i="1"/>
  <c r="AD103" i="24"/>
  <c r="AC103" i="24" s="1"/>
  <c r="AD184" i="24" s="1"/>
  <c r="AD104" i="24"/>
  <c r="AC104" i="24" s="1"/>
  <c r="AE184" i="24" s="1"/>
  <c r="AD105" i="24"/>
  <c r="AC105" i="24" s="1"/>
  <c r="AF184" i="24" s="1"/>
  <c r="AD70" i="24"/>
  <c r="AC70" i="24" s="1"/>
  <c r="BC36" i="24"/>
  <c r="C111" i="24"/>
  <c r="AD72" i="24"/>
  <c r="AC72" i="24" s="1"/>
  <c r="BC34" i="24"/>
  <c r="AC33" i="24"/>
  <c r="AC31" i="24"/>
  <c r="C138" i="24"/>
  <c r="C112" i="24"/>
  <c r="C141" i="24"/>
  <c r="C139" i="24"/>
  <c r="C140" i="24"/>
  <c r="BC35" i="24"/>
  <c r="BC22" i="24"/>
  <c r="AC18" i="24"/>
  <c r="BC19" i="24"/>
  <c r="AC17" i="24"/>
  <c r="BC18" i="24"/>
  <c r="BD15" i="24"/>
  <c r="AC20" i="24"/>
  <c r="BC21" i="24"/>
  <c r="AC22" i="24"/>
  <c r="BC23" i="24"/>
  <c r="AC19" i="24"/>
  <c r="BC20" i="24"/>
  <c r="AD102" i="24"/>
  <c r="AC102" i="24" s="1"/>
  <c r="AC81" i="24"/>
  <c r="BF174" i="24"/>
  <c r="BF173" i="24"/>
  <c r="D18" i="23"/>
  <c r="D17" i="23"/>
  <c r="AD110" i="24" l="1"/>
  <c r="AC110" i="24" s="1"/>
  <c r="AC150" i="24"/>
  <c r="C63" i="9"/>
  <c r="AD122" i="24"/>
  <c r="AC122" i="24" s="1"/>
  <c r="AD120" i="24"/>
  <c r="AC120" i="24" s="1"/>
  <c r="AD123" i="24"/>
  <c r="AD117" i="24"/>
  <c r="AD130" i="24"/>
  <c r="AC130" i="24" s="1"/>
  <c r="AD118" i="24"/>
  <c r="AC118" i="24" s="1"/>
  <c r="AD126" i="24"/>
  <c r="AC126" i="24" s="1"/>
  <c r="AD121" i="24"/>
  <c r="AC121" i="24" s="1"/>
  <c r="AD128" i="24"/>
  <c r="AC128" i="24" s="1"/>
  <c r="AD127" i="24"/>
  <c r="AC127" i="24" s="1"/>
  <c r="AD119" i="24"/>
  <c r="AC119" i="24" s="1"/>
  <c r="AD124" i="24"/>
  <c r="AC124" i="24" s="1"/>
  <c r="AD125" i="24"/>
  <c r="AC125" i="24" s="1"/>
  <c r="AD129" i="24"/>
  <c r="AC129" i="24" s="1"/>
  <c r="AE150" i="24"/>
  <c r="AD69" i="24"/>
  <c r="AC69" i="24" s="1"/>
  <c r="AD111" i="24" s="1"/>
  <c r="AC111" i="24" s="1"/>
  <c r="AH178" i="24"/>
  <c r="BD14" i="24"/>
  <c r="BC15" i="24"/>
  <c r="AI178" i="24"/>
  <c r="AG178" i="24"/>
  <c r="AJ178" i="24"/>
  <c r="AC14" i="24"/>
  <c r="BC11" i="11" s="1"/>
  <c r="AD13" i="24"/>
  <c r="AF178" i="24"/>
  <c r="AD178" i="24"/>
  <c r="AE178" i="24"/>
  <c r="AD158" i="24"/>
  <c r="AD159" i="24"/>
  <c r="AD165" i="24"/>
  <c r="AD163" i="24"/>
  <c r="AD167" i="24"/>
  <c r="AD164" i="24"/>
  <c r="AD168" i="24"/>
  <c r="AD170" i="24"/>
  <c r="AD169" i="24"/>
  <c r="AD157" i="24"/>
  <c r="AD156" i="24"/>
  <c r="AD172" i="24"/>
  <c r="AD166" i="24"/>
  <c r="AD171" i="24"/>
  <c r="AD155" i="24"/>
  <c r="AD160" i="24"/>
  <c r="AC178" i="24"/>
  <c r="AC117" i="24"/>
  <c r="AC123" i="24"/>
  <c r="AK121" i="8"/>
  <c r="AC15" i="8"/>
  <c r="AG14" i="8"/>
  <c r="AG13" i="8"/>
  <c r="AC62" i="8"/>
  <c r="AC60" i="8"/>
  <c r="AC45" i="8"/>
  <c r="BD25" i="11" l="1"/>
  <c r="BD15" i="11"/>
  <c r="BD11" i="11"/>
  <c r="BD12" i="11"/>
  <c r="BC45" i="11" s="1"/>
  <c r="BD14" i="11"/>
  <c r="BD13" i="11"/>
  <c r="BC39" i="11"/>
  <c r="BC37" i="11"/>
  <c r="BC34" i="11"/>
  <c r="BC41" i="11"/>
  <c r="BC29" i="11"/>
  <c r="BC30" i="11"/>
  <c r="BC28" i="11"/>
  <c r="BC38" i="11"/>
  <c r="BC33" i="11"/>
  <c r="BC32" i="11"/>
  <c r="BC36" i="11"/>
  <c r="BC35" i="11"/>
  <c r="AE172" i="24"/>
  <c r="AE173" i="24" s="1"/>
  <c r="AE174" i="24" s="1"/>
  <c r="C90" i="11" a="1"/>
  <c r="C90" i="11" s="1"/>
  <c r="C89" i="11" s="1"/>
  <c r="C25" i="18"/>
  <c r="C19" i="18"/>
  <c r="C22" i="18"/>
  <c r="C15" i="18"/>
  <c r="C13" i="18"/>
  <c r="C24" i="18"/>
  <c r="C17" i="18"/>
  <c r="C23" i="18"/>
  <c r="C27" i="18"/>
  <c r="C20" i="18"/>
  <c r="C21" i="18"/>
  <c r="C16" i="18"/>
  <c r="C26" i="18"/>
  <c r="C18" i="18"/>
  <c r="C14" i="18"/>
  <c r="C12" i="18"/>
  <c r="BC14" i="24"/>
  <c r="BC309" i="24" s="1"/>
  <c r="AC157" i="24"/>
  <c r="AF157" i="24" s="1"/>
  <c r="AC155" i="24"/>
  <c r="AF155" i="24" s="1"/>
  <c r="AC156" i="24"/>
  <c r="AF156" i="24" s="1"/>
  <c r="AC171" i="24"/>
  <c r="AF171" i="24" s="1"/>
  <c r="AC164" i="24"/>
  <c r="AF164" i="24" s="1"/>
  <c r="AC173" i="24"/>
  <c r="AC169" i="24"/>
  <c r="AF169" i="24" s="1"/>
  <c r="AC163" i="24"/>
  <c r="AF163" i="24" s="1"/>
  <c r="AC172" i="24"/>
  <c r="AF172" i="24" s="1"/>
  <c r="AC165" i="24"/>
  <c r="AF165" i="24" s="1"/>
  <c r="AC170" i="24"/>
  <c r="AF170" i="24" s="1"/>
  <c r="AC162" i="24"/>
  <c r="AF162" i="24" s="1"/>
  <c r="AC168" i="24"/>
  <c r="AF168" i="24" s="1"/>
  <c r="AC159" i="24"/>
  <c r="AF159" i="24" s="1"/>
  <c r="AC166" i="24"/>
  <c r="AF166" i="24" s="1"/>
  <c r="AC174" i="24"/>
  <c r="AC160" i="24"/>
  <c r="AF160" i="24" s="1"/>
  <c r="AC167" i="24"/>
  <c r="AF167" i="24" s="1"/>
  <c r="AC158" i="24"/>
  <c r="AF158" i="24" s="1"/>
  <c r="ED26" i="11"/>
  <c r="ED11" i="11"/>
  <c r="ED14" i="11"/>
  <c r="ED15" i="11"/>
  <c r="ED12" i="11"/>
  <c r="ED13" i="11"/>
  <c r="DC11" i="11"/>
  <c r="CC11" i="11"/>
  <c r="BC311" i="24"/>
  <c r="AD173" i="24"/>
  <c r="AD174" i="24" s="1"/>
  <c r="AC63" i="8"/>
  <c r="AC64" i="8"/>
  <c r="AC65" i="8"/>
  <c r="AC66" i="8"/>
  <c r="AC67" i="8"/>
  <c r="AI121" i="8" s="1"/>
  <c r="AC68" i="8"/>
  <c r="AC69" i="8"/>
  <c r="AC70" i="8"/>
  <c r="AC71" i="8"/>
  <c r="AC72" i="8"/>
  <c r="AC73" i="8"/>
  <c r="AC74" i="8"/>
  <c r="AC75" i="8"/>
  <c r="AC61" i="8"/>
  <c r="AD121" i="8" s="1"/>
  <c r="AC48" i="8"/>
  <c r="AC49" i="8"/>
  <c r="AC50" i="8"/>
  <c r="AC51" i="8"/>
  <c r="AC52" i="8"/>
  <c r="AC53" i="8"/>
  <c r="AC54" i="8"/>
  <c r="AC55" i="8"/>
  <c r="AC56" i="8"/>
  <c r="AC57" i="8"/>
  <c r="BC31" i="11" l="1"/>
  <c r="BC40" i="11"/>
  <c r="BD127" i="11" s="1"/>
  <c r="BC196" i="11"/>
  <c r="BC329" i="11"/>
  <c r="BC42" i="11"/>
  <c r="BC48" i="11"/>
  <c r="BD129" i="11" s="1"/>
  <c r="BC47" i="11"/>
  <c r="BC44" i="11"/>
  <c r="BC152" i="11" s="1"/>
  <c r="BC43" i="11"/>
  <c r="BC46" i="11"/>
  <c r="BC49" i="11"/>
  <c r="BC50" i="11"/>
  <c r="BD91" i="11" s="1"/>
  <c r="BC127" i="11"/>
  <c r="BD106" i="11"/>
  <c r="BD134" i="11"/>
  <c r="BD90" i="11"/>
  <c r="BD105" i="11"/>
  <c r="BD89" i="11"/>
  <c r="BD88" i="11"/>
  <c r="BD128" i="11"/>
  <c r="AF174" i="24"/>
  <c r="F27" i="18"/>
  <c r="F11" i="18"/>
  <c r="F19" i="18"/>
  <c r="F22" i="18"/>
  <c r="F13" i="18"/>
  <c r="F28" i="18"/>
  <c r="F12" i="18"/>
  <c r="E36" i="18" s="1"/>
  <c r="E19" i="21" s="1"/>
  <c r="F20" i="18"/>
  <c r="F21" i="18"/>
  <c r="F14" i="18"/>
  <c r="F10" i="18"/>
  <c r="F23" i="18"/>
  <c r="F15" i="18"/>
  <c r="F24" i="18"/>
  <c r="F16" i="18"/>
  <c r="F25" i="18"/>
  <c r="F17" i="18"/>
  <c r="F26" i="18"/>
  <c r="F18" i="18"/>
  <c r="EC40" i="11"/>
  <c r="EC32" i="11"/>
  <c r="EC45" i="11"/>
  <c r="EC36" i="11"/>
  <c r="EC39" i="11"/>
  <c r="EC31" i="11"/>
  <c r="EC29" i="11"/>
  <c r="EC33" i="11"/>
  <c r="EC46" i="11"/>
  <c r="EC154" i="11" s="1"/>
  <c r="EC38" i="11"/>
  <c r="EC30" i="11"/>
  <c r="EC37" i="11"/>
  <c r="EC44" i="11"/>
  <c r="EC43" i="11"/>
  <c r="EC35" i="11"/>
  <c r="EC42" i="11"/>
  <c r="EC34" i="11"/>
  <c r="EC41" i="11"/>
  <c r="CD25" i="11"/>
  <c r="D90" i="11" s="1" a="1"/>
  <c r="D90" i="11" s="1"/>
  <c r="CD12" i="11"/>
  <c r="CD13" i="11"/>
  <c r="CD11" i="11"/>
  <c r="CD14" i="11"/>
  <c r="CD15" i="11"/>
  <c r="DD25" i="11"/>
  <c r="DD15" i="11"/>
  <c r="DD13" i="11"/>
  <c r="DD11" i="11"/>
  <c r="DD14" i="11"/>
  <c r="DD12" i="11"/>
  <c r="BC312" i="24"/>
  <c r="BE320" i="24"/>
  <c r="BE319" i="24"/>
  <c r="AF173" i="24"/>
  <c r="BC310" i="24"/>
  <c r="BE310" i="24" s="1"/>
  <c r="BE317" i="24"/>
  <c r="BE316" i="24"/>
  <c r="BE329" i="24"/>
  <c r="BE314" i="24"/>
  <c r="AC13" i="24"/>
  <c r="AC309" i="24" s="1"/>
  <c r="AC311" i="24"/>
  <c r="E57" i="8"/>
  <c r="E56" i="8"/>
  <c r="E17" i="12"/>
  <c r="D17" i="12"/>
  <c r="C17" i="12"/>
  <c r="B17" i="12"/>
  <c r="AC10" i="2"/>
  <c r="DC28" i="11" l="1"/>
  <c r="BD135" i="11"/>
  <c r="EC51" i="11"/>
  <c r="CC28" i="11"/>
  <c r="F90" i="11" a="1"/>
  <c r="F90" i="11" s="1"/>
  <c r="E90" i="11" a="1"/>
  <c r="E90" i="11" s="1"/>
  <c r="E35" i="18"/>
  <c r="E18" i="21" s="1"/>
  <c r="E34" i="18"/>
  <c r="E17" i="21" s="1"/>
  <c r="D22" i="18"/>
  <c r="D19" i="18"/>
  <c r="D23" i="18"/>
  <c r="D20" i="18"/>
  <c r="D21" i="18"/>
  <c r="D14" i="18"/>
  <c r="D25" i="18"/>
  <c r="D15" i="18"/>
  <c r="D26" i="18"/>
  <c r="D16" i="18"/>
  <c r="D27" i="18"/>
  <c r="D17" i="18"/>
  <c r="D28" i="18"/>
  <c r="D18" i="18"/>
  <c r="E28" i="18"/>
  <c r="E11" i="18"/>
  <c r="E12" i="18"/>
  <c r="E20" i="18"/>
  <c r="E27" i="18"/>
  <c r="E10" i="18"/>
  <c r="E13" i="18"/>
  <c r="EC47" i="11"/>
  <c r="EC49" i="11"/>
  <c r="EC50" i="11"/>
  <c r="EC48" i="11"/>
  <c r="CC42" i="11"/>
  <c r="CD134" i="11" s="1"/>
  <c r="CC43" i="11"/>
  <c r="CC45" i="11"/>
  <c r="CC44" i="11"/>
  <c r="CC37" i="11"/>
  <c r="CC40" i="11"/>
  <c r="CC34" i="11"/>
  <c r="CC38" i="11"/>
  <c r="CC29" i="11"/>
  <c r="CC41" i="11"/>
  <c r="CD131" i="11" s="1"/>
  <c r="CC31" i="11"/>
  <c r="CC33" i="11"/>
  <c r="CC32" i="11"/>
  <c r="CC35" i="11"/>
  <c r="CC36" i="11"/>
  <c r="CD132" i="11" s="1"/>
  <c r="CC39" i="11"/>
  <c r="CC30" i="11"/>
  <c r="DC45" i="11"/>
  <c r="DD134" i="11" s="1"/>
  <c r="DC44" i="11"/>
  <c r="DC43" i="11"/>
  <c r="DC42" i="11"/>
  <c r="DC37" i="11"/>
  <c r="DC40" i="11"/>
  <c r="DD126" i="11" s="1"/>
  <c r="DC29" i="11"/>
  <c r="DC38" i="11"/>
  <c r="DC31" i="11"/>
  <c r="DD129" i="11" s="1"/>
  <c r="DC41" i="11"/>
  <c r="DD132" i="11" s="1"/>
  <c r="DC33" i="11"/>
  <c r="DC32" i="11"/>
  <c r="DC34" i="11"/>
  <c r="DC35" i="11"/>
  <c r="DC36" i="11"/>
  <c r="DD133" i="11" s="1"/>
  <c r="DC39" i="11"/>
  <c r="DC30" i="11"/>
  <c r="DE329" i="11"/>
  <c r="DC25" i="11"/>
  <c r="DD24" i="11"/>
  <c r="DC24" i="11" s="1"/>
  <c r="CD24" i="11"/>
  <c r="CC24" i="11" s="1"/>
  <c r="CE329" i="11"/>
  <c r="CC25" i="11"/>
  <c r="BE334" i="24"/>
  <c r="BE335" i="24"/>
  <c r="BE336" i="24"/>
  <c r="BE337" i="24"/>
  <c r="BE338" i="24"/>
  <c r="BE339" i="24"/>
  <c r="BE340" i="24"/>
  <c r="BE341" i="24"/>
  <c r="BE333" i="24"/>
  <c r="BE328" i="24"/>
  <c r="BE327" i="24"/>
  <c r="BE323" i="24"/>
  <c r="BE324" i="24"/>
  <c r="BE325" i="24"/>
  <c r="BE326" i="24"/>
  <c r="BE322" i="24"/>
  <c r="AE322" i="24"/>
  <c r="AE320" i="24"/>
  <c r="AE317" i="24"/>
  <c r="AE316" i="24"/>
  <c r="AE314" i="24"/>
  <c r="AE319" i="24"/>
  <c r="AC310" i="24"/>
  <c r="AE310" i="24" s="1"/>
  <c r="AC312" i="24"/>
  <c r="H66" i="8"/>
  <c r="CD133" i="11" l="1"/>
  <c r="CC152" i="11"/>
  <c r="DD128" i="11"/>
  <c r="F89" i="11"/>
  <c r="EC198" i="11" s="1"/>
  <c r="DD127" i="11"/>
  <c r="I71" i="15" a="1"/>
  <c r="I71" i="15" s="1"/>
  <c r="I62" i="15" a="1"/>
  <c r="I62" i="15" s="1"/>
  <c r="I75" i="15" a="1"/>
  <c r="I75" i="15" s="1"/>
  <c r="I70" i="15" a="1"/>
  <c r="I70" i="15" s="1"/>
  <c r="I61" i="15" a="1"/>
  <c r="I61" i="15" s="1"/>
  <c r="I58" i="15" a="1"/>
  <c r="I58" i="15" s="1"/>
  <c r="I64" i="15" a="1"/>
  <c r="I64" i="15" s="1"/>
  <c r="I69" i="15" a="1"/>
  <c r="I69" i="15" s="1"/>
  <c r="I60" i="15" a="1"/>
  <c r="I60" i="15" s="1"/>
  <c r="I76" i="15" a="1"/>
  <c r="I76" i="15" s="1"/>
  <c r="I68" i="15" a="1"/>
  <c r="I68" i="15" s="1"/>
  <c r="I59" i="15" a="1"/>
  <c r="I59" i="15" s="1"/>
  <c r="I67" i="15" a="1"/>
  <c r="I67" i="15" s="1"/>
  <c r="I72" i="15" a="1"/>
  <c r="I72" i="15" s="1"/>
  <c r="I74" i="15" a="1"/>
  <c r="I74" i="15" s="1"/>
  <c r="I66" i="15" a="1"/>
  <c r="I66" i="15" s="1"/>
  <c r="I57" i="15" a="1"/>
  <c r="I57" i="15" s="1"/>
  <c r="I73" i="15" a="1"/>
  <c r="I73" i="15" s="1"/>
  <c r="I65" i="15" a="1"/>
  <c r="I65" i="15" s="1"/>
  <c r="DD131" i="11"/>
  <c r="DD130" i="11"/>
  <c r="DD105" i="11"/>
  <c r="DD106" i="11"/>
  <c r="DC106" i="11" s="1"/>
  <c r="CD130" i="11"/>
  <c r="DC609" i="11"/>
  <c r="DC1109" i="11"/>
  <c r="DC1209" i="11"/>
  <c r="DC909" i="11"/>
  <c r="DC1009" i="11"/>
  <c r="DC809" i="11"/>
  <c r="DC709" i="11"/>
  <c r="CC49" i="11"/>
  <c r="CD129" i="11" s="1"/>
  <c r="CC47" i="11"/>
  <c r="CC48" i="11"/>
  <c r="CD128" i="11" s="1"/>
  <c r="CC46" i="11"/>
  <c r="DE340" i="11"/>
  <c r="DE341" i="11"/>
  <c r="DC49" i="11"/>
  <c r="DC47" i="11"/>
  <c r="DC46" i="11"/>
  <c r="DD88" i="11" s="1"/>
  <c r="DC48" i="11"/>
  <c r="CC50" i="11"/>
  <c r="CD92" i="11" s="1"/>
  <c r="CE341" i="11"/>
  <c r="CE340" i="11"/>
  <c r="DC50" i="11"/>
  <c r="DD89" i="11" s="1"/>
  <c r="BD443" i="24"/>
  <c r="BD445" i="24" s="1"/>
  <c r="BG443" i="24" s="1"/>
  <c r="AE323" i="24"/>
  <c r="AE337" i="24"/>
  <c r="AE338" i="24"/>
  <c r="AE335" i="24"/>
  <c r="AE336" i="24"/>
  <c r="AE339" i="24"/>
  <c r="AE340" i="24"/>
  <c r="AE329" i="24"/>
  <c r="AE341" i="24"/>
  <c r="AE328" i="24"/>
  <c r="AE325" i="24"/>
  <c r="AE327" i="24"/>
  <c r="AE334" i="24"/>
  <c r="AE324" i="24"/>
  <c r="AE326" i="24"/>
  <c r="AE7" i="2"/>
  <c r="AF7" i="2"/>
  <c r="AG7" i="2"/>
  <c r="AH7" i="2"/>
  <c r="AI7" i="2"/>
  <c r="AJ7" i="2"/>
  <c r="AK7" i="2"/>
  <c r="AD7" i="2"/>
  <c r="CD90" i="11" l="1"/>
  <c r="CD89" i="11"/>
  <c r="CD105" i="11"/>
  <c r="CD91" i="11"/>
  <c r="EC329" i="11"/>
  <c r="O211" i="2"/>
  <c r="O210" i="2" s="1"/>
  <c r="CD126" i="11"/>
  <c r="CD88" i="11"/>
  <c r="E89" i="11"/>
  <c r="CD127" i="11"/>
  <c r="BD447" i="24"/>
  <c r="AD444" i="24"/>
  <c r="K59" i="12"/>
  <c r="H56" i="8"/>
  <c r="D52" i="8"/>
  <c r="D51" i="8"/>
  <c r="D50" i="8"/>
  <c r="D49" i="8"/>
  <c r="D48" i="8"/>
  <c r="D44" i="8"/>
  <c r="D47" i="8"/>
  <c r="I5" i="12"/>
  <c r="H5" i="12"/>
  <c r="J5" i="12"/>
  <c r="G5" i="12"/>
  <c r="N211" i="2" l="1"/>
  <c r="N210" i="2" s="1"/>
  <c r="DC196" i="11"/>
  <c r="AD448" i="24"/>
  <c r="AD446" i="24"/>
  <c r="AG444" i="24" s="1"/>
  <c r="EC161" i="11" l="1"/>
  <c r="EC178" i="11"/>
  <c r="EC177" i="11"/>
  <c r="C99" i="19" l="1"/>
  <c r="C97" i="19"/>
  <c r="K9" i="2" l="1"/>
  <c r="E51" i="1"/>
  <c r="E50" i="1"/>
  <c r="C17" i="1"/>
  <c r="B9" i="9" s="1"/>
  <c r="E22" i="1"/>
  <c r="E21" i="1"/>
  <c r="E20" i="1"/>
  <c r="E18" i="1"/>
  <c r="D10" i="9" s="1"/>
  <c r="E22" i="9" s="1"/>
  <c r="E17" i="1"/>
  <c r="B95" i="8"/>
  <c r="D9" i="9" l="1"/>
  <c r="E20" i="9" s="1"/>
  <c r="H22" i="1"/>
  <c r="F22" i="9"/>
  <c r="U99" i="8"/>
  <c r="V99" i="8"/>
  <c r="B120" i="13"/>
  <c r="B119" i="13"/>
  <c r="AS107" i="13"/>
  <c r="AR107" i="13"/>
  <c r="AQ107" i="13"/>
  <c r="AP107" i="13"/>
  <c r="AS106" i="13"/>
  <c r="AR106" i="13"/>
  <c r="AQ106" i="13"/>
  <c r="AP106" i="13"/>
  <c r="AS105" i="13"/>
  <c r="AR105" i="13"/>
  <c r="AQ105" i="13"/>
  <c r="AP105" i="13"/>
  <c r="AS104" i="13"/>
  <c r="AR104" i="13"/>
  <c r="AQ104" i="13"/>
  <c r="AP104" i="13"/>
  <c r="AS103" i="13"/>
  <c r="AR103" i="13"/>
  <c r="AQ103" i="13"/>
  <c r="AP103" i="13"/>
  <c r="AS102" i="13"/>
  <c r="AR102" i="13"/>
  <c r="AQ102" i="13"/>
  <c r="AP102" i="13"/>
  <c r="AS101" i="13"/>
  <c r="AR101" i="13"/>
  <c r="AQ101" i="13"/>
  <c r="AP101" i="13"/>
  <c r="AS100" i="13"/>
  <c r="AR100" i="13"/>
  <c r="AQ100" i="13"/>
  <c r="AP100" i="13"/>
  <c r="AW98" i="13"/>
  <c r="AS98" i="13"/>
  <c r="AR98" i="13"/>
  <c r="AQ98" i="13"/>
  <c r="AP98" i="13"/>
  <c r="C98" i="13"/>
  <c r="B98" i="13"/>
  <c r="AW97" i="13"/>
  <c r="AS97" i="13"/>
  <c r="AR97" i="13"/>
  <c r="AQ97" i="13"/>
  <c r="AP97" i="13"/>
  <c r="AN97" i="13"/>
  <c r="AN98" i="13" s="1"/>
  <c r="AL97" i="13"/>
  <c r="AL98" i="13" s="1"/>
  <c r="AK97" i="13"/>
  <c r="AK98" i="13" s="1"/>
  <c r="AF97" i="13"/>
  <c r="AF98" i="13" s="1"/>
  <c r="AE97" i="13"/>
  <c r="AE98" i="13" s="1"/>
  <c r="D97" i="13"/>
  <c r="D98" i="13" s="1"/>
  <c r="C97" i="13"/>
  <c r="B97" i="13"/>
  <c r="AS96" i="13"/>
  <c r="AR96" i="13"/>
  <c r="AQ96" i="13"/>
  <c r="AP96" i="13"/>
  <c r="AS95" i="13"/>
  <c r="AR95" i="13"/>
  <c r="AQ95" i="13"/>
  <c r="AP95" i="13"/>
  <c r="AS94" i="13"/>
  <c r="AR94" i="13"/>
  <c r="AQ94" i="13"/>
  <c r="AP94" i="13"/>
  <c r="AS93" i="13"/>
  <c r="AR93" i="13"/>
  <c r="AQ93" i="13"/>
  <c r="AP93" i="13"/>
  <c r="AS92" i="13"/>
  <c r="AR92" i="13"/>
  <c r="AQ92" i="13"/>
  <c r="AP92" i="13"/>
  <c r="AS91" i="13"/>
  <c r="AR91" i="13"/>
  <c r="AQ91" i="13"/>
  <c r="AP91" i="13"/>
  <c r="AS90" i="13"/>
  <c r="AR90" i="13"/>
  <c r="AQ90" i="13"/>
  <c r="AP90" i="13"/>
  <c r="AS89" i="13"/>
  <c r="AR89" i="13"/>
  <c r="AQ89" i="13"/>
  <c r="AP89" i="13"/>
  <c r="AS88" i="13"/>
  <c r="AR88" i="13"/>
  <c r="AQ88" i="13"/>
  <c r="AP88" i="13"/>
  <c r="AS87" i="13"/>
  <c r="AR87" i="13"/>
  <c r="AQ87" i="13"/>
  <c r="AP87" i="13"/>
  <c r="AS86" i="13"/>
  <c r="AR86" i="13"/>
  <c r="AQ86" i="13"/>
  <c r="AP86" i="13"/>
  <c r="AS84" i="13"/>
  <c r="AR84" i="13"/>
  <c r="AQ84" i="13"/>
  <c r="AP84" i="13"/>
  <c r="AS83" i="13"/>
  <c r="AR83" i="13"/>
  <c r="AQ83" i="13"/>
  <c r="AP83" i="13"/>
  <c r="AS82" i="13"/>
  <c r="AR82" i="13"/>
  <c r="AQ82" i="13"/>
  <c r="AP82" i="13"/>
  <c r="AS81" i="13"/>
  <c r="AR81" i="13"/>
  <c r="AQ81" i="13"/>
  <c r="AP81" i="13"/>
  <c r="AS80" i="13"/>
  <c r="AR80" i="13"/>
  <c r="AQ80" i="13"/>
  <c r="AP80" i="13"/>
  <c r="AS79" i="13"/>
  <c r="AR79" i="13"/>
  <c r="AQ79" i="13"/>
  <c r="AP79" i="13"/>
  <c r="T14" i="13"/>
  <c r="T11" i="13"/>
  <c r="T10" i="13"/>
  <c r="F20" i="9" l="1"/>
  <c r="V100" i="8"/>
  <c r="V102" i="8"/>
  <c r="U100" i="8"/>
  <c r="U102" i="8"/>
  <c r="AO6" i="2"/>
  <c r="AV6" i="2" l="1"/>
  <c r="AU6" i="2"/>
  <c r="AT6" i="2"/>
  <c r="AS6" i="2"/>
  <c r="AR6" i="2"/>
  <c r="AQ6" i="2"/>
  <c r="AP6" i="2"/>
  <c r="C37" i="23" l="1"/>
  <c r="M85" i="11"/>
  <c r="L85" i="11"/>
  <c r="F171" i="8"/>
  <c r="G171" i="8"/>
  <c r="H14" i="1"/>
  <c r="H5" i="1"/>
  <c r="C42" i="23"/>
  <c r="C40" i="23"/>
  <c r="AH74" i="16"/>
  <c r="AH73" i="16"/>
  <c r="AH72" i="16"/>
  <c r="AH71" i="16"/>
  <c r="AH70" i="16"/>
  <c r="AH69" i="16"/>
  <c r="C20" i="23"/>
  <c r="C18" i="23"/>
  <c r="C17" i="23"/>
  <c r="E44" i="2"/>
  <c r="E34" i="2"/>
  <c r="B24" i="9"/>
  <c r="B63" i="9" s="1"/>
  <c r="B72" i="9" s="1"/>
  <c r="E79" i="9" s="1"/>
  <c r="F50" i="9"/>
  <c r="C50" i="9"/>
  <c r="F46" i="9"/>
  <c r="F47" i="9"/>
  <c r="C47" i="9"/>
  <c r="C58" i="23"/>
  <c r="C59" i="23"/>
  <c r="C57" i="23"/>
  <c r="C56" i="23"/>
  <c r="C55" i="23"/>
  <c r="C54" i="23"/>
  <c r="C48" i="23"/>
  <c r="C39" i="23"/>
  <c r="C32" i="23"/>
  <c r="C31" i="23"/>
  <c r="C30" i="23"/>
  <c r="C26" i="23"/>
  <c r="E71" i="23" s="1"/>
  <c r="C25" i="23"/>
  <c r="C24" i="23"/>
  <c r="AC78" i="8"/>
  <c r="AU121" i="8" s="1"/>
  <c r="AC77" i="8"/>
  <c r="AT121" i="8" s="1"/>
  <c r="AC76" i="8"/>
  <c r="AS121" i="8" s="1"/>
  <c r="AC46" i="8"/>
  <c r="AC47" i="8"/>
  <c r="AC14" i="8"/>
  <c r="AC13" i="8"/>
  <c r="C50" i="23"/>
  <c r="C45" i="23"/>
  <c r="C46" i="23"/>
  <c r="C49" i="23"/>
  <c r="C47" i="23"/>
  <c r="F48" i="21"/>
  <c r="E48" i="21"/>
  <c r="D48" i="21"/>
  <c r="C48" i="21"/>
  <c r="EC10" i="21"/>
  <c r="EC11" i="21"/>
  <c r="EC12" i="21"/>
  <c r="EC13" i="21"/>
  <c r="EC14" i="21"/>
  <c r="EC15" i="21"/>
  <c r="EC9" i="21"/>
  <c r="DC33" i="21"/>
  <c r="DC32" i="21"/>
  <c r="BC37" i="21"/>
  <c r="BC33" i="21"/>
  <c r="BC32" i="21"/>
  <c r="BB32" i="21"/>
  <c r="DC10" i="21"/>
  <c r="DC11" i="21"/>
  <c r="DC12" i="21"/>
  <c r="DC13" i="21"/>
  <c r="DC14" i="21"/>
  <c r="DC15" i="21"/>
  <c r="DC9" i="21"/>
  <c r="CC10" i="21"/>
  <c r="CC11" i="21"/>
  <c r="CC12" i="21"/>
  <c r="CC13" i="21"/>
  <c r="CC14" i="21"/>
  <c r="CC15" i="21"/>
  <c r="CC9" i="21"/>
  <c r="BC531" i="21"/>
  <c r="BF504" i="21"/>
  <c r="BE504" i="21"/>
  <c r="BD504" i="21"/>
  <c r="BC504" i="21"/>
  <c r="BC446" i="21"/>
  <c r="BC340" i="21"/>
  <c r="BC284" i="21"/>
  <c r="BC211" i="21"/>
  <c r="BC169" i="21"/>
  <c r="BC168" i="21"/>
  <c r="BC163" i="21"/>
  <c r="BC147" i="21"/>
  <c r="BC136" i="21"/>
  <c r="BC135" i="21"/>
  <c r="BC109" i="21"/>
  <c r="BC112" i="21"/>
  <c r="BB37" i="21"/>
  <c r="BF49" i="21" s="1"/>
  <c r="BB33" i="21"/>
  <c r="BA27" i="21"/>
  <c r="BA26" i="21"/>
  <c r="BA25" i="21"/>
  <c r="BA24" i="21"/>
  <c r="BA23" i="21"/>
  <c r="BA22" i="21"/>
  <c r="BA21" i="21"/>
  <c r="BC15" i="21"/>
  <c r="BB15" i="21"/>
  <c r="BG27" i="21" s="1"/>
  <c r="BC14" i="21"/>
  <c r="BB14" i="21"/>
  <c r="BC13" i="21"/>
  <c r="BB13" i="21"/>
  <c r="BC25" i="21" s="1"/>
  <c r="BC12" i="21"/>
  <c r="BB12" i="21"/>
  <c r="BJ24" i="21"/>
  <c r="BC11" i="21"/>
  <c r="BB11" i="21"/>
  <c r="BC10" i="21"/>
  <c r="BB10" i="21"/>
  <c r="BC9" i="21"/>
  <c r="BB9" i="21"/>
  <c r="BG26" i="21"/>
  <c r="BD26" i="21"/>
  <c r="BJ26" i="21"/>
  <c r="BC26" i="21"/>
  <c r="BI26" i="21"/>
  <c r="BF26" i="21"/>
  <c r="BI24" i="21"/>
  <c r="BC24" i="21"/>
  <c r="BD24" i="21"/>
  <c r="H76" i="11"/>
  <c r="I76" i="11"/>
  <c r="J76" i="11"/>
  <c r="K76" i="11"/>
  <c r="L76" i="11"/>
  <c r="M76" i="11"/>
  <c r="N76" i="11"/>
  <c r="O76" i="11"/>
  <c r="P76" i="11"/>
  <c r="E39" i="11"/>
  <c r="C52" i="18" a="1"/>
  <c r="K52" i="18" s="1"/>
  <c r="G151" i="8"/>
  <c r="H151" i="8"/>
  <c r="I151" i="8"/>
  <c r="J151" i="8"/>
  <c r="K151" i="8"/>
  <c r="L151" i="8"/>
  <c r="M151" i="8"/>
  <c r="N151" i="8"/>
  <c r="O151" i="8"/>
  <c r="AE6" i="2"/>
  <c r="E37" i="8" s="1"/>
  <c r="EC182" i="11"/>
  <c r="B178" i="17"/>
  <c r="B177" i="17"/>
  <c r="B176" i="17"/>
  <c r="H176" i="17"/>
  <c r="AC9" i="15"/>
  <c r="AC29" i="15" s="1"/>
  <c r="BC21" i="11"/>
  <c r="BC22" i="11"/>
  <c r="KE111" i="17"/>
  <c r="KB12" i="17" s="1"/>
  <c r="CB28" i="18"/>
  <c r="BB508" i="11"/>
  <c r="B140" i="17"/>
  <c r="B141" i="17"/>
  <c r="B142" i="17"/>
  <c r="B143" i="17"/>
  <c r="B144" i="17"/>
  <c r="B145" i="17"/>
  <c r="B146" i="17"/>
  <c r="B147" i="17"/>
  <c r="B148" i="17"/>
  <c r="D148" i="17"/>
  <c r="H148" i="17"/>
  <c r="B149" i="17"/>
  <c r="B150" i="17"/>
  <c r="H150" i="17"/>
  <c r="B151" i="17"/>
  <c r="H151" i="17"/>
  <c r="B152" i="17"/>
  <c r="H152" i="17"/>
  <c r="B154" i="17"/>
  <c r="H154" i="17"/>
  <c r="B155" i="17"/>
  <c r="H155" i="17"/>
  <c r="B156" i="17"/>
  <c r="B157" i="17"/>
  <c r="B158" i="17"/>
  <c r="B159" i="17"/>
  <c r="B160" i="17"/>
  <c r="B161" i="17"/>
  <c r="H161" i="17"/>
  <c r="B162" i="17"/>
  <c r="B163" i="17"/>
  <c r="B164" i="17"/>
  <c r="B165" i="17"/>
  <c r="B166" i="17"/>
  <c r="B167" i="17"/>
  <c r="B168" i="17"/>
  <c r="H168" i="17"/>
  <c r="B169" i="17"/>
  <c r="B170" i="17"/>
  <c r="B171" i="17"/>
  <c r="B172" i="17"/>
  <c r="B173" i="17"/>
  <c r="B174" i="17"/>
  <c r="B175" i="17"/>
  <c r="H177" i="17"/>
  <c r="H178" i="17"/>
  <c r="B179" i="17"/>
  <c r="H179" i="17"/>
  <c r="B180" i="17"/>
  <c r="B181" i="17"/>
  <c r="B182" i="17"/>
  <c r="B183" i="17"/>
  <c r="B184" i="17"/>
  <c r="B185" i="17"/>
  <c r="B186" i="17"/>
  <c r="B187" i="17"/>
  <c r="B188" i="17"/>
  <c r="H188" i="17"/>
  <c r="B189" i="17"/>
  <c r="H189" i="17"/>
  <c r="B190" i="17"/>
  <c r="B191" i="17"/>
  <c r="H191" i="17"/>
  <c r="B192" i="17"/>
  <c r="H192" i="17"/>
  <c r="B193" i="17"/>
  <c r="B194" i="17"/>
  <c r="H194" i="17"/>
  <c r="B195" i="17"/>
  <c r="B196" i="17"/>
  <c r="B197" i="17"/>
  <c r="B198" i="17"/>
  <c r="B199" i="17"/>
  <c r="B200" i="17"/>
  <c r="B201" i="17"/>
  <c r="H201" i="17"/>
  <c r="B202" i="17"/>
  <c r="B203" i="17"/>
  <c r="B204" i="17"/>
  <c r="B205" i="17"/>
  <c r="B206" i="17"/>
  <c r="B207" i="17"/>
  <c r="B208" i="17"/>
  <c r="EC23" i="11"/>
  <c r="EC311" i="11" s="1"/>
  <c r="EC22" i="11"/>
  <c r="EC310" i="11" s="1"/>
  <c r="EB3408" i="11"/>
  <c r="DB3408" i="11"/>
  <c r="CC311" i="11"/>
  <c r="CB3408" i="11"/>
  <c r="BB3408" i="11"/>
  <c r="EB3308" i="11"/>
  <c r="DB3308" i="11"/>
  <c r="CB3308" i="11"/>
  <c r="BB3308" i="11"/>
  <c r="EB3208" i="11"/>
  <c r="DB3208" i="11"/>
  <c r="CB3208" i="11"/>
  <c r="BB3208" i="11"/>
  <c r="EB3108" i="11"/>
  <c r="DB3108" i="11"/>
  <c r="CB3108" i="11"/>
  <c r="BB3108" i="11"/>
  <c r="EB3008" i="11"/>
  <c r="DB3008" i="11"/>
  <c r="CB3008" i="11"/>
  <c r="BB3008" i="11"/>
  <c r="EB2908" i="11"/>
  <c r="DB2908" i="11"/>
  <c r="CB2908" i="11"/>
  <c r="BB2908" i="11"/>
  <c r="EB2808" i="11"/>
  <c r="DB2808" i="11"/>
  <c r="CB2808" i="11"/>
  <c r="BB2808" i="11"/>
  <c r="EB2708" i="11"/>
  <c r="DB2708" i="11"/>
  <c r="CB2708" i="11"/>
  <c r="BB2708" i="11"/>
  <c r="EB2608" i="11"/>
  <c r="DB2608" i="11"/>
  <c r="CB2608" i="11"/>
  <c r="BB2608" i="11"/>
  <c r="EB2508" i="11"/>
  <c r="DB2508" i="11"/>
  <c r="CB2508" i="11"/>
  <c r="BB2508" i="11"/>
  <c r="EB2408" i="11"/>
  <c r="DB2408" i="11"/>
  <c r="CB2408" i="11"/>
  <c r="BB2408" i="11"/>
  <c r="EB2308" i="11"/>
  <c r="DB2308" i="11"/>
  <c r="CB2308" i="11"/>
  <c r="BB2308" i="11"/>
  <c r="EB2208" i="11"/>
  <c r="DB2208" i="11"/>
  <c r="CB2208" i="11"/>
  <c r="BB2208" i="11"/>
  <c r="EB2108" i="11"/>
  <c r="DB2108" i="11"/>
  <c r="CB2108" i="11"/>
  <c r="BB2108" i="11"/>
  <c r="EB2008" i="11"/>
  <c r="DB2008" i="11"/>
  <c r="DC2080" i="11" s="1"/>
  <c r="DC414" i="11" s="1"/>
  <c r="CB2008" i="11"/>
  <c r="BB2008" i="11"/>
  <c r="EB1908" i="11"/>
  <c r="DB1908" i="11"/>
  <c r="CB1908" i="11"/>
  <c r="BB1908" i="11"/>
  <c r="EB1808" i="11"/>
  <c r="DB1808" i="11"/>
  <c r="CB1808" i="11"/>
  <c r="BB1808" i="11"/>
  <c r="EB1708" i="11"/>
  <c r="DB1708" i="11"/>
  <c r="CB1708" i="11"/>
  <c r="BB1708" i="11"/>
  <c r="EB1608" i="11"/>
  <c r="DB1608" i="11"/>
  <c r="CB1608" i="11"/>
  <c r="BB1608" i="11"/>
  <c r="EB1508" i="11"/>
  <c r="DB1508" i="11"/>
  <c r="CB1508" i="11"/>
  <c r="BB1508" i="11"/>
  <c r="EB1408" i="11"/>
  <c r="DB1408" i="11"/>
  <c r="CB1408" i="11"/>
  <c r="CC1409" i="11" s="1"/>
  <c r="BB1408" i="11"/>
  <c r="EB1308" i="11"/>
  <c r="DB1308" i="11"/>
  <c r="CB1308" i="11"/>
  <c r="BB1308" i="11"/>
  <c r="EB1208" i="11"/>
  <c r="DB1208" i="11"/>
  <c r="CB1208" i="11"/>
  <c r="BB1208" i="11"/>
  <c r="EB1108" i="11"/>
  <c r="DB1108" i="11"/>
  <c r="CB1108" i="11"/>
  <c r="BB1108" i="11"/>
  <c r="EB1008" i="11"/>
  <c r="DB1008" i="11"/>
  <c r="CB1008" i="11"/>
  <c r="BB1008" i="11"/>
  <c r="EB908" i="11"/>
  <c r="DB908" i="11"/>
  <c r="CB908" i="11"/>
  <c r="BB908" i="11"/>
  <c r="EB808" i="11"/>
  <c r="DB808" i="11"/>
  <c r="CB808" i="11"/>
  <c r="BB808" i="11"/>
  <c r="EB708" i="11"/>
  <c r="DB708" i="11"/>
  <c r="CB708" i="11"/>
  <c r="BB708" i="11"/>
  <c r="EB608" i="11"/>
  <c r="DB608" i="11"/>
  <c r="CB608" i="11"/>
  <c r="BB608" i="11"/>
  <c r="EB508" i="11"/>
  <c r="DB508" i="11"/>
  <c r="CB508" i="11"/>
  <c r="EB353" i="11"/>
  <c r="EC353" i="11" s="1"/>
  <c r="EB354" i="11"/>
  <c r="EC354" i="11" s="1"/>
  <c r="EB355" i="11"/>
  <c r="EC355" i="11" s="1"/>
  <c r="EB356" i="11"/>
  <c r="EC356" i="11" s="1"/>
  <c r="EB349" i="11"/>
  <c r="EB350" i="11"/>
  <c r="EC350" i="11" s="1"/>
  <c r="EB351" i="11"/>
  <c r="EC351" i="11" s="1"/>
  <c r="EB352" i="11"/>
  <c r="EC352" i="11" s="1"/>
  <c r="EB348" i="11"/>
  <c r="EC348" i="11" s="1"/>
  <c r="EC21" i="11"/>
  <c r="EC309" i="11" s="1"/>
  <c r="EC24" i="11"/>
  <c r="EC312" i="11" s="1"/>
  <c r="EC176" i="11"/>
  <c r="EC175" i="11"/>
  <c r="EC174" i="11"/>
  <c r="EC173" i="11"/>
  <c r="EC172" i="11"/>
  <c r="EC171" i="11"/>
  <c r="EC170" i="11"/>
  <c r="EC169" i="11"/>
  <c r="EC168" i="11"/>
  <c r="EC167" i="11"/>
  <c r="EC166" i="11"/>
  <c r="EC164" i="11"/>
  <c r="EC163" i="11"/>
  <c r="EC162" i="11"/>
  <c r="EC160" i="11"/>
  <c r="EC159" i="11"/>
  <c r="VB110" i="17"/>
  <c r="VB109" i="17"/>
  <c r="I64" i="11"/>
  <c r="I75" i="11"/>
  <c r="H75" i="11"/>
  <c r="J64" i="11"/>
  <c r="J75" i="11" s="1"/>
  <c r="K64" i="11"/>
  <c r="K75" i="11" s="1"/>
  <c r="L75" i="11"/>
  <c r="M75" i="11"/>
  <c r="N75" i="11"/>
  <c r="O75" i="11"/>
  <c r="P75" i="11"/>
  <c r="I77" i="11"/>
  <c r="H77" i="11"/>
  <c r="J77" i="11"/>
  <c r="K77" i="11"/>
  <c r="L77" i="11"/>
  <c r="M77" i="11"/>
  <c r="N77" i="11"/>
  <c r="O77" i="11"/>
  <c r="P77" i="11"/>
  <c r="I78" i="11"/>
  <c r="H78" i="11"/>
  <c r="J78" i="11"/>
  <c r="K78" i="11"/>
  <c r="L78" i="11"/>
  <c r="M78" i="11"/>
  <c r="N78" i="11"/>
  <c r="O78" i="11"/>
  <c r="P78" i="11"/>
  <c r="I79" i="11"/>
  <c r="H79" i="11"/>
  <c r="J79" i="11"/>
  <c r="K79" i="11"/>
  <c r="L79" i="11"/>
  <c r="M79" i="11"/>
  <c r="N79" i="11"/>
  <c r="O79" i="11"/>
  <c r="P79" i="11"/>
  <c r="I80" i="11"/>
  <c r="H80" i="11"/>
  <c r="J80" i="11"/>
  <c r="K80" i="11"/>
  <c r="L80" i="11"/>
  <c r="M80" i="11"/>
  <c r="N80" i="11"/>
  <c r="O80" i="11"/>
  <c r="P80" i="11"/>
  <c r="I81" i="11"/>
  <c r="H81" i="11"/>
  <c r="J81" i="11"/>
  <c r="K81" i="11"/>
  <c r="L81" i="11"/>
  <c r="M81" i="11"/>
  <c r="N81" i="11"/>
  <c r="O81" i="11"/>
  <c r="P81" i="11"/>
  <c r="I82" i="11"/>
  <c r="H82" i="11"/>
  <c r="J82" i="11"/>
  <c r="K82" i="11"/>
  <c r="L82" i="11"/>
  <c r="M82" i="11"/>
  <c r="N82" i="11"/>
  <c r="O82" i="11"/>
  <c r="P82" i="11"/>
  <c r="I74" i="11"/>
  <c r="H74" i="11"/>
  <c r="J74" i="11"/>
  <c r="K74" i="11"/>
  <c r="L74" i="11"/>
  <c r="M74" i="11"/>
  <c r="N74" i="11"/>
  <c r="O74" i="11"/>
  <c r="P74" i="11"/>
  <c r="DD179" i="11"/>
  <c r="DE179" i="11"/>
  <c r="DE185" i="11" s="1"/>
  <c r="DF179" i="11"/>
  <c r="DF185" i="11" s="1"/>
  <c r="C35" i="9"/>
  <c r="C36" i="9"/>
  <c r="D66" i="18"/>
  <c r="DC142" i="11"/>
  <c r="DE142" i="11" s="1"/>
  <c r="DE164" i="11" s="1"/>
  <c r="DC143" i="11"/>
  <c r="DE143" i="11" s="1"/>
  <c r="DE165" i="11" s="1"/>
  <c r="DC144" i="11"/>
  <c r="DE144" i="11" s="1"/>
  <c r="DE166" i="11" s="1"/>
  <c r="DC145" i="11"/>
  <c r="DE145" i="11" s="1"/>
  <c r="DE167" i="11" s="1"/>
  <c r="DC146" i="11"/>
  <c r="DE146" i="11" s="1"/>
  <c r="DE168" i="11" s="1"/>
  <c r="DC147" i="11"/>
  <c r="DE147" i="11" s="1"/>
  <c r="DE169" i="11" s="1"/>
  <c r="DC148" i="11"/>
  <c r="DE148" i="11" s="1"/>
  <c r="DE170" i="11" s="1"/>
  <c r="DC149" i="11"/>
  <c r="DE149" i="11" s="1"/>
  <c r="DE171" i="11" s="1"/>
  <c r="DC150" i="11"/>
  <c r="DE150" i="11" s="1"/>
  <c r="DE172" i="11" s="1"/>
  <c r="DC151" i="11"/>
  <c r="DE151" i="11" s="1"/>
  <c r="DE173" i="11" s="1"/>
  <c r="E37" i="11"/>
  <c r="FC9" i="21"/>
  <c r="FB9" i="21"/>
  <c r="E55" i="21"/>
  <c r="B4" i="19"/>
  <c r="L43" i="18"/>
  <c r="FC10" i="21"/>
  <c r="FB10" i="21"/>
  <c r="E62" i="21"/>
  <c r="FC446" i="21"/>
  <c r="D10" i="21"/>
  <c r="FC531" i="21"/>
  <c r="FC361" i="21"/>
  <c r="FC363" i="21"/>
  <c r="FC364" i="21"/>
  <c r="FF289" i="21"/>
  <c r="FG289" i="21"/>
  <c r="FH289" i="21"/>
  <c r="FC109" i="21"/>
  <c r="FC112" i="21"/>
  <c r="FC347" i="21"/>
  <c r="FC349" i="21"/>
  <c r="FC350" i="21"/>
  <c r="FC351" i="21"/>
  <c r="FC379" i="21"/>
  <c r="FC382" i="21"/>
  <c r="FC384" i="21"/>
  <c r="FC385" i="21"/>
  <c r="FC340" i="21"/>
  <c r="E38" i="11"/>
  <c r="AC9" i="21"/>
  <c r="AB9" i="21"/>
  <c r="E56" i="21"/>
  <c r="AC10" i="21"/>
  <c r="AB10" i="21"/>
  <c r="E66" i="21"/>
  <c r="B5" i="19"/>
  <c r="B8" i="12" s="1"/>
  <c r="AC11" i="21"/>
  <c r="AB11" i="21"/>
  <c r="AC12" i="21"/>
  <c r="AB12" i="21"/>
  <c r="E52" i="21"/>
  <c r="C52" i="21" s="1"/>
  <c r="E53" i="21"/>
  <c r="C53" i="21" s="1"/>
  <c r="E54" i="21"/>
  <c r="C54" i="21" s="1"/>
  <c r="E57" i="21"/>
  <c r="C57" i="21" s="1"/>
  <c r="E58" i="21"/>
  <c r="C58" i="21" s="1"/>
  <c r="E59" i="21"/>
  <c r="C59" i="21" s="1"/>
  <c r="E60" i="21"/>
  <c r="C60" i="21" s="1"/>
  <c r="E61" i="21"/>
  <c r="C61" i="21" s="1"/>
  <c r="E63" i="21"/>
  <c r="E64" i="21"/>
  <c r="B6" i="19"/>
  <c r="C8" i="12" s="1"/>
  <c r="H150" i="18"/>
  <c r="E65" i="21"/>
  <c r="E67" i="21"/>
  <c r="C67" i="21" s="1"/>
  <c r="E68" i="21"/>
  <c r="C68" i="21" s="1"/>
  <c r="E69" i="21"/>
  <c r="C69" i="21" s="1"/>
  <c r="E70" i="21"/>
  <c r="C70" i="21" s="1"/>
  <c r="E71" i="21"/>
  <c r="C71" i="21" s="1"/>
  <c r="E72" i="21"/>
  <c r="C72" i="21" s="1"/>
  <c r="AC13" i="21"/>
  <c r="AB13" i="21"/>
  <c r="AI25" i="21" s="1"/>
  <c r="AC14" i="21"/>
  <c r="AB14" i="21"/>
  <c r="AC26" i="21"/>
  <c r="AC15" i="21"/>
  <c r="AB15" i="21"/>
  <c r="AC27" i="21" s="1"/>
  <c r="AC446" i="21"/>
  <c r="AC531" i="21"/>
  <c r="AC109" i="21"/>
  <c r="AC112" i="21"/>
  <c r="AC168" i="21"/>
  <c r="AC169" i="21"/>
  <c r="E40" i="11"/>
  <c r="CB9" i="21"/>
  <c r="CB10" i="21"/>
  <c r="CB11" i="21"/>
  <c r="CB12" i="21"/>
  <c r="CB13" i="21"/>
  <c r="CI25" i="21" s="1"/>
  <c r="CB14" i="21"/>
  <c r="CB15" i="21"/>
  <c r="CI27" i="21" s="1"/>
  <c r="CC446" i="21"/>
  <c r="CC531" i="21"/>
  <c r="CC109" i="21"/>
  <c r="CC112" i="21"/>
  <c r="CC168" i="21"/>
  <c r="CC169" i="21"/>
  <c r="E41" i="11"/>
  <c r="DB9" i="21"/>
  <c r="DB10" i="21"/>
  <c r="DB11" i="21"/>
  <c r="DB12" i="21"/>
  <c r="DB13" i="21"/>
  <c r="DF61" i="21" s="1"/>
  <c r="DF62" i="21" s="1"/>
  <c r="DF63" i="21" s="1"/>
  <c r="DB14" i="21"/>
  <c r="DB15" i="21"/>
  <c r="DF27" i="21" s="1"/>
  <c r="DC446" i="21"/>
  <c r="DC531" i="21"/>
  <c r="DC109" i="21"/>
  <c r="DC112" i="21"/>
  <c r="DC168" i="21"/>
  <c r="DC169" i="21"/>
  <c r="E47" i="11"/>
  <c r="EB9" i="21"/>
  <c r="EB10" i="21"/>
  <c r="EB11" i="21"/>
  <c r="EB12" i="21"/>
  <c r="EB13" i="21"/>
  <c r="EI25" i="21" s="1"/>
  <c r="EB14" i="21"/>
  <c r="EB15" i="21"/>
  <c r="EI27" i="21" s="1"/>
  <c r="EC446" i="21"/>
  <c r="EC531" i="21"/>
  <c r="EC109" i="21"/>
  <c r="EC112" i="21"/>
  <c r="EC168" i="21"/>
  <c r="EC169" i="21"/>
  <c r="E46" i="11"/>
  <c r="C46" i="11" s="1"/>
  <c r="E48" i="11"/>
  <c r="C48" i="11" s="1"/>
  <c r="AC9" i="18"/>
  <c r="D43" i="18"/>
  <c r="AC10" i="18"/>
  <c r="AC11" i="18"/>
  <c r="AC15" i="18"/>
  <c r="AG24" i="18"/>
  <c r="AC16" i="18"/>
  <c r="F43" i="18"/>
  <c r="BB9" i="18"/>
  <c r="BB13" i="18"/>
  <c r="BB14" i="18"/>
  <c r="AA21" i="21"/>
  <c r="AA22" i="21"/>
  <c r="AA23" i="21"/>
  <c r="AC24" i="21"/>
  <c r="AA24" i="21"/>
  <c r="AA25" i="21"/>
  <c r="AA26" i="21"/>
  <c r="AA27" i="21"/>
  <c r="AC32" i="21"/>
  <c r="AB32" i="21"/>
  <c r="AI31" i="21"/>
  <c r="AC33" i="21"/>
  <c r="AB33" i="21"/>
  <c r="K70" i="22"/>
  <c r="AC47" i="15"/>
  <c r="AC50" i="15"/>
  <c r="AC51" i="15"/>
  <c r="A2" i="16"/>
  <c r="AA14" i="16"/>
  <c r="CB9" i="18"/>
  <c r="CB13" i="18"/>
  <c r="CB14" i="18"/>
  <c r="CB18" i="18"/>
  <c r="E146" i="18"/>
  <c r="C146" i="18" s="1"/>
  <c r="CB47" i="18" s="1"/>
  <c r="C161" i="18"/>
  <c r="C162" i="18"/>
  <c r="C163" i="18"/>
  <c r="AC20" i="18"/>
  <c r="BB18" i="18"/>
  <c r="E157" i="18"/>
  <c r="C157" i="18" s="1"/>
  <c r="AB9" i="18"/>
  <c r="AB10" i="18"/>
  <c r="AB11" i="18"/>
  <c r="E49" i="18"/>
  <c r="AB15" i="18"/>
  <c r="E48" i="18"/>
  <c r="AB16" i="18"/>
  <c r="AB20" i="18"/>
  <c r="E156" i="18"/>
  <c r="C156" i="18" s="1"/>
  <c r="E139" i="18"/>
  <c r="J70" i="22"/>
  <c r="J75" i="22"/>
  <c r="EE164" i="11"/>
  <c r="BC144" i="11"/>
  <c r="BE144" i="11" s="1"/>
  <c r="BE166" i="11" s="1"/>
  <c r="CC144" i="11"/>
  <c r="CE144" i="11" s="1"/>
  <c r="CE166" i="11" s="1"/>
  <c r="BC147" i="11"/>
  <c r="BE147" i="11" s="1"/>
  <c r="BE169" i="11" s="1"/>
  <c r="CC147" i="11"/>
  <c r="CE147" i="11" s="1"/>
  <c r="CE169" i="11" s="1"/>
  <c r="BC145" i="11"/>
  <c r="BE145" i="11" s="1"/>
  <c r="BE167" i="11" s="1"/>
  <c r="CC145" i="11"/>
  <c r="CE145" i="11" s="1"/>
  <c r="CE167" i="11" s="1"/>
  <c r="EC144" i="11"/>
  <c r="EE144" i="11" s="1"/>
  <c r="EE166" i="11" s="1"/>
  <c r="EC145" i="11"/>
  <c r="EE145" i="11" s="1"/>
  <c r="EE167" i="11" s="1"/>
  <c r="E32" i="18"/>
  <c r="E15" i="21" s="1"/>
  <c r="E33" i="18"/>
  <c r="E16" i="21" s="1"/>
  <c r="AI24" i="21"/>
  <c r="AI26" i="21"/>
  <c r="K86" i="22"/>
  <c r="K76" i="22"/>
  <c r="K77" i="22"/>
  <c r="S47" i="2"/>
  <c r="DA21" i="21"/>
  <c r="DA22" i="21"/>
  <c r="DA23" i="21"/>
  <c r="DI24" i="21"/>
  <c r="DA24" i="21"/>
  <c r="DA25" i="21"/>
  <c r="DI26" i="21"/>
  <c r="DA26" i="21"/>
  <c r="DA27" i="21"/>
  <c r="DB32" i="21"/>
  <c r="DB33" i="21"/>
  <c r="K79" i="22"/>
  <c r="AF26" i="21"/>
  <c r="DF26" i="21"/>
  <c r="DC24" i="21"/>
  <c r="DC26" i="21"/>
  <c r="K81" i="22"/>
  <c r="K78" i="22"/>
  <c r="K75" i="22"/>
  <c r="AC37" i="21"/>
  <c r="AB37" i="21"/>
  <c r="AF49" i="21" s="1"/>
  <c r="DC37" i="21"/>
  <c r="DB37" i="21"/>
  <c r="DF49" i="21" s="1"/>
  <c r="AR33" i="16"/>
  <c r="C9" i="8"/>
  <c r="CA21" i="21"/>
  <c r="CA22" i="21"/>
  <c r="CA23" i="21"/>
  <c r="CA24" i="21"/>
  <c r="CA25" i="21"/>
  <c r="CF26" i="21"/>
  <c r="CA26" i="21"/>
  <c r="CA27" i="21"/>
  <c r="C35" i="18"/>
  <c r="CC24" i="21"/>
  <c r="CC26" i="21"/>
  <c r="J226" i="2"/>
  <c r="J227" i="2"/>
  <c r="K226" i="2"/>
  <c r="K227" i="2"/>
  <c r="BAB109" i="17"/>
  <c r="PB114" i="17"/>
  <c r="PB113" i="17"/>
  <c r="PB112" i="17"/>
  <c r="PB111" i="17"/>
  <c r="PB109" i="17"/>
  <c r="QA10" i="17"/>
  <c r="F231" i="19"/>
  <c r="EB330" i="11"/>
  <c r="EC330" i="11" s="1"/>
  <c r="EB331" i="11"/>
  <c r="EC331" i="11" s="1"/>
  <c r="EB332" i="11"/>
  <c r="EC332" i="11" s="1"/>
  <c r="EB333" i="11"/>
  <c r="EC333" i="11" s="1"/>
  <c r="EB334" i="11"/>
  <c r="EC334" i="11" s="1"/>
  <c r="EB335" i="11"/>
  <c r="EC335" i="11" s="1"/>
  <c r="EB336" i="11"/>
  <c r="EB337" i="11"/>
  <c r="EC337" i="11" s="1"/>
  <c r="EB338" i="11"/>
  <c r="EC338" i="11" s="1"/>
  <c r="EB339" i="11"/>
  <c r="EC339" i="11" s="1"/>
  <c r="EC341" i="11"/>
  <c r="EC340" i="11"/>
  <c r="EB341" i="11"/>
  <c r="EB340" i="11"/>
  <c r="DC341" i="11"/>
  <c r="DC340" i="11"/>
  <c r="DB341" i="11"/>
  <c r="DB340" i="11"/>
  <c r="DB339" i="11"/>
  <c r="DC339" i="11" s="1"/>
  <c r="DB338" i="11"/>
  <c r="DC338" i="11"/>
  <c r="DB337" i="11"/>
  <c r="DC337" i="11" s="1"/>
  <c r="DB336" i="11"/>
  <c r="DC336" i="11" s="1"/>
  <c r="DB335" i="11"/>
  <c r="DC335" i="11" s="1"/>
  <c r="DB334" i="11"/>
  <c r="DC334" i="11" s="1"/>
  <c r="DB333" i="11"/>
  <c r="DC333" i="11" s="1"/>
  <c r="DB332" i="11"/>
  <c r="DB331" i="11"/>
  <c r="DB330" i="11"/>
  <c r="CC341" i="11"/>
  <c r="CC340" i="11"/>
  <c r="CB341" i="11"/>
  <c r="CB340" i="11"/>
  <c r="CB339" i="11"/>
  <c r="CC339" i="11" s="1"/>
  <c r="CB338" i="11"/>
  <c r="CC338" i="11" s="1"/>
  <c r="CB337" i="11"/>
  <c r="CC337" i="11" s="1"/>
  <c r="CB336" i="11"/>
  <c r="CC336" i="11" s="1"/>
  <c r="CB335" i="11"/>
  <c r="CB334" i="11"/>
  <c r="CB333" i="11"/>
  <c r="CB332" i="11"/>
  <c r="CB331" i="11"/>
  <c r="CB330" i="11"/>
  <c r="BC341" i="11"/>
  <c r="BC340" i="11"/>
  <c r="BB341" i="11"/>
  <c r="BB340" i="11"/>
  <c r="BB339" i="11"/>
  <c r="BC339" i="11" s="1"/>
  <c r="BB331" i="11"/>
  <c r="BB332" i="11"/>
  <c r="BB333" i="11"/>
  <c r="BB334" i="11"/>
  <c r="BC334" i="11" s="1"/>
  <c r="BB335" i="11"/>
  <c r="BC335" i="11" s="1"/>
  <c r="BB336" i="11"/>
  <c r="BC336" i="11" s="1"/>
  <c r="BB337" i="11"/>
  <c r="BC337" i="11" s="1"/>
  <c r="BB338" i="11"/>
  <c r="BC338" i="11" s="1"/>
  <c r="BB330" i="11"/>
  <c r="EA539" i="11"/>
  <c r="EA538" i="11"/>
  <c r="EA537" i="11"/>
  <c r="EA536" i="11"/>
  <c r="EA535" i="11"/>
  <c r="EA534" i="11"/>
  <c r="EA533" i="11"/>
  <c r="EA532" i="11"/>
  <c r="EA531" i="11"/>
  <c r="EA530" i="11"/>
  <c r="EA529" i="11"/>
  <c r="EA528" i="11"/>
  <c r="EA527" i="11"/>
  <c r="EA526" i="11"/>
  <c r="EA525" i="11"/>
  <c r="EA524" i="11"/>
  <c r="EA523" i="11"/>
  <c r="EA522" i="11"/>
  <c r="EA521" i="11"/>
  <c r="EA520" i="11"/>
  <c r="EA519" i="11"/>
  <c r="EA518" i="11"/>
  <c r="EA517" i="11"/>
  <c r="EA516" i="11"/>
  <c r="EA515" i="11"/>
  <c r="EA514" i="11"/>
  <c r="EA513" i="11"/>
  <c r="EA512" i="11"/>
  <c r="EA511" i="11"/>
  <c r="EA510" i="11"/>
  <c r="DA539" i="11"/>
  <c r="DA538" i="11"/>
  <c r="DA537" i="11"/>
  <c r="DA536" i="11"/>
  <c r="DA535" i="11"/>
  <c r="DA534" i="11"/>
  <c r="DA533" i="11"/>
  <c r="DA532" i="11"/>
  <c r="DA531" i="11"/>
  <c r="DA530" i="11"/>
  <c r="DA529" i="11"/>
  <c r="DA528" i="11"/>
  <c r="DA527" i="11"/>
  <c r="DA526" i="11"/>
  <c r="DA525" i="11"/>
  <c r="DA524" i="11"/>
  <c r="DA523" i="11"/>
  <c r="DA522" i="11"/>
  <c r="DA521" i="11"/>
  <c r="DA520" i="11"/>
  <c r="DA519" i="11"/>
  <c r="DA518" i="11"/>
  <c r="DA517" i="11"/>
  <c r="DA516" i="11"/>
  <c r="DA515" i="11"/>
  <c r="DA514" i="11"/>
  <c r="DA513" i="11"/>
  <c r="DA512" i="11"/>
  <c r="DA511" i="11"/>
  <c r="DA510" i="11"/>
  <c r="NB110" i="17"/>
  <c r="NB109" i="17"/>
  <c r="LB110" i="17"/>
  <c r="LB111" i="17"/>
  <c r="LB112" i="17"/>
  <c r="LB113" i="17"/>
  <c r="LB109" i="17"/>
  <c r="OD92" i="17"/>
  <c r="ACD92" i="17"/>
  <c r="AQD92" i="17"/>
  <c r="ARD92" i="17"/>
  <c r="B69" i="19"/>
  <c r="C19" i="19"/>
  <c r="B46" i="19"/>
  <c r="E49" i="11"/>
  <c r="C49" i="11" s="1"/>
  <c r="E50" i="11"/>
  <c r="C50" i="11" s="1"/>
  <c r="C33" i="11"/>
  <c r="E34" i="11"/>
  <c r="C34" i="11" s="1"/>
  <c r="EK182" i="11"/>
  <c r="EJ182" i="11"/>
  <c r="EI182" i="11"/>
  <c r="EH182" i="11"/>
  <c r="EG182" i="11"/>
  <c r="EF182" i="11"/>
  <c r="EE182" i="11"/>
  <c r="ED182" i="11"/>
  <c r="EE188" i="11"/>
  <c r="EF188" i="11"/>
  <c r="EG188" i="11"/>
  <c r="EH188" i="11"/>
  <c r="EJ188" i="11"/>
  <c r="EK188" i="11"/>
  <c r="E43" i="11"/>
  <c r="E44" i="11"/>
  <c r="E35" i="11"/>
  <c r="C35" i="11" s="1"/>
  <c r="E42" i="11"/>
  <c r="C42" i="11" s="1"/>
  <c r="E36" i="11"/>
  <c r="C36" i="11" s="1"/>
  <c r="CC179" i="11"/>
  <c r="CC185" i="11" s="1"/>
  <c r="CD179" i="11"/>
  <c r="CD185" i="11" s="1"/>
  <c r="CE179" i="11"/>
  <c r="CE185" i="11" s="1"/>
  <c r="CF179" i="11"/>
  <c r="CF185" i="11" s="1"/>
  <c r="CG179" i="11"/>
  <c r="CG185" i="11" s="1"/>
  <c r="CH179" i="11"/>
  <c r="CI179" i="11"/>
  <c r="CI185" i="11" s="1"/>
  <c r="CJ179" i="11"/>
  <c r="CJ185" i="11" s="1"/>
  <c r="CK179" i="11"/>
  <c r="CK185" i="11" s="1"/>
  <c r="CB348" i="11"/>
  <c r="CB349" i="11"/>
  <c r="CB350" i="11"/>
  <c r="CB351" i="11"/>
  <c r="CB352" i="11"/>
  <c r="CB353" i="11"/>
  <c r="CB354" i="11"/>
  <c r="EC412" i="21"/>
  <c r="FC400" i="21"/>
  <c r="FC416" i="21"/>
  <c r="FC401" i="21"/>
  <c r="FC417" i="21"/>
  <c r="FC403" i="21"/>
  <c r="FC424" i="21"/>
  <c r="FC404" i="21"/>
  <c r="FC426" i="21"/>
  <c r="B21" i="19"/>
  <c r="E66" i="11"/>
  <c r="C66" i="11" s="1"/>
  <c r="E67" i="11"/>
  <c r="C67" i="11" s="1"/>
  <c r="E68" i="11"/>
  <c r="C68" i="11" s="1"/>
  <c r="E69" i="11"/>
  <c r="C69" i="11" s="1"/>
  <c r="E70" i="11"/>
  <c r="C70" i="11" s="1"/>
  <c r="E71" i="11"/>
  <c r="C71" i="11" s="1"/>
  <c r="E72" i="11"/>
  <c r="C72" i="11" s="1"/>
  <c r="E73" i="11"/>
  <c r="C73" i="11" s="1"/>
  <c r="E74" i="11"/>
  <c r="C74" i="11" s="1"/>
  <c r="DC331" i="11" s="1"/>
  <c r="E75" i="11"/>
  <c r="C75" i="11" s="1"/>
  <c r="BC331" i="11" s="1"/>
  <c r="E76" i="11"/>
  <c r="C76" i="11" s="1"/>
  <c r="DC330" i="11"/>
  <c r="E78" i="11"/>
  <c r="C78" i="11" s="1"/>
  <c r="E79" i="11"/>
  <c r="C79" i="11" s="1"/>
  <c r="E80" i="11"/>
  <c r="C80" i="11" s="1"/>
  <c r="E81" i="11"/>
  <c r="C81" i="11" s="1"/>
  <c r="E82" i="11"/>
  <c r="C82" i="11" s="1"/>
  <c r="E83" i="11"/>
  <c r="C83" i="11" s="1"/>
  <c r="E84" i="11"/>
  <c r="C84" i="11" s="1"/>
  <c r="E85" i="11"/>
  <c r="C85" i="11" s="1"/>
  <c r="CC335" i="11"/>
  <c r="E86" i="11"/>
  <c r="C86" i="11" s="1"/>
  <c r="B30" i="19"/>
  <c r="B25" i="19"/>
  <c r="B24" i="19"/>
  <c r="B12" i="19"/>
  <c r="B11" i="19"/>
  <c r="B10" i="19"/>
  <c r="BB351" i="11"/>
  <c r="BB350" i="11"/>
  <c r="BB349" i="11"/>
  <c r="BB348" i="11"/>
  <c r="BC348" i="11" s="1"/>
  <c r="C41" i="9"/>
  <c r="C42" i="9"/>
  <c r="C43" i="9"/>
  <c r="EC336" i="11"/>
  <c r="AB12" i="15"/>
  <c r="AB13" i="15"/>
  <c r="C44" i="8"/>
  <c r="C48" i="8"/>
  <c r="AC10" i="15"/>
  <c r="C51" i="22" s="1"/>
  <c r="AD59" i="15"/>
  <c r="AD60" i="15"/>
  <c r="C10" i="8"/>
  <c r="C10" i="22" s="1"/>
  <c r="AG59" i="15"/>
  <c r="C47" i="8"/>
  <c r="D56" i="8"/>
  <c r="G56" i="8"/>
  <c r="D57" i="8"/>
  <c r="AC54" i="15"/>
  <c r="C51" i="8"/>
  <c r="AQ69" i="15"/>
  <c r="E79" i="22"/>
  <c r="E80" i="22"/>
  <c r="E81" i="22"/>
  <c r="E82" i="22"/>
  <c r="E83" i="22"/>
  <c r="E84" i="22"/>
  <c r="E85" i="22"/>
  <c r="E86" i="22"/>
  <c r="E87" i="22"/>
  <c r="E88" i="22"/>
  <c r="E78" i="22"/>
  <c r="E77" i="22"/>
  <c r="E76" i="22"/>
  <c r="E71" i="22"/>
  <c r="E72" i="22"/>
  <c r="E73" i="22"/>
  <c r="E74" i="22"/>
  <c r="E75" i="22"/>
  <c r="E70" i="22"/>
  <c r="CC142" i="11"/>
  <c r="CE142" i="11" s="1"/>
  <c r="CE164" i="11" s="1"/>
  <c r="CC143" i="11"/>
  <c r="CE143" i="11" s="1"/>
  <c r="CE165" i="11" s="1"/>
  <c r="CC146" i="11"/>
  <c r="CE146" i="11" s="1"/>
  <c r="CE168" i="11" s="1"/>
  <c r="CC148" i="11"/>
  <c r="CE148" i="11" s="1"/>
  <c r="CE170" i="11" s="1"/>
  <c r="CC149" i="11"/>
  <c r="CE149" i="11" s="1"/>
  <c r="CE171" i="11" s="1"/>
  <c r="CC150" i="11"/>
  <c r="CE150" i="11" s="1"/>
  <c r="CE172" i="11" s="1"/>
  <c r="CC151" i="11"/>
  <c r="CE151" i="11" s="1"/>
  <c r="CE173" i="11" s="1"/>
  <c r="FA21" i="21"/>
  <c r="FA22" i="21"/>
  <c r="EA21" i="21"/>
  <c r="EA22" i="21"/>
  <c r="EA23" i="21"/>
  <c r="EA24" i="21"/>
  <c r="EA25" i="21"/>
  <c r="EA26" i="21"/>
  <c r="EA27" i="21"/>
  <c r="FC380" i="21"/>
  <c r="AI33" i="21"/>
  <c r="E241" i="19"/>
  <c r="B250" i="19"/>
  <c r="B239" i="19"/>
  <c r="B38" i="19"/>
  <c r="E137" i="18"/>
  <c r="C137" i="18" s="1"/>
  <c r="E138" i="18"/>
  <c r="C138" i="18" s="1"/>
  <c r="E140" i="18"/>
  <c r="C140" i="18" s="1"/>
  <c r="E141" i="18"/>
  <c r="E142" i="18"/>
  <c r="E143" i="18"/>
  <c r="C143" i="18" s="1"/>
  <c r="E144" i="18"/>
  <c r="C144" i="18" s="1"/>
  <c r="E145" i="18"/>
  <c r="C145" i="18" s="1"/>
  <c r="E147" i="18"/>
  <c r="C147" i="18" s="1"/>
  <c r="E148" i="18"/>
  <c r="C148" i="18" s="1"/>
  <c r="E149" i="18"/>
  <c r="C149" i="18" s="1"/>
  <c r="E150" i="18"/>
  <c r="E151" i="18"/>
  <c r="E152" i="18"/>
  <c r="E153" i="18"/>
  <c r="C153" i="18" s="1"/>
  <c r="E154" i="18"/>
  <c r="C154" i="18" s="1"/>
  <c r="E155" i="18"/>
  <c r="C155" i="18" s="1"/>
  <c r="BC142" i="11"/>
  <c r="BE142" i="11" s="1"/>
  <c r="BE164" i="11" s="1"/>
  <c r="BC143" i="11"/>
  <c r="BE143" i="11" s="1"/>
  <c r="BE165" i="11" s="1"/>
  <c r="BC151" i="11"/>
  <c r="BE151" i="11" s="1"/>
  <c r="BE173" i="11" s="1"/>
  <c r="BC150" i="11"/>
  <c r="BE150" i="11" s="1"/>
  <c r="BE172" i="11" s="1"/>
  <c r="BC149" i="11"/>
  <c r="BE149" i="11" s="1"/>
  <c r="BE171" i="11" s="1"/>
  <c r="BC148" i="11"/>
  <c r="BE148" i="11" s="1"/>
  <c r="BE170" i="11" s="1"/>
  <c r="BC146" i="11"/>
  <c r="BE146" i="11" s="1"/>
  <c r="BE168" i="11" s="1"/>
  <c r="FC32" i="21"/>
  <c r="FB32" i="21"/>
  <c r="C45" i="21"/>
  <c r="FC33" i="21"/>
  <c r="FB33" i="21"/>
  <c r="EC32" i="21"/>
  <c r="EB32" i="21"/>
  <c r="EC33" i="21"/>
  <c r="EB33" i="21"/>
  <c r="CC32" i="21"/>
  <c r="CB32" i="21"/>
  <c r="CC33" i="21"/>
  <c r="CB33" i="21"/>
  <c r="AL10" i="2"/>
  <c r="BC354" i="11"/>
  <c r="BC353" i="11"/>
  <c r="BC352" i="11"/>
  <c r="FF504" i="21"/>
  <c r="FE504" i="21"/>
  <c r="FD504" i="21"/>
  <c r="FC504" i="21"/>
  <c r="AK6" i="2"/>
  <c r="FC11" i="21"/>
  <c r="FB11" i="21"/>
  <c r="FC12" i="21"/>
  <c r="FB12" i="21"/>
  <c r="FC13" i="21"/>
  <c r="FB13" i="21"/>
  <c r="FC14" i="21"/>
  <c r="FB14" i="21"/>
  <c r="FC15" i="21"/>
  <c r="FB15" i="21"/>
  <c r="FA23" i="21"/>
  <c r="FA24" i="21"/>
  <c r="FA25" i="21"/>
  <c r="FA26" i="21"/>
  <c r="FA27" i="21"/>
  <c r="FC37" i="21"/>
  <c r="FB37" i="21"/>
  <c r="FF49" i="21" s="1"/>
  <c r="E239" i="19"/>
  <c r="D239" i="19"/>
  <c r="C239" i="19"/>
  <c r="E238" i="19"/>
  <c r="C238" i="19"/>
  <c r="D238" i="19"/>
  <c r="B238" i="19"/>
  <c r="E226" i="19"/>
  <c r="E231" i="19" s="1"/>
  <c r="D226" i="19"/>
  <c r="D231" i="19" s="1"/>
  <c r="C226" i="19"/>
  <c r="C231" i="19"/>
  <c r="B226" i="19"/>
  <c r="B231" i="19"/>
  <c r="E236" i="19"/>
  <c r="E235" i="19"/>
  <c r="E234" i="19"/>
  <c r="B258" i="19"/>
  <c r="AG6" i="2"/>
  <c r="AI6" i="2"/>
  <c r="AJ6" i="2"/>
  <c r="AH6" i="2"/>
  <c r="H37" i="8" s="1"/>
  <c r="AD6" i="2"/>
  <c r="D37" i="8" s="1"/>
  <c r="AF6" i="2"/>
  <c r="BCB15" i="17"/>
  <c r="BCB26" i="17" s="1"/>
  <c r="BCB113" i="17"/>
  <c r="BCB114" i="17"/>
  <c r="BCB115" i="17"/>
  <c r="BCB116" i="17"/>
  <c r="BCB117" i="17"/>
  <c r="BCB112" i="17"/>
  <c r="AQB15" i="17"/>
  <c r="AQB26" i="17"/>
  <c r="AXB29" i="17"/>
  <c r="AXB111" i="17"/>
  <c r="AXB112" i="17"/>
  <c r="AXB113" i="17"/>
  <c r="AXB114" i="17"/>
  <c r="AXB115" i="17"/>
  <c r="AXB110" i="17"/>
  <c r="BIB111" i="17"/>
  <c r="BIB112" i="17"/>
  <c r="BIB113" i="17"/>
  <c r="BIB114" i="17"/>
  <c r="BIB115" i="17"/>
  <c r="BIB116" i="17"/>
  <c r="BIB117" i="17"/>
  <c r="BIB110" i="17"/>
  <c r="BJB15" i="17"/>
  <c r="BJB26" i="17" s="1"/>
  <c r="AZB15" i="17"/>
  <c r="AZB26" i="17" s="1"/>
  <c r="ATB117" i="17"/>
  <c r="ATB111" i="17"/>
  <c r="ATB112" i="17"/>
  <c r="ATB113" i="17"/>
  <c r="ATB114" i="17"/>
  <c r="ATB115" i="17"/>
  <c r="ATB116" i="17"/>
  <c r="ATB110" i="17"/>
  <c r="ATB15" i="17"/>
  <c r="ATB26" i="17" s="1"/>
  <c r="AIB110" i="17"/>
  <c r="AGB15" i="17"/>
  <c r="AGB26" i="17" s="1"/>
  <c r="AGB111" i="17"/>
  <c r="AGB112" i="17"/>
  <c r="AGB113" i="17"/>
  <c r="AGB114" i="17"/>
  <c r="AGB115" i="17"/>
  <c r="AGB110" i="17"/>
  <c r="ACB15" i="17"/>
  <c r="ACB26" i="17" s="1"/>
  <c r="ARB15" i="17"/>
  <c r="ARB26" i="17" s="1"/>
  <c r="OB15" i="17"/>
  <c r="OB26" i="17" s="1"/>
  <c r="MB111" i="17"/>
  <c r="MB112" i="17"/>
  <c r="MB113" i="17"/>
  <c r="MB114" i="17"/>
  <c r="MB115" i="17"/>
  <c r="MB116" i="17"/>
  <c r="MB110" i="17"/>
  <c r="KB122" i="17"/>
  <c r="KD92" i="17" s="1"/>
  <c r="KB15" i="17"/>
  <c r="KB26" i="17" s="1"/>
  <c r="KD118" i="17"/>
  <c r="KD119" i="17"/>
  <c r="KD120" i="17"/>
  <c r="KD121" i="17"/>
  <c r="KD122" i="17"/>
  <c r="KD117" i="17"/>
  <c r="KB118" i="17"/>
  <c r="KB119" i="17"/>
  <c r="KB120" i="17"/>
  <c r="KB121" i="17"/>
  <c r="KB117" i="17"/>
  <c r="KC111" i="17"/>
  <c r="KD111" i="17"/>
  <c r="KB111" i="17"/>
  <c r="IG117" i="17"/>
  <c r="IG120" i="17"/>
  <c r="IG114" i="17"/>
  <c r="IC113" i="17"/>
  <c r="IE113" i="17" s="1"/>
  <c r="IC114" i="17"/>
  <c r="IE114" i="17" s="1"/>
  <c r="IC115" i="17"/>
  <c r="IE115" i="17" s="1"/>
  <c r="IC116" i="17"/>
  <c r="IE116" i="17" s="1"/>
  <c r="IC117" i="17"/>
  <c r="IE117" i="17" s="1"/>
  <c r="IC118" i="17"/>
  <c r="IE118" i="17" s="1"/>
  <c r="IC119" i="17"/>
  <c r="IE119" i="17" s="1"/>
  <c r="IC120" i="17"/>
  <c r="IE120" i="17" s="1"/>
  <c r="IC112" i="17"/>
  <c r="IE112" i="17" s="1"/>
  <c r="B100" i="19"/>
  <c r="B99" i="19"/>
  <c r="B97" i="19"/>
  <c r="B93" i="19"/>
  <c r="B87" i="19"/>
  <c r="B86" i="19"/>
  <c r="B84" i="19"/>
  <c r="B101" i="19"/>
  <c r="B85" i="19"/>
  <c r="B70" i="19"/>
  <c r="B47" i="19"/>
  <c r="B80" i="19"/>
  <c r="B79" i="19"/>
  <c r="B78" i="19"/>
  <c r="B77" i="19"/>
  <c r="B76" i="19"/>
  <c r="B75" i="19"/>
  <c r="B68" i="19"/>
  <c r="B67" i="19"/>
  <c r="B66" i="19"/>
  <c r="B65" i="19"/>
  <c r="B62" i="19"/>
  <c r="B61" i="19"/>
  <c r="B60" i="19"/>
  <c r="B56" i="19"/>
  <c r="B55" i="19"/>
  <c r="B54" i="19"/>
  <c r="B53" i="19"/>
  <c r="B52" i="19"/>
  <c r="B45" i="19"/>
  <c r="B44" i="19"/>
  <c r="B43" i="19"/>
  <c r="B42" i="19"/>
  <c r="B39" i="19"/>
  <c r="B37" i="19"/>
  <c r="B36" i="19"/>
  <c r="C23" i="19"/>
  <c r="B23" i="19" s="1"/>
  <c r="B29" i="19"/>
  <c r="B31" i="19"/>
  <c r="B13" i="19"/>
  <c r="B28" i="19"/>
  <c r="B27" i="19"/>
  <c r="B26" i="19"/>
  <c r="B20" i="19"/>
  <c r="B19" i="19"/>
  <c r="B18" i="19"/>
  <c r="B17" i="19"/>
  <c r="B16" i="19"/>
  <c r="B15" i="19"/>
  <c r="B14" i="19"/>
  <c r="EC152" i="11"/>
  <c r="EE152" i="11" s="1"/>
  <c r="EE174" i="11" s="1"/>
  <c r="J120" i="15"/>
  <c r="I120" i="15"/>
  <c r="BRA10" i="17"/>
  <c r="BRB27" i="17"/>
  <c r="BRB13" i="17"/>
  <c r="BQA10" i="17"/>
  <c r="BQB27" i="17"/>
  <c r="BQB13" i="17"/>
  <c r="BPA10" i="17"/>
  <c r="BPB27" i="17"/>
  <c r="BPB13" i="17"/>
  <c r="BOA10" i="17"/>
  <c r="BOB27" i="17"/>
  <c r="BOB13" i="17"/>
  <c r="BNA10" i="17"/>
  <c r="BNB27" i="17"/>
  <c r="BNB13" i="17"/>
  <c r="BMA10" i="17"/>
  <c r="BMB27" i="17"/>
  <c r="BMB13" i="17"/>
  <c r="BLA10" i="17"/>
  <c r="BLB27" i="17"/>
  <c r="BLB13" i="17"/>
  <c r="BKA10" i="17"/>
  <c r="BKB27" i="17"/>
  <c r="BKB13" i="17"/>
  <c r="BJA10" i="17"/>
  <c r="BIA10" i="17"/>
  <c r="BIB27" i="17"/>
  <c r="BHA10" i="17"/>
  <c r="BHB27" i="17"/>
  <c r="BHB13" i="17"/>
  <c r="BGA10" i="17"/>
  <c r="BGB27" i="17"/>
  <c r="BGB13" i="17"/>
  <c r="BFA10" i="17"/>
  <c r="BFB27" i="17"/>
  <c r="BFB13" i="17"/>
  <c r="BEA10" i="17"/>
  <c r="BEB27" i="17"/>
  <c r="BEB13" i="17"/>
  <c r="BDA10" i="17"/>
  <c r="BDB27" i="17"/>
  <c r="BDB13" i="17"/>
  <c r="BCA10" i="17"/>
  <c r="BBA10" i="17"/>
  <c r="BBB27" i="17"/>
  <c r="BBB13" i="17"/>
  <c r="BAA10" i="17"/>
  <c r="BAB27" i="17"/>
  <c r="BAB13" i="17"/>
  <c r="AZA10" i="17"/>
  <c r="AYA10" i="17"/>
  <c r="AYB27" i="17"/>
  <c r="AYB13" i="17"/>
  <c r="AXA10" i="17"/>
  <c r="AXB27" i="17"/>
  <c r="AWA10" i="17"/>
  <c r="AWB27" i="17"/>
  <c r="AWB13" i="17"/>
  <c r="AVA10" i="17"/>
  <c r="AVB27" i="17"/>
  <c r="AVB13" i="17"/>
  <c r="AUA10" i="17"/>
  <c r="AUB27" i="17"/>
  <c r="AUB13" i="17"/>
  <c r="ATA10" i="17"/>
  <c r="ASA10" i="17"/>
  <c r="ASB27" i="17"/>
  <c r="ASB13" i="17"/>
  <c r="ARA10" i="17"/>
  <c r="ARB13" i="17"/>
  <c r="AQA10" i="17"/>
  <c r="AQB13" i="17"/>
  <c r="APA10" i="17"/>
  <c r="APB27" i="17"/>
  <c r="APB13" i="17"/>
  <c r="AOA10" i="17"/>
  <c r="AOB27" i="17"/>
  <c r="AOB13" i="17"/>
  <c r="ANA10" i="17"/>
  <c r="ANB27" i="17"/>
  <c r="ANB13" i="17"/>
  <c r="AMA10" i="17"/>
  <c r="AMB27" i="17"/>
  <c r="AMB13" i="17"/>
  <c r="ALA10" i="17"/>
  <c r="ALB27" i="17"/>
  <c r="ALB13" i="17"/>
  <c r="AKA10" i="17"/>
  <c r="AKB27" i="17"/>
  <c r="AKB13" i="17"/>
  <c r="AJA10" i="17"/>
  <c r="AIA10" i="17"/>
  <c r="AIB27" i="17"/>
  <c r="AIB13" i="17"/>
  <c r="AHA10" i="17"/>
  <c r="AHB27" i="17"/>
  <c r="AHB13" i="17"/>
  <c r="AGA10" i="17"/>
  <c r="AFA10" i="17"/>
  <c r="AFB27" i="17"/>
  <c r="AFB13" i="17"/>
  <c r="AEA10" i="17"/>
  <c r="AEB27" i="17"/>
  <c r="AEB13" i="17"/>
  <c r="ADA10" i="17"/>
  <c r="ADB27" i="17"/>
  <c r="ADB13" i="17"/>
  <c r="ACA10" i="17"/>
  <c r="ACB13" i="17"/>
  <c r="ABA10" i="17"/>
  <c r="ABB27" i="17"/>
  <c r="ABB13" i="17"/>
  <c r="AAA10" i="17"/>
  <c r="AAB27" i="17"/>
  <c r="AAB13" i="17"/>
  <c r="Q62" i="2"/>
  <c r="DC311" i="11"/>
  <c r="I10" i="22"/>
  <c r="O37" i="2"/>
  <c r="B11" i="2"/>
  <c r="J86" i="22"/>
  <c r="J76" i="22"/>
  <c r="J77" i="22"/>
  <c r="J85" i="22"/>
  <c r="J84" i="22"/>
  <c r="J83" i="22"/>
  <c r="J82" i="22"/>
  <c r="J81" i="22"/>
  <c r="J80" i="22"/>
  <c r="J79" i="22"/>
  <c r="J78" i="22"/>
  <c r="J74" i="22"/>
  <c r="J73" i="22"/>
  <c r="J72" i="22"/>
  <c r="J71" i="22"/>
  <c r="K85" i="22"/>
  <c r="K84" i="22"/>
  <c r="K83" i="22"/>
  <c r="K82" i="22"/>
  <c r="K80" i="22"/>
  <c r="K74" i="22"/>
  <c r="K73" i="22"/>
  <c r="K72" i="22"/>
  <c r="K71" i="22"/>
  <c r="F41" i="1"/>
  <c r="I86" i="22"/>
  <c r="I76" i="22"/>
  <c r="I77" i="22"/>
  <c r="I78" i="22"/>
  <c r="I79" i="22"/>
  <c r="I80" i="22"/>
  <c r="I81" i="22"/>
  <c r="I82" i="22"/>
  <c r="I83" i="22"/>
  <c r="I84" i="22"/>
  <c r="I85" i="22"/>
  <c r="I75" i="22"/>
  <c r="I74" i="22"/>
  <c r="I73" i="22"/>
  <c r="I72" i="22"/>
  <c r="I71" i="22"/>
  <c r="I70" i="22"/>
  <c r="F10" i="1" s="1"/>
  <c r="I53" i="22"/>
  <c r="I46" i="22"/>
  <c r="I37" i="22"/>
  <c r="L86" i="22"/>
  <c r="L76" i="22"/>
  <c r="L77" i="22"/>
  <c r="L85" i="22"/>
  <c r="L84" i="22"/>
  <c r="L83" i="22"/>
  <c r="L82" i="22"/>
  <c r="L81" i="22"/>
  <c r="L80" i="22"/>
  <c r="L79" i="22"/>
  <c r="L78" i="22"/>
  <c r="L75" i="22"/>
  <c r="L74" i="22"/>
  <c r="L73" i="22"/>
  <c r="L72" i="22"/>
  <c r="L71" i="22"/>
  <c r="L70" i="22"/>
  <c r="F52" i="1" s="1"/>
  <c r="H86" i="22"/>
  <c r="H76" i="22"/>
  <c r="H77" i="22"/>
  <c r="G86" i="22"/>
  <c r="G76" i="22"/>
  <c r="G77" i="22"/>
  <c r="H71" i="22"/>
  <c r="H72" i="22"/>
  <c r="H73" i="22"/>
  <c r="H74" i="22"/>
  <c r="H75" i="22"/>
  <c r="H78" i="22"/>
  <c r="H79" i="22"/>
  <c r="H80" i="22"/>
  <c r="H81" i="22"/>
  <c r="H82" i="22"/>
  <c r="H83" i="22"/>
  <c r="H84" i="22"/>
  <c r="H85" i="22"/>
  <c r="H70" i="22"/>
  <c r="G71" i="22"/>
  <c r="G72" i="22"/>
  <c r="G73" i="22"/>
  <c r="G74" i="22"/>
  <c r="G75" i="22"/>
  <c r="G78" i="22"/>
  <c r="G79" i="22"/>
  <c r="G80" i="22"/>
  <c r="G81" i="22"/>
  <c r="G82" i="22"/>
  <c r="G83" i="22"/>
  <c r="G84" i="22"/>
  <c r="G85" i="22"/>
  <c r="G70" i="22"/>
  <c r="F71" i="22"/>
  <c r="F72" i="22"/>
  <c r="F73" i="22"/>
  <c r="F74" i="22"/>
  <c r="F75" i="22"/>
  <c r="F76" i="22"/>
  <c r="F77" i="22"/>
  <c r="F78" i="22"/>
  <c r="F79" i="22"/>
  <c r="F80" i="22"/>
  <c r="F81" i="22"/>
  <c r="F82" i="22"/>
  <c r="F83" i="22"/>
  <c r="F84" i="22"/>
  <c r="F85" i="22"/>
  <c r="F86" i="22"/>
  <c r="F87" i="22"/>
  <c r="F88" i="22"/>
  <c r="F70" i="22"/>
  <c r="F44" i="22"/>
  <c r="F33" i="22"/>
  <c r="EC135" i="21"/>
  <c r="EC37" i="21"/>
  <c r="EB37" i="21"/>
  <c r="EF49" i="21" s="1"/>
  <c r="EF504" i="21"/>
  <c r="EE504" i="21"/>
  <c r="ED504" i="21"/>
  <c r="EC504" i="21"/>
  <c r="EC147" i="21"/>
  <c r="EC163" i="21"/>
  <c r="EC211" i="21"/>
  <c r="EC340" i="21"/>
  <c r="EC284" i="21"/>
  <c r="EC136" i="21"/>
  <c r="DF504" i="21"/>
  <c r="CF504" i="21"/>
  <c r="AC53" i="15"/>
  <c r="AC52" i="15"/>
  <c r="AC55" i="15"/>
  <c r="AC12" i="15"/>
  <c r="AC13" i="15"/>
  <c r="CC37" i="21"/>
  <c r="CB37" i="21"/>
  <c r="CF49" i="21" s="1"/>
  <c r="AF504" i="21"/>
  <c r="DE504" i="21"/>
  <c r="DD504" i="21"/>
  <c r="DC504" i="21"/>
  <c r="DC147" i="21"/>
  <c r="DC163" i="21"/>
  <c r="DC211" i="21"/>
  <c r="DC340" i="21"/>
  <c r="DC284" i="21"/>
  <c r="DC135" i="21"/>
  <c r="DC136" i="21"/>
  <c r="CE504" i="21"/>
  <c r="CD504" i="21"/>
  <c r="CC504" i="21"/>
  <c r="CC147" i="21"/>
  <c r="CC163" i="21"/>
  <c r="CC211" i="21"/>
  <c r="CC340" i="21"/>
  <c r="CC284" i="21"/>
  <c r="CC135" i="21"/>
  <c r="CC136" i="21"/>
  <c r="AE504" i="21"/>
  <c r="AD504" i="21"/>
  <c r="EC146" i="11"/>
  <c r="EE146" i="11" s="1"/>
  <c r="EE168" i="11" s="1"/>
  <c r="EC147" i="11"/>
  <c r="EE147" i="11" s="1"/>
  <c r="EE169" i="11" s="1"/>
  <c r="EC148" i="11"/>
  <c r="EE148" i="11" s="1"/>
  <c r="EE170" i="11" s="1"/>
  <c r="EC149" i="11"/>
  <c r="EE149" i="11" s="1"/>
  <c r="EE171" i="11" s="1"/>
  <c r="EC150" i="11"/>
  <c r="EE150" i="11" s="1"/>
  <c r="EE172" i="11" s="1"/>
  <c r="EC151" i="11"/>
  <c r="EE151" i="11" s="1"/>
  <c r="EE173" i="11" s="1"/>
  <c r="EC153" i="11"/>
  <c r="EE153" i="11" s="1"/>
  <c r="EE175" i="11" s="1"/>
  <c r="AC147" i="21"/>
  <c r="AC163" i="21"/>
  <c r="AC211" i="21"/>
  <c r="AC284" i="21"/>
  <c r="AC340" i="21"/>
  <c r="AC504" i="21"/>
  <c r="AC135" i="21"/>
  <c r="AC136" i="21"/>
  <c r="B15" i="21"/>
  <c r="B16" i="21"/>
  <c r="B17" i="21"/>
  <c r="B18" i="21"/>
  <c r="B14" i="21"/>
  <c r="EC181" i="11"/>
  <c r="ED181" i="11"/>
  <c r="ED187" i="11" s="1"/>
  <c r="EE181" i="11"/>
  <c r="EF181" i="11"/>
  <c r="EF187" i="11" s="1"/>
  <c r="EG181" i="11"/>
  <c r="EG187" i="11" s="1"/>
  <c r="EH181" i="11"/>
  <c r="EH187" i="11" s="1"/>
  <c r="EI181" i="11"/>
  <c r="EJ181" i="11"/>
  <c r="EK181" i="11"/>
  <c r="EK187" i="11" s="1"/>
  <c r="DH179" i="11"/>
  <c r="DI179" i="11"/>
  <c r="DI185" i="11" s="1"/>
  <c r="DJ179" i="11"/>
  <c r="DJ185" i="11" s="1"/>
  <c r="DK179" i="11"/>
  <c r="DK185" i="11" s="1"/>
  <c r="B9" i="21"/>
  <c r="B10" i="21"/>
  <c r="C8" i="21"/>
  <c r="B8" i="21"/>
  <c r="CC310" i="11"/>
  <c r="BI179" i="11"/>
  <c r="BI185" i="11" s="1"/>
  <c r="BH179" i="11"/>
  <c r="BH185" i="11" s="1"/>
  <c r="BG179" i="11"/>
  <c r="BG185" i="11" s="1"/>
  <c r="BF179" i="11"/>
  <c r="BF185" i="11" s="1"/>
  <c r="BE179" i="11"/>
  <c r="BD179" i="11"/>
  <c r="BD185" i="11" s="1"/>
  <c r="BC179" i="11"/>
  <c r="BC185" i="11" s="1"/>
  <c r="H153" i="8"/>
  <c r="G153" i="8"/>
  <c r="I153" i="8"/>
  <c r="J153" i="8"/>
  <c r="K153" i="8"/>
  <c r="L153" i="8"/>
  <c r="M153" i="8"/>
  <c r="N153" i="8"/>
  <c r="O153" i="8"/>
  <c r="H139" i="8"/>
  <c r="H150" i="8" s="1"/>
  <c r="G150" i="8"/>
  <c r="I139" i="8"/>
  <c r="I150" i="8" s="1"/>
  <c r="J139" i="8"/>
  <c r="J150" i="8" s="1"/>
  <c r="K150" i="8"/>
  <c r="L150" i="8"/>
  <c r="M150" i="8"/>
  <c r="N150" i="8"/>
  <c r="O150" i="8"/>
  <c r="L154" i="8"/>
  <c r="G154" i="8"/>
  <c r="H154" i="8"/>
  <c r="I154" i="8"/>
  <c r="J154" i="8"/>
  <c r="K154" i="8"/>
  <c r="M154" i="8"/>
  <c r="N154" i="8"/>
  <c r="O154" i="8"/>
  <c r="C168" i="8"/>
  <c r="C50" i="8"/>
  <c r="C52" i="8"/>
  <c r="C49" i="8"/>
  <c r="O34" i="2"/>
  <c r="O45" i="2"/>
  <c r="O44" i="2"/>
  <c r="O38" i="2"/>
  <c r="AG60" i="15"/>
  <c r="H57" i="8"/>
  <c r="G57" i="8" s="1"/>
  <c r="AC73" i="1"/>
  <c r="AC74" i="1"/>
  <c r="H152" i="8"/>
  <c r="I152" i="8"/>
  <c r="J152" i="8"/>
  <c r="K152" i="8"/>
  <c r="L152" i="8"/>
  <c r="M152" i="8"/>
  <c r="N152" i="8"/>
  <c r="O152" i="8"/>
  <c r="G152" i="8"/>
  <c r="AC75" i="1"/>
  <c r="B22" i="9"/>
  <c r="B62" i="9" s="1"/>
  <c r="B71" i="9" s="1"/>
  <c r="D79" i="9" s="1"/>
  <c r="B26" i="9"/>
  <c r="B64" i="9" s="1"/>
  <c r="B73" i="9" s="1"/>
  <c r="F79" i="9" s="1"/>
  <c r="B28" i="9"/>
  <c r="B65" i="9" s="1"/>
  <c r="B74" i="9" s="1"/>
  <c r="G79" i="9" s="1"/>
  <c r="B30" i="9"/>
  <c r="B66" i="9" s="1"/>
  <c r="B75" i="9" s="1"/>
  <c r="H79" i="9" s="1"/>
  <c r="B20" i="9"/>
  <c r="B61" i="9" s="1"/>
  <c r="B70" i="9" s="1"/>
  <c r="C79" i="9" s="1"/>
  <c r="B19" i="2"/>
  <c r="B44" i="2"/>
  <c r="B18" i="2"/>
  <c r="B12" i="2"/>
  <c r="DB428" i="11"/>
  <c r="DB427" i="11"/>
  <c r="DB426" i="11"/>
  <c r="DB425" i="11"/>
  <c r="DB424" i="11"/>
  <c r="DB423" i="11"/>
  <c r="DB422" i="11"/>
  <c r="DB421" i="11"/>
  <c r="DB420" i="11"/>
  <c r="DB419" i="11"/>
  <c r="DB418" i="11"/>
  <c r="DB417" i="11"/>
  <c r="DB416" i="11"/>
  <c r="DB415" i="11"/>
  <c r="DB414" i="11"/>
  <c r="DB413" i="11"/>
  <c r="DB412" i="11"/>
  <c r="DB411" i="11"/>
  <c r="DB410" i="11"/>
  <c r="DB409" i="11"/>
  <c r="DB408" i="11"/>
  <c r="DB407" i="11"/>
  <c r="DB406" i="11"/>
  <c r="DB405" i="11"/>
  <c r="DB404" i="11"/>
  <c r="DB403" i="11"/>
  <c r="DB402" i="11"/>
  <c r="DB401" i="11"/>
  <c r="DB400" i="11"/>
  <c r="DB399" i="11"/>
  <c r="DE382" i="11"/>
  <c r="DC382" i="11"/>
  <c r="DE380" i="11"/>
  <c r="DC380" i="11"/>
  <c r="DE378" i="11"/>
  <c r="DC378" i="11"/>
  <c r="DC376" i="11"/>
  <c r="DC374" i="11"/>
  <c r="DC372" i="11"/>
  <c r="BA539" i="11"/>
  <c r="BA538" i="11"/>
  <c r="BA537" i="11"/>
  <c r="BA536" i="11"/>
  <c r="BA535" i="11"/>
  <c r="BA534" i="11"/>
  <c r="BA533" i="11"/>
  <c r="BA532" i="11"/>
  <c r="BA531" i="11"/>
  <c r="BA530" i="11"/>
  <c r="BA529" i="11"/>
  <c r="BA528" i="11"/>
  <c r="BA527" i="11"/>
  <c r="BA526" i="11"/>
  <c r="BA525" i="11"/>
  <c r="BA524" i="11"/>
  <c r="BA523" i="11"/>
  <c r="BA522" i="11"/>
  <c r="BA521" i="11"/>
  <c r="BA520" i="11"/>
  <c r="BA519" i="11"/>
  <c r="BA518" i="11"/>
  <c r="BA517" i="11"/>
  <c r="BA516" i="11"/>
  <c r="BA515" i="11"/>
  <c r="BA514" i="11"/>
  <c r="BA513" i="11"/>
  <c r="BA512" i="11"/>
  <c r="BA511" i="11"/>
  <c r="BA510" i="11"/>
  <c r="BB428" i="11"/>
  <c r="BB427" i="11"/>
  <c r="BB426" i="11"/>
  <c r="BB425" i="11"/>
  <c r="BB424" i="11"/>
  <c r="BB423" i="11"/>
  <c r="BB422" i="11"/>
  <c r="BB421" i="11"/>
  <c r="BB420" i="11"/>
  <c r="BB419" i="11"/>
  <c r="BB418" i="11"/>
  <c r="BB417" i="11"/>
  <c r="BB416" i="11"/>
  <c r="BB415" i="11"/>
  <c r="BB414" i="11"/>
  <c r="BB413" i="11"/>
  <c r="BB412" i="11"/>
  <c r="BB411" i="11"/>
  <c r="BB410" i="11"/>
  <c r="BB409" i="11"/>
  <c r="BB408" i="11"/>
  <c r="BB407" i="11"/>
  <c r="BB406" i="11"/>
  <c r="BB405" i="11"/>
  <c r="BB404" i="11"/>
  <c r="BB403" i="11"/>
  <c r="BB402" i="11"/>
  <c r="BB401" i="11"/>
  <c r="BB400" i="11"/>
  <c r="BB399" i="11"/>
  <c r="BE382" i="11"/>
  <c r="BC382" i="11"/>
  <c r="BE380" i="11"/>
  <c r="BC380" i="11"/>
  <c r="BE378" i="11"/>
  <c r="BC378" i="11"/>
  <c r="BC376" i="11"/>
  <c r="BC374" i="11"/>
  <c r="BC372" i="11"/>
  <c r="I34" i="2"/>
  <c r="B34" i="2"/>
  <c r="ZB27" i="17"/>
  <c r="YB27" i="17"/>
  <c r="XB27" i="17"/>
  <c r="WB27" i="17"/>
  <c r="VB27" i="17"/>
  <c r="UB27" i="17"/>
  <c r="TB27" i="17"/>
  <c r="SB27" i="17"/>
  <c r="RB27" i="17"/>
  <c r="QB27" i="17"/>
  <c r="PB27" i="17"/>
  <c r="NB27" i="17"/>
  <c r="LB27" i="17"/>
  <c r="JB27" i="17"/>
  <c r="HB27" i="17"/>
  <c r="GB27" i="17"/>
  <c r="FB27" i="17"/>
  <c r="EB27" i="17"/>
  <c r="DB27" i="17"/>
  <c r="CB27" i="17"/>
  <c r="BB27" i="17"/>
  <c r="AB27" i="17"/>
  <c r="ZB13" i="17"/>
  <c r="YB13" i="17"/>
  <c r="XB13" i="17"/>
  <c r="WB13" i="17"/>
  <c r="UB13" i="17"/>
  <c r="TB13" i="17"/>
  <c r="SB13" i="17"/>
  <c r="RB13" i="17"/>
  <c r="QB13" i="17"/>
  <c r="PB13" i="17"/>
  <c r="OB13" i="17"/>
  <c r="NB13" i="17"/>
  <c r="LB13" i="17"/>
  <c r="JB13" i="17"/>
  <c r="HB13" i="17"/>
  <c r="GB13" i="17"/>
  <c r="FB13" i="17"/>
  <c r="EB13" i="17"/>
  <c r="DB13" i="17"/>
  <c r="CB13" i="17"/>
  <c r="BB13" i="17"/>
  <c r="AB13" i="17"/>
  <c r="ZA10" i="17"/>
  <c r="YA10" i="17"/>
  <c r="XA10" i="17"/>
  <c r="WA10" i="17"/>
  <c r="VA10" i="17"/>
  <c r="UA10" i="17"/>
  <c r="TA10" i="17"/>
  <c r="SA10" i="17"/>
  <c r="RA10" i="17"/>
  <c r="PA10" i="17"/>
  <c r="OA10" i="17"/>
  <c r="MA10" i="17"/>
  <c r="LA10" i="17"/>
  <c r="KA10" i="17"/>
  <c r="JA10" i="17"/>
  <c r="IA10" i="17"/>
  <c r="HA10" i="17"/>
  <c r="GA10" i="17"/>
  <c r="FA10" i="17"/>
  <c r="EA10" i="17"/>
  <c r="DA10" i="17"/>
  <c r="CA10" i="17"/>
  <c r="BA10" i="17"/>
  <c r="AA10" i="17"/>
  <c r="AG26" i="18"/>
  <c r="CD100" i="11"/>
  <c r="CD99" i="11"/>
  <c r="BD100" i="11"/>
  <c r="BD99" i="11"/>
  <c r="DC312" i="11"/>
  <c r="DC310" i="11"/>
  <c r="DC309" i="11"/>
  <c r="CC312" i="11"/>
  <c r="CC309" i="11"/>
  <c r="BC20" i="11"/>
  <c r="BC309" i="11" s="1"/>
  <c r="BC23" i="11"/>
  <c r="BC312" i="11" s="1"/>
  <c r="CA539" i="11"/>
  <c r="CA538" i="11"/>
  <c r="CA537" i="11"/>
  <c r="CA536" i="11"/>
  <c r="CA535" i="11"/>
  <c r="CA534" i="11"/>
  <c r="CA533" i="11"/>
  <c r="CA532" i="11"/>
  <c r="CA531" i="11"/>
  <c r="CA530" i="11"/>
  <c r="CA529" i="11"/>
  <c r="CA528" i="11"/>
  <c r="CA527" i="11"/>
  <c r="CA526" i="11"/>
  <c r="CA525" i="11"/>
  <c r="CA524" i="11"/>
  <c r="CA523" i="11"/>
  <c r="CA522" i="11"/>
  <c r="CA521" i="11"/>
  <c r="CA520" i="11"/>
  <c r="CA519" i="11"/>
  <c r="CA518" i="11"/>
  <c r="CA517" i="11"/>
  <c r="CA516" i="11"/>
  <c r="CA515" i="11"/>
  <c r="CA514" i="11"/>
  <c r="CA513" i="11"/>
  <c r="CA512" i="11"/>
  <c r="CA511" i="11"/>
  <c r="CA510" i="11"/>
  <c r="EB428" i="11"/>
  <c r="CB428" i="11"/>
  <c r="EB427" i="11"/>
  <c r="CB427" i="11"/>
  <c r="EB426" i="11"/>
  <c r="CB426" i="11"/>
  <c r="EB425" i="11"/>
  <c r="CB425" i="11"/>
  <c r="EB424" i="11"/>
  <c r="CB424" i="11"/>
  <c r="EB423" i="11"/>
  <c r="CB423" i="11"/>
  <c r="EB422" i="11"/>
  <c r="CB422" i="11"/>
  <c r="EB421" i="11"/>
  <c r="CB421" i="11"/>
  <c r="EB420" i="11"/>
  <c r="CB420" i="11"/>
  <c r="EB419" i="11"/>
  <c r="CB419" i="11"/>
  <c r="EB418" i="11"/>
  <c r="CB418" i="11"/>
  <c r="EB417" i="11"/>
  <c r="CB417" i="11"/>
  <c r="EB416" i="11"/>
  <c r="CB416" i="11"/>
  <c r="EB415" i="11"/>
  <c r="CB415" i="11"/>
  <c r="EB414" i="11"/>
  <c r="CB414" i="11"/>
  <c r="EB413" i="11"/>
  <c r="CB413" i="11"/>
  <c r="EB412" i="11"/>
  <c r="CB412" i="11"/>
  <c r="EB411" i="11"/>
  <c r="CB411" i="11"/>
  <c r="EB410" i="11"/>
  <c r="CB410" i="11"/>
  <c r="EB409" i="11"/>
  <c r="CB409" i="11"/>
  <c r="EB408" i="11"/>
  <c r="CB408" i="11"/>
  <c r="EB407" i="11"/>
  <c r="CB407" i="11"/>
  <c r="EB406" i="11"/>
  <c r="CB406" i="11"/>
  <c r="EB405" i="11"/>
  <c r="CB405" i="11"/>
  <c r="EB404" i="11"/>
  <c r="CB404" i="11"/>
  <c r="EB403" i="11"/>
  <c r="CB403" i="11"/>
  <c r="EB402" i="11"/>
  <c r="CB402" i="11"/>
  <c r="EB401" i="11"/>
  <c r="CB401" i="11"/>
  <c r="EB400" i="11"/>
  <c r="CB400" i="11"/>
  <c r="EB399" i="11"/>
  <c r="CB399" i="11"/>
  <c r="CE382" i="11"/>
  <c r="CC382" i="11"/>
  <c r="CE380" i="11"/>
  <c r="CC380" i="11"/>
  <c r="CE378" i="11"/>
  <c r="CC378" i="11"/>
  <c r="CC376" i="11"/>
  <c r="CC374" i="11"/>
  <c r="CC372" i="11"/>
  <c r="ED101" i="11"/>
  <c r="ED100" i="11"/>
  <c r="DD100" i="11"/>
  <c r="DD99" i="11"/>
  <c r="H50" i="1"/>
  <c r="H51" i="1"/>
  <c r="N106" i="19"/>
  <c r="M106" i="19"/>
  <c r="L106" i="19"/>
  <c r="K106" i="19"/>
  <c r="J106" i="19"/>
  <c r="I106" i="19"/>
  <c r="N149" i="8"/>
  <c r="G149" i="8"/>
  <c r="H149" i="8"/>
  <c r="I149" i="8"/>
  <c r="J149" i="8"/>
  <c r="K149" i="8"/>
  <c r="L149" i="8"/>
  <c r="M149" i="8"/>
  <c r="O149" i="8"/>
  <c r="N155" i="8"/>
  <c r="G155" i="8"/>
  <c r="H155" i="8"/>
  <c r="I155" i="8"/>
  <c r="J155" i="8"/>
  <c r="K155" i="8"/>
  <c r="L155" i="8"/>
  <c r="M155" i="8"/>
  <c r="O155" i="8"/>
  <c r="N156" i="8"/>
  <c r="G156" i="8"/>
  <c r="H156" i="8"/>
  <c r="I156" i="8"/>
  <c r="J156" i="8"/>
  <c r="K156" i="8"/>
  <c r="L156" i="8"/>
  <c r="M156" i="8"/>
  <c r="O156" i="8"/>
  <c r="H106" i="19"/>
  <c r="G106" i="19"/>
  <c r="G157" i="8"/>
  <c r="H157" i="8"/>
  <c r="I157" i="8"/>
  <c r="J157" i="8"/>
  <c r="K157" i="8"/>
  <c r="L157" i="8"/>
  <c r="M157" i="8"/>
  <c r="N157" i="8"/>
  <c r="O157" i="8"/>
  <c r="BU98" i="8"/>
  <c r="BU100" i="8"/>
  <c r="BT98" i="8"/>
  <c r="BT99" i="8"/>
  <c r="C303" i="18"/>
  <c r="C305" i="18"/>
  <c r="C317" i="18"/>
  <c r="C308" i="18"/>
  <c r="C319" i="18"/>
  <c r="C316" i="18"/>
  <c r="C311" i="18"/>
  <c r="C313" i="18"/>
  <c r="C304" i="18"/>
  <c r="C312" i="18"/>
  <c r="C310" i="18"/>
  <c r="C314" i="18"/>
  <c r="C315" i="18"/>
  <c r="C306" i="18"/>
  <c r="C307" i="18"/>
  <c r="C318" i="18"/>
  <c r="C320" i="18"/>
  <c r="C321" i="18"/>
  <c r="C322" i="18"/>
  <c r="EG26" i="21"/>
  <c r="B48" i="19"/>
  <c r="EJ24" i="21"/>
  <c r="CD26" i="21"/>
  <c r="CJ26" i="21"/>
  <c r="CG26" i="21"/>
  <c r="DJ26" i="21"/>
  <c r="DG26" i="21"/>
  <c r="DD26" i="21"/>
  <c r="K87" i="22"/>
  <c r="K88" i="22" s="1"/>
  <c r="EJ26" i="21"/>
  <c r="ED26" i="21"/>
  <c r="AJ24" i="21"/>
  <c r="AD24" i="21"/>
  <c r="DD24" i="21"/>
  <c r="DJ24" i="21"/>
  <c r="ED24" i="21"/>
  <c r="EG24" i="21"/>
  <c r="I87" i="22"/>
  <c r="I88" i="22" s="1"/>
  <c r="B71" i="19"/>
  <c r="L87" i="22"/>
  <c r="L88" i="22" s="1"/>
  <c r="J37" i="8"/>
  <c r="G37" i="8"/>
  <c r="FC317" i="21"/>
  <c r="FC318" i="21"/>
  <c r="FC316" i="21"/>
  <c r="FC321" i="21"/>
  <c r="FC322" i="21"/>
  <c r="FC320" i="21"/>
  <c r="FC319" i="21"/>
  <c r="FC348" i="21"/>
  <c r="FC406" i="21"/>
  <c r="K37" i="8"/>
  <c r="F37" i="8"/>
  <c r="BC311" i="11"/>
  <c r="CJ24" i="21"/>
  <c r="CD24" i="21"/>
  <c r="G87" i="22"/>
  <c r="G88" i="22" s="1"/>
  <c r="AG26" i="21"/>
  <c r="AD26" i="21"/>
  <c r="AJ26" i="21"/>
  <c r="CI26" i="21"/>
  <c r="FC328" i="21"/>
  <c r="FC329" i="21"/>
  <c r="EF24" i="21"/>
  <c r="EC24" i="21"/>
  <c r="CI24" i="21"/>
  <c r="EI24" i="21"/>
  <c r="FC330" i="21"/>
  <c r="H87" i="22"/>
  <c r="H88" i="22"/>
  <c r="J87" i="22"/>
  <c r="J88" i="22" s="1"/>
  <c r="EI26" i="21"/>
  <c r="EF26" i="21"/>
  <c r="EC26" i="21"/>
  <c r="BE185" i="11"/>
  <c r="BD11" i="17"/>
  <c r="AD12" i="17"/>
  <c r="AD11" i="17"/>
  <c r="C63" i="21"/>
  <c r="FC365" i="21"/>
  <c r="FC366" i="21"/>
  <c r="FC386" i="21"/>
  <c r="FC353" i="21"/>
  <c r="FC354" i="21"/>
  <c r="C45" i="22"/>
  <c r="D76" i="21" s="1"/>
  <c r="C76" i="21" s="1"/>
  <c r="DC369" i="21" s="1"/>
  <c r="FI26" i="21"/>
  <c r="FF26" i="21"/>
  <c r="FJ26" i="21"/>
  <c r="FC26" i="21"/>
  <c r="FD26" i="21"/>
  <c r="FG26" i="21"/>
  <c r="FD22" i="21"/>
  <c r="FC22" i="21"/>
  <c r="FF61" i="21"/>
  <c r="FF62" i="21"/>
  <c r="FF63" i="21"/>
  <c r="FG24" i="21"/>
  <c r="FC24" i="21"/>
  <c r="FI24" i="21"/>
  <c r="FJ24" i="21"/>
  <c r="FD24" i="21"/>
  <c r="FF24" i="21"/>
  <c r="FF25" i="21"/>
  <c r="FJ25" i="21"/>
  <c r="FI25" i="21"/>
  <c r="FG25" i="21"/>
  <c r="FD25" i="21"/>
  <c r="FC25" i="21"/>
  <c r="FG27" i="21"/>
  <c r="FI27" i="21"/>
  <c r="FD27" i="21"/>
  <c r="FF27" i="21"/>
  <c r="FJ27" i="21"/>
  <c r="FC27" i="21"/>
  <c r="FC23" i="21"/>
  <c r="FF23" i="21"/>
  <c r="FI23" i="21"/>
  <c r="FG23" i="21"/>
  <c r="FJ23" i="21"/>
  <c r="FD23" i="21"/>
  <c r="FC383" i="21"/>
  <c r="XD11" i="17"/>
  <c r="QD12" i="17"/>
  <c r="ASD11" i="17"/>
  <c r="ARD12" i="17"/>
  <c r="C139" i="18"/>
  <c r="BOD11" i="17"/>
  <c r="EE187" i="11"/>
  <c r="FD11" i="17"/>
  <c r="ABD11" i="17"/>
  <c r="AYD11" i="17"/>
  <c r="BD12" i="17"/>
  <c r="WD12" i="17"/>
  <c r="BDD12" i="17"/>
  <c r="LD11" i="17"/>
  <c r="AHD11" i="17"/>
  <c r="BED11" i="17"/>
  <c r="FD12" i="17"/>
  <c r="ABD12" i="17"/>
  <c r="BND12" i="17"/>
  <c r="BC310" i="11"/>
  <c r="BE311" i="11" s="1"/>
  <c r="RD11" i="17"/>
  <c r="AMD11" i="17"/>
  <c r="BKD11" i="17"/>
  <c r="AID12" i="17"/>
  <c r="BB48" i="18"/>
  <c r="CD11" i="17"/>
  <c r="GD11" i="17"/>
  <c r="ND11" i="17"/>
  <c r="SD11" i="17"/>
  <c r="YD11" i="17"/>
  <c r="ADD11" i="17"/>
  <c r="AID11" i="17"/>
  <c r="AND11" i="17"/>
  <c r="AUD11" i="17"/>
  <c r="BAD11" i="17"/>
  <c r="BFD11" i="17"/>
  <c r="BLD11" i="17"/>
  <c r="BPD11" i="17"/>
  <c r="CD12" i="17"/>
  <c r="GD12" i="17"/>
  <c r="LD12" i="17"/>
  <c r="RD12" i="17"/>
  <c r="XD12" i="17"/>
  <c r="ADD12" i="17"/>
  <c r="ALD12" i="17"/>
  <c r="AUD12" i="17"/>
  <c r="BFD12" i="17"/>
  <c r="BPD12" i="17"/>
  <c r="DD11" i="17"/>
  <c r="HD11" i="17"/>
  <c r="PD11" i="17"/>
  <c r="UD11" i="17"/>
  <c r="ZD11" i="17"/>
  <c r="AED11" i="17"/>
  <c r="AKD11" i="17"/>
  <c r="AOD11" i="17"/>
  <c r="AVD11" i="17"/>
  <c r="BBD11" i="17"/>
  <c r="BGD11" i="17"/>
  <c r="BMD11" i="17"/>
  <c r="BQD11" i="17"/>
  <c r="DD12" i="17"/>
  <c r="HD12" i="17"/>
  <c r="ND12" i="17"/>
  <c r="SD12" i="17"/>
  <c r="ZD12" i="17"/>
  <c r="AED12" i="17"/>
  <c r="AND12" i="17"/>
  <c r="AWD12" i="17"/>
  <c r="BHD12" i="17"/>
  <c r="BRD12" i="17"/>
  <c r="ED11" i="17"/>
  <c r="JD11" i="17"/>
  <c r="QD11" i="17"/>
  <c r="WD11" i="17"/>
  <c r="AAD11" i="17"/>
  <c r="AFD11" i="17"/>
  <c r="ALD11" i="17"/>
  <c r="APD11" i="17"/>
  <c r="AWD11" i="17"/>
  <c r="BDD11" i="17"/>
  <c r="BHD11" i="17"/>
  <c r="BND11" i="17"/>
  <c r="BRD11" i="17"/>
  <c r="ED12" i="17"/>
  <c r="JD12" i="17"/>
  <c r="OD12" i="17"/>
  <c r="UD12" i="17"/>
  <c r="AAD12" i="17"/>
  <c r="AFD12" i="17"/>
  <c r="APD12" i="17"/>
  <c r="BAD12" i="17"/>
  <c r="BLD12" i="17"/>
  <c r="BT100" i="8"/>
  <c r="P156" i="8"/>
  <c r="K167" i="8" s="1"/>
  <c r="P149" i="8"/>
  <c r="J160" i="8" s="1"/>
  <c r="P153" i="8"/>
  <c r="M164" i="8" s="1"/>
  <c r="P152" i="8"/>
  <c r="O163" i="8" s="1"/>
  <c r="P154" i="8"/>
  <c r="I165" i="8" s="1"/>
  <c r="BU101" i="8"/>
  <c r="P157" i="8"/>
  <c r="H168" i="8" s="1"/>
  <c r="P155" i="8"/>
  <c r="G166" i="8" s="1"/>
  <c r="AB50" i="18"/>
  <c r="CB48" i="18"/>
  <c r="N167" i="8"/>
  <c r="H167" i="8"/>
  <c r="BU99" i="8"/>
  <c r="BT101" i="8"/>
  <c r="FC356" i="21"/>
  <c r="FC357" i="21"/>
  <c r="Q80" i="11"/>
  <c r="R80" i="11" s="1"/>
  <c r="C62" i="21"/>
  <c r="Q78" i="11"/>
  <c r="R78" i="11" s="1"/>
  <c r="AC50" i="18"/>
  <c r="AKD12" i="17"/>
  <c r="AOD12" i="17"/>
  <c r="ASD12" i="17"/>
  <c r="AYD12" i="17"/>
  <c r="BED12" i="17"/>
  <c r="BKD12" i="17"/>
  <c r="BOD12" i="17"/>
  <c r="PD12" i="17"/>
  <c r="TD12" i="17"/>
  <c r="YD12" i="17"/>
  <c r="ACD12" i="17"/>
  <c r="AHD12" i="17"/>
  <c r="AMD12" i="17"/>
  <c r="AQD12" i="17"/>
  <c r="AVD12" i="17"/>
  <c r="BBD12" i="17"/>
  <c r="BGD12" i="17"/>
  <c r="BMD12" i="17"/>
  <c r="G160" i="8"/>
  <c r="L168" i="8"/>
  <c r="J167" i="8"/>
  <c r="O168" i="8"/>
  <c r="N168" i="8"/>
  <c r="I168" i="8"/>
  <c r="M160" i="8"/>
  <c r="O160" i="8"/>
  <c r="K160" i="8"/>
  <c r="N160" i="8"/>
  <c r="L160" i="8"/>
  <c r="H160" i="8"/>
  <c r="I160" i="8"/>
  <c r="J164" i="8"/>
  <c r="J166" i="8"/>
  <c r="H166" i="8"/>
  <c r="L166" i="8"/>
  <c r="N166" i="8"/>
  <c r="I166" i="8"/>
  <c r="O166" i="8"/>
  <c r="M166" i="8"/>
  <c r="K166" i="8"/>
  <c r="M168" i="8"/>
  <c r="K168" i="8"/>
  <c r="G168" i="8"/>
  <c r="OB11" i="17"/>
  <c r="OD11" i="17" s="1"/>
  <c r="IB11" i="17"/>
  <c r="IB12" i="17" s="1"/>
  <c r="IB15" i="17" s="1"/>
  <c r="IB26" i="17" s="1"/>
  <c r="IB27" i="17" s="1"/>
  <c r="BIB11" i="17"/>
  <c r="BID11" i="17" s="1"/>
  <c r="AXB11" i="17"/>
  <c r="AXB12" i="17" s="1"/>
  <c r="BJB11" i="17"/>
  <c r="BCB11" i="17"/>
  <c r="AQB11" i="17"/>
  <c r="AQD11" i="17" s="1"/>
  <c r="AZB11" i="17"/>
  <c r="KB11" i="17"/>
  <c r="KD11" i="17" s="1"/>
  <c r="AGB11" i="17"/>
  <c r="AGD11" i="17" s="1"/>
  <c r="TB11" i="17"/>
  <c r="TD92" i="17" s="1"/>
  <c r="VB11" i="17"/>
  <c r="VB29" i="17" s="1"/>
  <c r="AJB11" i="17"/>
  <c r="ATB11" i="17"/>
  <c r="ATD11" i="17" s="1"/>
  <c r="ARB11" i="17"/>
  <c r="ARD11" i="17" s="1"/>
  <c r="ACB11" i="17"/>
  <c r="ACD11" i="17" s="1"/>
  <c r="MB11" i="17"/>
  <c r="MB12" i="17" s="1"/>
  <c r="EC188" i="11"/>
  <c r="CF27" i="21" l="1"/>
  <c r="J85" i="18"/>
  <c r="F85" i="18"/>
  <c r="C71" i="9"/>
  <c r="L216" i="2" a="1"/>
  <c r="L216" i="2" s="1"/>
  <c r="DE311" i="11"/>
  <c r="AJ27" i="21"/>
  <c r="ED27" i="21"/>
  <c r="L218" i="2"/>
  <c r="L223" i="2"/>
  <c r="L217" i="2"/>
  <c r="L221" i="2"/>
  <c r="EC27" i="21"/>
  <c r="BE47" i="21"/>
  <c r="CG27" i="21"/>
  <c r="CJ27" i="21"/>
  <c r="DE45" i="21"/>
  <c r="CE49" i="21"/>
  <c r="EJ27" i="21"/>
  <c r="EG27" i="21"/>
  <c r="CD27" i="21"/>
  <c r="CC27" i="21"/>
  <c r="EF27" i="21"/>
  <c r="BC333" i="11"/>
  <c r="C42" i="22"/>
  <c r="EE48" i="21"/>
  <c r="CE46" i="21"/>
  <c r="EE45" i="21"/>
  <c r="CE47" i="21"/>
  <c r="EE46" i="21"/>
  <c r="C46" i="22"/>
  <c r="D78" i="21" s="1"/>
  <c r="C78" i="21" s="1"/>
  <c r="AC385" i="21" s="1"/>
  <c r="CE44" i="21"/>
  <c r="AE45" i="21"/>
  <c r="C43" i="22"/>
  <c r="CC447" i="21" s="1"/>
  <c r="CC448" i="21" s="1"/>
  <c r="CC449" i="21" s="1"/>
  <c r="DE49" i="21"/>
  <c r="EE47" i="21"/>
  <c r="C44" i="22"/>
  <c r="D77" i="21" s="1"/>
  <c r="C77" i="21" s="1"/>
  <c r="EC373" i="21" s="1"/>
  <c r="CE45" i="21"/>
  <c r="EE44" i="21"/>
  <c r="EE49" i="21"/>
  <c r="BE49" i="21"/>
  <c r="CE48" i="21"/>
  <c r="BJ27" i="21"/>
  <c r="DH185" i="11"/>
  <c r="Q52" i="18"/>
  <c r="G52" i="18"/>
  <c r="J52" i="18"/>
  <c r="P52" i="18"/>
  <c r="H52" i="18"/>
  <c r="F52" i="18"/>
  <c r="F53" i="18" s="1"/>
  <c r="C52" i="18"/>
  <c r="L52" i="18"/>
  <c r="N52" i="18"/>
  <c r="N53" i="18" s="1"/>
  <c r="D52" i="18"/>
  <c r="T52" i="18"/>
  <c r="T53" i="18" s="1"/>
  <c r="O52" i="18"/>
  <c r="O53" i="18" s="1"/>
  <c r="M53" i="18"/>
  <c r="E52" i="18"/>
  <c r="S52" i="18"/>
  <c r="S53" i="18" s="1"/>
  <c r="I52" i="18"/>
  <c r="R52" i="18"/>
  <c r="R53" i="18" s="1"/>
  <c r="M52" i="18"/>
  <c r="BC2402" i="24"/>
  <c r="BC1802" i="24"/>
  <c r="BC1302" i="24"/>
  <c r="BC1602" i="24"/>
  <c r="BC2002" i="24"/>
  <c r="BC2302" i="24"/>
  <c r="BC1702" i="24"/>
  <c r="BC1102" i="24"/>
  <c r="BC2102" i="24"/>
  <c r="BC902" i="24"/>
  <c r="BC2202" i="24"/>
  <c r="BC702" i="24"/>
  <c r="BC502" i="24"/>
  <c r="BC1002" i="24"/>
  <c r="BC602" i="24"/>
  <c r="BC1902" i="24"/>
  <c r="BC1202" i="24"/>
  <c r="BC802" i="24"/>
  <c r="BC1502" i="24"/>
  <c r="BC1402" i="24"/>
  <c r="D89" i="11"/>
  <c r="DC329" i="11" s="1"/>
  <c r="D74" i="24"/>
  <c r="D77" i="18"/>
  <c r="Q82" i="11"/>
  <c r="R82" i="11" s="1"/>
  <c r="CC330" i="11"/>
  <c r="J75" i="18"/>
  <c r="E31" i="18"/>
  <c r="E14" i="21" s="1"/>
  <c r="H81" i="18"/>
  <c r="F72" i="18"/>
  <c r="EC187" i="11"/>
  <c r="J81" i="18"/>
  <c r="CC134" i="11"/>
  <c r="F81" i="18"/>
  <c r="J79" i="18"/>
  <c r="F71" i="18"/>
  <c r="F80" i="18"/>
  <c r="EI187" i="11"/>
  <c r="J74" i="18"/>
  <c r="H79" i="18"/>
  <c r="F77" i="18"/>
  <c r="BQD12" i="17"/>
  <c r="J76" i="18"/>
  <c r="C81" i="18"/>
  <c r="J77" i="18"/>
  <c r="F79" i="18"/>
  <c r="EJ187" i="11"/>
  <c r="CE311" i="11"/>
  <c r="F75" i="18"/>
  <c r="CH185" i="11"/>
  <c r="M216" i="2" s="1" a="1"/>
  <c r="Q75" i="11"/>
  <c r="R75" i="11" s="1"/>
  <c r="F82" i="18"/>
  <c r="F83" i="18"/>
  <c r="H84" i="18"/>
  <c r="D76" i="18"/>
  <c r="EE311" i="11"/>
  <c r="D84" i="18"/>
  <c r="F76" i="18"/>
  <c r="J84" i="18"/>
  <c r="D78" i="18"/>
  <c r="D79" i="18"/>
  <c r="D80" i="18"/>
  <c r="H75" i="18"/>
  <c r="H76" i="18"/>
  <c r="D81" i="18"/>
  <c r="F73" i="18"/>
  <c r="H82" i="18"/>
  <c r="Q76" i="11"/>
  <c r="R76" i="11" s="1"/>
  <c r="F84" i="18"/>
  <c r="H80" i="18"/>
  <c r="F74" i="18"/>
  <c r="G83" i="18"/>
  <c r="F78" i="18"/>
  <c r="J82" i="18"/>
  <c r="J80" i="18"/>
  <c r="H78" i="18"/>
  <c r="D82" i="18"/>
  <c r="D75" i="18"/>
  <c r="H77" i="18"/>
  <c r="Q74" i="11"/>
  <c r="R74" i="11" s="1"/>
  <c r="Q81" i="11"/>
  <c r="R81" i="11" s="1"/>
  <c r="Q79" i="11"/>
  <c r="R79" i="11" s="1"/>
  <c r="Q77" i="11"/>
  <c r="R77" i="11" s="1"/>
  <c r="C73" i="18"/>
  <c r="C82" i="18"/>
  <c r="G84" i="18"/>
  <c r="G73" i="18"/>
  <c r="G82" i="18"/>
  <c r="C84" i="18"/>
  <c r="BC132" i="11"/>
  <c r="BH186" i="11" s="1"/>
  <c r="C77" i="18"/>
  <c r="G78" i="18"/>
  <c r="G77" i="18"/>
  <c r="C79" i="18"/>
  <c r="C75" i="18"/>
  <c r="G74" i="18"/>
  <c r="BC133" i="11"/>
  <c r="CC333" i="11"/>
  <c r="G79" i="18"/>
  <c r="G75" i="18"/>
  <c r="G76" i="18"/>
  <c r="G81" i="18"/>
  <c r="KD12" i="17"/>
  <c r="C80" i="18"/>
  <c r="G80" i="18"/>
  <c r="C74" i="18"/>
  <c r="C76" i="18"/>
  <c r="C78" i="18"/>
  <c r="C83" i="18"/>
  <c r="EE154" i="11"/>
  <c r="EE176" i="11" s="1"/>
  <c r="EE177" i="11" s="1"/>
  <c r="AB28" i="18"/>
  <c r="BB27" i="18"/>
  <c r="AB27" i="18"/>
  <c r="AC31" i="18"/>
  <c r="AW51" i="16" s="1"/>
  <c r="BB28" i="18"/>
  <c r="D85" i="24"/>
  <c r="C85" i="24" s="1"/>
  <c r="BC316" i="24" s="1"/>
  <c r="CB29" i="18"/>
  <c r="AZ51" i="16" s="1"/>
  <c r="AC28" i="18"/>
  <c r="AB30" i="18"/>
  <c r="EF163" i="11"/>
  <c r="M43" i="2" s="1"/>
  <c r="AC27" i="18"/>
  <c r="AC29" i="18"/>
  <c r="AB29" i="18"/>
  <c r="D83" i="24"/>
  <c r="C83" i="24" s="1"/>
  <c r="BC317" i="24" s="1"/>
  <c r="AB31" i="18"/>
  <c r="BA51" i="16" s="1"/>
  <c r="D84" i="24"/>
  <c r="C84" i="24" s="1"/>
  <c r="BC314" i="24" s="1"/>
  <c r="BB24" i="18"/>
  <c r="AX50" i="16" s="1"/>
  <c r="I30" i="9"/>
  <c r="BB25" i="18"/>
  <c r="AC30" i="18"/>
  <c r="AC26" i="18"/>
  <c r="AW50" i="16" s="1"/>
  <c r="AB26" i="18"/>
  <c r="BA50" i="16" s="1"/>
  <c r="BB26" i="18"/>
  <c r="CB25" i="18"/>
  <c r="CB26" i="18"/>
  <c r="DC432" i="11"/>
  <c r="CB27" i="18"/>
  <c r="BB29" i="18"/>
  <c r="AX51" i="16" s="1"/>
  <c r="CB24" i="18"/>
  <c r="AZ50" i="16" s="1"/>
  <c r="D8" i="12"/>
  <c r="CC413" i="21" s="1"/>
  <c r="CC414" i="21" s="1"/>
  <c r="D142" i="18"/>
  <c r="C142" i="18" s="1"/>
  <c r="C64" i="19"/>
  <c r="B64" i="19" s="1"/>
  <c r="C63" i="19"/>
  <c r="B63" i="19" s="1"/>
  <c r="D44" i="11"/>
  <c r="C44" i="11" s="1"/>
  <c r="BC350" i="11" s="1"/>
  <c r="D56" i="21"/>
  <c r="C56" i="21" s="1"/>
  <c r="D55" i="21"/>
  <c r="C55" i="21" s="1"/>
  <c r="DC413" i="21"/>
  <c r="DC414" i="21" s="1"/>
  <c r="D66" i="21"/>
  <c r="C66" i="21" s="1"/>
  <c r="D43" i="11"/>
  <c r="C43" i="11" s="1"/>
  <c r="D53" i="18" s="1"/>
  <c r="D152" i="18"/>
  <c r="C152" i="18" s="1"/>
  <c r="C74" i="19"/>
  <c r="B74" i="19" s="1"/>
  <c r="C72" i="19"/>
  <c r="B72" i="19" s="1"/>
  <c r="D65" i="21"/>
  <c r="C65" i="21" s="1"/>
  <c r="D45" i="11"/>
  <c r="C73" i="19"/>
  <c r="D64" i="21"/>
  <c r="C64" i="21" s="1"/>
  <c r="D151" i="18"/>
  <c r="C151" i="18" s="1"/>
  <c r="D150" i="18"/>
  <c r="C150" i="18" s="1"/>
  <c r="BCB27" i="17"/>
  <c r="BC1080" i="11"/>
  <c r="BC404" i="11" s="1"/>
  <c r="DC3380" i="11"/>
  <c r="DC427" i="11" s="1"/>
  <c r="EC2380" i="11"/>
  <c r="EC417" i="11" s="1"/>
  <c r="EC1780" i="11"/>
  <c r="EC411" i="11" s="1"/>
  <c r="BC2280" i="11"/>
  <c r="BC416" i="11" s="1"/>
  <c r="BC1380" i="11"/>
  <c r="BC407" i="11" s="1"/>
  <c r="EC3380" i="11"/>
  <c r="EC427" i="11" s="1"/>
  <c r="EC2580" i="11"/>
  <c r="EC419" i="11" s="1"/>
  <c r="CC880" i="11"/>
  <c r="CC402" i="11" s="1"/>
  <c r="DC2880" i="11"/>
  <c r="DC422" i="11" s="1"/>
  <c r="EC2680" i="11"/>
  <c r="EC420" i="11" s="1"/>
  <c r="BC2780" i="11"/>
  <c r="BC421" i="11" s="1"/>
  <c r="CC2480" i="11"/>
  <c r="CC418" i="11" s="1"/>
  <c r="DC580" i="11"/>
  <c r="DC399" i="11" s="1"/>
  <c r="EC2780" i="11"/>
  <c r="EC421" i="11" s="1"/>
  <c r="BC980" i="11"/>
  <c r="BC403" i="11" s="1"/>
  <c r="BC580" i="11"/>
  <c r="BC399" i="11" s="1"/>
  <c r="CC2280" i="11"/>
  <c r="CC416" i="11" s="1"/>
  <c r="CC1180" i="11"/>
  <c r="CC405" i="11" s="1"/>
  <c r="DC680" i="11"/>
  <c r="DC400" i="11" s="1"/>
  <c r="EC2980" i="11"/>
  <c r="EC423" i="11" s="1"/>
  <c r="BC1780" i="11"/>
  <c r="BC411" i="11" s="1"/>
  <c r="CC680" i="11"/>
  <c r="CC400" i="11" s="1"/>
  <c r="AZB27" i="17"/>
  <c r="CC1780" i="11"/>
  <c r="CC411" i="11" s="1"/>
  <c r="CC2780" i="11"/>
  <c r="CC421" i="11" s="1"/>
  <c r="DC780" i="11"/>
  <c r="DC401" i="11" s="1"/>
  <c r="BC1280" i="11"/>
  <c r="BC406" i="11" s="1"/>
  <c r="CC2980" i="11"/>
  <c r="CC423" i="11" s="1"/>
  <c r="DC3480" i="11"/>
  <c r="DC428" i="11" s="1"/>
  <c r="CC3380" i="11"/>
  <c r="CC427" i="11" s="1"/>
  <c r="CC1280" i="11"/>
  <c r="CC406" i="11" s="1"/>
  <c r="DC2580" i="11"/>
  <c r="DC419" i="11" s="1"/>
  <c r="EC580" i="11"/>
  <c r="EC399" i="11" s="1"/>
  <c r="BC2980" i="11"/>
  <c r="BC423" i="11" s="1"/>
  <c r="CC1380" i="11"/>
  <c r="CC407" i="11" s="1"/>
  <c r="BC1980" i="11"/>
  <c r="BC413" i="11" s="1"/>
  <c r="CC1080" i="11"/>
  <c r="CC404" i="11" s="1"/>
  <c r="CC2880" i="11"/>
  <c r="CC422" i="11" s="1"/>
  <c r="DC1080" i="11"/>
  <c r="DC404" i="11" s="1"/>
  <c r="DC2380" i="11"/>
  <c r="DC417" i="11" s="1"/>
  <c r="CC780" i="11"/>
  <c r="CC401" i="11" s="1"/>
  <c r="EC3080" i="11"/>
  <c r="EC424" i="11" s="1"/>
  <c r="CC2680" i="11"/>
  <c r="CC420" i="11" s="1"/>
  <c r="CC580" i="11"/>
  <c r="CC399" i="11" s="1"/>
  <c r="DC2680" i="11"/>
  <c r="DC420" i="11" s="1"/>
  <c r="DC2280" i="11"/>
  <c r="DC416" i="11" s="1"/>
  <c r="BC3280" i="11"/>
  <c r="BC426" i="11" s="1"/>
  <c r="CC2080" i="11"/>
  <c r="CC414" i="11" s="1"/>
  <c r="BC3380" i="11"/>
  <c r="BC427" i="11" s="1"/>
  <c r="CC2180" i="11"/>
  <c r="CC415" i="11" s="1"/>
  <c r="CC1580" i="11"/>
  <c r="CC409" i="11" s="1"/>
  <c r="DC2180" i="11"/>
  <c r="DC415" i="11" s="1"/>
  <c r="CC1980" i="11"/>
  <c r="CC413" i="11" s="1"/>
  <c r="EC880" i="11"/>
  <c r="EC402" i="11" s="1"/>
  <c r="BC3480" i="11"/>
  <c r="BC428" i="11" s="1"/>
  <c r="CC3180" i="11"/>
  <c r="CC425" i="11" s="1"/>
  <c r="CC1680" i="11"/>
  <c r="CC410" i="11" s="1"/>
  <c r="BC2380" i="11"/>
  <c r="BC417" i="11" s="1"/>
  <c r="DC3080" i="11"/>
  <c r="DC424" i="11" s="1"/>
  <c r="EC1080" i="11"/>
  <c r="EC404" i="11" s="1"/>
  <c r="BC780" i="11"/>
  <c r="BC401" i="11" s="1"/>
  <c r="CC1480" i="11"/>
  <c r="CC408" i="11" s="1"/>
  <c r="CC3280" i="11"/>
  <c r="CC426" i="11" s="1"/>
  <c r="DC1480" i="11"/>
  <c r="DC408" i="11" s="1"/>
  <c r="EC1280" i="11"/>
  <c r="EC406" i="11" s="1"/>
  <c r="BC880" i="11"/>
  <c r="BC402" i="11" s="1"/>
  <c r="CC3080" i="11"/>
  <c r="CC424" i="11" s="1"/>
  <c r="CC980" i="11"/>
  <c r="CC403" i="11" s="1"/>
  <c r="EC1180" i="11"/>
  <c r="EC405" i="11" s="1"/>
  <c r="DC2980" i="11"/>
  <c r="DC423" i="11" s="1"/>
  <c r="EC1480" i="11"/>
  <c r="EC408" i="11" s="1"/>
  <c r="BC1580" i="11"/>
  <c r="BC409" i="11" s="1"/>
  <c r="BC2680" i="11"/>
  <c r="BC420" i="11" s="1"/>
  <c r="CC2580" i="11"/>
  <c r="CC419" i="11" s="1"/>
  <c r="EC1980" i="11"/>
  <c r="EC413" i="11" s="1"/>
  <c r="DC1380" i="11"/>
  <c r="DC407" i="11" s="1"/>
  <c r="DC1880" i="11"/>
  <c r="DC412" i="11" s="1"/>
  <c r="DC1580" i="11"/>
  <c r="DC409" i="11" s="1"/>
  <c r="EC1680" i="11"/>
  <c r="EC410" i="11" s="1"/>
  <c r="EC680" i="11"/>
  <c r="EC400" i="11" s="1"/>
  <c r="BC1680" i="11"/>
  <c r="BC410" i="11" s="1"/>
  <c r="BC3080" i="11"/>
  <c r="BC424" i="11" s="1"/>
  <c r="CC2380" i="11"/>
  <c r="CC417" i="11" s="1"/>
  <c r="DC2780" i="11"/>
  <c r="DC421" i="11" s="1"/>
  <c r="EC1880" i="11"/>
  <c r="EC412" i="11" s="1"/>
  <c r="EC1380" i="11"/>
  <c r="EC407" i="11" s="1"/>
  <c r="EC780" i="11"/>
  <c r="EC401" i="11" s="1"/>
  <c r="BC2180" i="11"/>
  <c r="BC415" i="11" s="1"/>
  <c r="CC1880" i="11"/>
  <c r="CC412" i="11" s="1"/>
  <c r="DC1180" i="11"/>
  <c r="DC405" i="11" s="1"/>
  <c r="DC980" i="11"/>
  <c r="DC403" i="11" s="1"/>
  <c r="BC2080" i="11"/>
  <c r="BC414" i="11" s="1"/>
  <c r="EC2080" i="11"/>
  <c r="EC414" i="11" s="1"/>
  <c r="EC2480" i="11"/>
  <c r="EC418" i="11" s="1"/>
  <c r="EC1580" i="11"/>
  <c r="EC409" i="11" s="1"/>
  <c r="BC2880" i="11"/>
  <c r="BC422" i="11" s="1"/>
  <c r="CC3480" i="11"/>
  <c r="CC428" i="11" s="1"/>
  <c r="EC3180" i="11"/>
  <c r="EC425" i="11" s="1"/>
  <c r="AC673" i="24"/>
  <c r="AC376" i="24" s="1"/>
  <c r="AC973" i="24"/>
  <c r="AC379" i="24" s="1"/>
  <c r="AC902" i="24"/>
  <c r="AC602" i="24"/>
  <c r="BC680" i="11"/>
  <c r="BC400" i="11" s="1"/>
  <c r="DC3280" i="11"/>
  <c r="DC426" i="11" s="1"/>
  <c r="EC3280" i="11"/>
  <c r="EC426" i="11" s="1"/>
  <c r="BC2480" i="11"/>
  <c r="BC418" i="11" s="1"/>
  <c r="BC1880" i="11"/>
  <c r="BC412" i="11" s="1"/>
  <c r="DC1680" i="11"/>
  <c r="DC410" i="11" s="1"/>
  <c r="EC2180" i="11"/>
  <c r="EC415" i="11" s="1"/>
  <c r="EC3480" i="11"/>
  <c r="EC428" i="11" s="1"/>
  <c r="BC1480" i="11"/>
  <c r="BC408" i="11" s="1"/>
  <c r="BC2580" i="11"/>
  <c r="BC419" i="11" s="1"/>
  <c r="BC1180" i="11"/>
  <c r="BC405" i="11" s="1"/>
  <c r="DC3180" i="11"/>
  <c r="DC425" i="11" s="1"/>
  <c r="DC2480" i="11"/>
  <c r="DC418" i="11" s="1"/>
  <c r="EC980" i="11"/>
  <c r="EC403" i="11" s="1"/>
  <c r="BC3180" i="11"/>
  <c r="BC425" i="11" s="1"/>
  <c r="AC1773" i="24"/>
  <c r="AC387" i="24" s="1"/>
  <c r="AC2073" i="24"/>
  <c r="AC390" i="24" s="1"/>
  <c r="BC1673" i="24"/>
  <c r="BC385" i="24" s="1"/>
  <c r="BC673" i="24"/>
  <c r="BC375" i="24" s="1"/>
  <c r="BC1973" i="24"/>
  <c r="BC388" i="24" s="1"/>
  <c r="AC1173" i="24"/>
  <c r="AC381" i="24" s="1"/>
  <c r="AC573" i="24"/>
  <c r="AC375" i="24" s="1"/>
  <c r="AC2473" i="24"/>
  <c r="AC394" i="24" s="1"/>
  <c r="AC1573" i="24"/>
  <c r="AC385" i="24" s="1"/>
  <c r="BC1073" i="24"/>
  <c r="BC379" i="24" s="1"/>
  <c r="BC2173" i="24"/>
  <c r="BC390" i="24" s="1"/>
  <c r="BC1473" i="24"/>
  <c r="BC383" i="24" s="1"/>
  <c r="AC1973" i="24"/>
  <c r="AC389" i="24" s="1"/>
  <c r="BC1873" i="24"/>
  <c r="BC387" i="24" s="1"/>
  <c r="AC1373" i="24"/>
  <c r="AC383" i="24" s="1"/>
  <c r="BC1273" i="24"/>
  <c r="BC381" i="24" s="1"/>
  <c r="AC873" i="24"/>
  <c r="AC378" i="24" s="1"/>
  <c r="BC973" i="24"/>
  <c r="BC378" i="24" s="1"/>
  <c r="BC1573" i="24"/>
  <c r="BC384" i="24" s="1"/>
  <c r="BC1173" i="24"/>
  <c r="BC380" i="24" s="1"/>
  <c r="AC2273" i="24"/>
  <c r="AC392" i="24" s="1"/>
  <c r="AC1873" i="24"/>
  <c r="AC388" i="24" s="1"/>
  <c r="BC1373" i="24"/>
  <c r="BC382" i="24" s="1"/>
  <c r="BC2273" i="24"/>
  <c r="BC391" i="24" s="1"/>
  <c r="AC1673" i="24"/>
  <c r="AC386" i="24" s="1"/>
  <c r="BC873" i="24"/>
  <c r="BC377" i="24" s="1"/>
  <c r="AC2373" i="24"/>
  <c r="AC393" i="24" s="1"/>
  <c r="BC2473" i="24"/>
  <c r="BC393" i="24" s="1"/>
  <c r="BC773" i="24"/>
  <c r="BC376" i="24" s="1"/>
  <c r="AC1473" i="24"/>
  <c r="AC384" i="24" s="1"/>
  <c r="AC1273" i="24"/>
  <c r="AC382" i="24" s="1"/>
  <c r="AC2173" i="24"/>
  <c r="AC391" i="24" s="1"/>
  <c r="BC1773" i="24"/>
  <c r="BC386" i="24" s="1"/>
  <c r="AC1073" i="24"/>
  <c r="AC380" i="24" s="1"/>
  <c r="BC573" i="24"/>
  <c r="BC374" i="24" s="1"/>
  <c r="BC2073" i="24"/>
  <c r="BC389" i="24" s="1"/>
  <c r="AC773" i="24"/>
  <c r="AC377" i="24" s="1"/>
  <c r="BC2373" i="24"/>
  <c r="BC392" i="24" s="1"/>
  <c r="AC2102" i="24"/>
  <c r="AC2002" i="24"/>
  <c r="AC1602" i="24"/>
  <c r="AC1802" i="24"/>
  <c r="AC802" i="24"/>
  <c r="AC502" i="24"/>
  <c r="AC1202" i="24"/>
  <c r="AC2302" i="24"/>
  <c r="AC1902" i="24"/>
  <c r="AC2402" i="24"/>
  <c r="AC1502" i="24"/>
  <c r="AC1702" i="24"/>
  <c r="AC2202" i="24"/>
  <c r="AC702" i="24"/>
  <c r="AC1102" i="24"/>
  <c r="AC1302" i="24"/>
  <c r="AC1402" i="24"/>
  <c r="AC1002" i="24"/>
  <c r="AC1003" i="24" s="1"/>
  <c r="AE1083" i="24" s="1"/>
  <c r="DC880" i="11"/>
  <c r="DC402" i="11" s="1"/>
  <c r="DC1780" i="11"/>
  <c r="DC411" i="11" s="1"/>
  <c r="EC2280" i="11"/>
  <c r="EC416" i="11" s="1"/>
  <c r="DC1280" i="11"/>
  <c r="DC406" i="11" s="1"/>
  <c r="DC1980" i="11"/>
  <c r="DC413" i="11" s="1"/>
  <c r="EC2880" i="11"/>
  <c r="EC422" i="11" s="1"/>
  <c r="D71" i="23"/>
  <c r="AC22" i="8"/>
  <c r="AC121" i="8" s="1"/>
  <c r="CC432" i="11"/>
  <c r="D78" i="24"/>
  <c r="C78" i="24" s="1"/>
  <c r="BC319" i="24" s="1"/>
  <c r="D79" i="24"/>
  <c r="C79" i="24" s="1"/>
  <c r="BC320" i="24" s="1"/>
  <c r="BF27" i="21"/>
  <c r="BC27" i="21"/>
  <c r="BI27" i="21"/>
  <c r="BD27" i="21"/>
  <c r="AH65" i="15"/>
  <c r="AL94" i="15" s="1"/>
  <c r="C21" i="8"/>
  <c r="FC447" i="21"/>
  <c r="FC448" i="21" s="1"/>
  <c r="FC449" i="21" s="1"/>
  <c r="C29" i="8"/>
  <c r="K62" i="8" s="1"/>
  <c r="C39" i="8"/>
  <c r="C30" i="8"/>
  <c r="L62" i="8" s="1"/>
  <c r="C15" i="8"/>
  <c r="C20" i="8"/>
  <c r="C123" i="8" s="1"/>
  <c r="AC24" i="8"/>
  <c r="AC23" i="8"/>
  <c r="AH121" i="8" s="1"/>
  <c r="C16" i="8"/>
  <c r="AC88" i="8" s="1"/>
  <c r="AC29" i="8"/>
  <c r="AC33" i="8"/>
  <c r="AP121" i="8" s="1"/>
  <c r="AC34" i="8"/>
  <c r="AI92" i="8" s="1"/>
  <c r="AC36" i="8"/>
  <c r="AL121" i="8" s="1"/>
  <c r="AC38" i="8"/>
  <c r="AO121" i="8" s="1"/>
  <c r="AC30" i="8"/>
  <c r="AN121" i="8" s="1"/>
  <c r="AC37" i="8"/>
  <c r="AM121" i="8" s="1"/>
  <c r="AC40" i="8"/>
  <c r="C41" i="23" s="1"/>
  <c r="AC32" i="8"/>
  <c r="AQ121" i="8" s="1"/>
  <c r="AC31" i="8"/>
  <c r="AJ92" i="8" s="1"/>
  <c r="AC35" i="8"/>
  <c r="AR121" i="8" s="1"/>
  <c r="AC39" i="8"/>
  <c r="D19" i="23" s="1"/>
  <c r="AC28" i="8"/>
  <c r="AJ121" i="8" s="1"/>
  <c r="AC20" i="8"/>
  <c r="AE92" i="8" s="1"/>
  <c r="AC19" i="8"/>
  <c r="AE121" i="8" s="1"/>
  <c r="C26" i="8"/>
  <c r="C31" i="8"/>
  <c r="M62" i="8" s="1"/>
  <c r="K91" i="8" s="1"/>
  <c r="C22" i="8"/>
  <c r="AC21" i="8"/>
  <c r="AG121" i="8" s="1"/>
  <c r="C25" i="8"/>
  <c r="G62" i="8" s="1"/>
  <c r="J91" i="8" s="1"/>
  <c r="C27" i="8"/>
  <c r="C165" i="8" s="1"/>
  <c r="AC82" i="8"/>
  <c r="C32" i="8"/>
  <c r="N62" i="8" s="1"/>
  <c r="C28" i="8"/>
  <c r="J62" i="8" s="1"/>
  <c r="AC83" i="8"/>
  <c r="C38" i="8"/>
  <c r="C33" i="8"/>
  <c r="C166" i="8" s="1"/>
  <c r="CB49" i="18"/>
  <c r="BIB12" i="17"/>
  <c r="BIB13" i="17" s="1"/>
  <c r="ACB27" i="17"/>
  <c r="Q53" i="18"/>
  <c r="CC351" i="11"/>
  <c r="BB47" i="18"/>
  <c r="BB49" i="18" s="1"/>
  <c r="E82" i="21" s="1"/>
  <c r="AC49" i="18"/>
  <c r="AC51" i="18" s="1"/>
  <c r="AW49" i="16" s="1"/>
  <c r="AB49" i="18"/>
  <c r="AB51" i="18" s="1"/>
  <c r="C82" i="21" s="1"/>
  <c r="P53" i="18"/>
  <c r="CC350" i="11"/>
  <c r="CC331" i="11"/>
  <c r="BC332" i="11"/>
  <c r="BC330" i="11"/>
  <c r="CC332" i="11"/>
  <c r="CC334" i="11"/>
  <c r="DC332" i="11"/>
  <c r="BC349" i="11"/>
  <c r="CC349" i="11"/>
  <c r="CC348" i="11"/>
  <c r="C96" i="19"/>
  <c r="B96" i="19" s="1"/>
  <c r="C45" i="11"/>
  <c r="CC352" i="11" s="1"/>
  <c r="C49" i="19"/>
  <c r="B49" i="19" s="1"/>
  <c r="BC411" i="21"/>
  <c r="BC412" i="21" s="1"/>
  <c r="AC411" i="21"/>
  <c r="AC412" i="21" s="1"/>
  <c r="CC411" i="21"/>
  <c r="CC412" i="21" s="1"/>
  <c r="B73" i="19"/>
  <c r="C50" i="19"/>
  <c r="B50" i="19" s="1"/>
  <c r="DC411" i="21"/>
  <c r="DC412" i="21" s="1"/>
  <c r="FC411" i="21"/>
  <c r="FC412" i="21" s="1"/>
  <c r="FC421" i="21" s="1"/>
  <c r="C94" i="19"/>
  <c r="B94" i="19" s="1"/>
  <c r="CC409" i="21"/>
  <c r="CC410" i="21" s="1"/>
  <c r="BC409" i="21"/>
  <c r="BC410" i="21" s="1"/>
  <c r="EC409" i="21"/>
  <c r="EC410" i="21" s="1"/>
  <c r="DC409" i="21"/>
  <c r="DC410" i="21" s="1"/>
  <c r="FC409" i="21"/>
  <c r="FC410" i="21" s="1"/>
  <c r="FC420" i="21" s="1"/>
  <c r="AC409" i="21"/>
  <c r="AC410" i="21" s="1"/>
  <c r="C51" i="19"/>
  <c r="B51" i="19" s="1"/>
  <c r="C95" i="19"/>
  <c r="B95" i="19" s="1"/>
  <c r="C52" i="22"/>
  <c r="DE48" i="21"/>
  <c r="AE46" i="21"/>
  <c r="P163" i="8"/>
  <c r="N165" i="8"/>
  <c r="J165" i="8"/>
  <c r="M163" i="8"/>
  <c r="K165" i="8"/>
  <c r="O165" i="8"/>
  <c r="J168" i="8"/>
  <c r="V101" i="8"/>
  <c r="U101" i="8"/>
  <c r="N164" i="8"/>
  <c r="K163" i="8"/>
  <c r="L164" i="8"/>
  <c r="L163" i="8"/>
  <c r="I164" i="8"/>
  <c r="G163" i="8"/>
  <c r="I163" i="8"/>
  <c r="J163" i="8"/>
  <c r="G164" i="8"/>
  <c r="H163" i="8"/>
  <c r="H164" i="8"/>
  <c r="N163" i="8"/>
  <c r="M167" i="8"/>
  <c r="O164" i="8"/>
  <c r="P164" i="8"/>
  <c r="P151" i="8"/>
  <c r="I162" i="8" s="1"/>
  <c r="L167" i="8"/>
  <c r="O167" i="8"/>
  <c r="I167" i="8"/>
  <c r="G167" i="8"/>
  <c r="P167" i="8" s="1"/>
  <c r="P160" i="8"/>
  <c r="P166" i="8"/>
  <c r="P168" i="8"/>
  <c r="K164" i="8"/>
  <c r="I37" i="8"/>
  <c r="P150" i="8"/>
  <c r="C23" i="8"/>
  <c r="C161" i="8" s="1"/>
  <c r="G162" i="8"/>
  <c r="H165" i="8"/>
  <c r="L165" i="8"/>
  <c r="M165" i="8"/>
  <c r="G165" i="8"/>
  <c r="BE45" i="21"/>
  <c r="S51" i="2"/>
  <c r="S44" i="2"/>
  <c r="S43" i="2"/>
  <c r="S49" i="2"/>
  <c r="DE44" i="21"/>
  <c r="DE46" i="21"/>
  <c r="BE48" i="21"/>
  <c r="BE44" i="21"/>
  <c r="AI27" i="21"/>
  <c r="AE47" i="21"/>
  <c r="AE49" i="21"/>
  <c r="AD27" i="21"/>
  <c r="DE47" i="21"/>
  <c r="BE46" i="21"/>
  <c r="AF27" i="21"/>
  <c r="DG27" i="21"/>
  <c r="AE48" i="21"/>
  <c r="DJ27" i="21"/>
  <c r="AG27" i="21"/>
  <c r="AE44" i="21"/>
  <c r="DC27" i="21"/>
  <c r="DD27" i="21"/>
  <c r="DI27" i="21"/>
  <c r="BB32" i="18"/>
  <c r="BB36" i="18"/>
  <c r="AX53" i="16" s="1"/>
  <c r="BB40" i="18"/>
  <c r="AC35" i="18"/>
  <c r="AW52" i="16" s="1"/>
  <c r="AC39" i="18"/>
  <c r="AC43" i="18"/>
  <c r="AB36" i="18"/>
  <c r="BA54" i="16" s="1"/>
  <c r="AB40" i="18"/>
  <c r="AB33" i="18"/>
  <c r="CB34" i="18"/>
  <c r="AZ54" i="16" s="1"/>
  <c r="CB38" i="18"/>
  <c r="CB31" i="18"/>
  <c r="BB33" i="18"/>
  <c r="AX52" i="16" s="1"/>
  <c r="BB37" i="18"/>
  <c r="BB41" i="18"/>
  <c r="AC36" i="18"/>
  <c r="AW54" i="16" s="1"/>
  <c r="AC40" i="18"/>
  <c r="AC33" i="18"/>
  <c r="AB37" i="18"/>
  <c r="AB41" i="18"/>
  <c r="CB35" i="18"/>
  <c r="CB39" i="18"/>
  <c r="AB43" i="18"/>
  <c r="BB34" i="18"/>
  <c r="AX54" i="16" s="1"/>
  <c r="BB38" i="18"/>
  <c r="BB31" i="18"/>
  <c r="AC37" i="18"/>
  <c r="AC41" i="18"/>
  <c r="AB34" i="18"/>
  <c r="AB38" i="18"/>
  <c r="BA53" i="16" s="1"/>
  <c r="AB42" i="18"/>
  <c r="CB32" i="18"/>
  <c r="CB36" i="18"/>
  <c r="AZ53" i="16" s="1"/>
  <c r="CB40" i="18"/>
  <c r="CB33" i="18"/>
  <c r="AZ52" i="16" s="1"/>
  <c r="CB41" i="18"/>
  <c r="BB35" i="18"/>
  <c r="BB39" i="18"/>
  <c r="AC34" i="18"/>
  <c r="AC38" i="18"/>
  <c r="AW53" i="16" s="1"/>
  <c r="AC42" i="18"/>
  <c r="AB35" i="18"/>
  <c r="BA52" i="16" s="1"/>
  <c r="AB39" i="18"/>
  <c r="CB37" i="18"/>
  <c r="EC25" i="21"/>
  <c r="ED25" i="21"/>
  <c r="CC25" i="21"/>
  <c r="CJ25" i="21"/>
  <c r="S50" i="2"/>
  <c r="S40" i="2"/>
  <c r="S46" i="2"/>
  <c r="S55" i="2"/>
  <c r="S58" i="2"/>
  <c r="EJ25" i="21"/>
  <c r="S52" i="2"/>
  <c r="S39" i="2"/>
  <c r="S57" i="2"/>
  <c r="S48" i="2"/>
  <c r="S56" i="2"/>
  <c r="CG25" i="21"/>
  <c r="S53" i="2"/>
  <c r="S54" i="2"/>
  <c r="S41" i="2"/>
  <c r="S42" i="2"/>
  <c r="EE61" i="21"/>
  <c r="EE57" i="21"/>
  <c r="EE53" i="21"/>
  <c r="DE60" i="21"/>
  <c r="DE56" i="21"/>
  <c r="DE52" i="21"/>
  <c r="CE59" i="21"/>
  <c r="CE55" i="21"/>
  <c r="CE51" i="21"/>
  <c r="BE58" i="21"/>
  <c r="BE54" i="21"/>
  <c r="AE52" i="21"/>
  <c r="AE56" i="21"/>
  <c r="AE60" i="21"/>
  <c r="BE56" i="21"/>
  <c r="AE58" i="21"/>
  <c r="EE58" i="21"/>
  <c r="DE57" i="21"/>
  <c r="CE60" i="21"/>
  <c r="BE59" i="21"/>
  <c r="AE55" i="21"/>
  <c r="EE60" i="21"/>
  <c r="EE56" i="21"/>
  <c r="EE52" i="21"/>
  <c r="DE59" i="21"/>
  <c r="DE55" i="21"/>
  <c r="DE51" i="21"/>
  <c r="CE58" i="21"/>
  <c r="CE54" i="21"/>
  <c r="BE61" i="21"/>
  <c r="BE57" i="21"/>
  <c r="BE53" i="21"/>
  <c r="AE53" i="21"/>
  <c r="AE57" i="21"/>
  <c r="AE61" i="21"/>
  <c r="BE60" i="21"/>
  <c r="BE52" i="21"/>
  <c r="AE51" i="21"/>
  <c r="DE61" i="21"/>
  <c r="CE56" i="21"/>
  <c r="BE55" i="21"/>
  <c r="AE59" i="21"/>
  <c r="EE59" i="21"/>
  <c r="EE55" i="21"/>
  <c r="EE51" i="21"/>
  <c r="DE58" i="21"/>
  <c r="DE54" i="21"/>
  <c r="CE61" i="21"/>
  <c r="CE57" i="21"/>
  <c r="CE53" i="21"/>
  <c r="AE54" i="21"/>
  <c r="EE54" i="21"/>
  <c r="DE53" i="21"/>
  <c r="CE52" i="21"/>
  <c r="BE51" i="21"/>
  <c r="FE61" i="21"/>
  <c r="FE57" i="21"/>
  <c r="FE53" i="21"/>
  <c r="FE60" i="21"/>
  <c r="FE56" i="21"/>
  <c r="FE52" i="21"/>
  <c r="FE59" i="21"/>
  <c r="FE55" i="21"/>
  <c r="FE51" i="21"/>
  <c r="FE58" i="21"/>
  <c r="FE54" i="21"/>
  <c r="EF25" i="21"/>
  <c r="EG25" i="21"/>
  <c r="EF61" i="21"/>
  <c r="EF62" i="21" s="1"/>
  <c r="EF63" i="21" s="1"/>
  <c r="C73" i="9"/>
  <c r="I20" i="9"/>
  <c r="AZ49" i="16"/>
  <c r="F82" i="21"/>
  <c r="EC432" i="11"/>
  <c r="AC447" i="21"/>
  <c r="AC448" i="21" s="1"/>
  <c r="AC449" i="21" s="1"/>
  <c r="BC447" i="21"/>
  <c r="BC448" i="21" s="1"/>
  <c r="BC449" i="21" s="1"/>
  <c r="DC447" i="21"/>
  <c r="DC448" i="21" s="1"/>
  <c r="DC449" i="21" s="1"/>
  <c r="C124" i="8"/>
  <c r="AC9" i="8"/>
  <c r="DC179" i="11"/>
  <c r="DC185" i="11" s="1"/>
  <c r="FE49" i="21"/>
  <c r="FE48" i="21"/>
  <c r="FE47" i="21"/>
  <c r="CF25" i="21"/>
  <c r="CF61" i="21"/>
  <c r="CF62" i="21" s="1"/>
  <c r="CF63" i="21" s="1"/>
  <c r="CD25" i="21"/>
  <c r="DC25" i="21"/>
  <c r="C53" i="22"/>
  <c r="DG25" i="21"/>
  <c r="AB11" i="15"/>
  <c r="AC34" i="15"/>
  <c r="AM65" i="15" s="1"/>
  <c r="AN94" i="15" s="1"/>
  <c r="DJ25" i="21"/>
  <c r="C34" i="18"/>
  <c r="DG179" i="11"/>
  <c r="DG185" i="11" s="1"/>
  <c r="OB27" i="17"/>
  <c r="TD11" i="17"/>
  <c r="BCB12" i="17"/>
  <c r="BCB13" i="17" s="1"/>
  <c r="KB13" i="17"/>
  <c r="AGB12" i="17"/>
  <c r="AGD92" i="17" s="1"/>
  <c r="AXD11" i="17"/>
  <c r="MD11" i="17"/>
  <c r="DC130" i="11"/>
  <c r="DD185" i="11"/>
  <c r="DF25" i="21"/>
  <c r="DD25" i="21"/>
  <c r="DI25" i="21"/>
  <c r="AC25" i="21"/>
  <c r="AF25" i="21"/>
  <c r="AD25" i="21"/>
  <c r="AG25" i="21"/>
  <c r="AJ25" i="21"/>
  <c r="AF61" i="21"/>
  <c r="AF62" i="21" s="1"/>
  <c r="AF63" i="21" s="1"/>
  <c r="ATB27" i="17"/>
  <c r="ATB12" i="17"/>
  <c r="ATB13" i="17" s="1"/>
  <c r="VD11" i="17"/>
  <c r="VB12" i="17"/>
  <c r="BJB12" i="17"/>
  <c r="BJD92" i="17" s="1"/>
  <c r="BJD11" i="17"/>
  <c r="BJB27" i="17"/>
  <c r="KB27" i="17"/>
  <c r="AJD11" i="17"/>
  <c r="AJB12" i="17"/>
  <c r="AJB15" i="17" s="1"/>
  <c r="AJB26" i="17" s="1"/>
  <c r="AJB27" i="17" s="1"/>
  <c r="AZB12" i="17"/>
  <c r="AZD11" i="17"/>
  <c r="AXD92" i="17"/>
  <c r="AXD12" i="17"/>
  <c r="ID92" i="17"/>
  <c r="IB13" i="17"/>
  <c r="FE46" i="21"/>
  <c r="FE45" i="21"/>
  <c r="FE44" i="21"/>
  <c r="I22" i="9"/>
  <c r="I26" i="9"/>
  <c r="I28" i="9"/>
  <c r="H10" i="1"/>
  <c r="H9" i="1"/>
  <c r="BCD11" i="17"/>
  <c r="ARB27" i="17"/>
  <c r="AQB27" i="17"/>
  <c r="AXB13" i="17"/>
  <c r="AGB27" i="17"/>
  <c r="MD92" i="17"/>
  <c r="MB13" i="17"/>
  <c r="MD12" i="17"/>
  <c r="MB29" i="17"/>
  <c r="C37" i="8"/>
  <c r="C72" i="9"/>
  <c r="C24" i="8"/>
  <c r="CC126" i="11"/>
  <c r="AC40" i="15"/>
  <c r="AC28" i="15"/>
  <c r="AG65" i="15" s="1"/>
  <c r="AM94" i="15" s="1"/>
  <c r="AC41" i="15"/>
  <c r="AC24" i="15"/>
  <c r="AD65" i="15" s="1"/>
  <c r="AG94" i="15" s="1"/>
  <c r="AC30" i="15"/>
  <c r="AI65" i="15" s="1"/>
  <c r="AC25" i="15"/>
  <c r="AE65" i="15" s="1"/>
  <c r="AH94" i="15" s="1"/>
  <c r="AC35" i="15"/>
  <c r="AN65" i="15" s="1"/>
  <c r="AC36" i="15"/>
  <c r="AO65" i="15" s="1"/>
  <c r="AC42" i="15"/>
  <c r="AC18" i="15"/>
  <c r="AC33" i="15"/>
  <c r="AL65" i="15" s="1"/>
  <c r="AC19" i="15"/>
  <c r="AC32" i="15"/>
  <c r="AK65" i="15" s="1"/>
  <c r="AC31" i="15"/>
  <c r="AJ65" i="15" s="1"/>
  <c r="FC369" i="21"/>
  <c r="FC370" i="21" s="1"/>
  <c r="CC369" i="21"/>
  <c r="BC369" i="21"/>
  <c r="EC369" i="21"/>
  <c r="AC369" i="21"/>
  <c r="AC26" i="15"/>
  <c r="AC23" i="15"/>
  <c r="AC65" i="15" s="1"/>
  <c r="AC27" i="15"/>
  <c r="AQ65" i="15" s="1"/>
  <c r="AJ94" i="15" s="1"/>
  <c r="BF25" i="21"/>
  <c r="BG25" i="21"/>
  <c r="BD25" i="21"/>
  <c r="BF61" i="21"/>
  <c r="BF62" i="21" s="1"/>
  <c r="BF63" i="21" s="1"/>
  <c r="BI25" i="21"/>
  <c r="BJ25" i="21"/>
  <c r="O216" i="2" l="1" a="1"/>
  <c r="O216" i="2" s="1"/>
  <c r="L219" i="2"/>
  <c r="L220" i="2"/>
  <c r="L222" i="2"/>
  <c r="D13" i="18"/>
  <c r="D34" i="18" s="1"/>
  <c r="D17" i="21" s="1"/>
  <c r="DC385" i="21"/>
  <c r="BC385" i="21"/>
  <c r="CC385" i="21"/>
  <c r="EC385" i="21"/>
  <c r="DC382" i="21"/>
  <c r="CC382" i="21"/>
  <c r="EC447" i="21"/>
  <c r="EC448" i="21" s="1"/>
  <c r="EC449" i="21" s="1"/>
  <c r="EC382" i="21"/>
  <c r="AC382" i="21"/>
  <c r="AC373" i="21"/>
  <c r="BC382" i="21"/>
  <c r="FC373" i="21"/>
  <c r="DC373" i="21"/>
  <c r="CC373" i="21"/>
  <c r="BC373" i="21"/>
  <c r="AT49" i="16"/>
  <c r="L211" i="2"/>
  <c r="L210" i="2" s="1"/>
  <c r="K210" i="2" s="1"/>
  <c r="CC329" i="11"/>
  <c r="M211" i="2"/>
  <c r="M210" i="2" s="1"/>
  <c r="C159" i="8"/>
  <c r="D62" i="8"/>
  <c r="D91" i="8" s="1"/>
  <c r="E85" i="18"/>
  <c r="I85" i="18"/>
  <c r="DE352" i="11"/>
  <c r="EC431" i="11"/>
  <c r="EE431" i="11" s="1"/>
  <c r="DC431" i="11"/>
  <c r="DE431" i="11" s="1"/>
  <c r="C19" i="23"/>
  <c r="C64" i="23" s="1"/>
  <c r="CK186" i="11"/>
  <c r="CE356" i="11"/>
  <c r="CE348" i="11"/>
  <c r="CC196" i="11"/>
  <c r="CC431" i="11"/>
  <c r="CE431" i="11" s="1"/>
  <c r="BI186" i="11"/>
  <c r="BC431" i="11"/>
  <c r="BE431" i="11" s="1"/>
  <c r="BC131" i="11"/>
  <c r="D141" i="18"/>
  <c r="C141" i="18" s="1"/>
  <c r="C41" i="19"/>
  <c r="B41" i="19" s="1"/>
  <c r="C40" i="19"/>
  <c r="B40" i="19" s="1"/>
  <c r="AC413" i="21"/>
  <c r="AC414" i="21" s="1"/>
  <c r="FC413" i="21"/>
  <c r="FC414" i="21" s="1"/>
  <c r="BC413" i="21"/>
  <c r="BC414" i="21" s="1"/>
  <c r="EC413" i="21"/>
  <c r="EC414" i="21" s="1"/>
  <c r="M218" i="2"/>
  <c r="M221" i="2"/>
  <c r="M216" i="2"/>
  <c r="M224" i="2"/>
  <c r="M217" i="2"/>
  <c r="M220" i="2"/>
  <c r="M222" i="2"/>
  <c r="M223" i="2"/>
  <c r="M219" i="2"/>
  <c r="BC432" i="11"/>
  <c r="EF174" i="11"/>
  <c r="M54" i="2" s="1"/>
  <c r="EF166" i="11"/>
  <c r="M46" i="2" s="1"/>
  <c r="EF169" i="11"/>
  <c r="M37" i="8"/>
  <c r="EF161" i="11"/>
  <c r="M41" i="2" s="1"/>
  <c r="EF173" i="11"/>
  <c r="M53" i="2" s="1"/>
  <c r="EF172" i="11"/>
  <c r="M52" i="2" s="1"/>
  <c r="EF164" i="11"/>
  <c r="EF171" i="11"/>
  <c r="EF159" i="11"/>
  <c r="EF170" i="11"/>
  <c r="M50" i="2" s="1"/>
  <c r="EF168" i="11"/>
  <c r="EF167" i="11"/>
  <c r="M47" i="2" s="1"/>
  <c r="EF162" i="11"/>
  <c r="M42" i="2" s="1"/>
  <c r="D60" i="11"/>
  <c r="C60" i="11" s="1"/>
  <c r="DC324" i="11" s="1"/>
  <c r="EF160" i="11"/>
  <c r="M40" i="2" s="1"/>
  <c r="EF176" i="11"/>
  <c r="M56" i="2" s="1"/>
  <c r="EF175" i="11"/>
  <c r="M55" i="2" s="1"/>
  <c r="BC397" i="24"/>
  <c r="AC398" i="24"/>
  <c r="BD446" i="24"/>
  <c r="BG446" i="24" s="1"/>
  <c r="BC396" i="24"/>
  <c r="BE396" i="24" s="1"/>
  <c r="AC397" i="24"/>
  <c r="AE397" i="24" s="1"/>
  <c r="AC317" i="24"/>
  <c r="AC316" i="24"/>
  <c r="D61" i="11"/>
  <c r="C61" i="11" s="1"/>
  <c r="AC315" i="24"/>
  <c r="BC315" i="24"/>
  <c r="BD444" i="24" s="1"/>
  <c r="D62" i="11"/>
  <c r="C62" i="11" s="1"/>
  <c r="EC324" i="11" s="1"/>
  <c r="AC314" i="24"/>
  <c r="AC320" i="24"/>
  <c r="AC319" i="24"/>
  <c r="BA49" i="16"/>
  <c r="D82" i="21"/>
  <c r="C301" i="18"/>
  <c r="E53" i="18"/>
  <c r="AX49" i="16"/>
  <c r="AE602" i="24"/>
  <c r="AC603" i="24"/>
  <c r="AE902" i="24"/>
  <c r="AC903" i="24"/>
  <c r="BC903" i="24"/>
  <c r="BE902" i="24"/>
  <c r="BE1102" i="24"/>
  <c r="BC1103" i="24"/>
  <c r="BC1803" i="24"/>
  <c r="BE1802" i="24"/>
  <c r="AC1903" i="24"/>
  <c r="AE1902" i="24"/>
  <c r="BC2203" i="24"/>
  <c r="BE2202" i="24"/>
  <c r="AE502" i="24"/>
  <c r="AC503" i="24"/>
  <c r="AC504" i="24" s="1"/>
  <c r="BE2302" i="24"/>
  <c r="BC2303" i="24"/>
  <c r="BE702" i="24"/>
  <c r="BC703" i="24"/>
  <c r="BC2103" i="24"/>
  <c r="BC2104" i="24" s="1"/>
  <c r="BE2102" i="24"/>
  <c r="AC2303" i="24"/>
  <c r="AC2304" i="24" s="1"/>
  <c r="AE2302" i="24"/>
  <c r="AE802" i="24"/>
  <c r="AC803" i="24"/>
  <c r="AC804" i="24" s="1"/>
  <c r="AE1002" i="24"/>
  <c r="AE1302" i="24"/>
  <c r="AC1303" i="24"/>
  <c r="AC1304" i="24" s="1"/>
  <c r="AE1702" i="24"/>
  <c r="AC1703" i="24"/>
  <c r="AC2403" i="24"/>
  <c r="AC2404" i="24" s="1"/>
  <c r="AE2402" i="24"/>
  <c r="AC2003" i="24"/>
  <c r="AC2004" i="24" s="1"/>
  <c r="AE2002" i="24"/>
  <c r="BC1303" i="24"/>
  <c r="BC1304" i="24" s="1"/>
  <c r="BE1302" i="24"/>
  <c r="BE1002" i="24"/>
  <c r="BC1003" i="24"/>
  <c r="BC1004" i="24" s="1"/>
  <c r="AC1103" i="24"/>
  <c r="AE1102" i="24"/>
  <c r="BC1203" i="24"/>
  <c r="BC1204" i="24" s="1"/>
  <c r="BE1202" i="24"/>
  <c r="AC1503" i="24"/>
  <c r="AE1502" i="24"/>
  <c r="AE1202" i="24"/>
  <c r="AC1203" i="24"/>
  <c r="AC1204" i="24" s="1"/>
  <c r="AC1803" i="24"/>
  <c r="AC1804" i="24" s="1"/>
  <c r="AE1802" i="24"/>
  <c r="BC2003" i="24"/>
  <c r="BE2002" i="24"/>
  <c r="BC1603" i="24"/>
  <c r="BE1602" i="24"/>
  <c r="BE802" i="24"/>
  <c r="BC803" i="24"/>
  <c r="BC804" i="24" s="1"/>
  <c r="AC1603" i="24"/>
  <c r="AE1602" i="24"/>
  <c r="BE1502" i="24"/>
  <c r="BC1503" i="24"/>
  <c r="BC1504" i="24" s="1"/>
  <c r="AE2202" i="24"/>
  <c r="AC2203" i="24"/>
  <c r="AC1403" i="24"/>
  <c r="AE1402" i="24"/>
  <c r="BC603" i="24"/>
  <c r="BE602" i="24"/>
  <c r="BC503" i="24"/>
  <c r="BC504" i="24" s="1"/>
  <c r="BE502" i="24"/>
  <c r="AE2102" i="24"/>
  <c r="AC2103" i="24"/>
  <c r="AC2104" i="24" s="1"/>
  <c r="BE1902" i="24"/>
  <c r="BC1903" i="24"/>
  <c r="BC1904" i="24" s="1"/>
  <c r="AC703" i="24"/>
  <c r="AC704" i="24" s="1"/>
  <c r="AE702" i="24"/>
  <c r="BC1403" i="24"/>
  <c r="BC1404" i="24" s="1"/>
  <c r="BE1402" i="24"/>
  <c r="BE2402" i="24"/>
  <c r="BC2403" i="24"/>
  <c r="BC2404" i="24" s="1"/>
  <c r="BE1702" i="24"/>
  <c r="BC1703" i="24"/>
  <c r="AD97" i="8"/>
  <c r="C163" i="8"/>
  <c r="D82" i="8"/>
  <c r="D56" i="11"/>
  <c r="C56" i="11" s="1"/>
  <c r="P62" i="8"/>
  <c r="F62" i="8"/>
  <c r="F91" i="8" s="1"/>
  <c r="D55" i="11"/>
  <c r="C55" i="11" s="1"/>
  <c r="C141" i="8"/>
  <c r="AP65" i="15"/>
  <c r="AK94" i="15" s="1"/>
  <c r="C130" i="8"/>
  <c r="C143" i="8" s="1"/>
  <c r="C8" i="8"/>
  <c r="DC129" i="11"/>
  <c r="DC127" i="11"/>
  <c r="C95" i="8"/>
  <c r="O62" i="8"/>
  <c r="C162" i="8"/>
  <c r="C127" i="8"/>
  <c r="AF121" i="8"/>
  <c r="AV121" i="8" s="1"/>
  <c r="AG92" i="8"/>
  <c r="C62" i="8"/>
  <c r="AF92" i="8"/>
  <c r="AD105" i="8"/>
  <c r="C129" i="8"/>
  <c r="C160" i="8"/>
  <c r="E62" i="8"/>
  <c r="E91" i="8" s="1"/>
  <c r="C128" i="8"/>
  <c r="C125" i="8"/>
  <c r="AH92" i="8"/>
  <c r="C157" i="8"/>
  <c r="I62" i="8"/>
  <c r="L91" i="8" s="1"/>
  <c r="AD88" i="8"/>
  <c r="AE88" i="8" s="1"/>
  <c r="AC144" i="8" s="1"/>
  <c r="H62" i="8"/>
  <c r="I91" i="8" s="1"/>
  <c r="C158" i="8"/>
  <c r="C126" i="8"/>
  <c r="AC92" i="8"/>
  <c r="C38" i="23"/>
  <c r="M20" i="8"/>
  <c r="C167" i="8"/>
  <c r="AD92" i="8"/>
  <c r="CC353" i="11"/>
  <c r="C53" i="18"/>
  <c r="BC351" i="11"/>
  <c r="BID92" i="17"/>
  <c r="BID12" i="17"/>
  <c r="BCD92" i="17"/>
  <c r="BCD12" i="17"/>
  <c r="AGB13" i="17"/>
  <c r="AGD12" i="17"/>
  <c r="BJD12" i="17"/>
  <c r="CC354" i="11"/>
  <c r="AD114" i="8"/>
  <c r="BE62" i="21"/>
  <c r="BE63" i="21" s="1"/>
  <c r="CB42" i="18"/>
  <c r="CB43" i="18" s="1"/>
  <c r="AZ55" i="16" s="1"/>
  <c r="AE62" i="21"/>
  <c r="AE63" i="21" s="1"/>
  <c r="DE62" i="21"/>
  <c r="DE63" i="21" s="1"/>
  <c r="K162" i="8"/>
  <c r="H162" i="8"/>
  <c r="O162" i="8"/>
  <c r="N162" i="8"/>
  <c r="M162" i="8"/>
  <c r="J162" i="8"/>
  <c r="L162" i="8"/>
  <c r="P162" i="8"/>
  <c r="O161" i="8"/>
  <c r="K161" i="8"/>
  <c r="L161" i="8"/>
  <c r="G161" i="8"/>
  <c r="M161" i="8"/>
  <c r="I161" i="8"/>
  <c r="N161" i="8"/>
  <c r="H161" i="8"/>
  <c r="J161" i="8"/>
  <c r="P165" i="8"/>
  <c r="AB44" i="18"/>
  <c r="AB45" i="18" s="1"/>
  <c r="BA55" i="16" s="1"/>
  <c r="CE62" i="21"/>
  <c r="CE63" i="21" s="1"/>
  <c r="BB42" i="18"/>
  <c r="BB43" i="18" s="1"/>
  <c r="AX55" i="16" s="1"/>
  <c r="AC44" i="18"/>
  <c r="AC45" i="18" s="1"/>
  <c r="AW55" i="16" s="1"/>
  <c r="EE62" i="21"/>
  <c r="EE63" i="21" s="1"/>
  <c r="DC128" i="11"/>
  <c r="DE350" i="11" s="1"/>
  <c r="AD107" i="8"/>
  <c r="AD99" i="8"/>
  <c r="AD111" i="8"/>
  <c r="AD106" i="8"/>
  <c r="AD100" i="8"/>
  <c r="F95" i="9"/>
  <c r="F94" i="9"/>
  <c r="F84" i="9"/>
  <c r="F98" i="9"/>
  <c r="F93" i="9"/>
  <c r="F86" i="9"/>
  <c r="F81" i="9"/>
  <c r="F82" i="9"/>
  <c r="F90" i="9"/>
  <c r="F91" i="9"/>
  <c r="F89" i="9"/>
  <c r="F85" i="9"/>
  <c r="F83" i="9"/>
  <c r="F96" i="9"/>
  <c r="F92" i="9"/>
  <c r="F97" i="9"/>
  <c r="F88" i="9"/>
  <c r="CC95" i="11"/>
  <c r="AD108" i="8"/>
  <c r="AD98" i="8"/>
  <c r="AD113" i="8"/>
  <c r="AD112" i="8"/>
  <c r="AD110" i="8"/>
  <c r="AD101" i="8"/>
  <c r="AD104" i="8"/>
  <c r="AD102" i="8"/>
  <c r="AD109" i="8"/>
  <c r="FE62" i="21"/>
  <c r="FE63" i="21" s="1"/>
  <c r="CC133" i="11"/>
  <c r="E72" i="18"/>
  <c r="I73" i="18"/>
  <c r="N216" i="2" a="1"/>
  <c r="N221" i="2" s="1"/>
  <c r="J222" i="2" s="1"/>
  <c r="I71" i="18"/>
  <c r="I74" i="18"/>
  <c r="E73" i="18"/>
  <c r="E71" i="18"/>
  <c r="E74" i="18"/>
  <c r="I72" i="18"/>
  <c r="BC129" i="11"/>
  <c r="C11" i="18" s="1"/>
  <c r="D75" i="8"/>
  <c r="D83" i="8"/>
  <c r="VB13" i="17"/>
  <c r="VD92" i="17"/>
  <c r="AJB13" i="17"/>
  <c r="AJD92" i="17"/>
  <c r="AJD12" i="17"/>
  <c r="BJB13" i="17"/>
  <c r="C28" i="18"/>
  <c r="AQ49" i="16" s="1"/>
  <c r="D69" i="8"/>
  <c r="VD12" i="17"/>
  <c r="AZD12" i="17"/>
  <c r="AZD92" i="17"/>
  <c r="AZB13" i="17"/>
  <c r="ATD92" i="17"/>
  <c r="ATD12" i="17"/>
  <c r="D72" i="8"/>
  <c r="D80" i="8"/>
  <c r="D84" i="8"/>
  <c r="EE178" i="11"/>
  <c r="D68" i="8"/>
  <c r="D78" i="8"/>
  <c r="D67" i="8"/>
  <c r="D81" i="8"/>
  <c r="AM40" i="15"/>
  <c r="C131" i="8"/>
  <c r="Q62" i="8"/>
  <c r="G91" i="8" s="1"/>
  <c r="C164" i="8"/>
  <c r="D76" i="8"/>
  <c r="D79" i="8"/>
  <c r="D77" i="8"/>
  <c r="D74" i="8"/>
  <c r="D71" i="8"/>
  <c r="D70" i="8"/>
  <c r="AO94" i="15"/>
  <c r="E85" i="9"/>
  <c r="E98" i="9"/>
  <c r="E94" i="9"/>
  <c r="E90" i="9"/>
  <c r="E93" i="9"/>
  <c r="E81" i="9"/>
  <c r="E88" i="9"/>
  <c r="E97" i="9"/>
  <c r="I24" i="9"/>
  <c r="E95" i="9"/>
  <c r="E83" i="9"/>
  <c r="E89" i="9"/>
  <c r="E84" i="9"/>
  <c r="E96" i="9"/>
  <c r="E92" i="9"/>
  <c r="E91" i="9"/>
  <c r="E86" i="9"/>
  <c r="E82" i="9"/>
  <c r="EC26" i="11"/>
  <c r="ED25" i="11"/>
  <c r="EC25" i="11" s="1"/>
  <c r="EC313" i="11" s="1"/>
  <c r="AM23" i="15"/>
  <c r="AF65" i="15"/>
  <c r="AI94" i="15" s="1"/>
  <c r="AG75" i="15"/>
  <c r="AG83" i="15"/>
  <c r="AG72" i="15"/>
  <c r="AG87" i="15"/>
  <c r="AG80" i="15"/>
  <c r="AG74" i="15"/>
  <c r="AG73" i="15"/>
  <c r="AG70" i="15"/>
  <c r="AG81" i="15"/>
  <c r="AG71" i="15"/>
  <c r="AG82" i="15"/>
  <c r="AG77" i="15"/>
  <c r="AG85" i="15"/>
  <c r="AG84" i="15"/>
  <c r="AG86" i="15"/>
  <c r="AG78" i="15"/>
  <c r="AG79" i="15"/>
  <c r="CC186" i="11"/>
  <c r="M39" i="2" l="1"/>
  <c r="AN50" i="16" s="1"/>
  <c r="M51" i="2"/>
  <c r="AN53" i="16" s="1"/>
  <c r="M48" i="2"/>
  <c r="AN52" i="16" s="1"/>
  <c r="M49" i="2"/>
  <c r="AN54" i="16" s="1"/>
  <c r="M44" i="2"/>
  <c r="AN51" i="16" s="1"/>
  <c r="F96" i="18"/>
  <c r="F119" i="18" s="1"/>
  <c r="O224" i="2"/>
  <c r="O218" i="2"/>
  <c r="O221" i="2"/>
  <c r="O217" i="2"/>
  <c r="O223" i="2"/>
  <c r="O219" i="2"/>
  <c r="O220" i="2"/>
  <c r="O222" i="2"/>
  <c r="EC433" i="11"/>
  <c r="EC436" i="11" s="1"/>
  <c r="ED485" i="11" s="1"/>
  <c r="ED486" i="11" s="1"/>
  <c r="ED487" i="11" s="1"/>
  <c r="E16" i="18"/>
  <c r="E73" i="15" s="1" a="1"/>
  <c r="E73" i="15" s="1"/>
  <c r="E26" i="18"/>
  <c r="E21" i="18"/>
  <c r="E19" i="18"/>
  <c r="E75" i="15" a="1"/>
  <c r="E75" i="15" s="1"/>
  <c r="E65" i="15" a="1"/>
  <c r="E65" i="15" s="1"/>
  <c r="E62" i="15" a="1"/>
  <c r="E62" i="15" s="1"/>
  <c r="E14" i="18"/>
  <c r="DE351" i="11"/>
  <c r="E17" i="18"/>
  <c r="DE348" i="11"/>
  <c r="E15" i="18"/>
  <c r="DE349" i="11"/>
  <c r="E18" i="18"/>
  <c r="EE329" i="11"/>
  <c r="CE355" i="11"/>
  <c r="DC433" i="11"/>
  <c r="DC436" i="11" s="1"/>
  <c r="DD485" i="11" s="1"/>
  <c r="BC186" i="11"/>
  <c r="BG186" i="11"/>
  <c r="CC130" i="11"/>
  <c r="D24" i="18" s="1"/>
  <c r="AR49" i="16" s="1"/>
  <c r="C75" i="23"/>
  <c r="D67" i="23"/>
  <c r="D68" i="23" s="1"/>
  <c r="C67" i="23"/>
  <c r="C68" i="23" s="1"/>
  <c r="ED177" i="11"/>
  <c r="ED178" i="11" s="1"/>
  <c r="EF178" i="11" s="1"/>
  <c r="EC325" i="11"/>
  <c r="AD447" i="24"/>
  <c r="AG447" i="24" s="1"/>
  <c r="BC324" i="11"/>
  <c r="CC324" i="11"/>
  <c r="AD445" i="24"/>
  <c r="BG444" i="24"/>
  <c r="BH447" i="24" s="1"/>
  <c r="BD442" i="24"/>
  <c r="BC190" i="24" s="1"/>
  <c r="I95" i="8"/>
  <c r="W99" i="8" s="1"/>
  <c r="W100" i="8" s="1"/>
  <c r="AD124" i="8"/>
  <c r="AD127" i="8" s="1"/>
  <c r="CC433" i="11"/>
  <c r="CC436" i="11" s="1"/>
  <c r="CD485" i="11" s="1"/>
  <c r="BC433" i="11"/>
  <c r="BC436" i="11" s="1"/>
  <c r="BD485" i="11" s="1"/>
  <c r="DC322" i="11"/>
  <c r="CC322" i="11"/>
  <c r="DC323" i="11"/>
  <c r="BC322" i="11"/>
  <c r="BC323" i="11"/>
  <c r="EC323" i="11"/>
  <c r="EC322" i="11"/>
  <c r="BC321" i="11"/>
  <c r="DC321" i="11"/>
  <c r="CC321" i="11"/>
  <c r="CD479" i="11" s="1"/>
  <c r="CG479" i="11" s="1"/>
  <c r="CC323" i="11"/>
  <c r="AC1004" i="24"/>
  <c r="AE1003" i="24"/>
  <c r="AC904" i="24"/>
  <c r="AC906" i="24"/>
  <c r="AE983" i="24"/>
  <c r="AE903" i="24"/>
  <c r="AC604" i="24"/>
  <c r="AE683" i="24"/>
  <c r="AC606" i="24"/>
  <c r="AE603" i="24"/>
  <c r="BC398" i="24"/>
  <c r="BC401" i="24" s="1"/>
  <c r="BD450" i="24" s="1"/>
  <c r="AC399" i="24"/>
  <c r="AC402" i="24" s="1"/>
  <c r="BC1704" i="24"/>
  <c r="BE1703" i="24"/>
  <c r="BC1706" i="24"/>
  <c r="BE1783" i="24"/>
  <c r="BE2003" i="24"/>
  <c r="BC2006" i="24"/>
  <c r="BE2083" i="24"/>
  <c r="BE1503" i="24"/>
  <c r="BE1583" i="24"/>
  <c r="BC1506" i="24"/>
  <c r="BC1517" i="24" s="1"/>
  <c r="AE1103" i="24"/>
  <c r="AC1106" i="24"/>
  <c r="AE1183" i="24"/>
  <c r="AC1704" i="24"/>
  <c r="AE1703" i="24"/>
  <c r="AE1783" i="24"/>
  <c r="AC1706" i="24"/>
  <c r="AE503" i="24"/>
  <c r="AC506" i="24"/>
  <c r="AC517" i="24" s="1"/>
  <c r="AE583" i="24"/>
  <c r="BE1803" i="24"/>
  <c r="BE1883" i="24"/>
  <c r="BC1806" i="24"/>
  <c r="BE1403" i="24"/>
  <c r="BC1406" i="24"/>
  <c r="BC1417" i="24" s="1"/>
  <c r="BE1483" i="24"/>
  <c r="AC1404" i="24"/>
  <c r="AE1403" i="24"/>
  <c r="AE1483" i="24"/>
  <c r="AC1406" i="24"/>
  <c r="AC1604" i="24"/>
  <c r="AE1603" i="24"/>
  <c r="AC1606" i="24"/>
  <c r="AE1683" i="24"/>
  <c r="BC1604" i="24"/>
  <c r="BE1603" i="24"/>
  <c r="BE1683" i="24"/>
  <c r="BC1606" i="24"/>
  <c r="BE2103" i="24"/>
  <c r="BE2183" i="24"/>
  <c r="BC2106" i="24"/>
  <c r="BC2117" i="24" s="1"/>
  <c r="BC2204" i="24"/>
  <c r="BE2203" i="24"/>
  <c r="BC2206" i="24"/>
  <c r="BE2283" i="24"/>
  <c r="BC1104" i="24"/>
  <c r="BE1103" i="24"/>
  <c r="BE1183" i="24"/>
  <c r="BC1106" i="24"/>
  <c r="AC1504" i="24"/>
  <c r="AE1503" i="24"/>
  <c r="AC1506" i="24"/>
  <c r="AE1583" i="24"/>
  <c r="BE2303" i="24"/>
  <c r="BC2306" i="24"/>
  <c r="BE2383" i="24"/>
  <c r="BE2403" i="24"/>
  <c r="BC2406" i="24"/>
  <c r="BC2417" i="24" s="1"/>
  <c r="BE2483" i="24"/>
  <c r="BE1003" i="24"/>
  <c r="BE1083" i="24"/>
  <c r="BC1006" i="24"/>
  <c r="BC1017" i="24" s="1"/>
  <c r="BE1903" i="24"/>
  <c r="BE1983" i="24"/>
  <c r="BC1906" i="24"/>
  <c r="BC1917" i="24" s="1"/>
  <c r="AE1203" i="24"/>
  <c r="AE1283" i="24"/>
  <c r="AC1206" i="24"/>
  <c r="AC1217" i="24" s="1"/>
  <c r="AE2403" i="24"/>
  <c r="AC2406" i="24"/>
  <c r="AC2417" i="24" s="1"/>
  <c r="AE2483" i="24"/>
  <c r="AE803" i="24"/>
  <c r="AE883" i="24"/>
  <c r="AC806" i="24"/>
  <c r="AC817" i="24" s="1"/>
  <c r="BC604" i="24"/>
  <c r="BE603" i="24"/>
  <c r="BC606" i="24"/>
  <c r="BE683" i="24"/>
  <c r="AC1006" i="24"/>
  <c r="BC704" i="24"/>
  <c r="BE703" i="24"/>
  <c r="BE783" i="24"/>
  <c r="BC706" i="24"/>
  <c r="AE2103" i="24"/>
  <c r="AE2183" i="24"/>
  <c r="AC2106" i="24"/>
  <c r="AC2117" i="24" s="1"/>
  <c r="BE803" i="24"/>
  <c r="BC806" i="24"/>
  <c r="BC817" i="24" s="1"/>
  <c r="BE883" i="24"/>
  <c r="AE2303" i="24"/>
  <c r="AC2306" i="24"/>
  <c r="AC2317" i="24" s="1"/>
  <c r="AE2383" i="24"/>
  <c r="BE503" i="24"/>
  <c r="BC506" i="24"/>
  <c r="BC517" i="24" s="1"/>
  <c r="BE583" i="24"/>
  <c r="AC2204" i="24"/>
  <c r="AE2203" i="24"/>
  <c r="AC2206" i="24"/>
  <c r="AE2283" i="24"/>
  <c r="BC2004" i="24"/>
  <c r="AC1904" i="24"/>
  <c r="AE1903" i="24"/>
  <c r="AC1906" i="24"/>
  <c r="AE1983" i="24"/>
  <c r="AE703" i="24"/>
  <c r="AC706" i="24"/>
  <c r="AC717" i="24" s="1"/>
  <c r="AE783" i="24"/>
  <c r="BE1203" i="24"/>
  <c r="BE1283" i="24"/>
  <c r="BC1206" i="24"/>
  <c r="BC1217" i="24" s="1"/>
  <c r="AE1803" i="24"/>
  <c r="AC1806" i="24"/>
  <c r="AC1817" i="24" s="1"/>
  <c r="AE1883" i="24"/>
  <c r="AC1104" i="24"/>
  <c r="BE1303" i="24"/>
  <c r="BC1306" i="24"/>
  <c r="BC1317" i="24" s="1"/>
  <c r="BE1383" i="24"/>
  <c r="AE2003" i="24"/>
  <c r="AC2006" i="24"/>
  <c r="AC2017" i="24" s="1"/>
  <c r="AE2083" i="24"/>
  <c r="AE1303" i="24"/>
  <c r="AC1306" i="24"/>
  <c r="AC1317" i="24" s="1"/>
  <c r="AE1383" i="24"/>
  <c r="BC2304" i="24"/>
  <c r="BC1804" i="24"/>
  <c r="BC904" i="24"/>
  <c r="BE903" i="24"/>
  <c r="BE983" i="24"/>
  <c r="BC906" i="24"/>
  <c r="H95" i="8"/>
  <c r="D99" i="8" s="1"/>
  <c r="D102" i="8" s="1"/>
  <c r="AC124" i="8"/>
  <c r="AC127" i="8" s="1"/>
  <c r="C144" i="8"/>
  <c r="C142" i="8"/>
  <c r="D95" i="8"/>
  <c r="AD115" i="8"/>
  <c r="AD116" i="8" s="1"/>
  <c r="C140" i="8"/>
  <c r="C139" i="8"/>
  <c r="G95" i="8"/>
  <c r="C99" i="8" s="1"/>
  <c r="C102" i="8" s="1"/>
  <c r="DC326" i="11"/>
  <c r="EC327" i="11"/>
  <c r="CC326" i="11"/>
  <c r="BC326" i="11"/>
  <c r="C145" i="8"/>
  <c r="CC327" i="11"/>
  <c r="EC328" i="11"/>
  <c r="DC327" i="11"/>
  <c r="BC327" i="11"/>
  <c r="D91" i="23"/>
  <c r="G59" i="2" s="1"/>
  <c r="C70" i="9"/>
  <c r="C147" i="8"/>
  <c r="C149" i="8" s="1"/>
  <c r="CC90" i="11"/>
  <c r="CE332" i="11" s="1"/>
  <c r="CC93" i="11"/>
  <c r="CC106" i="11"/>
  <c r="CC104" i="11"/>
  <c r="AC112" i="8"/>
  <c r="AE112" i="8" s="1"/>
  <c r="AC106" i="8"/>
  <c r="AE106" i="8" s="1"/>
  <c r="AC107" i="8"/>
  <c r="AE107" i="8" s="1"/>
  <c r="AC105" i="8"/>
  <c r="AE105" i="8" s="1"/>
  <c r="AC97" i="8"/>
  <c r="AE97" i="8" s="1"/>
  <c r="AC101" i="8"/>
  <c r="AE101" i="8" s="1"/>
  <c r="AC108" i="8"/>
  <c r="AE108" i="8" s="1"/>
  <c r="AC98" i="8"/>
  <c r="AE98" i="8" s="1"/>
  <c r="AC111" i="8"/>
  <c r="AE111" i="8" s="1"/>
  <c r="AC104" i="8"/>
  <c r="AE104" i="8" s="1"/>
  <c r="DC88" i="11"/>
  <c r="AC8" i="8"/>
  <c r="AC130" i="8"/>
  <c r="CC127" i="11"/>
  <c r="DC132" i="11"/>
  <c r="E23" i="18" s="1"/>
  <c r="AC110" i="8"/>
  <c r="AE110" i="8" s="1"/>
  <c r="D75" i="23"/>
  <c r="C91" i="23"/>
  <c r="F59" i="2" s="1"/>
  <c r="AC102" i="8"/>
  <c r="AE102" i="8" s="1"/>
  <c r="DC131" i="11"/>
  <c r="E22" i="18" s="1"/>
  <c r="AC99" i="8"/>
  <c r="AE99" i="8" s="1"/>
  <c r="AC109" i="8"/>
  <c r="AE109" i="8" s="1"/>
  <c r="BC106" i="11"/>
  <c r="AC113" i="8"/>
  <c r="AE113" i="8" s="1"/>
  <c r="CC128" i="11"/>
  <c r="D11" i="18" s="1"/>
  <c r="AC100" i="8"/>
  <c r="AE100" i="8" s="1"/>
  <c r="DC133" i="11"/>
  <c r="AC114" i="8"/>
  <c r="BC128" i="11"/>
  <c r="C156" i="8"/>
  <c r="C138" i="8"/>
  <c r="C154" i="8"/>
  <c r="C136" i="8"/>
  <c r="C155" i="8"/>
  <c r="C137" i="8"/>
  <c r="P161" i="8"/>
  <c r="C153" i="8"/>
  <c r="CC105" i="11"/>
  <c r="CC94" i="11"/>
  <c r="CC88" i="11"/>
  <c r="CE334" i="11"/>
  <c r="CC91" i="11"/>
  <c r="CE333" i="11" s="1"/>
  <c r="CC96" i="11"/>
  <c r="CC97" i="11"/>
  <c r="CC89" i="11"/>
  <c r="CE331" i="11" s="1"/>
  <c r="DC89" i="11"/>
  <c r="DE331" i="11" s="1"/>
  <c r="DC92" i="11"/>
  <c r="F99" i="9"/>
  <c r="F100" i="9" s="1"/>
  <c r="BC89" i="11"/>
  <c r="DC90" i="11"/>
  <c r="DD152" i="11" s="1"/>
  <c r="DE152" i="11" s="1"/>
  <c r="DE174" i="11" s="1"/>
  <c r="DE175" i="11" s="1"/>
  <c r="DE176" i="11" s="1"/>
  <c r="DC95" i="11"/>
  <c r="DC93" i="11"/>
  <c r="DC94" i="11"/>
  <c r="DC104" i="11"/>
  <c r="DC96" i="11"/>
  <c r="DC91" i="11"/>
  <c r="DC105" i="11"/>
  <c r="DD174" i="11" s="1"/>
  <c r="DC97" i="11"/>
  <c r="N219" i="2"/>
  <c r="J220" i="2" s="1"/>
  <c r="N217" i="2"/>
  <c r="J218" i="2" s="1"/>
  <c r="BC104" i="11"/>
  <c r="BC97" i="11"/>
  <c r="BC96" i="11"/>
  <c r="BC95" i="11"/>
  <c r="N222" i="2"/>
  <c r="J223" i="2" s="1"/>
  <c r="BC94" i="11"/>
  <c r="BC92" i="11"/>
  <c r="N223" i="2"/>
  <c r="J224" i="2" s="1"/>
  <c r="BD24" i="11"/>
  <c r="BC313" i="11" s="1"/>
  <c r="BC88" i="11"/>
  <c r="BC93" i="11"/>
  <c r="D85" i="8"/>
  <c r="D86" i="8" s="1"/>
  <c r="N224" i="2"/>
  <c r="J225" i="2" s="1"/>
  <c r="N220" i="2"/>
  <c r="J221" i="2" s="1"/>
  <c r="N216" i="2"/>
  <c r="J217" i="2" s="1"/>
  <c r="N218" i="2"/>
  <c r="J219" i="2" s="1"/>
  <c r="CC132" i="11"/>
  <c r="CE354" i="11" s="1"/>
  <c r="Y99" i="8"/>
  <c r="H91" i="8"/>
  <c r="C84" i="8"/>
  <c r="E84" i="8" s="1"/>
  <c r="C68" i="8"/>
  <c r="E68" i="8" s="1"/>
  <c r="C71" i="8"/>
  <c r="E71" i="8" s="1"/>
  <c r="C74" i="8"/>
  <c r="E74" i="8" s="1"/>
  <c r="C85" i="8"/>
  <c r="C76" i="8"/>
  <c r="E76" i="8" s="1"/>
  <c r="C82" i="8"/>
  <c r="E82" i="8" s="1"/>
  <c r="C77" i="8"/>
  <c r="E77" i="8" s="1"/>
  <c r="C80" i="8"/>
  <c r="E80" i="8" s="1"/>
  <c r="C83" i="8"/>
  <c r="E83" i="8" s="1"/>
  <c r="C86" i="8"/>
  <c r="C81" i="8"/>
  <c r="E81" i="8" s="1"/>
  <c r="C67" i="8"/>
  <c r="E67" i="8" s="1"/>
  <c r="C79" i="8"/>
  <c r="E79" i="8" s="1"/>
  <c r="C69" i="8"/>
  <c r="E69" i="8" s="1"/>
  <c r="C75" i="8"/>
  <c r="E75" i="8" s="1"/>
  <c r="C78" i="8"/>
  <c r="E78" i="8" s="1"/>
  <c r="C72" i="8"/>
  <c r="E72" i="8" s="1"/>
  <c r="C70" i="8"/>
  <c r="E70" i="8" s="1"/>
  <c r="DC313" i="11"/>
  <c r="E25" i="18"/>
  <c r="EC1909" i="11"/>
  <c r="EC1409" i="11"/>
  <c r="EC3309" i="11"/>
  <c r="EC2809" i="11"/>
  <c r="EC3109" i="11"/>
  <c r="EC2609" i="11"/>
  <c r="EC2909" i="11"/>
  <c r="EC1109" i="11"/>
  <c r="EC609" i="11"/>
  <c r="EC2509" i="11"/>
  <c r="EC2009" i="11"/>
  <c r="EC2109" i="11"/>
  <c r="EC2309" i="11"/>
  <c r="EC1809" i="11"/>
  <c r="EC1309" i="11"/>
  <c r="EC3409" i="11"/>
  <c r="EC3009" i="11"/>
  <c r="EC1709" i="11"/>
  <c r="EC1209" i="11"/>
  <c r="EC2409" i="11"/>
  <c r="EC1509" i="11"/>
  <c r="EC1009" i="11"/>
  <c r="EC3209" i="11"/>
  <c r="EC709" i="11"/>
  <c r="EC909" i="11"/>
  <c r="EC509" i="11"/>
  <c r="EC2709" i="11"/>
  <c r="EC315" i="11"/>
  <c r="EC1609" i="11"/>
  <c r="EC809" i="11"/>
  <c r="EC2209" i="11"/>
  <c r="E99" i="9"/>
  <c r="E100" i="9" s="1"/>
  <c r="C146" i="8"/>
  <c r="C132" i="8"/>
  <c r="AG88" i="15"/>
  <c r="AG89" i="15" s="1"/>
  <c r="CJ186" i="11"/>
  <c r="E66" i="15" l="1" a="1"/>
  <c r="E66" i="15" s="1"/>
  <c r="F110" i="18"/>
  <c r="F133" i="18" s="1"/>
  <c r="M58" i="2"/>
  <c r="AN55" i="16" s="1"/>
  <c r="E69" i="15" a="1"/>
  <c r="E69" i="15" s="1"/>
  <c r="E70" i="15" a="1"/>
  <c r="E70" i="15" s="1"/>
  <c r="E67" i="15" a="1"/>
  <c r="E67" i="15" s="1"/>
  <c r="E76" i="15" a="1"/>
  <c r="E76" i="15" s="1"/>
  <c r="E64" i="15" a="1"/>
  <c r="E64" i="15" s="1"/>
  <c r="E74" i="15" a="1"/>
  <c r="E74" i="15" s="1"/>
  <c r="E59" i="15" a="1"/>
  <c r="E59" i="15" s="1"/>
  <c r="E60" i="15" a="1"/>
  <c r="E60" i="15" s="1"/>
  <c r="E72" i="15" a="1"/>
  <c r="E72" i="15" s="1"/>
  <c r="E61" i="15" a="1"/>
  <c r="E61" i="15" s="1"/>
  <c r="E57" i="15" a="1"/>
  <c r="E57" i="15" s="1"/>
  <c r="E68" i="15" a="1"/>
  <c r="E68" i="15" s="1"/>
  <c r="E58" i="15" a="1"/>
  <c r="E58" i="15" s="1"/>
  <c r="E71" i="15" a="1"/>
  <c r="E71" i="15" s="1"/>
  <c r="D10" i="18"/>
  <c r="F40" i="1" s="1"/>
  <c r="E40" i="1" s="1"/>
  <c r="DC174" i="11"/>
  <c r="DC180" i="11"/>
  <c r="C10" i="18"/>
  <c r="C31" i="18" s="1"/>
  <c r="C14" i="21" s="1"/>
  <c r="AD422" i="24"/>
  <c r="EF177" i="11"/>
  <c r="M57" i="2" s="1"/>
  <c r="W101" i="8"/>
  <c r="W102" i="8"/>
  <c r="E24" i="18"/>
  <c r="AS49" i="16" s="1"/>
  <c r="DE332" i="11"/>
  <c r="EE324" i="11"/>
  <c r="EE322" i="11"/>
  <c r="EE328" i="11"/>
  <c r="EE327" i="11"/>
  <c r="EE325" i="11"/>
  <c r="EE340" i="11"/>
  <c r="EE336" i="11"/>
  <c r="EE337" i="11"/>
  <c r="EE341" i="11"/>
  <c r="EE338" i="11"/>
  <c r="EE331" i="11"/>
  <c r="EE339" i="11"/>
  <c r="EE332" i="11"/>
  <c r="EE330" i="11"/>
  <c r="EE333" i="11"/>
  <c r="EE334" i="11"/>
  <c r="EE335" i="11"/>
  <c r="EE350" i="11"/>
  <c r="EE355" i="11"/>
  <c r="EE351" i="11"/>
  <c r="EE356" i="11"/>
  <c r="EE354" i="11"/>
  <c r="EE353" i="11"/>
  <c r="EE348" i="11"/>
  <c r="EE352" i="11"/>
  <c r="EE349" i="11"/>
  <c r="ED484" i="11"/>
  <c r="EG484" i="11" s="1"/>
  <c r="CD170" i="11"/>
  <c r="CD169" i="11"/>
  <c r="CD168" i="11"/>
  <c r="CD167" i="11"/>
  <c r="CD166" i="11"/>
  <c r="CD165" i="11"/>
  <c r="CD164" i="11"/>
  <c r="CD162" i="11"/>
  <c r="CD161" i="11"/>
  <c r="CD160" i="11"/>
  <c r="CD159" i="11"/>
  <c r="CD158" i="11"/>
  <c r="CD157" i="11"/>
  <c r="CD174" i="11"/>
  <c r="CD173" i="11"/>
  <c r="CD172" i="11"/>
  <c r="CD171" i="11"/>
  <c r="DD173" i="11"/>
  <c r="DD172" i="11"/>
  <c r="DD171" i="11"/>
  <c r="DD170" i="11"/>
  <c r="DD169" i="11"/>
  <c r="DD168" i="11"/>
  <c r="DD167" i="11"/>
  <c r="DD166" i="11"/>
  <c r="DD165" i="11"/>
  <c r="DD164" i="11"/>
  <c r="DD162" i="11"/>
  <c r="DD161" i="11"/>
  <c r="DD160" i="11"/>
  <c r="DD159" i="11"/>
  <c r="DD158" i="11"/>
  <c r="DD157" i="11"/>
  <c r="BD162" i="11"/>
  <c r="BD161" i="11"/>
  <c r="BD160" i="11"/>
  <c r="BD159" i="11"/>
  <c r="BD158" i="11"/>
  <c r="BD157" i="11"/>
  <c r="BD174" i="11"/>
  <c r="BD173" i="11"/>
  <c r="BD172" i="11"/>
  <c r="BD171" i="11"/>
  <c r="BD170" i="11"/>
  <c r="BD169" i="11"/>
  <c r="BD168" i="11"/>
  <c r="BD164" i="11"/>
  <c r="BD167" i="11"/>
  <c r="BD166" i="11"/>
  <c r="BD165" i="11"/>
  <c r="AC125" i="8"/>
  <c r="DJ186" i="11"/>
  <c r="DE355" i="11"/>
  <c r="DE353" i="11"/>
  <c r="DE333" i="11"/>
  <c r="DE334" i="11"/>
  <c r="DE335" i="11"/>
  <c r="DE336" i="11"/>
  <c r="DE337" i="11"/>
  <c r="DE338" i="11"/>
  <c r="DE339" i="11"/>
  <c r="CE330" i="11"/>
  <c r="CE339" i="11"/>
  <c r="CE338" i="11"/>
  <c r="CE337" i="11"/>
  <c r="CE336" i="11"/>
  <c r="CE335" i="11"/>
  <c r="DE354" i="11"/>
  <c r="CE352" i="11"/>
  <c r="CD186" i="11"/>
  <c r="CE349" i="11"/>
  <c r="BC91" i="11"/>
  <c r="BC157" i="11" s="1"/>
  <c r="DD486" i="11"/>
  <c r="DD487" i="11" s="1"/>
  <c r="DE356" i="11"/>
  <c r="CE186" i="11"/>
  <c r="CE350" i="11"/>
  <c r="DE330" i="11"/>
  <c r="DD135" i="11"/>
  <c r="CD486" i="11"/>
  <c r="D35" i="18"/>
  <c r="D18" i="21" s="1"/>
  <c r="BD186" i="11"/>
  <c r="CG186" i="11"/>
  <c r="BD152" i="11"/>
  <c r="BE152" i="11" s="1"/>
  <c r="BD486" i="11"/>
  <c r="AC1017" i="24"/>
  <c r="AC917" i="24"/>
  <c r="AD443" i="24"/>
  <c r="AC190" i="24" s="1"/>
  <c r="AG445" i="24"/>
  <c r="AH448" i="24" s="1"/>
  <c r="BC1717" i="24"/>
  <c r="BD451" i="24"/>
  <c r="BD452" i="24" s="1"/>
  <c r="BD449" i="24" s="1"/>
  <c r="BD421" i="24"/>
  <c r="AD451" i="24"/>
  <c r="C14" i="2"/>
  <c r="H14" i="2"/>
  <c r="C18" i="2"/>
  <c r="AB22" i="16" s="1"/>
  <c r="H18" i="2"/>
  <c r="H16" i="2"/>
  <c r="C16" i="2"/>
  <c r="C21" i="2"/>
  <c r="H21" i="2"/>
  <c r="H15" i="2"/>
  <c r="C15" i="2"/>
  <c r="H25" i="2"/>
  <c r="C25" i="2"/>
  <c r="AB24" i="16" s="1"/>
  <c r="C24" i="2"/>
  <c r="H24" i="2"/>
  <c r="H13" i="2"/>
  <c r="C13" i="2"/>
  <c r="AB21" i="16" s="1"/>
  <c r="C92" i="23"/>
  <c r="C27" i="2"/>
  <c r="H27" i="2"/>
  <c r="C26" i="2"/>
  <c r="H26" i="2"/>
  <c r="D92" i="23"/>
  <c r="H29" i="2"/>
  <c r="C29" i="2"/>
  <c r="C23" i="2"/>
  <c r="AB25" i="16" s="1"/>
  <c r="H23" i="2"/>
  <c r="C28" i="2"/>
  <c r="H28" i="2"/>
  <c r="C22" i="2"/>
  <c r="AB23" i="16" s="1"/>
  <c r="H22" i="2"/>
  <c r="C20" i="2"/>
  <c r="H20" i="2"/>
  <c r="C17" i="2"/>
  <c r="H17" i="2"/>
  <c r="BC917" i="24"/>
  <c r="C30" i="2"/>
  <c r="AB26" i="16" s="1"/>
  <c r="AC617" i="24"/>
  <c r="BC1117" i="24"/>
  <c r="BC617" i="24"/>
  <c r="BC1617" i="24"/>
  <c r="AC1417" i="24"/>
  <c r="AC1917" i="24"/>
  <c r="BC717" i="24"/>
  <c r="AC1517" i="24"/>
  <c r="AC1617" i="24"/>
  <c r="BC2217" i="24"/>
  <c r="BC1817" i="24"/>
  <c r="AC1117" i="24"/>
  <c r="AC1717" i="24"/>
  <c r="AC2217" i="24"/>
  <c r="BC2317" i="24"/>
  <c r="BC2017" i="24"/>
  <c r="AD125" i="8"/>
  <c r="C98" i="9"/>
  <c r="AD126" i="8"/>
  <c r="C85" i="9"/>
  <c r="D101" i="8"/>
  <c r="C135" i="8"/>
  <c r="D100" i="8"/>
  <c r="C89" i="9"/>
  <c r="C94" i="9"/>
  <c r="C97" i="9"/>
  <c r="C86" i="9"/>
  <c r="C90" i="9"/>
  <c r="AC126" i="8"/>
  <c r="M91" i="8"/>
  <c r="E95" i="8"/>
  <c r="C82" i="9"/>
  <c r="C92" i="9"/>
  <c r="C93" i="9"/>
  <c r="C96" i="9"/>
  <c r="C81" i="9"/>
  <c r="C91" i="9"/>
  <c r="C88" i="9"/>
  <c r="C95" i="9"/>
  <c r="C84" i="9"/>
  <c r="C83" i="9"/>
  <c r="DH186" i="11"/>
  <c r="BC25" i="11"/>
  <c r="AC115" i="8"/>
  <c r="AE115" i="8" s="1"/>
  <c r="DI186" i="11"/>
  <c r="CC313" i="11"/>
  <c r="CC131" i="11"/>
  <c r="BC110" i="11"/>
  <c r="CC129" i="11"/>
  <c r="D12" i="18" s="1"/>
  <c r="BC130" i="11"/>
  <c r="BC180" i="11" s="1"/>
  <c r="AE114" i="8"/>
  <c r="H30" i="2" s="1"/>
  <c r="DC110" i="11"/>
  <c r="DE162" i="11" s="1"/>
  <c r="Y102" i="8"/>
  <c r="Y100" i="8"/>
  <c r="Y101" i="8"/>
  <c r="N99" i="8"/>
  <c r="F95" i="8"/>
  <c r="T99" i="8"/>
  <c r="P99" i="8"/>
  <c r="Q99" i="8"/>
  <c r="O99" i="8"/>
  <c r="X99" i="8"/>
  <c r="R99" i="8"/>
  <c r="E86" i="8"/>
  <c r="E85" i="8"/>
  <c r="CI186" i="11"/>
  <c r="D33" i="18"/>
  <c r="D16" i="21" s="1"/>
  <c r="C100" i="8"/>
  <c r="C101" i="8"/>
  <c r="EC2210" i="11"/>
  <c r="EE2209" i="11"/>
  <c r="EC2710" i="11"/>
  <c r="EE2709" i="11"/>
  <c r="EC2410" i="11"/>
  <c r="EC2411" i="11" s="1"/>
  <c r="EE2409" i="11"/>
  <c r="EC3010" i="11"/>
  <c r="EC3011" i="11" s="1"/>
  <c r="EE3009" i="11"/>
  <c r="EE2309" i="11"/>
  <c r="EC2310" i="11"/>
  <c r="EC2311" i="11" s="1"/>
  <c r="EC610" i="11"/>
  <c r="EE609" i="11"/>
  <c r="EE3109" i="11"/>
  <c r="EC3110" i="11"/>
  <c r="EC3111" i="11" s="1"/>
  <c r="EE1409" i="11"/>
  <c r="EC1410" i="11"/>
  <c r="EC810" i="11"/>
  <c r="EE809" i="11"/>
  <c r="EC510" i="11"/>
  <c r="EC511" i="11" s="1"/>
  <c r="EE509" i="11"/>
  <c r="EE3209" i="11"/>
  <c r="EC3210" i="11"/>
  <c r="EC1210" i="11"/>
  <c r="EE1209" i="11"/>
  <c r="EC3410" i="11"/>
  <c r="EC3411" i="11" s="1"/>
  <c r="EE3409" i="11"/>
  <c r="EE2109" i="11"/>
  <c r="EC2110" i="11"/>
  <c r="EC2111" i="11" s="1"/>
  <c r="EC1110" i="11"/>
  <c r="EC1111" i="11" s="1"/>
  <c r="EE1109" i="11"/>
  <c r="EC1910" i="11"/>
  <c r="EC1911" i="11" s="1"/>
  <c r="EE1909" i="11"/>
  <c r="CC2709" i="11"/>
  <c r="CC2409" i="11"/>
  <c r="CC2909" i="11"/>
  <c r="CC3309" i="11"/>
  <c r="CC3009" i="11"/>
  <c r="CC1809" i="11"/>
  <c r="CC709" i="11"/>
  <c r="CC1109" i="11"/>
  <c r="CC2509" i="11"/>
  <c r="CC1509" i="11"/>
  <c r="CC509" i="11"/>
  <c r="CC3209" i="11"/>
  <c r="CC1309" i="11"/>
  <c r="CC1709" i="11"/>
  <c r="CC609" i="11"/>
  <c r="CC2809" i="11"/>
  <c r="CC3409" i="11"/>
  <c r="CC1609" i="11"/>
  <c r="CC2609" i="11"/>
  <c r="CC909" i="11"/>
  <c r="CC3109" i="11"/>
  <c r="CC2009" i="11"/>
  <c r="CC2109" i="11"/>
  <c r="CC2209" i="11"/>
  <c r="CC1909" i="11"/>
  <c r="CC2309" i="11"/>
  <c r="CC809" i="11"/>
  <c r="CC1209" i="11"/>
  <c r="CC1009" i="11"/>
  <c r="CC315" i="11"/>
  <c r="EE1609" i="11"/>
  <c r="EC1610" i="11"/>
  <c r="EC910" i="11"/>
  <c r="EC911" i="11" s="1"/>
  <c r="EE909" i="11"/>
  <c r="EE1009" i="11"/>
  <c r="EC1010" i="11"/>
  <c r="EC1011" i="11" s="1"/>
  <c r="EE1709" i="11"/>
  <c r="EC1710" i="11"/>
  <c r="EC1711" i="11" s="1"/>
  <c r="EC1310" i="11"/>
  <c r="EE1309" i="11"/>
  <c r="EC2010" i="11"/>
  <c r="EC2011" i="11" s="1"/>
  <c r="EE2009" i="11"/>
  <c r="EC2910" i="11"/>
  <c r="EC2911" i="11" s="1"/>
  <c r="EE2909" i="11"/>
  <c r="EE2809" i="11"/>
  <c r="EC2810" i="11"/>
  <c r="DC3209" i="11"/>
  <c r="DC2909" i="11"/>
  <c r="DC3009" i="11"/>
  <c r="DC2709" i="11"/>
  <c r="DC2609" i="11"/>
  <c r="DC2309" i="11"/>
  <c r="DC2809" i="11"/>
  <c r="DC2509" i="11"/>
  <c r="DC1609" i="11"/>
  <c r="DC509" i="11"/>
  <c r="DC1909" i="11"/>
  <c r="DC1709" i="11"/>
  <c r="DC2209" i="11"/>
  <c r="DC3109" i="11"/>
  <c r="DC2009" i="11"/>
  <c r="DC2109" i="11"/>
  <c r="DC1409" i="11"/>
  <c r="DC1509" i="11"/>
  <c r="DC315" i="11"/>
  <c r="DC1309" i="11"/>
  <c r="DC3309" i="11"/>
  <c r="DC3409" i="11"/>
  <c r="DC1809" i="11"/>
  <c r="DC2409" i="11"/>
  <c r="EC314" i="11"/>
  <c r="EE314" i="11" s="1"/>
  <c r="EC316" i="11"/>
  <c r="EC710" i="11"/>
  <c r="EE709" i="11"/>
  <c r="EE1509" i="11"/>
  <c r="EC1510" i="11"/>
  <c r="EC1511" i="11" s="1"/>
  <c r="EC1810" i="11"/>
  <c r="EC1811" i="11" s="1"/>
  <c r="EE1809" i="11"/>
  <c r="EE2509" i="11"/>
  <c r="EC2510" i="11"/>
  <c r="EC2511" i="11" s="1"/>
  <c r="EE2609" i="11"/>
  <c r="EC2610" i="11"/>
  <c r="EE3309" i="11"/>
  <c r="EC3310" i="11"/>
  <c r="EC3311" i="11" s="1"/>
  <c r="BE186" i="11"/>
  <c r="ED478" i="11" l="1"/>
  <c r="BC1509" i="11"/>
  <c r="BC315" i="11"/>
  <c r="BE329" i="11"/>
  <c r="BC176" i="11"/>
  <c r="CD135" i="11"/>
  <c r="CD136" i="11" s="1"/>
  <c r="BC1209" i="11"/>
  <c r="BE1209" i="11" s="1"/>
  <c r="BC1409" i="11"/>
  <c r="BE1409" i="11" s="1"/>
  <c r="BC1309" i="11"/>
  <c r="BC1310" i="11" s="1"/>
  <c r="BC1311" i="11" s="1"/>
  <c r="BC1109" i="11"/>
  <c r="BE1109" i="11" s="1"/>
  <c r="CE323" i="11"/>
  <c r="DD136" i="11"/>
  <c r="ED482" i="11"/>
  <c r="ED481" i="11"/>
  <c r="ED479" i="11"/>
  <c r="EG479" i="11" s="1"/>
  <c r="O203" i="2" s="1"/>
  <c r="BD136" i="11"/>
  <c r="BC136" i="11" s="1"/>
  <c r="ED494" i="11"/>
  <c r="DD478" i="11"/>
  <c r="DD482" i="11" s="1"/>
  <c r="CD478" i="11"/>
  <c r="CE321" i="11"/>
  <c r="DD484" i="11"/>
  <c r="CF186" i="11"/>
  <c r="CE351" i="11"/>
  <c r="CH186" i="11"/>
  <c r="CE353" i="11"/>
  <c r="CE324" i="11"/>
  <c r="CD487" i="11"/>
  <c r="CD484" i="11" s="1"/>
  <c r="D36" i="18"/>
  <c r="D19" i="21" s="1"/>
  <c r="CE162" i="11"/>
  <c r="BF186" i="11"/>
  <c r="BJ186" i="11" s="1"/>
  <c r="BC3409" i="11"/>
  <c r="BE3409" i="11" s="1"/>
  <c r="C85" i="18"/>
  <c r="BD487" i="11"/>
  <c r="BD484" i="11" s="1"/>
  <c r="BE162" i="11"/>
  <c r="BE180" i="11"/>
  <c r="BG180" i="11"/>
  <c r="BD180" i="11"/>
  <c r="BI180" i="11"/>
  <c r="BH180" i="11"/>
  <c r="BG449" i="24"/>
  <c r="O205" i="2" s="1"/>
  <c r="BD459" i="24"/>
  <c r="AD452" i="24"/>
  <c r="AD428" i="24"/>
  <c r="AD429" i="24"/>
  <c r="AD427" i="24"/>
  <c r="C31" i="2"/>
  <c r="H31" i="2"/>
  <c r="C32" i="2"/>
  <c r="AB27" i="16" s="1"/>
  <c r="AK68" i="16"/>
  <c r="AC355" i="24"/>
  <c r="AC356" i="24" s="1"/>
  <c r="AD423" i="24"/>
  <c r="AD424" i="24"/>
  <c r="AD426" i="24"/>
  <c r="AD425" i="24"/>
  <c r="D82" i="9"/>
  <c r="BE1509" i="11"/>
  <c r="BC3209" i="11"/>
  <c r="BE3209" i="11" s="1"/>
  <c r="BC2709" i="11"/>
  <c r="BC2710" i="11" s="1"/>
  <c r="BC2711" i="11" s="1"/>
  <c r="BC909" i="11"/>
  <c r="BC910" i="11" s="1"/>
  <c r="BC2009" i="11"/>
  <c r="BE2009" i="11" s="1"/>
  <c r="BC3009" i="11"/>
  <c r="BC3010" i="11" s="1"/>
  <c r="BC509" i="11"/>
  <c r="BE509" i="11" s="1"/>
  <c r="D94" i="9"/>
  <c r="BC1909" i="11"/>
  <c r="BC1910" i="11" s="1"/>
  <c r="BC1911" i="11" s="1"/>
  <c r="BC2409" i="11"/>
  <c r="BC2410" i="11" s="1"/>
  <c r="C99" i="9"/>
  <c r="C100" i="9" s="1"/>
  <c r="AC116" i="8"/>
  <c r="AE116" i="8" s="1"/>
  <c r="H32" i="2" s="1"/>
  <c r="BC809" i="11"/>
  <c r="BE809" i="11" s="1"/>
  <c r="BC1009" i="11"/>
  <c r="BE1009" i="11" s="1"/>
  <c r="BC3309" i="11"/>
  <c r="BE3309" i="11" s="1"/>
  <c r="D95" i="9"/>
  <c r="D96" i="9"/>
  <c r="D85" i="9"/>
  <c r="D97" i="9"/>
  <c r="D98" i="9"/>
  <c r="D92" i="9"/>
  <c r="D88" i="9"/>
  <c r="D84" i="9"/>
  <c r="BC2209" i="11"/>
  <c r="BE2209" i="11" s="1"/>
  <c r="BC2509" i="11"/>
  <c r="BE2509" i="11" s="1"/>
  <c r="BC609" i="11"/>
  <c r="BC610" i="11" s="1"/>
  <c r="BC611" i="11" s="1"/>
  <c r="BC1609" i="11"/>
  <c r="BE1609" i="11" s="1"/>
  <c r="BC1809" i="11"/>
  <c r="BC1810" i="11" s="1"/>
  <c r="BC2109" i="11"/>
  <c r="BC2110" i="11" s="1"/>
  <c r="BC2111" i="11" s="1"/>
  <c r="BC1709" i="11"/>
  <c r="BE1709" i="11" s="1"/>
  <c r="BC2309" i="11"/>
  <c r="BE2309" i="11" s="1"/>
  <c r="BC2609" i="11"/>
  <c r="BC2610" i="11" s="1"/>
  <c r="BC2909" i="11"/>
  <c r="BC2910" i="11" s="1"/>
  <c r="BC2911" i="11" s="1"/>
  <c r="BC314" i="11"/>
  <c r="BE314" i="11" s="1"/>
  <c r="BC2809" i="11"/>
  <c r="BC2810" i="11" s="1"/>
  <c r="BC2811" i="11" s="1"/>
  <c r="BC3109" i="11"/>
  <c r="BC3110" i="11" s="1"/>
  <c r="BC3111" i="11" s="1"/>
  <c r="BC709" i="11"/>
  <c r="BE709" i="11" s="1"/>
  <c r="D90" i="9"/>
  <c r="D93" i="9"/>
  <c r="D81" i="9"/>
  <c r="D83" i="9"/>
  <c r="D86" i="9"/>
  <c r="D89" i="9"/>
  <c r="D91" i="9"/>
  <c r="D32" i="18"/>
  <c r="C33" i="18"/>
  <c r="C16" i="21" s="1"/>
  <c r="BF180" i="11"/>
  <c r="R100" i="8"/>
  <c r="R102" i="8"/>
  <c r="R101" i="8"/>
  <c r="P100" i="8"/>
  <c r="P102" i="8"/>
  <c r="P101" i="8"/>
  <c r="T102" i="8"/>
  <c r="T100" i="8"/>
  <c r="T101" i="8"/>
  <c r="X102" i="8"/>
  <c r="X100" i="8"/>
  <c r="X101" i="8"/>
  <c r="O100" i="8"/>
  <c r="O102" i="8"/>
  <c r="O101" i="8"/>
  <c r="Q100" i="8"/>
  <c r="Q102" i="8"/>
  <c r="Q101" i="8"/>
  <c r="N100" i="8"/>
  <c r="N102" i="8"/>
  <c r="N101" i="8"/>
  <c r="I99" i="8"/>
  <c r="M99" i="8"/>
  <c r="K99" i="8"/>
  <c r="G99" i="8"/>
  <c r="E99" i="8"/>
  <c r="J99" i="8"/>
  <c r="L99" i="8"/>
  <c r="H99" i="8"/>
  <c r="F99" i="8"/>
  <c r="S99" i="8"/>
  <c r="EE2690" i="11"/>
  <c r="EE2610" i="11"/>
  <c r="EC2613" i="11"/>
  <c r="DC710" i="11"/>
  <c r="DE709" i="11"/>
  <c r="DC3410" i="11"/>
  <c r="DE3409" i="11"/>
  <c r="DC1210" i="11"/>
  <c r="DE1209" i="11"/>
  <c r="DE2109" i="11"/>
  <c r="DC2110" i="11"/>
  <c r="DC1110" i="11"/>
  <c r="DE1190" i="11" s="1"/>
  <c r="DE1109" i="11"/>
  <c r="DC1610" i="11"/>
  <c r="DC1611" i="11" s="1"/>
  <c r="DE1609" i="11"/>
  <c r="DC2610" i="11"/>
  <c r="DC2611" i="11" s="1"/>
  <c r="DE2609" i="11"/>
  <c r="DE3209" i="11"/>
  <c r="DC3210" i="11"/>
  <c r="EE1610" i="11"/>
  <c r="EE1690" i="11"/>
  <c r="EC1613" i="11"/>
  <c r="CC316" i="11"/>
  <c r="CC314" i="11"/>
  <c r="CE314" i="11" s="1"/>
  <c r="CE2309" i="11"/>
  <c r="CC2310" i="11"/>
  <c r="CC2311" i="11" s="1"/>
  <c r="CE2109" i="11"/>
  <c r="CC2110" i="11"/>
  <c r="CC2111" i="11" s="1"/>
  <c r="CC2610" i="11"/>
  <c r="CE2609" i="11"/>
  <c r="CC610" i="11"/>
  <c r="CE609" i="11"/>
  <c r="CE509" i="11"/>
  <c r="CC510" i="11"/>
  <c r="CC511" i="11" s="1"/>
  <c r="CE3009" i="11"/>
  <c r="CC3010" i="11"/>
  <c r="CC3011" i="11" s="1"/>
  <c r="CE2709" i="11"/>
  <c r="CC2710" i="11"/>
  <c r="CC2711" i="11" s="1"/>
  <c r="EC2213" i="11"/>
  <c r="EE2290" i="11"/>
  <c r="EE2210" i="11"/>
  <c r="EC3313" i="11"/>
  <c r="EC3324" i="11" s="1"/>
  <c r="EE3390" i="11"/>
  <c r="EE3310" i="11"/>
  <c r="EC1513" i="11"/>
  <c r="EC1524" i="11" s="1"/>
  <c r="EE1590" i="11"/>
  <c r="EE1510" i="11"/>
  <c r="EC713" i="11"/>
  <c r="EE710" i="11"/>
  <c r="EE790" i="11"/>
  <c r="DC2410" i="11"/>
  <c r="DC2411" i="11" s="1"/>
  <c r="DE2409" i="11"/>
  <c r="DE3309" i="11"/>
  <c r="DC3310" i="11"/>
  <c r="DC3311" i="11" s="1"/>
  <c r="DE1509" i="11"/>
  <c r="DC1510" i="11"/>
  <c r="DC910" i="11"/>
  <c r="DE909" i="11"/>
  <c r="DE2209" i="11"/>
  <c r="DC2210" i="11"/>
  <c r="DC2211" i="11" s="1"/>
  <c r="DC1010" i="11"/>
  <c r="DE1090" i="11" s="1"/>
  <c r="DE1009" i="11"/>
  <c r="DE2509" i="11"/>
  <c r="DC2510" i="11"/>
  <c r="DC2511" i="11" s="1"/>
  <c r="DE2709" i="11"/>
  <c r="DC2710" i="11"/>
  <c r="DC2711" i="11" s="1"/>
  <c r="EC1313" i="11"/>
  <c r="EE1390" i="11"/>
  <c r="EE1310" i="11"/>
  <c r="CE1009" i="11"/>
  <c r="CC1010" i="11"/>
  <c r="CE1909" i="11"/>
  <c r="CC1910" i="11"/>
  <c r="CC1911" i="11" s="1"/>
  <c r="CE2009" i="11"/>
  <c r="CC2010" i="11"/>
  <c r="CC2011" i="11" s="1"/>
  <c r="CC1610" i="11"/>
  <c r="CC1611" i="11" s="1"/>
  <c r="CE1609" i="11"/>
  <c r="CE1709" i="11"/>
  <c r="CC1710" i="11"/>
  <c r="CC1711" i="11" s="1"/>
  <c r="CE1509" i="11"/>
  <c r="CC1510" i="11"/>
  <c r="CE1109" i="11"/>
  <c r="CC1110" i="11"/>
  <c r="CE3309" i="11"/>
  <c r="CC3310" i="11"/>
  <c r="CC3311" i="11" s="1"/>
  <c r="EE1190" i="11"/>
  <c r="EE1110" i="11"/>
  <c r="EC1113" i="11"/>
  <c r="EC1124" i="11" s="1"/>
  <c r="EC1211" i="11"/>
  <c r="EE1290" i="11"/>
  <c r="EC1213" i="11"/>
  <c r="EE1210" i="11"/>
  <c r="EE890" i="11"/>
  <c r="EE810" i="11"/>
  <c r="EC813" i="11"/>
  <c r="EC1413" i="11"/>
  <c r="EE1410" i="11"/>
  <c r="EE1490" i="11"/>
  <c r="EC3113" i="11"/>
  <c r="EC3124" i="11" s="1"/>
  <c r="EE3190" i="11"/>
  <c r="EE3110" i="11"/>
  <c r="EC613" i="11"/>
  <c r="EE690" i="11"/>
  <c r="EE610" i="11"/>
  <c r="EC2713" i="11"/>
  <c r="EE2790" i="11"/>
  <c r="EE2710" i="11"/>
  <c r="DK186" i="11"/>
  <c r="DE1809" i="11"/>
  <c r="DC1810" i="11"/>
  <c r="DC1811" i="11" s="1"/>
  <c r="DE1309" i="11"/>
  <c r="DC1310" i="11"/>
  <c r="DC610" i="11"/>
  <c r="DC611" i="11" s="1"/>
  <c r="DE609" i="11"/>
  <c r="DC2010" i="11"/>
  <c r="DC2011" i="11" s="1"/>
  <c r="DE2009" i="11"/>
  <c r="DC810" i="11"/>
  <c r="DE890" i="11" s="1"/>
  <c r="DE809" i="11"/>
  <c r="DC1910" i="11"/>
  <c r="DE1909" i="11"/>
  <c r="DE2809" i="11"/>
  <c r="DC2810" i="11"/>
  <c r="DC2811" i="11" s="1"/>
  <c r="DE3009" i="11"/>
  <c r="DC3010" i="11"/>
  <c r="EE2810" i="11"/>
  <c r="EC2813" i="11"/>
  <c r="EE2890" i="11"/>
  <c r="EE2010" i="11"/>
  <c r="EE2090" i="11"/>
  <c r="EC2013" i="11"/>
  <c r="EC2024" i="11" s="1"/>
  <c r="EE1090" i="11"/>
  <c r="EE1010" i="11"/>
  <c r="EC1013" i="11"/>
  <c r="EC1024" i="11" s="1"/>
  <c r="EC913" i="11"/>
  <c r="EC924" i="11" s="1"/>
  <c r="EE990" i="11"/>
  <c r="EE910" i="11"/>
  <c r="CE1209" i="11"/>
  <c r="CC1210" i="11"/>
  <c r="CC1211" i="11" s="1"/>
  <c r="CE2209" i="11"/>
  <c r="CC2210" i="11"/>
  <c r="CE3109" i="11"/>
  <c r="CC3110" i="11"/>
  <c r="CC3111" i="11" s="1"/>
  <c r="CE3409" i="11"/>
  <c r="CC3410" i="11"/>
  <c r="CC1310" i="11"/>
  <c r="CE1309" i="11"/>
  <c r="CE1409" i="11"/>
  <c r="CC1410" i="11"/>
  <c r="CC710" i="11"/>
  <c r="CC711" i="11" s="1"/>
  <c r="CE709" i="11"/>
  <c r="CE2909" i="11"/>
  <c r="CC2910" i="11"/>
  <c r="EE1990" i="11"/>
  <c r="EE1910" i="11"/>
  <c r="EC1913" i="11"/>
  <c r="EC1924" i="11" s="1"/>
  <c r="EC3211" i="11"/>
  <c r="EC3213" i="11"/>
  <c r="EE3210" i="11"/>
  <c r="EE3290" i="11"/>
  <c r="EE590" i="11"/>
  <c r="EC513" i="11"/>
  <c r="EC524" i="11" s="1"/>
  <c r="EE510" i="11"/>
  <c r="EC1411" i="11"/>
  <c r="EC2413" i="11"/>
  <c r="EC2424" i="11" s="1"/>
  <c r="EE2410" i="11"/>
  <c r="EE2490" i="11"/>
  <c r="EC2211" i="11"/>
  <c r="EC2611" i="11"/>
  <c r="EC2513" i="11"/>
  <c r="EC2524" i="11" s="1"/>
  <c r="EE2590" i="11"/>
  <c r="EE2510" i="11"/>
  <c r="EE1890" i="11"/>
  <c r="EE1810" i="11"/>
  <c r="EC1813" i="11"/>
  <c r="EC1824" i="11" s="1"/>
  <c r="EC711" i="11"/>
  <c r="DC314" i="11"/>
  <c r="DE314" i="11" s="1"/>
  <c r="DC316" i="11"/>
  <c r="DE324" i="11"/>
  <c r="DE323" i="11"/>
  <c r="DC1410" i="11"/>
  <c r="DE1409" i="11"/>
  <c r="DE3109" i="11"/>
  <c r="DC3110" i="11"/>
  <c r="DE1709" i="11"/>
  <c r="DC1710" i="11"/>
  <c r="DC1711" i="11" s="1"/>
  <c r="DC510" i="11"/>
  <c r="DC511" i="11" s="1"/>
  <c r="DE509" i="11"/>
  <c r="DE2309" i="11"/>
  <c r="DC2310" i="11"/>
  <c r="DC2311" i="11" s="1"/>
  <c r="DC2910" i="11"/>
  <c r="DE2909" i="11"/>
  <c r="EC2811" i="11"/>
  <c r="EE2910" i="11"/>
  <c r="EC2913" i="11"/>
  <c r="EC2924" i="11" s="1"/>
  <c r="EE2990" i="11"/>
  <c r="EC1311" i="11"/>
  <c r="EC1713" i="11"/>
  <c r="EC1724" i="11" s="1"/>
  <c r="EE1790" i="11"/>
  <c r="EE1710" i="11"/>
  <c r="EC1611" i="11"/>
  <c r="CC810" i="11"/>
  <c r="CC811" i="11" s="1"/>
  <c r="CE809" i="11"/>
  <c r="CE909" i="11"/>
  <c r="CC910" i="11"/>
  <c r="CC911" i="11" s="1"/>
  <c r="CE2809" i="11"/>
  <c r="CC2810" i="11"/>
  <c r="CC2811" i="11" s="1"/>
  <c r="CC3210" i="11"/>
  <c r="CC3211" i="11" s="1"/>
  <c r="CE3209" i="11"/>
  <c r="CC2510" i="11"/>
  <c r="CC2511" i="11" s="1"/>
  <c r="CE2509" i="11"/>
  <c r="CE1809" i="11"/>
  <c r="CC1810" i="11"/>
  <c r="CC1811" i="11" s="1"/>
  <c r="CE2409" i="11"/>
  <c r="CC2410" i="11"/>
  <c r="CC2411" i="11" s="1"/>
  <c r="EE2110" i="11"/>
  <c r="EC2113" i="11"/>
  <c r="EC2124" i="11" s="1"/>
  <c r="EE2190" i="11"/>
  <c r="EE3490" i="11"/>
  <c r="EE3410" i="11"/>
  <c r="EC3413" i="11"/>
  <c r="EC3424" i="11" s="1"/>
  <c r="EC811" i="11"/>
  <c r="EC611" i="11"/>
  <c r="EE2390" i="11"/>
  <c r="EE2310" i="11"/>
  <c r="EC2313" i="11"/>
  <c r="EC2324" i="11" s="1"/>
  <c r="EE3090" i="11"/>
  <c r="EE3010" i="11"/>
  <c r="EC3013" i="11"/>
  <c r="EC3024" i="11" s="1"/>
  <c r="EC2711" i="11"/>
  <c r="C32" i="18"/>
  <c r="C15" i="21" s="1"/>
  <c r="BE324" i="11" l="1"/>
  <c r="BE321" i="11"/>
  <c r="D15" i="21"/>
  <c r="C65" i="9"/>
  <c r="G84" i="9" s="1"/>
  <c r="AH63" i="16"/>
  <c r="AH62" i="16"/>
  <c r="AK64" i="16"/>
  <c r="AH59" i="16"/>
  <c r="AK62" i="16"/>
  <c r="AK61" i="16"/>
  <c r="AH61" i="16"/>
  <c r="AK60" i="16"/>
  <c r="AC32" i="16" s="1"/>
  <c r="AH64" i="16"/>
  <c r="AH60" i="16"/>
  <c r="AK63" i="16"/>
  <c r="AK59" i="16"/>
  <c r="AK58" i="16"/>
  <c r="F48" i="1"/>
  <c r="E48" i="1" s="1"/>
  <c r="A28" i="16"/>
  <c r="AT39" i="16"/>
  <c r="AN42" i="16"/>
  <c r="AQ39" i="16"/>
  <c r="AN44" i="16"/>
  <c r="AN40" i="16"/>
  <c r="AN43" i="16"/>
  <c r="AN41" i="16"/>
  <c r="AN45" i="16"/>
  <c r="AR39" i="16"/>
  <c r="P216" i="2" a="1"/>
  <c r="P216" i="2" s="1"/>
  <c r="EG481" i="11"/>
  <c r="O204" i="2" s="1"/>
  <c r="BE323" i="11"/>
  <c r="BC316" i="11"/>
  <c r="BD492" i="11"/>
  <c r="DC1211" i="11"/>
  <c r="ED480" i="11"/>
  <c r="EG478" i="11" s="1"/>
  <c r="CC1411" i="11"/>
  <c r="CE1490" i="11"/>
  <c r="DC911" i="11"/>
  <c r="DE990" i="11"/>
  <c r="Q216" i="2" a="1"/>
  <c r="Q220" i="2" s="1"/>
  <c r="CL186" i="11"/>
  <c r="DD480" i="11"/>
  <c r="DG478" i="11" s="1"/>
  <c r="N202" i="2" s="1"/>
  <c r="C72" i="18"/>
  <c r="BC1010" i="11"/>
  <c r="BC1011" i="11" s="1"/>
  <c r="ED456" i="11"/>
  <c r="BC3410" i="11"/>
  <c r="BC3411" i="11" s="1"/>
  <c r="DG484" i="11"/>
  <c r="DD494" i="11"/>
  <c r="M203" i="2"/>
  <c r="CD482" i="11"/>
  <c r="CD480" i="11"/>
  <c r="CG478" i="11" s="1"/>
  <c r="M202" i="2" s="1"/>
  <c r="CD494" i="11"/>
  <c r="CG484" i="11"/>
  <c r="BE327" i="11"/>
  <c r="BE341" i="11"/>
  <c r="BE340" i="11"/>
  <c r="BE353" i="11"/>
  <c r="BE354" i="11"/>
  <c r="BE348" i="11"/>
  <c r="BE352" i="11"/>
  <c r="BE350" i="11"/>
  <c r="BE332" i="11"/>
  <c r="BE331" i="11"/>
  <c r="BE333" i="11"/>
  <c r="BE349" i="11"/>
  <c r="BE330" i="11"/>
  <c r="BE334" i="11"/>
  <c r="BE335" i="11"/>
  <c r="BE336" i="11"/>
  <c r="BE337" i="11"/>
  <c r="BE338" i="11"/>
  <c r="BE339" i="11"/>
  <c r="BE351" i="11"/>
  <c r="BG484" i="11"/>
  <c r="BD494" i="11"/>
  <c r="C71" i="18"/>
  <c r="H40" i="1"/>
  <c r="C66" i="9"/>
  <c r="BC3210" i="11"/>
  <c r="BC3211" i="11" s="1"/>
  <c r="AD453" i="24"/>
  <c r="AD450" i="24" s="1"/>
  <c r="AG450" i="24" s="1"/>
  <c r="AD421" i="24"/>
  <c r="AD431" i="24" s="1"/>
  <c r="AD433" i="24" s="1"/>
  <c r="BC1510" i="11"/>
  <c r="BC1511" i="11" s="1"/>
  <c r="BC710" i="11"/>
  <c r="BC711" i="11" s="1"/>
  <c r="BC510" i="11"/>
  <c r="BE510" i="11" s="1"/>
  <c r="BC2210" i="11"/>
  <c r="BC2211" i="11" s="1"/>
  <c r="BE2709" i="11"/>
  <c r="BE3009" i="11"/>
  <c r="BC1110" i="11"/>
  <c r="BC1111" i="11" s="1"/>
  <c r="BE1309" i="11"/>
  <c r="BC1410" i="11"/>
  <c r="BC1411" i="11" s="1"/>
  <c r="BC2310" i="11"/>
  <c r="BE2390" i="11" s="1"/>
  <c r="BC2510" i="11"/>
  <c r="BE2590" i="11" s="1"/>
  <c r="BE2409" i="11"/>
  <c r="BC1710" i="11"/>
  <c r="BE1710" i="11" s="1"/>
  <c r="BE1909" i="11"/>
  <c r="BC1210" i="11"/>
  <c r="BC1211" i="11" s="1"/>
  <c r="BE2609" i="11"/>
  <c r="BC2010" i="11"/>
  <c r="BC2011" i="11" s="1"/>
  <c r="BE609" i="11"/>
  <c r="BE909" i="11"/>
  <c r="BC3310" i="11"/>
  <c r="BC3311" i="11" s="1"/>
  <c r="BC810" i="11"/>
  <c r="BE890" i="11" s="1"/>
  <c r="BE2909" i="11"/>
  <c r="BE3109" i="11"/>
  <c r="BE1809" i="11"/>
  <c r="BC1610" i="11"/>
  <c r="BC1611" i="11" s="1"/>
  <c r="D99" i="9"/>
  <c r="D100" i="9" s="1"/>
  <c r="BE2809" i="11"/>
  <c r="BE2109" i="11"/>
  <c r="D31" i="18"/>
  <c r="D14" i="21" s="1"/>
  <c r="H48" i="1"/>
  <c r="S102" i="8"/>
  <c r="S100" i="8"/>
  <c r="S101" i="8"/>
  <c r="F102" i="8"/>
  <c r="F100" i="8"/>
  <c r="F101" i="8"/>
  <c r="H100" i="8"/>
  <c r="H102" i="8"/>
  <c r="H101" i="8"/>
  <c r="L100" i="8"/>
  <c r="L102" i="8"/>
  <c r="L101" i="8"/>
  <c r="J100" i="8"/>
  <c r="J102" i="8"/>
  <c r="J101" i="8"/>
  <c r="E102" i="8"/>
  <c r="E100" i="8"/>
  <c r="E101" i="8"/>
  <c r="G100" i="8"/>
  <c r="G102" i="8"/>
  <c r="G101" i="8"/>
  <c r="K102" i="8"/>
  <c r="K100" i="8"/>
  <c r="K101" i="8"/>
  <c r="M102" i="8"/>
  <c r="M100" i="8"/>
  <c r="M101" i="8"/>
  <c r="I100" i="8"/>
  <c r="I102" i="8"/>
  <c r="I101" i="8"/>
  <c r="AS39" i="16"/>
  <c r="E81" i="18"/>
  <c r="EC3224" i="11"/>
  <c r="DC1413" i="11"/>
  <c r="DE1410" i="11"/>
  <c r="DE1490" i="11"/>
  <c r="DC813" i="11"/>
  <c r="DE810" i="11"/>
  <c r="DE1390" i="11"/>
  <c r="DE1310" i="11"/>
  <c r="DC1313" i="11"/>
  <c r="EC2724" i="11"/>
  <c r="CE1190" i="11"/>
  <c r="CE1110" i="11"/>
  <c r="CC1113" i="11"/>
  <c r="CC1513" i="11"/>
  <c r="CE1590" i="11"/>
  <c r="CE1510" i="11"/>
  <c r="DC1013" i="11"/>
  <c r="DE1010" i="11"/>
  <c r="DE1590" i="11"/>
  <c r="DE1510" i="11"/>
  <c r="DC1513" i="11"/>
  <c r="BE990" i="11"/>
  <c r="BE910" i="11"/>
  <c r="BC913" i="11"/>
  <c r="BE1890" i="11"/>
  <c r="BC1813" i="11"/>
  <c r="BE1810" i="11"/>
  <c r="BE3090" i="11"/>
  <c r="BE3010" i="11"/>
  <c r="BC3013" i="11"/>
  <c r="CE610" i="11"/>
  <c r="CE690" i="11"/>
  <c r="CC613" i="11"/>
  <c r="CE2610" i="11"/>
  <c r="CC2613" i="11"/>
  <c r="CE2690" i="11"/>
  <c r="EC1624" i="11"/>
  <c r="DE1110" i="11"/>
  <c r="DC1113" i="11"/>
  <c r="DC713" i="11"/>
  <c r="DE710" i="11"/>
  <c r="DE790" i="11"/>
  <c r="DE3110" i="11"/>
  <c r="DE3190" i="11"/>
  <c r="DC3113" i="11"/>
  <c r="BC2413" i="11"/>
  <c r="BE2490" i="11"/>
  <c r="BE2410" i="11"/>
  <c r="CC2213" i="11"/>
  <c r="CE2290" i="11"/>
  <c r="CE2210" i="11"/>
  <c r="BE1390" i="11"/>
  <c r="BE1310" i="11"/>
  <c r="BC1313" i="11"/>
  <c r="BC1324" i="11" s="1"/>
  <c r="CE3290" i="11"/>
  <c r="CE3210" i="11"/>
  <c r="CC3213" i="11"/>
  <c r="CC3224" i="11" s="1"/>
  <c r="DC2911" i="11"/>
  <c r="DE2990" i="11"/>
  <c r="DC2913" i="11"/>
  <c r="DE2910" i="11"/>
  <c r="DE1790" i="11"/>
  <c r="DC1713" i="11"/>
  <c r="DC1724" i="11" s="1"/>
  <c r="DE1710" i="11"/>
  <c r="BC3113" i="11"/>
  <c r="BC3124" i="11" s="1"/>
  <c r="BE3190" i="11"/>
  <c r="BE3110" i="11"/>
  <c r="CE1410" i="11"/>
  <c r="CC1413" i="11"/>
  <c r="CE1310" i="11"/>
  <c r="CE1390" i="11"/>
  <c r="CC1313" i="11"/>
  <c r="CE3190" i="11"/>
  <c r="CE3110" i="11"/>
  <c r="CC3113" i="11"/>
  <c r="CC3124" i="11" s="1"/>
  <c r="DE3090" i="11"/>
  <c r="DC3013" i="11"/>
  <c r="DE3010" i="11"/>
  <c r="DC2813" i="11"/>
  <c r="DC2824" i="11" s="1"/>
  <c r="DE2810" i="11"/>
  <c r="DE2890" i="11"/>
  <c r="DE1990" i="11"/>
  <c r="DE1910" i="11"/>
  <c r="DC1913" i="11"/>
  <c r="BC2613" i="11"/>
  <c r="BE2690" i="11"/>
  <c r="BE2610" i="11"/>
  <c r="EC1424" i="11"/>
  <c r="CC1111" i="11"/>
  <c r="CC2013" i="11"/>
  <c r="CC2024" i="11" s="1"/>
  <c r="CE2090" i="11"/>
  <c r="CE2010" i="11"/>
  <c r="DE2790" i="11"/>
  <c r="DE2710" i="11"/>
  <c r="DC2713" i="11"/>
  <c r="DC2724" i="11" s="1"/>
  <c r="EC2224" i="11"/>
  <c r="CE590" i="11"/>
  <c r="CE510" i="11"/>
  <c r="CC513" i="11"/>
  <c r="CC524" i="11" s="1"/>
  <c r="CC611" i="11"/>
  <c r="CE2390" i="11"/>
  <c r="CC2313" i="11"/>
  <c r="CC2324" i="11" s="1"/>
  <c r="CE2310" i="11"/>
  <c r="DE3290" i="11"/>
  <c r="DE3210" i="11"/>
  <c r="DC3213" i="11"/>
  <c r="DE1610" i="11"/>
  <c r="DE1690" i="11"/>
  <c r="DC1613" i="11"/>
  <c r="DC1624" i="11" s="1"/>
  <c r="DC2113" i="11"/>
  <c r="DE2190" i="11"/>
  <c r="DE2110" i="11"/>
  <c r="DE3410" i="11"/>
  <c r="DE3490" i="11"/>
  <c r="DC3413" i="11"/>
  <c r="EC2624" i="11"/>
  <c r="BE610" i="11"/>
  <c r="BC613" i="11"/>
  <c r="BC624" i="11" s="1"/>
  <c r="BE690" i="11"/>
  <c r="CE1810" i="11"/>
  <c r="CE1890" i="11"/>
  <c r="CC1813" i="11"/>
  <c r="CC1824" i="11" s="1"/>
  <c r="CC2513" i="11"/>
  <c r="CC2524" i="11" s="1"/>
  <c r="CE2590" i="11"/>
  <c r="CE2510" i="11"/>
  <c r="CC913" i="11"/>
  <c r="CC924" i="11" s="1"/>
  <c r="CE910" i="11"/>
  <c r="CE990" i="11"/>
  <c r="CC813" i="11"/>
  <c r="CC824" i="11" s="1"/>
  <c r="CE890" i="11"/>
  <c r="CE810" i="11"/>
  <c r="DC2313" i="11"/>
  <c r="DC2324" i="11" s="1"/>
  <c r="DE2390" i="11"/>
  <c r="DE2310" i="11"/>
  <c r="DC1411" i="11"/>
  <c r="BE2790" i="11"/>
  <c r="BE2710" i="11"/>
  <c r="BC2713" i="11"/>
  <c r="BC2724" i="11" s="1"/>
  <c r="BC2411" i="11"/>
  <c r="CC3411" i="11"/>
  <c r="CE3410" i="11"/>
  <c r="CC3413" i="11"/>
  <c r="CE3490" i="11"/>
  <c r="CE1290" i="11"/>
  <c r="CE1210" i="11"/>
  <c r="CC1213" i="11"/>
  <c r="CC1224" i="11" s="1"/>
  <c r="DC3011" i="11"/>
  <c r="DC811" i="11"/>
  <c r="DE690" i="11"/>
  <c r="DC613" i="11"/>
  <c r="DC624" i="11" s="1"/>
  <c r="DE610" i="11"/>
  <c r="DE1810" i="11"/>
  <c r="DE1890" i="11"/>
  <c r="DC1813" i="11"/>
  <c r="DC1824" i="11" s="1"/>
  <c r="CE3390" i="11"/>
  <c r="CE3310" i="11"/>
  <c r="CC3313" i="11"/>
  <c r="CC3324" i="11" s="1"/>
  <c r="CC1011" i="11"/>
  <c r="CE1090" i="11"/>
  <c r="CC1013" i="11"/>
  <c r="CE1010" i="11"/>
  <c r="EC1324" i="11"/>
  <c r="DC1011" i="11"/>
  <c r="DE2210" i="11"/>
  <c r="DC2213" i="11"/>
  <c r="DC2224" i="11" s="1"/>
  <c r="DE2290" i="11"/>
  <c r="DE910" i="11"/>
  <c r="DC913" i="11"/>
  <c r="EC724" i="11"/>
  <c r="BC3011" i="11"/>
  <c r="CC3013" i="11"/>
  <c r="CC3024" i="11" s="1"/>
  <c r="CE3090" i="11"/>
  <c r="CE3010" i="11"/>
  <c r="CC2611" i="11"/>
  <c r="CC2113" i="11"/>
  <c r="CC2124" i="11" s="1"/>
  <c r="CE2190" i="11"/>
  <c r="CE2110" i="11"/>
  <c r="DC3211" i="11"/>
  <c r="DE2690" i="11"/>
  <c r="DE2610" i="11"/>
  <c r="DC2613" i="11"/>
  <c r="DC2624" i="11" s="1"/>
  <c r="DC1111" i="11"/>
  <c r="DC2111" i="11"/>
  <c r="DC1213" i="11"/>
  <c r="DE1210" i="11"/>
  <c r="DE1290" i="11" s="1"/>
  <c r="DC711" i="11"/>
  <c r="CE2490" i="11"/>
  <c r="CC2413" i="11"/>
  <c r="CC2424" i="11" s="1"/>
  <c r="CE2410" i="11"/>
  <c r="CC2813" i="11"/>
  <c r="CC2824" i="11" s="1"/>
  <c r="CE2810" i="11"/>
  <c r="CE2890" i="11"/>
  <c r="DE590" i="11"/>
  <c r="DE510" i="11"/>
  <c r="DC513" i="11"/>
  <c r="DC524" i="11" s="1"/>
  <c r="DC3111" i="11"/>
  <c r="BE2810" i="11"/>
  <c r="BE2890" i="11"/>
  <c r="BC2813" i="11"/>
  <c r="BC2824" i="11" s="1"/>
  <c r="CC2911" i="11"/>
  <c r="CC2913" i="11"/>
  <c r="CE2990" i="11"/>
  <c r="CE2910" i="11"/>
  <c r="CE790" i="11"/>
  <c r="CC713" i="11"/>
  <c r="CC724" i="11" s="1"/>
  <c r="CE710" i="11"/>
  <c r="CC1311" i="11"/>
  <c r="CC2211" i="11"/>
  <c r="EC2824" i="11"/>
  <c r="DC1911" i="11"/>
  <c r="DE2010" i="11"/>
  <c r="DE2090" i="11"/>
  <c r="DC2013" i="11"/>
  <c r="DC2024" i="11" s="1"/>
  <c r="DC1311" i="11"/>
  <c r="BE2990" i="11"/>
  <c r="BE2910" i="11"/>
  <c r="BC2913" i="11"/>
  <c r="BC2924" i="11" s="1"/>
  <c r="BC2611" i="11"/>
  <c r="BC1913" i="11"/>
  <c r="BC1924" i="11" s="1"/>
  <c r="BE1990" i="11"/>
  <c r="BE1910" i="11"/>
  <c r="EC624" i="11"/>
  <c r="EC824" i="11"/>
  <c r="EC1224" i="11"/>
  <c r="CC1511" i="11"/>
  <c r="CE1710" i="11"/>
  <c r="CC1713" i="11"/>
  <c r="CC1724" i="11" s="1"/>
  <c r="CE1790" i="11"/>
  <c r="CE1610" i="11"/>
  <c r="CE1690" i="11"/>
  <c r="CC1613" i="11"/>
  <c r="CC1624" i="11" s="1"/>
  <c r="CE1910" i="11"/>
  <c r="CE1990" i="11"/>
  <c r="CC1913" i="11"/>
  <c r="CC1924" i="11" s="1"/>
  <c r="DC2513" i="11"/>
  <c r="DC2524" i="11" s="1"/>
  <c r="DE2510" i="11"/>
  <c r="DE2590" i="11"/>
  <c r="DC1511" i="11"/>
  <c r="DE3310" i="11"/>
  <c r="DC3313" i="11"/>
  <c r="DC3324" i="11" s="1"/>
  <c r="DE3390" i="11"/>
  <c r="DE2490" i="11"/>
  <c r="DC2413" i="11"/>
  <c r="DC2424" i="11" s="1"/>
  <c r="DE2410" i="11"/>
  <c r="BC911" i="11"/>
  <c r="BE2110" i="11"/>
  <c r="BC2113" i="11"/>
  <c r="BC2124" i="11" s="1"/>
  <c r="BE2190" i="11"/>
  <c r="BC1811" i="11"/>
  <c r="CE2710" i="11"/>
  <c r="CE2790" i="11"/>
  <c r="CC2713" i="11"/>
  <c r="CC2724" i="11" s="1"/>
  <c r="DC3411" i="11"/>
  <c r="D8" i="21"/>
  <c r="CB21" i="21" s="1"/>
  <c r="B249" i="19"/>
  <c r="B251" i="19" s="1"/>
  <c r="B253" i="19" s="1"/>
  <c r="B254" i="19" s="1"/>
  <c r="H41" i="1"/>
  <c r="O202" i="2" l="1"/>
  <c r="ED477" i="11"/>
  <c r="EC194" i="11" s="1"/>
  <c r="BD478" i="11"/>
  <c r="BD479" i="11"/>
  <c r="BG479" i="11" s="1"/>
  <c r="L205" i="2"/>
  <c r="AB98" i="15"/>
  <c r="AC98" i="15" s="1"/>
  <c r="DC1224" i="11"/>
  <c r="N205" i="2"/>
  <c r="M205" i="2"/>
  <c r="BC3213" i="11"/>
  <c r="BC3224" i="11" s="1"/>
  <c r="P222" i="2"/>
  <c r="P218" i="2"/>
  <c r="P221" i="2"/>
  <c r="P219" i="2"/>
  <c r="P220" i="2"/>
  <c r="P217" i="2"/>
  <c r="EH482" i="11"/>
  <c r="DC924" i="11"/>
  <c r="BC3413" i="11"/>
  <c r="BC3424" i="11" s="1"/>
  <c r="BE3410" i="11"/>
  <c r="BE3490" i="11"/>
  <c r="CC1424" i="11"/>
  <c r="CD492" i="11"/>
  <c r="BE1010" i="11"/>
  <c r="BE1090" i="11"/>
  <c r="BC1013" i="11"/>
  <c r="BC1024" i="11" s="1"/>
  <c r="Q219" i="2"/>
  <c r="Q224" i="2"/>
  <c r="G88" i="9"/>
  <c r="G94" i="9"/>
  <c r="Q222" i="2"/>
  <c r="G85" i="9"/>
  <c r="C74" i="9"/>
  <c r="Q216" i="2"/>
  <c r="G93" i="9"/>
  <c r="G92" i="9"/>
  <c r="G96" i="9"/>
  <c r="G95" i="9"/>
  <c r="Q223" i="2"/>
  <c r="G91" i="9"/>
  <c r="G81" i="9"/>
  <c r="Q218" i="2"/>
  <c r="G90" i="9"/>
  <c r="G89" i="9"/>
  <c r="Q217" i="2"/>
  <c r="G97" i="9"/>
  <c r="G82" i="9"/>
  <c r="G98" i="9"/>
  <c r="Q221" i="2"/>
  <c r="BE3290" i="11"/>
  <c r="G86" i="9"/>
  <c r="G83" i="9"/>
  <c r="BE1510" i="11"/>
  <c r="ED463" i="11"/>
  <c r="ED461" i="11"/>
  <c r="ED457" i="11"/>
  <c r="ED459" i="11"/>
  <c r="ED458" i="11"/>
  <c r="ED460" i="11"/>
  <c r="ED462" i="11"/>
  <c r="BE2290" i="11"/>
  <c r="BE2210" i="11"/>
  <c r="BC2213" i="11"/>
  <c r="BC2224" i="11" s="1"/>
  <c r="BC713" i="11"/>
  <c r="BC724" i="11" s="1"/>
  <c r="BE1590" i="11"/>
  <c r="BC513" i="11"/>
  <c r="BC511" i="11"/>
  <c r="DD456" i="11"/>
  <c r="CD456" i="11"/>
  <c r="BE710" i="11"/>
  <c r="BE790" i="11"/>
  <c r="BE3210" i="11"/>
  <c r="BE590" i="11"/>
  <c r="BC1413" i="11"/>
  <c r="BC1424" i="11" s="1"/>
  <c r="BC1513" i="11"/>
  <c r="BC1524" i="11" s="1"/>
  <c r="BC3313" i="11"/>
  <c r="BC3324" i="11" s="1"/>
  <c r="BE3390" i="11"/>
  <c r="BC2313" i="11"/>
  <c r="BC2311" i="11"/>
  <c r="BE2310" i="11"/>
  <c r="BE1490" i="11"/>
  <c r="BC2013" i="11"/>
  <c r="BC2024" i="11" s="1"/>
  <c r="BE2090" i="11"/>
  <c r="AD460" i="24"/>
  <c r="AD454" i="24"/>
  <c r="AD455" i="24"/>
  <c r="AD461" i="24"/>
  <c r="AD456" i="24"/>
  <c r="AD435" i="24"/>
  <c r="AD420" i="24" s="1"/>
  <c r="BE1210" i="11"/>
  <c r="BC1213" i="11"/>
  <c r="BC1224" i="11" s="1"/>
  <c r="BE1410" i="11"/>
  <c r="BC1713" i="11"/>
  <c r="BE2510" i="11"/>
  <c r="BE2010" i="11"/>
  <c r="BE1110" i="11"/>
  <c r="BC1711" i="11"/>
  <c r="BE1190" i="11"/>
  <c r="BC1113" i="11"/>
  <c r="BC1124" i="11" s="1"/>
  <c r="BE810" i="11"/>
  <c r="BE1790" i="11"/>
  <c r="BC2511" i="11"/>
  <c r="BC2513" i="11"/>
  <c r="BE1290" i="11"/>
  <c r="BC811" i="11"/>
  <c r="BE3310" i="11"/>
  <c r="BE1690" i="11"/>
  <c r="BC1613" i="11"/>
  <c r="BC1624" i="11" s="1"/>
  <c r="BE1610" i="11"/>
  <c r="BC813" i="11"/>
  <c r="F49" i="1"/>
  <c r="E49" i="1" s="1"/>
  <c r="H53" i="1" s="1"/>
  <c r="AC8" i="15"/>
  <c r="H89" i="9" s="1"/>
  <c r="C115" i="8"/>
  <c r="AE21" i="21"/>
  <c r="AF21" i="21" s="1"/>
  <c r="AV102" i="15"/>
  <c r="AV104" i="15" s="1"/>
  <c r="AU102" i="15"/>
  <c r="AU104" i="15" s="1"/>
  <c r="AY102" i="15"/>
  <c r="AY104" i="15" s="1"/>
  <c r="AC140" i="8"/>
  <c r="DC2924" i="11"/>
  <c r="BB21" i="21"/>
  <c r="AN31" i="16" s="1"/>
  <c r="DB21" i="21"/>
  <c r="DD21" i="21" s="1"/>
  <c r="CC3424" i="11"/>
  <c r="CC2924" i="11"/>
  <c r="DC2124" i="11"/>
  <c r="DC3224" i="11"/>
  <c r="CC2224" i="11"/>
  <c r="DC3124" i="11"/>
  <c r="DC724" i="11"/>
  <c r="CC624" i="11"/>
  <c r="DC1524" i="11"/>
  <c r="DC1024" i="11"/>
  <c r="CC1524" i="11"/>
  <c r="DC1324" i="11"/>
  <c r="DC824" i="11"/>
  <c r="DC1424" i="11"/>
  <c r="CC1024" i="11"/>
  <c r="DC1124" i="11"/>
  <c r="BC924" i="11"/>
  <c r="CC1124" i="11"/>
  <c r="DC3024" i="11"/>
  <c r="CC2624" i="11"/>
  <c r="DC3424" i="11"/>
  <c r="BC2624" i="11"/>
  <c r="DC1924" i="11"/>
  <c r="CC1324" i="11"/>
  <c r="BC2424" i="11"/>
  <c r="BC3024" i="11"/>
  <c r="BC1824" i="11"/>
  <c r="EB21" i="21"/>
  <c r="EC21" i="21" s="1"/>
  <c r="AB21" i="21"/>
  <c r="AD21" i="21" s="1"/>
  <c r="EE21" i="21"/>
  <c r="B266" i="19"/>
  <c r="B259" i="19"/>
  <c r="B261" i="19" s="1"/>
  <c r="CE21" i="21"/>
  <c r="DE21" i="21"/>
  <c r="BE21" i="21"/>
  <c r="FB21" i="21"/>
  <c r="CB23" i="21"/>
  <c r="FE22" i="21"/>
  <c r="DH22" i="21"/>
  <c r="FH22" i="21"/>
  <c r="BH21" i="21"/>
  <c r="CH22" i="21"/>
  <c r="EB23" i="21"/>
  <c r="EH21" i="21"/>
  <c r="EH23" i="21"/>
  <c r="BC110" i="21"/>
  <c r="BF488" i="21" s="1"/>
  <c r="CC110" i="21"/>
  <c r="AH22" i="21"/>
  <c r="CH21" i="21"/>
  <c r="BB23" i="21"/>
  <c r="BH23" i="21"/>
  <c r="AB23" i="21"/>
  <c r="AE23" i="21"/>
  <c r="DH21" i="21"/>
  <c r="CE23" i="21"/>
  <c r="EH22" i="21"/>
  <c r="FH21" i="21"/>
  <c r="BE23" i="21"/>
  <c r="DC110" i="21"/>
  <c r="DE23" i="21"/>
  <c r="CH23" i="21"/>
  <c r="AC110" i="21"/>
  <c r="EC110" i="21"/>
  <c r="EE23" i="21"/>
  <c r="DH23" i="21"/>
  <c r="BH22" i="21"/>
  <c r="FC110" i="21"/>
  <c r="DB23" i="21"/>
  <c r="AH21" i="21"/>
  <c r="AH23" i="21"/>
  <c r="CE22" i="21"/>
  <c r="AE22" i="21"/>
  <c r="BE22" i="21"/>
  <c r="BE24" i="21"/>
  <c r="EE22" i="21"/>
  <c r="CE24" i="21"/>
  <c r="AB22" i="21"/>
  <c r="BB22" i="21"/>
  <c r="AE24" i="21"/>
  <c r="DB22" i="21"/>
  <c r="DE24" i="21"/>
  <c r="EB22" i="21"/>
  <c r="CB22" i="21"/>
  <c r="DE22" i="21"/>
  <c r="FE21" i="21"/>
  <c r="A3" i="16" l="1"/>
  <c r="G99" i="9"/>
  <c r="G100" i="9" s="1"/>
  <c r="I89" i="9"/>
  <c r="BC524" i="11"/>
  <c r="ED455" i="11"/>
  <c r="BC2324" i="11"/>
  <c r="DD463" i="11"/>
  <c r="DD457" i="11"/>
  <c r="DD458" i="11"/>
  <c r="DD459" i="11"/>
  <c r="DD460" i="11"/>
  <c r="DD461" i="11"/>
  <c r="DD462" i="11"/>
  <c r="CD463" i="11"/>
  <c r="CD461" i="11"/>
  <c r="CD457" i="11"/>
  <c r="CD462" i="11"/>
  <c r="CD458" i="11"/>
  <c r="CD459" i="11"/>
  <c r="CD460" i="11"/>
  <c r="BD456" i="11"/>
  <c r="BD482" i="11"/>
  <c r="BD480" i="11"/>
  <c r="BG478" i="11" s="1"/>
  <c r="AC188" i="24"/>
  <c r="AD467" i="24"/>
  <c r="AF457" i="24"/>
  <c r="AG454" i="24"/>
  <c r="H52" i="1"/>
  <c r="BC2524" i="11"/>
  <c r="AF438" i="24"/>
  <c r="AD464" i="24"/>
  <c r="BC1724" i="11"/>
  <c r="BC824" i="11"/>
  <c r="AC11" i="15"/>
  <c r="H49" i="1"/>
  <c r="AG21" i="21"/>
  <c r="AU31" i="16"/>
  <c r="H88" i="9"/>
  <c r="H90" i="9"/>
  <c r="H96" i="9"/>
  <c r="H82" i="9"/>
  <c r="H94" i="9"/>
  <c r="H92" i="9"/>
  <c r="H83" i="9"/>
  <c r="H91" i="9"/>
  <c r="H93" i="9"/>
  <c r="H98" i="9"/>
  <c r="AU103" i="15"/>
  <c r="AU105" i="15"/>
  <c r="H86" i="9"/>
  <c r="AY103" i="15"/>
  <c r="AY105" i="15"/>
  <c r="H85" i="9"/>
  <c r="H81" i="9"/>
  <c r="C75" i="9"/>
  <c r="C76" i="9" s="1"/>
  <c r="C37" i="2" s="1"/>
  <c r="AV103" i="15"/>
  <c r="AV105" i="15"/>
  <c r="H84" i="9"/>
  <c r="H95" i="9"/>
  <c r="H97" i="9"/>
  <c r="AI98" i="15"/>
  <c r="AW102" i="15" s="1"/>
  <c r="AW104" i="15" s="1"/>
  <c r="AD98" i="15"/>
  <c r="AH98" i="15"/>
  <c r="AD102" i="15" s="1"/>
  <c r="AD104" i="15" s="1"/>
  <c r="AG98" i="15"/>
  <c r="AC102" i="15" s="1"/>
  <c r="AC104" i="15" s="1"/>
  <c r="AP31" i="16"/>
  <c r="BC21" i="21"/>
  <c r="BD21" i="21"/>
  <c r="DC21" i="21"/>
  <c r="ED21" i="21"/>
  <c r="AQ31" i="16"/>
  <c r="DC369" i="11"/>
  <c r="DC370" i="11" s="1"/>
  <c r="CC369" i="11"/>
  <c r="CC370" i="11" s="1"/>
  <c r="AC21" i="21"/>
  <c r="AM31" i="16"/>
  <c r="BG22" i="21"/>
  <c r="BF22" i="21"/>
  <c r="AV32" i="16"/>
  <c r="BE31" i="16"/>
  <c r="CI21" i="21"/>
  <c r="CJ21" i="21"/>
  <c r="BD31" i="16"/>
  <c r="BJ21" i="21"/>
  <c r="BI21" i="21"/>
  <c r="AP32" i="16"/>
  <c r="DC22" i="21"/>
  <c r="DD22" i="21"/>
  <c r="AF22" i="21"/>
  <c r="AG22" i="21"/>
  <c r="AU32" i="16"/>
  <c r="EF23" i="21"/>
  <c r="AY34" i="16"/>
  <c r="EG23" i="21"/>
  <c r="BG32" i="16"/>
  <c r="EJ22" i="21"/>
  <c r="EI22" i="21"/>
  <c r="AI22" i="21"/>
  <c r="BC32" i="16"/>
  <c r="AJ22" i="21"/>
  <c r="FI22" i="21"/>
  <c r="FJ22" i="21"/>
  <c r="BH33" i="16"/>
  <c r="AR35" i="16"/>
  <c r="AH35" i="16" s="1"/>
  <c r="FD21" i="21"/>
  <c r="FC21" i="21"/>
  <c r="CG21" i="21"/>
  <c r="AW31" i="16"/>
  <c r="CF21" i="21"/>
  <c r="DF24" i="21"/>
  <c r="DG24" i="21"/>
  <c r="AX31" i="16"/>
  <c r="DG21" i="21"/>
  <c r="DF21" i="21"/>
  <c r="AF24" i="21"/>
  <c r="AG24" i="21"/>
  <c r="CF22" i="21"/>
  <c r="CG22" i="21"/>
  <c r="AW32" i="16"/>
  <c r="EC451" i="21"/>
  <c r="EC490" i="21" s="1"/>
  <c r="EC113" i="21"/>
  <c r="EC111" i="21"/>
  <c r="EF488" i="21"/>
  <c r="AW33" i="16"/>
  <c r="CF23" i="21"/>
  <c r="CG23" i="21"/>
  <c r="CC111" i="21"/>
  <c r="CF488" i="21"/>
  <c r="CC451" i="21"/>
  <c r="CC490" i="21" s="1"/>
  <c r="CC113" i="21"/>
  <c r="DJ22" i="21"/>
  <c r="DI22" i="21"/>
  <c r="BF32" i="16"/>
  <c r="AV31" i="16"/>
  <c r="BF21" i="21"/>
  <c r="BG21" i="21"/>
  <c r="BH35" i="16"/>
  <c r="AJ35" i="16" s="1"/>
  <c r="FI21" i="21"/>
  <c r="FJ21" i="21"/>
  <c r="AN32" i="16"/>
  <c r="BD22" i="21"/>
  <c r="BC22" i="21"/>
  <c r="AC451" i="21"/>
  <c r="AC490" i="21" s="1"/>
  <c r="AF488" i="21"/>
  <c r="AC111" i="21"/>
  <c r="AC113" i="21"/>
  <c r="DI21" i="21"/>
  <c r="BF31" i="16"/>
  <c r="DJ21" i="21"/>
  <c r="FG22" i="21"/>
  <c r="AZ33" i="16"/>
  <c r="FF22" i="21"/>
  <c r="BF34" i="16"/>
  <c r="DJ23" i="21"/>
  <c r="DI23" i="21"/>
  <c r="BC33" i="16"/>
  <c r="AI23" i="21"/>
  <c r="AJ23" i="21"/>
  <c r="BC111" i="21"/>
  <c r="BC113" i="21"/>
  <c r="BC451" i="21"/>
  <c r="BC490" i="21" s="1"/>
  <c r="FG21" i="21"/>
  <c r="FF21" i="21"/>
  <c r="AZ35" i="16"/>
  <c r="AI35" i="16" s="1"/>
  <c r="AC22" i="21"/>
  <c r="AD22" i="21"/>
  <c r="AM32" i="16"/>
  <c r="AJ21" i="21"/>
  <c r="BC31" i="16"/>
  <c r="AI21" i="21"/>
  <c r="BE33" i="16"/>
  <c r="CI23" i="21"/>
  <c r="CJ23" i="21"/>
  <c r="AF23" i="21"/>
  <c r="AU33" i="16"/>
  <c r="AG23" i="21"/>
  <c r="EI23" i="21"/>
  <c r="BG34" i="16"/>
  <c r="EJ23" i="21"/>
  <c r="CC23" i="21"/>
  <c r="CD23" i="21"/>
  <c r="AO33" i="16"/>
  <c r="EG21" i="21"/>
  <c r="EF21" i="21"/>
  <c r="AY31" i="16"/>
  <c r="AC327" i="21"/>
  <c r="BC327" i="21"/>
  <c r="FC327" i="21"/>
  <c r="CC327" i="21"/>
  <c r="DC327" i="21"/>
  <c r="EC327" i="21"/>
  <c r="CF24" i="21"/>
  <c r="CG24" i="21"/>
  <c r="AD23" i="21"/>
  <c r="AC23" i="21"/>
  <c r="AM33" i="16"/>
  <c r="AO32" i="16"/>
  <c r="CD22" i="21"/>
  <c r="CC22" i="21"/>
  <c r="FC367" i="21"/>
  <c r="FD37" i="21"/>
  <c r="FC451" i="21"/>
  <c r="FC490" i="21" s="1"/>
  <c r="FD32" i="21"/>
  <c r="FC111" i="21"/>
  <c r="FF488" i="21"/>
  <c r="FC288" i="21"/>
  <c r="FC368" i="21"/>
  <c r="FC113" i="21"/>
  <c r="FC381" i="21"/>
  <c r="DC111" i="21"/>
  <c r="DF488" i="21"/>
  <c r="DC451" i="21"/>
  <c r="DC490" i="21" s="1"/>
  <c r="DC113" i="21"/>
  <c r="BJ23" i="21"/>
  <c r="BD33" i="16"/>
  <c r="BI23" i="21"/>
  <c r="EC23" i="21"/>
  <c r="AQ34" i="16"/>
  <c r="ED23" i="21"/>
  <c r="AX32" i="16"/>
  <c r="DG22" i="21"/>
  <c r="DF22" i="21"/>
  <c r="DC23" i="21"/>
  <c r="DD23" i="21"/>
  <c r="AP34" i="16"/>
  <c r="DG23" i="21"/>
  <c r="AX34" i="16"/>
  <c r="DF23" i="21"/>
  <c r="BG31" i="16"/>
  <c r="EI21" i="21"/>
  <c r="EJ21" i="21"/>
  <c r="EF22" i="21"/>
  <c r="AY32" i="16"/>
  <c r="EG22" i="21"/>
  <c r="AQ32" i="16"/>
  <c r="EC22" i="21"/>
  <c r="ED22" i="21"/>
  <c r="BG24" i="21"/>
  <c r="BF24" i="21"/>
  <c r="BD32" i="16"/>
  <c r="BI22" i="21"/>
  <c r="BJ22" i="21"/>
  <c r="BF23" i="21"/>
  <c r="AV33" i="16"/>
  <c r="BG23" i="21"/>
  <c r="BC23" i="21"/>
  <c r="BD23" i="21"/>
  <c r="AN33" i="16"/>
  <c r="CI22" i="21"/>
  <c r="BE32" i="16"/>
  <c r="CJ22" i="21"/>
  <c r="CC21" i="21"/>
  <c r="CD21" i="21"/>
  <c r="AO31" i="16"/>
  <c r="BD463" i="11" l="1"/>
  <c r="BD457" i="11"/>
  <c r="L202" i="2"/>
  <c r="C47" i="2"/>
  <c r="F99" i="18"/>
  <c r="F122" i="18" s="1"/>
  <c r="I98" i="9"/>
  <c r="F108" i="18" s="1"/>
  <c r="I91" i="9"/>
  <c r="I83" i="9"/>
  <c r="I97" i="9"/>
  <c r="F107" i="18" s="1"/>
  <c r="I92" i="9"/>
  <c r="I95" i="9"/>
  <c r="I94" i="9"/>
  <c r="I84" i="9"/>
  <c r="I82" i="9"/>
  <c r="F92" i="18" s="1"/>
  <c r="I96" i="9"/>
  <c r="F106" i="18" s="1"/>
  <c r="I93" i="9"/>
  <c r="F103" i="18" s="1"/>
  <c r="I90" i="9"/>
  <c r="F100" i="18" s="1"/>
  <c r="I88" i="9"/>
  <c r="F98" i="18" s="1"/>
  <c r="I81" i="9"/>
  <c r="F91" i="18" s="1"/>
  <c r="I86" i="9"/>
  <c r="I85" i="9"/>
  <c r="AJ34" i="16"/>
  <c r="AH34" i="16"/>
  <c r="AI34" i="16"/>
  <c r="ED488" i="11"/>
  <c r="ED465" i="11"/>
  <c r="ED467" i="11" s="1"/>
  <c r="ED469" i="11" s="1"/>
  <c r="ED454" i="11" s="1"/>
  <c r="DD455" i="11"/>
  <c r="CD455" i="11"/>
  <c r="BC369" i="11"/>
  <c r="BC370" i="11" s="1"/>
  <c r="BD461" i="11"/>
  <c r="BD460" i="11"/>
  <c r="BD462" i="11"/>
  <c r="BD459" i="11"/>
  <c r="BD458" i="11"/>
  <c r="BD455" i="11" s="1"/>
  <c r="AH467" i="24"/>
  <c r="AC193" i="24"/>
  <c r="AI31" i="16"/>
  <c r="H99" i="9"/>
  <c r="AC103" i="15"/>
  <c r="AC105" i="15"/>
  <c r="AD105" i="15"/>
  <c r="AD103" i="15"/>
  <c r="AO102" i="15"/>
  <c r="AO104" i="15" s="1"/>
  <c r="AQ102" i="15"/>
  <c r="AQ104" i="15" s="1"/>
  <c r="AX102" i="15"/>
  <c r="AX104" i="15" s="1"/>
  <c r="AN102" i="15"/>
  <c r="AN104" i="15" s="1"/>
  <c r="AT102" i="15"/>
  <c r="AT104" i="15" s="1"/>
  <c r="AP94" i="15"/>
  <c r="AP102" i="15"/>
  <c r="AP104" i="15" s="1"/>
  <c r="AR102" i="15"/>
  <c r="AR104" i="15" s="1"/>
  <c r="AE98" i="15"/>
  <c r="AF98" i="15"/>
  <c r="AW105" i="15"/>
  <c r="AW103" i="15"/>
  <c r="DE321" i="11"/>
  <c r="DD479" i="11" s="1"/>
  <c r="DG479" i="11" s="1"/>
  <c r="N203" i="2" s="1"/>
  <c r="AJ32" i="16"/>
  <c r="AH31" i="16"/>
  <c r="AH33" i="16"/>
  <c r="AJ33" i="16"/>
  <c r="AH32" i="16"/>
  <c r="AI33" i="16"/>
  <c r="AJ31" i="16"/>
  <c r="AI32" i="16"/>
  <c r="AJ488" i="21"/>
  <c r="FJ488" i="21"/>
  <c r="BJ488" i="21"/>
  <c r="CJ488" i="21"/>
  <c r="FC298" i="21"/>
  <c r="FC325" i="21" s="1"/>
  <c r="FC326" i="21" s="1"/>
  <c r="FC311" i="21"/>
  <c r="FC402" i="21"/>
  <c r="FC418" i="21" s="1"/>
  <c r="FC422" i="21" s="1"/>
  <c r="FC423" i="21" s="1"/>
  <c r="BC116" i="21"/>
  <c r="BC120" i="21"/>
  <c r="BC124" i="21"/>
  <c r="AD490" i="21"/>
  <c r="AC500" i="21"/>
  <c r="AC492" i="21"/>
  <c r="AG490" i="21" s="1"/>
  <c r="BC492" i="21"/>
  <c r="BG490" i="21" s="1"/>
  <c r="BD490" i="21"/>
  <c r="BC500" i="21"/>
  <c r="DC116" i="21"/>
  <c r="DC124" i="21"/>
  <c r="DC120" i="21"/>
  <c r="EJ488" i="21"/>
  <c r="DC500" i="21"/>
  <c r="DD490" i="21"/>
  <c r="DC492" i="21"/>
  <c r="DG490" i="21" s="1"/>
  <c r="CC124" i="21"/>
  <c r="CC116" i="21"/>
  <c r="CC120" i="21"/>
  <c r="FC289" i="21"/>
  <c r="FC292" i="21"/>
  <c r="DJ488" i="21"/>
  <c r="CC492" i="21"/>
  <c r="CG490" i="21" s="1"/>
  <c r="CC500" i="21"/>
  <c r="CD490" i="21"/>
  <c r="EC120" i="21"/>
  <c r="EC124" i="21"/>
  <c r="EC116" i="21"/>
  <c r="AC116" i="21"/>
  <c r="AC120" i="21"/>
  <c r="AC124" i="21"/>
  <c r="EC500" i="21"/>
  <c r="EC492" i="21"/>
  <c r="EG490" i="21" s="1"/>
  <c r="ED490" i="21"/>
  <c r="FC500" i="21"/>
  <c r="FD490" i="21"/>
  <c r="FC492" i="21"/>
  <c r="FG490" i="21" s="1"/>
  <c r="C48" i="2" l="1"/>
  <c r="EC192" i="11"/>
  <c r="ED501" i="11"/>
  <c r="C43" i="2"/>
  <c r="F95" i="18"/>
  <c r="F118" i="18" s="1"/>
  <c r="C44" i="2"/>
  <c r="AH51" i="16" s="1"/>
  <c r="AH41" i="16" s="1"/>
  <c r="C52" i="2"/>
  <c r="F104" i="18"/>
  <c r="F127" i="18" s="1"/>
  <c r="C53" i="2"/>
  <c r="F105" i="18"/>
  <c r="F128" i="18" s="1"/>
  <c r="C50" i="2"/>
  <c r="F102" i="18"/>
  <c r="F125" i="18" s="1"/>
  <c r="C41" i="2"/>
  <c r="F93" i="18"/>
  <c r="F116" i="18" s="1"/>
  <c r="C49" i="2"/>
  <c r="AH54" i="16" s="1"/>
  <c r="AH44" i="16" s="1"/>
  <c r="F101" i="18"/>
  <c r="F124" i="18" s="1"/>
  <c r="C42" i="2"/>
  <c r="F94" i="18"/>
  <c r="F117" i="18" s="1"/>
  <c r="C39" i="2"/>
  <c r="AH50" i="16" s="1"/>
  <c r="AH40" i="16" s="1"/>
  <c r="F114" i="18"/>
  <c r="BD44" i="21" s="1"/>
  <c r="C46" i="2"/>
  <c r="F121" i="18"/>
  <c r="CD51" i="21" s="1"/>
  <c r="C55" i="2"/>
  <c r="F130" i="18"/>
  <c r="FD60" i="21" s="1"/>
  <c r="F123" i="18"/>
  <c r="C51" i="2"/>
  <c r="AH53" i="16" s="1"/>
  <c r="AH43" i="16" s="1"/>
  <c r="F126" i="18"/>
  <c r="AD56" i="21" s="1"/>
  <c r="H100" i="9"/>
  <c r="C40" i="2"/>
  <c r="F115" i="18"/>
  <c r="FD45" i="21" s="1"/>
  <c r="C54" i="2"/>
  <c r="F129" i="18"/>
  <c r="CD59" i="21" s="1"/>
  <c r="C56" i="2"/>
  <c r="F131" i="18"/>
  <c r="AD61" i="21" s="1"/>
  <c r="CD52" i="21"/>
  <c r="FD52" i="21"/>
  <c r="DD52" i="21"/>
  <c r="ED52" i="21"/>
  <c r="AD52" i="21"/>
  <c r="BD52" i="21"/>
  <c r="ED489" i="11"/>
  <c r="AH52" i="16"/>
  <c r="AH42" i="16" s="1"/>
  <c r="AH49" i="16"/>
  <c r="ED490" i="11"/>
  <c r="ED495" i="11"/>
  <c r="BD488" i="11"/>
  <c r="BG488" i="11" s="1"/>
  <c r="L206" i="2" s="1"/>
  <c r="EF472" i="11"/>
  <c r="ED498" i="11"/>
  <c r="EG488" i="11"/>
  <c r="EF491" i="11"/>
  <c r="DD488" i="11"/>
  <c r="DD465" i="11"/>
  <c r="DD467" i="11" s="1"/>
  <c r="DD469" i="11" s="1"/>
  <c r="DD454" i="11" s="1"/>
  <c r="CD488" i="11"/>
  <c r="CD465" i="11"/>
  <c r="CD495" i="11" s="1"/>
  <c r="L203" i="2"/>
  <c r="K203" i="2" s="1"/>
  <c r="I99" i="9"/>
  <c r="F109" i="18" s="1"/>
  <c r="AT105" i="15"/>
  <c r="AT103" i="15"/>
  <c r="AN105" i="15"/>
  <c r="AN103" i="15"/>
  <c r="AF102" i="15"/>
  <c r="AF104" i="15" s="1"/>
  <c r="AL102" i="15"/>
  <c r="AL104" i="15" s="1"/>
  <c r="AH102" i="15"/>
  <c r="AH104" i="15" s="1"/>
  <c r="AJ102" i="15"/>
  <c r="AJ104" i="15" s="1"/>
  <c r="AX103" i="15"/>
  <c r="AX105" i="15"/>
  <c r="AG102" i="15"/>
  <c r="AG104" i="15" s="1"/>
  <c r="AM102" i="15"/>
  <c r="AM104" i="15" s="1"/>
  <c r="AE102" i="15"/>
  <c r="AE104" i="15" s="1"/>
  <c r="AK102" i="15"/>
  <c r="AK104" i="15" s="1"/>
  <c r="AI102" i="15"/>
  <c r="AI104" i="15" s="1"/>
  <c r="AQ105" i="15"/>
  <c r="AQ103" i="15"/>
  <c r="AR103" i="15"/>
  <c r="AR105" i="15"/>
  <c r="AO103" i="15"/>
  <c r="AO105" i="15"/>
  <c r="AS102" i="15"/>
  <c r="AS104" i="15" s="1"/>
  <c r="AP103" i="15"/>
  <c r="AP105" i="15"/>
  <c r="AW41" i="16"/>
  <c r="DD175" i="11"/>
  <c r="DD176" i="11" s="1"/>
  <c r="BD175" i="11"/>
  <c r="BD176" i="11" s="1"/>
  <c r="CD175" i="11"/>
  <c r="CD176" i="11" s="1"/>
  <c r="AW44" i="16"/>
  <c r="AX42" i="16"/>
  <c r="AW40" i="16"/>
  <c r="AW42" i="16"/>
  <c r="AW45" i="16"/>
  <c r="AW43" i="16"/>
  <c r="AW39" i="16"/>
  <c r="AX41" i="16"/>
  <c r="AY45" i="16"/>
  <c r="AX39" i="16"/>
  <c r="AB34" i="16" s="1"/>
  <c r="AX43" i="16"/>
  <c r="AX45" i="16"/>
  <c r="AX44" i="16"/>
  <c r="AX40" i="16"/>
  <c r="AY40" i="16"/>
  <c r="AY42" i="16"/>
  <c r="AY44" i="16"/>
  <c r="AY43" i="16"/>
  <c r="AY41" i="16"/>
  <c r="AY39" i="16"/>
  <c r="T203" i="2"/>
  <c r="S202" i="2"/>
  <c r="FE490" i="21"/>
  <c r="FD500" i="21"/>
  <c r="FD492" i="21"/>
  <c r="FH490" i="21" s="1"/>
  <c r="EC195" i="21"/>
  <c r="EC199" i="21"/>
  <c r="EC318" i="21" s="1"/>
  <c r="EC127" i="21"/>
  <c r="EC125" i="21"/>
  <c r="DC151" i="21"/>
  <c r="DC217" i="21" s="1"/>
  <c r="DC218" i="21" s="1"/>
  <c r="DC197" i="21"/>
  <c r="DC316" i="21" s="1"/>
  <c r="DC191" i="21"/>
  <c r="DC117" i="21"/>
  <c r="DC119" i="21"/>
  <c r="BC193" i="21"/>
  <c r="BC198" i="21"/>
  <c r="BC317" i="21" s="1"/>
  <c r="BC121" i="21"/>
  <c r="BC123" i="21"/>
  <c r="EC193" i="21"/>
  <c r="EC121" i="21"/>
  <c r="EC198" i="21"/>
  <c r="EC317" i="21" s="1"/>
  <c r="EC123" i="21"/>
  <c r="FC293" i="21"/>
  <c r="FC294" i="21" s="1"/>
  <c r="FC291" i="21"/>
  <c r="BC191" i="21"/>
  <c r="BC117" i="21"/>
  <c r="BC151" i="21"/>
  <c r="BC197" i="21"/>
  <c r="BC316" i="21" s="1"/>
  <c r="BC119" i="21"/>
  <c r="CD492" i="21"/>
  <c r="CH490" i="21" s="1"/>
  <c r="CE490" i="21"/>
  <c r="CD500" i="21"/>
  <c r="DE490" i="21"/>
  <c r="DD500" i="21"/>
  <c r="DD492" i="21"/>
  <c r="DH490" i="21" s="1"/>
  <c r="BE490" i="21"/>
  <c r="BD492" i="21"/>
  <c r="BH490" i="21" s="1"/>
  <c r="BD500" i="21"/>
  <c r="AE490" i="21"/>
  <c r="AD500" i="21"/>
  <c r="AD492" i="21"/>
  <c r="AH490" i="21" s="1"/>
  <c r="ED492" i="21"/>
  <c r="EH490" i="21" s="1"/>
  <c r="ED500" i="21"/>
  <c r="EE490" i="21"/>
  <c r="AC127" i="21"/>
  <c r="AC195" i="21"/>
  <c r="AC125" i="21"/>
  <c r="AC199" i="21"/>
  <c r="AC318" i="21" s="1"/>
  <c r="CC198" i="21"/>
  <c r="CC317" i="21" s="1"/>
  <c r="CC121" i="21"/>
  <c r="CC123" i="21"/>
  <c r="CC193" i="21"/>
  <c r="FC312" i="21"/>
  <c r="FC332" i="21"/>
  <c r="AC193" i="21"/>
  <c r="AC121" i="21"/>
  <c r="AC123" i="21"/>
  <c r="AC198" i="21"/>
  <c r="AC317" i="21" s="1"/>
  <c r="CC119" i="21"/>
  <c r="CC151" i="21"/>
  <c r="CC217" i="21" s="1"/>
  <c r="CC218" i="21" s="1"/>
  <c r="CC191" i="21"/>
  <c r="CC197" i="21"/>
  <c r="CC316" i="21" s="1"/>
  <c r="CC117" i="21"/>
  <c r="AC191" i="21"/>
  <c r="AC197" i="21"/>
  <c r="AC316" i="21" s="1"/>
  <c r="AC151" i="21"/>
  <c r="AC119" i="21"/>
  <c r="AC117" i="21"/>
  <c r="CC125" i="21"/>
  <c r="CD9" i="21" s="1"/>
  <c r="CC127" i="21"/>
  <c r="CC195" i="21"/>
  <c r="CC199" i="21"/>
  <c r="CC318" i="21" s="1"/>
  <c r="DC121" i="21"/>
  <c r="DC198" i="21"/>
  <c r="DC317" i="21" s="1"/>
  <c r="DC123" i="21"/>
  <c r="DC193" i="21"/>
  <c r="FC315" i="21"/>
  <c r="FC299" i="21"/>
  <c r="FC405" i="21" s="1"/>
  <c r="FC425" i="21" s="1"/>
  <c r="FC427" i="21" s="1"/>
  <c r="FC429" i="21" s="1"/>
  <c r="FC331" i="21"/>
  <c r="FC300" i="21"/>
  <c r="FC303" i="21" s="1"/>
  <c r="EC191" i="21"/>
  <c r="EC197" i="21"/>
  <c r="EC316" i="21" s="1"/>
  <c r="EC119" i="21"/>
  <c r="EC151" i="21"/>
  <c r="EC217" i="21" s="1"/>
  <c r="EC218" i="21" s="1"/>
  <c r="EC117" i="21"/>
  <c r="DC127" i="21"/>
  <c r="DC199" i="21"/>
  <c r="DC318" i="21" s="1"/>
  <c r="DC195" i="21"/>
  <c r="DC125" i="21"/>
  <c r="BC127" i="21"/>
  <c r="BC199" i="21"/>
  <c r="BC318" i="21" s="1"/>
  <c r="BC125" i="21"/>
  <c r="BC195" i="21"/>
  <c r="DD501" i="11" l="1"/>
  <c r="DC195" i="11" s="1"/>
  <c r="DC190" i="11"/>
  <c r="DD44" i="21"/>
  <c r="AH39" i="16"/>
  <c r="AD60" i="21"/>
  <c r="DD60" i="21"/>
  <c r="FD44" i="21"/>
  <c r="AD44" i="21"/>
  <c r="BD45" i="21"/>
  <c r="CD60" i="21"/>
  <c r="BD59" i="21"/>
  <c r="AD59" i="21"/>
  <c r="ED44" i="21"/>
  <c r="AT50" i="16"/>
  <c r="AT40" i="16" s="1"/>
  <c r="CD44" i="21"/>
  <c r="BD60" i="21"/>
  <c r="ED60" i="21"/>
  <c r="BD56" i="21"/>
  <c r="AD45" i="21"/>
  <c r="BD465" i="11"/>
  <c r="BD490" i="11" s="1"/>
  <c r="ED45" i="21"/>
  <c r="CD45" i="21"/>
  <c r="CD56" i="21"/>
  <c r="DD45" i="21"/>
  <c r="ED56" i="21"/>
  <c r="DD56" i="21"/>
  <c r="FD56" i="21"/>
  <c r="AD51" i="21"/>
  <c r="BD51" i="21"/>
  <c r="ED51" i="21"/>
  <c r="C57" i="2"/>
  <c r="F132" i="18"/>
  <c r="DD51" i="21"/>
  <c r="DD61" i="21"/>
  <c r="FD51" i="21"/>
  <c r="ED61" i="21"/>
  <c r="FD61" i="21"/>
  <c r="DD59" i="21"/>
  <c r="AT53" i="16"/>
  <c r="AT43" i="16" s="1"/>
  <c r="CD61" i="21"/>
  <c r="ED59" i="21"/>
  <c r="I100" i="9"/>
  <c r="BD61" i="21"/>
  <c r="FD59" i="21"/>
  <c r="CD48" i="21"/>
  <c r="FD48" i="21"/>
  <c r="ED48" i="21"/>
  <c r="DD48" i="21"/>
  <c r="CD46" i="21"/>
  <c r="FD46" i="21"/>
  <c r="ED46" i="21"/>
  <c r="DD46" i="21"/>
  <c r="CD57" i="21"/>
  <c r="FD57" i="21"/>
  <c r="DD57" i="21"/>
  <c r="ED57" i="21"/>
  <c r="CD47" i="21"/>
  <c r="ED47" i="21"/>
  <c r="FD47" i="21"/>
  <c r="DD47" i="21"/>
  <c r="FD53" i="21"/>
  <c r="ED53" i="21"/>
  <c r="DD53" i="21"/>
  <c r="FD49" i="21"/>
  <c r="ED49" i="21"/>
  <c r="DD49" i="21"/>
  <c r="CD55" i="21"/>
  <c r="DD55" i="21"/>
  <c r="FD55" i="21"/>
  <c r="ED55" i="21"/>
  <c r="CD58" i="21"/>
  <c r="DD58" i="21"/>
  <c r="FD58" i="21"/>
  <c r="ED58" i="21"/>
  <c r="FD54" i="21"/>
  <c r="DD54" i="21"/>
  <c r="ED54" i="21"/>
  <c r="BD54" i="21"/>
  <c r="CD54" i="21"/>
  <c r="BD53" i="21"/>
  <c r="CD53" i="21"/>
  <c r="BD49" i="21"/>
  <c r="CD49" i="21"/>
  <c r="AD58" i="21"/>
  <c r="BD58" i="21"/>
  <c r="AD55" i="21"/>
  <c r="BD55" i="21"/>
  <c r="AD57" i="21"/>
  <c r="BD57" i="21"/>
  <c r="AD48" i="21"/>
  <c r="BD48" i="21"/>
  <c r="AD46" i="21"/>
  <c r="BD46" i="21"/>
  <c r="AD47" i="21"/>
  <c r="BD47" i="21"/>
  <c r="AT52" i="16"/>
  <c r="AT42" i="16" s="1"/>
  <c r="AD53" i="21"/>
  <c r="AT51" i="16"/>
  <c r="AT41" i="16" s="1"/>
  <c r="AD49" i="21"/>
  <c r="AT54" i="16"/>
  <c r="AT44" i="16" s="1"/>
  <c r="AD54" i="21"/>
  <c r="CD490" i="11"/>
  <c r="DD490" i="11"/>
  <c r="CD467" i="11"/>
  <c r="CD469" i="11" s="1"/>
  <c r="EH501" i="11"/>
  <c r="EC197" i="11"/>
  <c r="DD489" i="11"/>
  <c r="DD495" i="11"/>
  <c r="DF472" i="11"/>
  <c r="DD498" i="11"/>
  <c r="BF491" i="11"/>
  <c r="DG488" i="11"/>
  <c r="N206" i="2" s="1"/>
  <c r="DF491" i="11"/>
  <c r="CD489" i="11"/>
  <c r="CG488" i="11"/>
  <c r="M206" i="2" s="1"/>
  <c r="CF491" i="11"/>
  <c r="AG105" i="15"/>
  <c r="AG103" i="15"/>
  <c r="AF103" i="15"/>
  <c r="AF105" i="15"/>
  <c r="AS103" i="15"/>
  <c r="AS105" i="15"/>
  <c r="AK103" i="15"/>
  <c r="AK105" i="15"/>
  <c r="AJ103" i="15"/>
  <c r="AJ105" i="15"/>
  <c r="AI105" i="15"/>
  <c r="AI103" i="15"/>
  <c r="AE105" i="15"/>
  <c r="AE103" i="15"/>
  <c r="AH105" i="15"/>
  <c r="AH103" i="15"/>
  <c r="AM105" i="15"/>
  <c r="AM103" i="15"/>
  <c r="AL105" i="15"/>
  <c r="AL103" i="15"/>
  <c r="FC333" i="21"/>
  <c r="FC334" i="21" s="1"/>
  <c r="FC335" i="21" s="1"/>
  <c r="U203" i="2"/>
  <c r="BC132" i="21"/>
  <c r="EC138" i="21"/>
  <c r="EC140" i="21" s="1"/>
  <c r="EC143" i="21" s="1"/>
  <c r="CC130" i="21"/>
  <c r="EC130" i="21"/>
  <c r="DC132" i="21"/>
  <c r="CC131" i="21"/>
  <c r="BC131" i="21"/>
  <c r="EC131" i="21"/>
  <c r="CC132" i="21"/>
  <c r="FC431" i="21"/>
  <c r="FC430" i="21"/>
  <c r="DD9" i="21"/>
  <c r="DC402" i="21"/>
  <c r="DC418" i="21" s="1"/>
  <c r="DC422" i="21" s="1"/>
  <c r="AC138" i="21"/>
  <c r="AC140" i="21" s="1"/>
  <c r="CC154" i="21"/>
  <c r="CC156" i="21" s="1"/>
  <c r="CC201" i="21"/>
  <c r="CC152" i="21"/>
  <c r="CD12" i="21"/>
  <c r="CC401" i="21"/>
  <c r="AC196" i="21"/>
  <c r="AC259" i="21"/>
  <c r="AC330" i="21" s="1"/>
  <c r="BC154" i="21"/>
  <c r="BC156" i="21" s="1"/>
  <c r="BC201" i="21"/>
  <c r="BC152" i="21"/>
  <c r="AC154" i="21"/>
  <c r="AC156" i="21" s="1"/>
  <c r="AC201" i="21"/>
  <c r="AC152" i="21"/>
  <c r="AD12" i="21"/>
  <c r="AC401" i="21"/>
  <c r="AC417" i="21" s="1"/>
  <c r="AC421" i="21" s="1"/>
  <c r="BF490" i="21"/>
  <c r="BE500" i="21"/>
  <c r="BE492" i="21"/>
  <c r="BI490" i="21" s="1"/>
  <c r="CE500" i="21"/>
  <c r="CE492" i="21"/>
  <c r="CI490" i="21" s="1"/>
  <c r="CF490" i="21"/>
  <c r="BC130" i="21"/>
  <c r="ED12" i="21"/>
  <c r="EC401" i="21"/>
  <c r="EC417" i="21" s="1"/>
  <c r="EC421" i="21" s="1"/>
  <c r="DC138" i="21"/>
  <c r="DC140" i="21" s="1"/>
  <c r="AC258" i="21"/>
  <c r="AC329" i="21" s="1"/>
  <c r="AC194" i="21"/>
  <c r="BC400" i="21"/>
  <c r="BD10" i="21"/>
  <c r="EC258" i="21"/>
  <c r="EC329" i="21" s="1"/>
  <c r="EC194" i="21"/>
  <c r="DC130" i="21"/>
  <c r="EC259" i="21"/>
  <c r="EC330" i="21" s="1"/>
  <c r="EC196" i="21"/>
  <c r="FC305" i="21"/>
  <c r="FC371" i="21" s="1"/>
  <c r="FC306" i="21"/>
  <c r="FC307" i="21" s="1"/>
  <c r="DC401" i="21"/>
  <c r="DC417" i="21" s="1"/>
  <c r="DC421" i="21" s="1"/>
  <c r="DD12" i="21"/>
  <c r="BD9" i="21"/>
  <c r="BC402" i="21"/>
  <c r="AC257" i="21"/>
  <c r="AC320" i="21" s="1"/>
  <c r="AC192" i="21"/>
  <c r="AC200" i="21"/>
  <c r="CC138" i="21"/>
  <c r="CC140" i="21" s="1"/>
  <c r="EF490" i="21"/>
  <c r="EE500" i="21"/>
  <c r="EE492" i="21"/>
  <c r="EI490" i="21" s="1"/>
  <c r="BC257" i="21"/>
  <c r="BC320" i="21" s="1"/>
  <c r="BC192" i="21"/>
  <c r="BC200" i="21"/>
  <c r="DD10" i="21"/>
  <c r="DC400" i="21"/>
  <c r="DC416" i="21" s="1"/>
  <c r="DC420" i="21" s="1"/>
  <c r="EC400" i="21"/>
  <c r="EC416" i="21" s="1"/>
  <c r="EC420" i="21" s="1"/>
  <c r="ED10" i="21"/>
  <c r="AC130" i="21"/>
  <c r="DC200" i="21"/>
  <c r="DC257" i="21"/>
  <c r="DC320" i="21" s="1"/>
  <c r="DC192" i="21"/>
  <c r="CC259" i="21"/>
  <c r="CC330" i="21" s="1"/>
  <c r="CC196" i="21"/>
  <c r="CD10" i="21"/>
  <c r="CC400" i="21"/>
  <c r="AE500" i="21"/>
  <c r="AE492" i="21"/>
  <c r="AI490" i="21" s="1"/>
  <c r="AF490" i="21"/>
  <c r="DE500" i="21"/>
  <c r="DE492" i="21"/>
  <c r="DI490" i="21" s="1"/>
  <c r="DF490" i="21"/>
  <c r="BC138" i="21"/>
  <c r="BC140" i="21" s="1"/>
  <c r="FC341" i="21"/>
  <c r="BC401" i="21"/>
  <c r="BD12" i="21"/>
  <c r="DC259" i="21"/>
  <c r="DC330" i="21" s="1"/>
  <c r="DC196" i="21"/>
  <c r="EC200" i="21"/>
  <c r="EC257" i="21"/>
  <c r="EC320" i="21" s="1"/>
  <c r="EC192" i="21"/>
  <c r="BC196" i="21"/>
  <c r="BC259" i="21"/>
  <c r="BC330" i="21" s="1"/>
  <c r="EC152" i="21"/>
  <c r="EC201" i="21"/>
  <c r="EC154" i="21"/>
  <c r="EC156" i="21" s="1"/>
  <c r="DC194" i="21"/>
  <c r="DC258" i="21"/>
  <c r="DC329" i="21" s="1"/>
  <c r="AC217" i="21"/>
  <c r="AC218" i="21" s="1"/>
  <c r="AC131" i="21"/>
  <c r="CC258" i="21"/>
  <c r="CC329" i="21" s="1"/>
  <c r="CC194" i="21"/>
  <c r="AC132" i="21"/>
  <c r="EC132" i="21"/>
  <c r="FF490" i="21"/>
  <c r="FE500" i="21"/>
  <c r="FE492" i="21"/>
  <c r="FI490" i="21" s="1"/>
  <c r="DC131" i="21"/>
  <c r="CC402" i="21"/>
  <c r="AC400" i="21"/>
  <c r="AC416" i="21" s="1"/>
  <c r="AC420" i="21" s="1"/>
  <c r="AD10" i="21"/>
  <c r="CC200" i="21"/>
  <c r="CC192" i="21"/>
  <c r="CC257" i="21"/>
  <c r="CC320" i="21" s="1"/>
  <c r="AD9" i="21"/>
  <c r="AC402" i="21"/>
  <c r="AC418" i="21" s="1"/>
  <c r="AC422" i="21" s="1"/>
  <c r="BC217" i="21"/>
  <c r="BC218" i="21" s="1"/>
  <c r="BC194" i="21"/>
  <c r="BC258" i="21"/>
  <c r="BC329" i="21" s="1"/>
  <c r="DC154" i="21"/>
  <c r="DC156" i="21" s="1"/>
  <c r="DC201" i="21"/>
  <c r="DC152" i="21"/>
  <c r="EC402" i="21"/>
  <c r="EC418" i="21" s="1"/>
  <c r="EC422" i="21" s="1"/>
  <c r="ED9" i="21"/>
  <c r="DH501" i="11" l="1"/>
  <c r="N209" i="2" s="1"/>
  <c r="BD495" i="11"/>
  <c r="BD489" i="11"/>
  <c r="BD467" i="11"/>
  <c r="BD469" i="11" s="1"/>
  <c r="BD454" i="11" s="1"/>
  <c r="BC190" i="11" s="1"/>
  <c r="C58" i="2"/>
  <c r="AH55" i="16" s="1"/>
  <c r="AH45" i="16" s="1"/>
  <c r="AB31" i="16" s="1"/>
  <c r="CD62" i="21"/>
  <c r="FD62" i="21"/>
  <c r="ED62" i="21"/>
  <c r="DD62" i="21"/>
  <c r="AD62" i="21"/>
  <c r="BD62" i="21"/>
  <c r="CD454" i="11"/>
  <c r="CD498" i="11" s="1"/>
  <c r="BF472" i="11"/>
  <c r="BD498" i="11"/>
  <c r="AC119" i="15"/>
  <c r="AC110" i="15"/>
  <c r="EC141" i="21"/>
  <c r="DC423" i="21"/>
  <c r="V203" i="2"/>
  <c r="FC390" i="21"/>
  <c r="FC392" i="21" s="1"/>
  <c r="FC458" i="21" s="1"/>
  <c r="CC321" i="21"/>
  <c r="DC322" i="21"/>
  <c r="AC423" i="21"/>
  <c r="EC321" i="21"/>
  <c r="BC321" i="21"/>
  <c r="EC423" i="21"/>
  <c r="BC322" i="21"/>
  <c r="AC137" i="21"/>
  <c r="BC328" i="21"/>
  <c r="BC260" i="21"/>
  <c r="BC298" i="21" s="1"/>
  <c r="BC325" i="21" s="1"/>
  <c r="BC326" i="21" s="1"/>
  <c r="BC311" i="21"/>
  <c r="BC261" i="21"/>
  <c r="DC141" i="21"/>
  <c r="DC143" i="21"/>
  <c r="BC403" i="21"/>
  <c r="BD13" i="21"/>
  <c r="CD13" i="21"/>
  <c r="CC403" i="21"/>
  <c r="EC144" i="21"/>
  <c r="EC145" i="21" s="1"/>
  <c r="EC148" i="21"/>
  <c r="ED13" i="21"/>
  <c r="EC403" i="21"/>
  <c r="EC424" i="21" s="1"/>
  <c r="DF492" i="21"/>
  <c r="DJ490" i="21" s="1"/>
  <c r="DF500" i="21"/>
  <c r="CC143" i="21"/>
  <c r="CC141" i="21"/>
  <c r="CC416" i="21"/>
  <c r="CC420" i="21" s="1"/>
  <c r="CE400" i="21"/>
  <c r="CC418" i="21"/>
  <c r="CC422" i="21" s="1"/>
  <c r="CE402" i="21"/>
  <c r="FF500" i="21"/>
  <c r="FF492" i="21"/>
  <c r="FJ490" i="21" s="1"/>
  <c r="DC403" i="21"/>
  <c r="DC424" i="21" s="1"/>
  <c r="DD13" i="21"/>
  <c r="DC321" i="21"/>
  <c r="BE401" i="21"/>
  <c r="BC417" i="21"/>
  <c r="BC421" i="21" s="1"/>
  <c r="AF492" i="21"/>
  <c r="AJ490" i="21" s="1"/>
  <c r="AF500" i="21"/>
  <c r="CC322" i="21"/>
  <c r="EF492" i="21"/>
  <c r="EJ490" i="21" s="1"/>
  <c r="EF500" i="21"/>
  <c r="BC159" i="21"/>
  <c r="BC157" i="21"/>
  <c r="CC159" i="21"/>
  <c r="CC157" i="21"/>
  <c r="CC311" i="21"/>
  <c r="CC260" i="21"/>
  <c r="CC298" i="21" s="1"/>
  <c r="CC300" i="21" s="1"/>
  <c r="CC303" i="21" s="1"/>
  <c r="CC261" i="21"/>
  <c r="CC328" i="21"/>
  <c r="BF500" i="21"/>
  <c r="BF492" i="21"/>
  <c r="BJ490" i="21" s="1"/>
  <c r="AC143" i="21"/>
  <c r="AC141" i="21"/>
  <c r="EC159" i="21"/>
  <c r="EC157" i="21"/>
  <c r="EC260" i="21"/>
  <c r="EC298" i="21"/>
  <c r="EC315" i="21" s="1"/>
  <c r="EC261" i="21"/>
  <c r="EC328" i="21"/>
  <c r="EC311" i="21"/>
  <c r="EC322" i="21"/>
  <c r="BC416" i="21"/>
  <c r="BC420" i="21" s="1"/>
  <c r="BE400" i="21"/>
  <c r="CF500" i="21"/>
  <c r="CF492" i="21"/>
  <c r="CJ490" i="21" s="1"/>
  <c r="AC322" i="21"/>
  <c r="BC143" i="21"/>
  <c r="BC141" i="21"/>
  <c r="DC328" i="21"/>
  <c r="DC261" i="21"/>
  <c r="DC311" i="21"/>
  <c r="DC260" i="21"/>
  <c r="DC298" i="21" s="1"/>
  <c r="DC300" i="21" s="1"/>
  <c r="DC303" i="21" s="1"/>
  <c r="AC260" i="21"/>
  <c r="AC298" i="21" s="1"/>
  <c r="AC325" i="21" s="1"/>
  <c r="AC326" i="21" s="1"/>
  <c r="AC311" i="21"/>
  <c r="AC261" i="21"/>
  <c r="AC328" i="21"/>
  <c r="AC403" i="21"/>
  <c r="AC424" i="21" s="1"/>
  <c r="AD13" i="21"/>
  <c r="BE402" i="21"/>
  <c r="BC418" i="21"/>
  <c r="BC422" i="21" s="1"/>
  <c r="CE401" i="21"/>
  <c r="CC417" i="21"/>
  <c r="CC421" i="21" s="1"/>
  <c r="DC157" i="21"/>
  <c r="DC159" i="21"/>
  <c r="FC375" i="21"/>
  <c r="FC376" i="21" s="1"/>
  <c r="FC377" i="21" s="1"/>
  <c r="FC378" i="21" s="1"/>
  <c r="FC372" i="21"/>
  <c r="FC374" i="21" s="1"/>
  <c r="FC387" i="21" s="1"/>
  <c r="FC494" i="21" s="1"/>
  <c r="FD494" i="21" s="1"/>
  <c r="FE494" i="21" s="1"/>
  <c r="FF494" i="21" s="1"/>
  <c r="FD33" i="21"/>
  <c r="AC321" i="21"/>
  <c r="AC159" i="21"/>
  <c r="AC157" i="21"/>
  <c r="BD501" i="11" l="1"/>
  <c r="BC195" i="11" s="1"/>
  <c r="CC190" i="11"/>
  <c r="CF472" i="11"/>
  <c r="AT55" i="16"/>
  <c r="AT45" i="16" s="1"/>
  <c r="CD501" i="11"/>
  <c r="CH501" i="11" s="1"/>
  <c r="M209" i="2" s="1"/>
  <c r="E203" i="2"/>
  <c r="AD110" i="15"/>
  <c r="AD119" i="15"/>
  <c r="FC462" i="21"/>
  <c r="FC470" i="21"/>
  <c r="FC456" i="21"/>
  <c r="S203" i="2"/>
  <c r="R203" i="2" s="1"/>
  <c r="FC464" i="21"/>
  <c r="FC468" i="21"/>
  <c r="FC466" i="21"/>
  <c r="FC460" i="21"/>
  <c r="BC300" i="21"/>
  <c r="BC303" i="21" s="1"/>
  <c r="BC306" i="21" s="1"/>
  <c r="BC307" i="21" s="1"/>
  <c r="CC423" i="21"/>
  <c r="CD423" i="21" s="1"/>
  <c r="DC325" i="21"/>
  <c r="DC326" i="21" s="1"/>
  <c r="BC423" i="21"/>
  <c r="BD423" i="21" s="1"/>
  <c r="BC270" i="21"/>
  <c r="BC271" i="21" s="1"/>
  <c r="BC274" i="21" s="1"/>
  <c r="BC279" i="21" s="1"/>
  <c r="BC280" i="21" s="1"/>
  <c r="DC305" i="21"/>
  <c r="DC306" i="21"/>
  <c r="DC307" i="21" s="1"/>
  <c r="CC306" i="21"/>
  <c r="CC307" i="21" s="1"/>
  <c r="CC305" i="21"/>
  <c r="DC160" i="21"/>
  <c r="DC161" i="21" s="1"/>
  <c r="DC164" i="21"/>
  <c r="EC288" i="21"/>
  <c r="EC276" i="21"/>
  <c r="BC148" i="21"/>
  <c r="BC144" i="21"/>
  <c r="BC145" i="21" s="1"/>
  <c r="EC331" i="21"/>
  <c r="EC299" i="21"/>
  <c r="CC325" i="21"/>
  <c r="CC326" i="21" s="1"/>
  <c r="AC270" i="21"/>
  <c r="AC271" i="21" s="1"/>
  <c r="AC274" i="21" s="1"/>
  <c r="AC279" i="21" s="1"/>
  <c r="AC280" i="21" s="1"/>
  <c r="DC270" i="21"/>
  <c r="DC271" i="21" s="1"/>
  <c r="DC274" i="21" s="1"/>
  <c r="DC279" i="21" s="1"/>
  <c r="DC280" i="21" s="1"/>
  <c r="EC332" i="21"/>
  <c r="EC312" i="21"/>
  <c r="CC270" i="21"/>
  <c r="CC271" i="21" s="1"/>
  <c r="CC274" i="21" s="1"/>
  <c r="CC279" i="21" s="1"/>
  <c r="CC280" i="21" s="1"/>
  <c r="CC148" i="21"/>
  <c r="CC144" i="21"/>
  <c r="CC145" i="21" s="1"/>
  <c r="CE403" i="21"/>
  <c r="CC424" i="21"/>
  <c r="BC288" i="21"/>
  <c r="BC276" i="21"/>
  <c r="EC270" i="21"/>
  <c r="EC271" i="21" s="1"/>
  <c r="EC274" i="21" s="1"/>
  <c r="EC279" i="21" s="1"/>
  <c r="EC280" i="21" s="1"/>
  <c r="CC160" i="21"/>
  <c r="CC161" i="21" s="1"/>
  <c r="CC164" i="21"/>
  <c r="AC288" i="21"/>
  <c r="AC276" i="21"/>
  <c r="DC315" i="21"/>
  <c r="DC332" i="21"/>
  <c r="DC312" i="21"/>
  <c r="EC160" i="21"/>
  <c r="EC161" i="21" s="1"/>
  <c r="EC164" i="21"/>
  <c r="BC315" i="21"/>
  <c r="BC332" i="21"/>
  <c r="BC312" i="21"/>
  <c r="AC312" i="21"/>
  <c r="AC332" i="21"/>
  <c r="AC315" i="21"/>
  <c r="EC325" i="21"/>
  <c r="EC326" i="21" s="1"/>
  <c r="CC288" i="21"/>
  <c r="CC276" i="21"/>
  <c r="BC160" i="21"/>
  <c r="BC161" i="21" s="1"/>
  <c r="BC164" i="21"/>
  <c r="BC424" i="21"/>
  <c r="BE403" i="21"/>
  <c r="AC160" i="21"/>
  <c r="AC161" i="21" s="1"/>
  <c r="AC164" i="21"/>
  <c r="DC288" i="21"/>
  <c r="DC276" i="21"/>
  <c r="EC300" i="21"/>
  <c r="EC303" i="21" s="1"/>
  <c r="AC144" i="21"/>
  <c r="AC145" i="21" s="1"/>
  <c r="AC148" i="21"/>
  <c r="DC144" i="21"/>
  <c r="DC145" i="21" s="1"/>
  <c r="DC148" i="21"/>
  <c r="BC299" i="21"/>
  <c r="BC331" i="21"/>
  <c r="AC331" i="21"/>
  <c r="AC299" i="21"/>
  <c r="CC299" i="21"/>
  <c r="CC331" i="21"/>
  <c r="DC331" i="21"/>
  <c r="DC299" i="21"/>
  <c r="CC315" i="21"/>
  <c r="CC312" i="21"/>
  <c r="CC332" i="21"/>
  <c r="AC300" i="21"/>
  <c r="AC303" i="21" s="1"/>
  <c r="BH501" i="11" l="1"/>
  <c r="L209" i="2" s="1"/>
  <c r="FD63" i="21"/>
  <c r="ED63" i="21"/>
  <c r="AD63" i="21"/>
  <c r="BD63" i="21"/>
  <c r="CD63" i="21"/>
  <c r="DD63" i="21"/>
  <c r="AE119" i="15"/>
  <c r="F203" i="2"/>
  <c r="AE110" i="15"/>
  <c r="DC333" i="21"/>
  <c r="DC334" i="21" s="1"/>
  <c r="DC335" i="21" s="1"/>
  <c r="FD511" i="21"/>
  <c r="FC511" i="21"/>
  <c r="FF511" i="21"/>
  <c r="BC305" i="21"/>
  <c r="FC453" i="21"/>
  <c r="FC473" i="21" s="1"/>
  <c r="FE511" i="21"/>
  <c r="EC333" i="21"/>
  <c r="EC334" i="21" s="1"/>
  <c r="EC335" i="21" s="1"/>
  <c r="CC333" i="21"/>
  <c r="CC334" i="21" s="1"/>
  <c r="CC335" i="21" s="1"/>
  <c r="BC333" i="21"/>
  <c r="BC334" i="21" s="1"/>
  <c r="BC335" i="21" s="1"/>
  <c r="AC333" i="21"/>
  <c r="AC334" i="21" s="1"/>
  <c r="AC335" i="21" s="1"/>
  <c r="EC289" i="21"/>
  <c r="EC292" i="21"/>
  <c r="AC277" i="21"/>
  <c r="AC285" i="21"/>
  <c r="AC305" i="21"/>
  <c r="AC306" i="21"/>
  <c r="AC307" i="21" s="1"/>
  <c r="AC289" i="21"/>
  <c r="AC292" i="21"/>
  <c r="EC405" i="21"/>
  <c r="EC425" i="21" s="1"/>
  <c r="ED11" i="21"/>
  <c r="AD11" i="21"/>
  <c r="AC405" i="21"/>
  <c r="AC425" i="21" s="1"/>
  <c r="EC306" i="21"/>
  <c r="EC307" i="21" s="1"/>
  <c r="EC305" i="21"/>
  <c r="DC405" i="21"/>
  <c r="DC425" i="21" s="1"/>
  <c r="DD11" i="21"/>
  <c r="CD11" i="21"/>
  <c r="CC405" i="21"/>
  <c r="CC425" i="21" s="1"/>
  <c r="DC285" i="21"/>
  <c r="DC277" i="21"/>
  <c r="BC405" i="21"/>
  <c r="BC425" i="21" s="1"/>
  <c r="BD11" i="21"/>
  <c r="DC289" i="21"/>
  <c r="DC292" i="21"/>
  <c r="CC285" i="21"/>
  <c r="CC277" i="21"/>
  <c r="BC277" i="21"/>
  <c r="BC285" i="21"/>
  <c r="CC289" i="21"/>
  <c r="CC292" i="21"/>
  <c r="BC289" i="21"/>
  <c r="BC292" i="21"/>
  <c r="EC277" i="21"/>
  <c r="EC285" i="21"/>
  <c r="G203" i="2" l="1"/>
  <c r="AF110" i="15"/>
  <c r="AF119" i="15"/>
  <c r="FB68" i="21"/>
  <c r="FE68" i="21"/>
  <c r="FC475" i="21"/>
  <c r="FD68" i="21"/>
  <c r="FC68" i="21"/>
  <c r="DC278" i="21"/>
  <c r="DC281" i="21"/>
  <c r="DC282" i="21" s="1"/>
  <c r="EC281" i="21"/>
  <c r="EC282" i="21" s="1"/>
  <c r="EC278" i="21"/>
  <c r="EC293" i="21"/>
  <c r="EC294" i="21" s="1"/>
  <c r="EC341" i="21" s="1"/>
  <c r="EC291" i="21"/>
  <c r="BC281" i="21"/>
  <c r="BC282" i="21" s="1"/>
  <c r="BC278" i="21"/>
  <c r="CC278" i="21"/>
  <c r="CC281" i="21"/>
  <c r="CC282" i="21" s="1"/>
  <c r="AC281" i="21"/>
  <c r="AC282" i="21" s="1"/>
  <c r="AC278" i="21"/>
  <c r="CC291" i="21"/>
  <c r="CC293" i="21"/>
  <c r="CC294" i="21" s="1"/>
  <c r="CC341" i="21" s="1"/>
  <c r="BC291" i="21"/>
  <c r="BC293" i="21"/>
  <c r="BC294" i="21" s="1"/>
  <c r="BC341" i="21" s="1"/>
  <c r="DC291" i="21"/>
  <c r="DC293" i="21"/>
  <c r="DC294" i="21" s="1"/>
  <c r="DC341" i="21" s="1"/>
  <c r="AC293" i="21"/>
  <c r="AC294" i="21" s="1"/>
  <c r="AC341" i="21" s="1"/>
  <c r="AC291" i="21"/>
  <c r="K205" i="2"/>
  <c r="H203" i="2" l="1"/>
  <c r="I84" i="18" l="1"/>
  <c r="I112" i="15" l="1" a="1"/>
  <c r="I112" i="15" s="1"/>
  <c r="I81" i="18" l="1"/>
  <c r="AB32" i="16" l="1"/>
  <c r="C9" i="22"/>
  <c r="E59" i="12" s="1"/>
  <c r="C106" i="8" l="1"/>
  <c r="D203" i="2" s="1"/>
  <c r="C203" i="2" s="1"/>
  <c r="AC131" i="8"/>
  <c r="C8" i="22"/>
  <c r="A59" i="12" s="1"/>
  <c r="D85" i="23" l="1"/>
  <c r="D76" i="23" s="1"/>
  <c r="C85" i="23"/>
  <c r="C116" i="8"/>
  <c r="C107" i="8" s="1"/>
  <c r="AC120" i="15"/>
  <c r="AC141" i="8"/>
  <c r="AC132" i="8" s="1"/>
  <c r="AC133" i="8" s="1"/>
  <c r="C76" i="23" l="1"/>
  <c r="C77" i="23" s="1"/>
  <c r="C78" i="23" s="1"/>
  <c r="AD120" i="15"/>
  <c r="AC111" i="15"/>
  <c r="C110" i="8"/>
  <c r="D207" i="2" s="1"/>
  <c r="C108" i="8"/>
  <c r="C109" i="8" s="1"/>
  <c r="D206" i="2" s="1"/>
  <c r="C206" i="2" s="1"/>
  <c r="D204" i="2"/>
  <c r="AC135" i="8"/>
  <c r="D79" i="23"/>
  <c r="D77" i="23"/>
  <c r="AC134" i="8"/>
  <c r="AC136" i="8"/>
  <c r="AC139" i="8" s="1"/>
  <c r="AC138" i="8"/>
  <c r="C79" i="23" l="1"/>
  <c r="C86" i="23" s="1"/>
  <c r="F37" i="2" s="1"/>
  <c r="D205" i="2"/>
  <c r="E204" i="2"/>
  <c r="AC114" i="15"/>
  <c r="E207" i="2" s="1"/>
  <c r="AC112" i="15"/>
  <c r="AE120" i="15"/>
  <c r="AD111" i="15"/>
  <c r="AC137" i="8"/>
  <c r="AC142" i="8" s="1"/>
  <c r="AC143" i="8" s="1"/>
  <c r="AC145" i="8" s="1"/>
  <c r="C80" i="23"/>
  <c r="C82" i="23"/>
  <c r="C83" i="23"/>
  <c r="D78" i="23"/>
  <c r="D86" i="23" s="1"/>
  <c r="G37" i="2" s="1"/>
  <c r="D80" i="23"/>
  <c r="D82" i="23"/>
  <c r="D83" i="23"/>
  <c r="D87" i="23" l="1"/>
  <c r="F204" i="2"/>
  <c r="C204" i="2" s="1"/>
  <c r="AD112" i="15"/>
  <c r="AD114" i="15"/>
  <c r="F207" i="2" s="1"/>
  <c r="C207" i="2" s="1"/>
  <c r="AF120" i="15"/>
  <c r="AF111" i="15" s="1"/>
  <c r="AE111" i="15"/>
  <c r="AC113" i="15"/>
  <c r="E206" i="2" s="1"/>
  <c r="E205" i="2"/>
  <c r="C205" i="2" s="1"/>
  <c r="C81" i="23"/>
  <c r="D81" i="23"/>
  <c r="K202" i="2"/>
  <c r="DK180" i="11"/>
  <c r="E84" i="18"/>
  <c r="C87" i="23" l="1"/>
  <c r="AF112" i="15"/>
  <c r="H204" i="2"/>
  <c r="AF114" i="15"/>
  <c r="H207" i="2" s="1"/>
  <c r="F205" i="2"/>
  <c r="AD113" i="15"/>
  <c r="F206" i="2" s="1"/>
  <c r="AE114" i="15"/>
  <c r="G207" i="2" s="1"/>
  <c r="G204" i="2"/>
  <c r="AE112" i="15"/>
  <c r="DG180" i="11"/>
  <c r="DE180" i="11"/>
  <c r="DJ180" i="11"/>
  <c r="DF180" i="11"/>
  <c r="DH180" i="11"/>
  <c r="DD180" i="11"/>
  <c r="E77" i="18" s="1"/>
  <c r="DI180" i="11"/>
  <c r="DE326" i="11"/>
  <c r="E82" i="18"/>
  <c r="E80" i="18" l="1"/>
  <c r="E78" i="18"/>
  <c r="E83" i="18"/>
  <c r="AH68" i="16"/>
  <c r="AH58" i="16" s="1"/>
  <c r="G205" i="2"/>
  <c r="AE113" i="15"/>
  <c r="G206" i="2" s="1"/>
  <c r="H205" i="2"/>
  <c r="AF113" i="15"/>
  <c r="H206" i="2" s="1"/>
  <c r="E79" i="18"/>
  <c r="E76" i="18"/>
  <c r="E75" i="18"/>
  <c r="BE174" i="11"/>
  <c r="BE175" i="11" s="1"/>
  <c r="BE176" i="11" s="1"/>
  <c r="BC165" i="11"/>
  <c r="BF165" i="11" s="1"/>
  <c r="BC162" i="11"/>
  <c r="BF162" i="11" s="1"/>
  <c r="J44" i="2" s="1"/>
  <c r="J47" i="2" l="1"/>
  <c r="C99" i="18"/>
  <c r="C96" i="18"/>
  <c r="BC135" i="11"/>
  <c r="BE326" i="11" s="1"/>
  <c r="BD481" i="11" s="1"/>
  <c r="BC175" i="11"/>
  <c r="BF175" i="11" s="1"/>
  <c r="BF157" i="11"/>
  <c r="J39" i="2" s="1"/>
  <c r="BC173" i="11"/>
  <c r="BF173" i="11" s="1"/>
  <c r="BC160" i="11"/>
  <c r="BF160" i="11" s="1"/>
  <c r="BC167" i="11"/>
  <c r="BF167" i="11" s="1"/>
  <c r="BC171" i="11"/>
  <c r="BF171" i="11" s="1"/>
  <c r="BC164" i="11"/>
  <c r="BF164" i="11" s="1"/>
  <c r="BC170" i="11"/>
  <c r="BF170" i="11" s="1"/>
  <c r="BF176" i="11"/>
  <c r="J58" i="2" s="1"/>
  <c r="BC168" i="11"/>
  <c r="BF168" i="11" s="1"/>
  <c r="BC166" i="11"/>
  <c r="BF166" i="11" s="1"/>
  <c r="BC169" i="11"/>
  <c r="BF169" i="11" s="1"/>
  <c r="BC159" i="11"/>
  <c r="BF159" i="11" s="1"/>
  <c r="BC172" i="11"/>
  <c r="BF172" i="11" s="1"/>
  <c r="BC161" i="11"/>
  <c r="BF161" i="11" s="1"/>
  <c r="BC174" i="11"/>
  <c r="BF174" i="11" s="1"/>
  <c r="J56" i="2" s="1"/>
  <c r="BC158" i="11"/>
  <c r="BF158" i="11" s="1"/>
  <c r="AK51" i="16" l="1"/>
  <c r="AK41" i="16" s="1"/>
  <c r="J54" i="2"/>
  <c r="C106" i="18"/>
  <c r="J53" i="2"/>
  <c r="C105" i="18"/>
  <c r="J41" i="2"/>
  <c r="C93" i="18"/>
  <c r="J42" i="2"/>
  <c r="C94" i="18"/>
  <c r="J49" i="2"/>
  <c r="AK54" i="16" s="1"/>
  <c r="AK44" i="16" s="1"/>
  <c r="C101" i="18"/>
  <c r="J48" i="2"/>
  <c r="AK52" i="16" s="1"/>
  <c r="AK42" i="16" s="1"/>
  <c r="C100" i="18"/>
  <c r="J55" i="2"/>
  <c r="C107" i="18"/>
  <c r="J50" i="2"/>
  <c r="C102" i="18"/>
  <c r="AK50" i="16"/>
  <c r="AK40" i="16" s="1"/>
  <c r="C91" i="18"/>
  <c r="AK55" i="16"/>
  <c r="AK45" i="16" s="1"/>
  <c r="C110" i="18"/>
  <c r="J57" i="2"/>
  <c r="C109" i="18"/>
  <c r="J51" i="2"/>
  <c r="C103" i="18"/>
  <c r="C108" i="18"/>
  <c r="J52" i="2"/>
  <c r="C104" i="18"/>
  <c r="J40" i="2"/>
  <c r="C92" i="18"/>
  <c r="J43" i="2"/>
  <c r="C95" i="18"/>
  <c r="J46" i="2"/>
  <c r="C98" i="18"/>
  <c r="BG481" i="11"/>
  <c r="BH482" i="11" s="1"/>
  <c r="BD477" i="11"/>
  <c r="BC192" i="11" s="1"/>
  <c r="L204" i="2" l="1"/>
  <c r="AK53" i="16"/>
  <c r="AK43" i="16" s="1"/>
  <c r="AC78" i="15" l="1"/>
  <c r="AH78" i="15" s="1"/>
  <c r="D21" i="2" s="1"/>
  <c r="P47" i="2"/>
  <c r="P44" i="2"/>
  <c r="AB41" i="16" s="1"/>
  <c r="AC75" i="15"/>
  <c r="AH75" i="15" s="1"/>
  <c r="P43" i="2"/>
  <c r="AC74" i="15"/>
  <c r="AH74" i="15" s="1"/>
  <c r="D17" i="2" s="1"/>
  <c r="AC88" i="15"/>
  <c r="AH88" i="15" s="1"/>
  <c r="D31" i="2" s="1"/>
  <c r="CC167" i="11"/>
  <c r="CF167" i="11" s="1"/>
  <c r="AC83" i="15" l="1"/>
  <c r="AH83" i="15" s="1"/>
  <c r="D26" i="2" s="1"/>
  <c r="AC87" i="15"/>
  <c r="AH87" i="15" s="1"/>
  <c r="D30" i="2" s="1"/>
  <c r="AC26" i="16" s="1"/>
  <c r="P42" i="2"/>
  <c r="AC72" i="15"/>
  <c r="AH72" i="15" s="1"/>
  <c r="D15" i="2" s="1"/>
  <c r="P57" i="2"/>
  <c r="AC77" i="15"/>
  <c r="AH77" i="15" s="1"/>
  <c r="D20" i="2" s="1"/>
  <c r="P54" i="2"/>
  <c r="P41" i="2"/>
  <c r="P53" i="2"/>
  <c r="AC73" i="15"/>
  <c r="AH73" i="15" s="1"/>
  <c r="D16" i="2" s="1"/>
  <c r="P52" i="2"/>
  <c r="AC71" i="15"/>
  <c r="AH71" i="15" s="1"/>
  <c r="D14" i="2" s="1"/>
  <c r="P46" i="2"/>
  <c r="AC81" i="15"/>
  <c r="AH81" i="15" s="1"/>
  <c r="D24" i="2" s="1"/>
  <c r="AC85" i="15"/>
  <c r="AH85" i="15" s="1"/>
  <c r="D28" i="2" s="1"/>
  <c r="P56" i="2"/>
  <c r="AC86" i="15"/>
  <c r="AH86" i="15" s="1"/>
  <c r="D29" i="2" s="1"/>
  <c r="K49" i="2"/>
  <c r="AL54" i="16" s="1"/>
  <c r="AL44" i="16" s="1"/>
  <c r="D101" i="18"/>
  <c r="D18" i="2"/>
  <c r="AC22" i="16" s="1"/>
  <c r="P48" i="2"/>
  <c r="AB42" i="16" s="1"/>
  <c r="AC79" i="15"/>
  <c r="AH79" i="15" s="1"/>
  <c r="P51" i="2"/>
  <c r="AB43" i="16" s="1"/>
  <c r="AC82" i="15"/>
  <c r="AH82" i="15" s="1"/>
  <c r="AC89" i="15"/>
  <c r="AH89" i="15" s="1"/>
  <c r="P58" i="2"/>
  <c r="AB45" i="16" s="1"/>
  <c r="P39" i="2"/>
  <c r="AB40" i="16" s="1"/>
  <c r="AC70" i="15"/>
  <c r="AH70" i="15" s="1"/>
  <c r="P49" i="2"/>
  <c r="AB44" i="16" s="1"/>
  <c r="AC80" i="15"/>
  <c r="AH80" i="15" s="1"/>
  <c r="CC157" i="11"/>
  <c r="CF157" i="11" s="1"/>
  <c r="D91" i="18" s="1"/>
  <c r="CC176" i="11"/>
  <c r="CC170" i="11"/>
  <c r="CF170" i="11" s="1"/>
  <c r="CC166" i="11"/>
  <c r="CF166" i="11" s="1"/>
  <c r="CC175" i="11"/>
  <c r="CC162" i="11"/>
  <c r="CF162" i="11" s="1"/>
  <c r="CC135" i="11"/>
  <c r="CC169" i="11"/>
  <c r="CF169" i="11" s="1"/>
  <c r="CC164" i="11"/>
  <c r="CF164" i="11" s="1"/>
  <c r="CC171" i="11"/>
  <c r="CF171" i="11" s="1"/>
  <c r="CC165" i="11"/>
  <c r="CF165" i="11" s="1"/>
  <c r="CC160" i="11"/>
  <c r="CF160" i="11" s="1"/>
  <c r="CC172" i="11"/>
  <c r="CF172" i="11" s="1"/>
  <c r="CC173" i="11"/>
  <c r="CF173" i="11" s="1"/>
  <c r="CC174" i="11"/>
  <c r="CC168" i="11"/>
  <c r="CF168" i="11" s="1"/>
  <c r="CC161" i="11"/>
  <c r="CF161" i="11" s="1"/>
  <c r="CC159" i="11"/>
  <c r="CF159" i="11" s="1"/>
  <c r="CC158" i="11"/>
  <c r="CF158" i="11" s="1"/>
  <c r="CE152" i="11"/>
  <c r="CE174" i="11" s="1"/>
  <c r="CE175" i="11" s="1"/>
  <c r="CE176" i="11" s="1"/>
  <c r="CE326" i="11" l="1"/>
  <c r="CC180" i="11"/>
  <c r="K41" i="2"/>
  <c r="D93" i="18"/>
  <c r="K55" i="2"/>
  <c r="D107" i="18"/>
  <c r="K44" i="2"/>
  <c r="AL51" i="16" s="1"/>
  <c r="AL41" i="16" s="1"/>
  <c r="D96" i="18"/>
  <c r="K43" i="2"/>
  <c r="D95" i="18"/>
  <c r="K51" i="2"/>
  <c r="AL53" i="16" s="1"/>
  <c r="AL43" i="16" s="1"/>
  <c r="D103" i="18"/>
  <c r="K54" i="2"/>
  <c r="D106" i="18"/>
  <c r="K42" i="2"/>
  <c r="D94" i="18"/>
  <c r="K48" i="2"/>
  <c r="AL52" i="16" s="1"/>
  <c r="AL42" i="16" s="1"/>
  <c r="D100" i="18"/>
  <c r="K46" i="2"/>
  <c r="D98" i="18"/>
  <c r="K50" i="2"/>
  <c r="D102" i="18"/>
  <c r="K40" i="2"/>
  <c r="D92" i="18"/>
  <c r="K47" i="2"/>
  <c r="D99" i="18"/>
  <c r="K52" i="2"/>
  <c r="D104" i="18"/>
  <c r="K53" i="2"/>
  <c r="D105" i="18"/>
  <c r="K39" i="2"/>
  <c r="CF176" i="11"/>
  <c r="CF174" i="11"/>
  <c r="D108" i="18" s="1"/>
  <c r="D25" i="2"/>
  <c r="AC24" i="16" s="1"/>
  <c r="D13" i="2"/>
  <c r="AC21" i="16" s="1"/>
  <c r="D22" i="2"/>
  <c r="AC23" i="16" s="1"/>
  <c r="D23" i="2"/>
  <c r="AC25" i="16" s="1"/>
  <c r="D32" i="2"/>
  <c r="AC27" i="16" s="1"/>
  <c r="CF175" i="11"/>
  <c r="CH180" i="11"/>
  <c r="CJ180" i="11"/>
  <c r="CE180" i="11"/>
  <c r="CD180" i="11"/>
  <c r="CG180" i="11"/>
  <c r="CI180" i="11"/>
  <c r="CF180" i="11"/>
  <c r="CC136" i="11"/>
  <c r="CE327" i="11" s="1"/>
  <c r="CD481" i="11" s="1"/>
  <c r="K57" i="2" l="1"/>
  <c r="D109" i="18"/>
  <c r="K58" i="2"/>
  <c r="AL55" i="16" s="1"/>
  <c r="AL45" i="16" s="1"/>
  <c r="D110" i="18"/>
  <c r="K56" i="2"/>
  <c r="D74" i="18"/>
  <c r="AL50" i="16"/>
  <c r="AL40" i="16" s="1"/>
  <c r="D72" i="18"/>
  <c r="D83" i="18"/>
  <c r="D73" i="18"/>
  <c r="CG481" i="11"/>
  <c r="CD477" i="11"/>
  <c r="CC192" i="11" s="1"/>
  <c r="D71" i="18"/>
  <c r="CH482" i="11" l="1"/>
  <c r="M204" i="2"/>
  <c r="Q43" i="2"/>
  <c r="AD74" i="15"/>
  <c r="AI74" i="15" s="1"/>
  <c r="E17" i="2" s="1"/>
  <c r="Q49" i="2"/>
  <c r="AC44" i="16" s="1"/>
  <c r="AD80" i="15"/>
  <c r="AI80" i="15" s="1"/>
  <c r="Q40" i="2"/>
  <c r="AD71" i="15"/>
  <c r="AI71" i="15" s="1"/>
  <c r="E14" i="2" s="1"/>
  <c r="AD84" i="15"/>
  <c r="AI84" i="15" s="1"/>
  <c r="E27" i="2" s="1"/>
  <c r="Q53" i="2"/>
  <c r="Q54" i="2"/>
  <c r="AD85" i="15"/>
  <c r="AI85" i="15" s="1"/>
  <c r="E28" i="2" s="1"/>
  <c r="Q47" i="2"/>
  <c r="AD78" i="15"/>
  <c r="AI78" i="15" s="1"/>
  <c r="E21" i="2" s="1"/>
  <c r="Q55" i="2"/>
  <c r="AD86" i="15"/>
  <c r="AI86" i="15" s="1"/>
  <c r="E29" i="2" s="1"/>
  <c r="AD81" i="15"/>
  <c r="AI81" i="15" s="1"/>
  <c r="E24" i="2" s="1"/>
  <c r="Q50" i="2"/>
  <c r="AD72" i="15"/>
  <c r="AI72" i="15" s="1"/>
  <c r="E15" i="2" s="1"/>
  <c r="Q41" i="2"/>
  <c r="Q52" i="2"/>
  <c r="AD83" i="15"/>
  <c r="AI83" i="15" s="1"/>
  <c r="E26" i="2" s="1"/>
  <c r="Q46" i="2"/>
  <c r="AD77" i="15"/>
  <c r="AI77" i="15" s="1"/>
  <c r="E20" i="2" s="1"/>
  <c r="Q39" i="2"/>
  <c r="AC40" i="16" s="1"/>
  <c r="AD70" i="15"/>
  <c r="AI70" i="15" s="1"/>
  <c r="Q42" i="2"/>
  <c r="AD73" i="15"/>
  <c r="AI73" i="15" s="1"/>
  <c r="E16" i="2" s="1"/>
  <c r="DC159" i="11"/>
  <c r="DF159" i="11" s="1"/>
  <c r="DC168" i="11"/>
  <c r="DF168" i="11" s="1"/>
  <c r="AD89" i="15" l="1"/>
  <c r="AI89" i="15" s="1"/>
  <c r="E32" i="2" s="1"/>
  <c r="AD27" i="16" s="1"/>
  <c r="L50" i="2"/>
  <c r="E102" i="18"/>
  <c r="L41" i="2"/>
  <c r="E93" i="18"/>
  <c r="Q56" i="2"/>
  <c r="AD88" i="15"/>
  <c r="AI88" i="15" s="1"/>
  <c r="E31" i="2" s="1"/>
  <c r="Q57" i="2"/>
  <c r="AD87" i="15"/>
  <c r="AI87" i="15" s="1"/>
  <c r="E30" i="2" s="1"/>
  <c r="AD26" i="16" s="1"/>
  <c r="E13" i="2"/>
  <c r="AD21" i="16" s="1"/>
  <c r="E23" i="2"/>
  <c r="AD25" i="16" s="1"/>
  <c r="Q51" i="2"/>
  <c r="AC43" i="16" s="1"/>
  <c r="AD82" i="15"/>
  <c r="AI82" i="15" s="1"/>
  <c r="AD79" i="15"/>
  <c r="AI79" i="15" s="1"/>
  <c r="Q48" i="2"/>
  <c r="AC42" i="16" s="1"/>
  <c r="Q44" i="2"/>
  <c r="AC41" i="16" s="1"/>
  <c r="AD75" i="15"/>
  <c r="AI75" i="15" s="1"/>
  <c r="DC176" i="11"/>
  <c r="DF176" i="11" s="1"/>
  <c r="E110" i="18" s="1"/>
  <c r="DC173" i="11"/>
  <c r="DF173" i="11" s="1"/>
  <c r="DC169" i="11"/>
  <c r="DF169" i="11" s="1"/>
  <c r="DC165" i="11"/>
  <c r="DF165" i="11" s="1"/>
  <c r="DC170" i="11"/>
  <c r="DF170" i="11" s="1"/>
  <c r="DC157" i="11"/>
  <c r="DF157" i="11" s="1"/>
  <c r="DC161" i="11"/>
  <c r="DF161" i="11" s="1"/>
  <c r="DC167" i="11"/>
  <c r="DF167" i="11" s="1"/>
  <c r="DC164" i="11"/>
  <c r="DF164" i="11" s="1"/>
  <c r="DC175" i="11"/>
  <c r="DF175" i="11" s="1"/>
  <c r="DC171" i="11"/>
  <c r="DF171" i="11" s="1"/>
  <c r="DC166" i="11"/>
  <c r="DF166" i="11" s="1"/>
  <c r="DF174" i="11"/>
  <c r="DC160" i="11"/>
  <c r="DF160" i="11" s="1"/>
  <c r="DC172" i="11"/>
  <c r="DF172" i="11" s="1"/>
  <c r="DC162" i="11"/>
  <c r="DF162" i="11" s="1"/>
  <c r="DC158" i="11"/>
  <c r="DF158" i="11" s="1"/>
  <c r="L48" i="2" l="1"/>
  <c r="AM52" i="16" s="1"/>
  <c r="AM42" i="16" s="1"/>
  <c r="E100" i="18"/>
  <c r="L56" i="2"/>
  <c r="E108" i="18"/>
  <c r="L53" i="2"/>
  <c r="E105" i="18"/>
  <c r="L47" i="2"/>
  <c r="E99" i="18"/>
  <c r="L43" i="2"/>
  <c r="E95" i="18"/>
  <c r="L51" i="2"/>
  <c r="AM53" i="16" s="1"/>
  <c r="AM43" i="16" s="1"/>
  <c r="E103" i="18"/>
  <c r="L52" i="2"/>
  <c r="E104" i="18"/>
  <c r="L40" i="2"/>
  <c r="E92" i="18"/>
  <c r="L46" i="2"/>
  <c r="E98" i="18"/>
  <c r="L55" i="2"/>
  <c r="E107" i="18"/>
  <c r="L42" i="2"/>
  <c r="E94" i="18"/>
  <c r="L57" i="2"/>
  <c r="E109" i="18"/>
  <c r="L44" i="2"/>
  <c r="AM51" i="16" s="1"/>
  <c r="AM41" i="16" s="1"/>
  <c r="E96" i="18"/>
  <c r="E119" i="18" s="1"/>
  <c r="L39" i="2"/>
  <c r="AM50" i="16" s="1"/>
  <c r="AM40" i="16" s="1"/>
  <c r="E91" i="18"/>
  <c r="L54" i="2"/>
  <c r="E106" i="18"/>
  <c r="L49" i="2"/>
  <c r="AM54" i="16" s="1"/>
  <c r="AM44" i="16" s="1"/>
  <c r="E101" i="18"/>
  <c r="L58" i="2"/>
  <c r="E18" i="2"/>
  <c r="AD22" i="16" s="1"/>
  <c r="E22" i="2"/>
  <c r="AD23" i="16" s="1"/>
  <c r="E25" i="2"/>
  <c r="AD24" i="16" s="1"/>
  <c r="DE327" i="11"/>
  <c r="AI55" i="21"/>
  <c r="D92" i="15" s="1"/>
  <c r="BI55" i="21"/>
  <c r="E92" i="15" s="1"/>
  <c r="CI55" i="21"/>
  <c r="F92" i="15" s="1"/>
  <c r="AI46" i="21"/>
  <c r="D83" i="15" s="1"/>
  <c r="BI46" i="21"/>
  <c r="E83" i="15" s="1"/>
  <c r="CI46" i="21"/>
  <c r="F83" i="15" s="1"/>
  <c r="AM55" i="16" l="1"/>
  <c r="AM45" i="16" s="1"/>
  <c r="DD481" i="11"/>
  <c r="CI52" i="21"/>
  <c r="F89" i="15" s="1"/>
  <c r="AI52" i="21"/>
  <c r="D89" i="15" s="1"/>
  <c r="BI52" i="21"/>
  <c r="E89" i="15" s="1"/>
  <c r="CI57" i="21"/>
  <c r="F94" i="15" s="1"/>
  <c r="BI57" i="21"/>
  <c r="E94" i="15" s="1"/>
  <c r="AI57" i="21"/>
  <c r="D94" i="15" s="1"/>
  <c r="BI47" i="21"/>
  <c r="E84" i="15" s="1"/>
  <c r="CI47" i="21"/>
  <c r="F84" i="15" s="1"/>
  <c r="AI47" i="21"/>
  <c r="D84" i="15" s="1"/>
  <c r="CI48" i="21"/>
  <c r="F85" i="15" s="1"/>
  <c r="BI48" i="21"/>
  <c r="E85" i="15" s="1"/>
  <c r="AI48" i="21"/>
  <c r="D85" i="15" s="1"/>
  <c r="BI59" i="21"/>
  <c r="E96" i="15" s="1"/>
  <c r="CI59" i="21"/>
  <c r="F96" i="15" s="1"/>
  <c r="AI59" i="21"/>
  <c r="D96" i="15" s="1"/>
  <c r="AI45" i="21"/>
  <c r="D82" i="15" s="1"/>
  <c r="BI45" i="21"/>
  <c r="E82" i="15" s="1"/>
  <c r="CI45" i="21"/>
  <c r="F82" i="15" s="1"/>
  <c r="AI58" i="21"/>
  <c r="D95" i="15" s="1"/>
  <c r="CI58" i="21"/>
  <c r="F95" i="15" s="1"/>
  <c r="BI58" i="21"/>
  <c r="E95" i="15" s="1"/>
  <c r="CI61" i="21"/>
  <c r="F98" i="15" s="1"/>
  <c r="AI61" i="21"/>
  <c r="D98" i="15" s="1"/>
  <c r="BI61" i="21"/>
  <c r="E98" i="15" s="1"/>
  <c r="AI51" i="21"/>
  <c r="D88" i="15" s="1"/>
  <c r="CI51" i="21"/>
  <c r="F88" i="15" s="1"/>
  <c r="BI51" i="21"/>
  <c r="E88" i="15" s="1"/>
  <c r="CI62" i="21"/>
  <c r="F99" i="15" s="1"/>
  <c r="AI62" i="21"/>
  <c r="D99" i="15" s="1"/>
  <c r="BI62" i="21"/>
  <c r="E99" i="15" s="1"/>
  <c r="AI63" i="21"/>
  <c r="D100" i="15" s="1"/>
  <c r="CI63" i="21"/>
  <c r="F100" i="15" s="1"/>
  <c r="BI63" i="21"/>
  <c r="E100" i="15" s="1"/>
  <c r="CI60" i="21"/>
  <c r="F97" i="15" s="1"/>
  <c r="AI60" i="21"/>
  <c r="D97" i="15" s="1"/>
  <c r="BI60" i="21"/>
  <c r="E97" i="15" s="1"/>
  <c r="DG481" i="11" l="1"/>
  <c r="N204" i="2" s="1"/>
  <c r="K204" i="2" s="1"/>
  <c r="DD477" i="11"/>
  <c r="DC192" i="11" s="1"/>
  <c r="AI54" i="21"/>
  <c r="D91" i="15" s="1"/>
  <c r="CI54" i="21"/>
  <c r="F91" i="15" s="1"/>
  <c r="BI54" i="21"/>
  <c r="E91" i="15" s="1"/>
  <c r="BI53" i="21"/>
  <c r="E90" i="15" s="1"/>
  <c r="CI53" i="21"/>
  <c r="F90" i="15" s="1"/>
  <c r="AI53" i="21"/>
  <c r="D90" i="15" s="1"/>
  <c r="AI49" i="21"/>
  <c r="D86" i="15" s="1"/>
  <c r="CI49" i="21"/>
  <c r="F86" i="15" s="1"/>
  <c r="BI49" i="21"/>
  <c r="E86" i="15" s="1"/>
  <c r="BI44" i="21"/>
  <c r="E81" i="15" s="1"/>
  <c r="AI44" i="21"/>
  <c r="D81" i="15" s="1"/>
  <c r="CI44" i="21"/>
  <c r="F81" i="15" s="1"/>
  <c r="BI56" i="21"/>
  <c r="E93" i="15" s="1"/>
  <c r="CI56" i="21"/>
  <c r="F93" i="15" s="1"/>
  <c r="AI56" i="21"/>
  <c r="D93" i="15" s="1"/>
  <c r="DH482" i="11" l="1"/>
  <c r="C74" i="24" l="1"/>
  <c r="AC184" i="24" s="1"/>
  <c r="AL184" i="24" l="1"/>
  <c r="AD458" i="24" s="1"/>
  <c r="AK184" i="24"/>
  <c r="AC334" i="24"/>
  <c r="AC179" i="24" l="1"/>
  <c r="K59" i="2"/>
  <c r="D61" i="18" s="1"/>
  <c r="J59" i="2"/>
  <c r="C61" i="18" s="1"/>
  <c r="AH179" i="24"/>
  <c r="AG179" i="24"/>
  <c r="AI179" i="24"/>
  <c r="AJ179" i="24"/>
  <c r="AF179" i="24"/>
  <c r="AE179" i="24"/>
  <c r="AD179" i="24"/>
  <c r="BC181" i="11"/>
  <c r="G85" i="18" s="1"/>
  <c r="BD181" i="11"/>
  <c r="G71" i="18" s="1"/>
  <c r="BE181" i="11"/>
  <c r="G72" i="18" s="1"/>
  <c r="BF181" i="11"/>
  <c r="BG181" i="11"/>
  <c r="BH181" i="11"/>
  <c r="BI181" i="11"/>
  <c r="C119" i="18" l="1"/>
  <c r="C122" i="18"/>
  <c r="C114" i="18"/>
  <c r="C127" i="18"/>
  <c r="C131" i="18"/>
  <c r="C129" i="18"/>
  <c r="C123" i="18"/>
  <c r="C125" i="18"/>
  <c r="C130" i="18"/>
  <c r="C133" i="18"/>
  <c r="C128" i="18"/>
  <c r="C117" i="18"/>
  <c r="C121" i="18"/>
  <c r="C132" i="18"/>
  <c r="C124" i="18"/>
  <c r="C115" i="18"/>
  <c r="C116" i="18"/>
  <c r="C118" i="18"/>
  <c r="C126" i="18"/>
  <c r="CC181" i="11"/>
  <c r="CD181" i="11"/>
  <c r="CE181" i="11"/>
  <c r="CF181" i="11"/>
  <c r="CG181" i="11"/>
  <c r="CH181" i="11"/>
  <c r="CI181" i="11"/>
  <c r="CJ181" i="11"/>
  <c r="CK181" i="11"/>
  <c r="AB48" i="21" l="1"/>
  <c r="AG48" i="21" s="1"/>
  <c r="D13" i="15" s="1"/>
  <c r="BB48" i="21"/>
  <c r="BG48" i="21" s="1"/>
  <c r="E13" i="15" s="1"/>
  <c r="CB48" i="21"/>
  <c r="CG48" i="21" s="1"/>
  <c r="F13" i="15" s="1"/>
  <c r="EB48" i="21"/>
  <c r="EG48" i="21" s="1"/>
  <c r="H13" i="15" s="1"/>
  <c r="FB48" i="21"/>
  <c r="FG48" i="21" s="1"/>
  <c r="C13" i="15" s="1"/>
  <c r="DB48" i="21"/>
  <c r="DG48" i="21" s="1"/>
  <c r="G13" i="15" s="1"/>
  <c r="AB45" i="21"/>
  <c r="AG45" i="21" s="1"/>
  <c r="D10" i="15" s="1"/>
  <c r="DB45" i="21"/>
  <c r="DG45" i="21" s="1"/>
  <c r="G10" i="15" s="1"/>
  <c r="P40" i="2" s="1"/>
  <c r="BB45" i="21"/>
  <c r="BG45" i="21" s="1"/>
  <c r="E10" i="15" s="1"/>
  <c r="CB45" i="21"/>
  <c r="CG45" i="21" s="1"/>
  <c r="F10" i="15" s="1"/>
  <c r="FB45" i="21"/>
  <c r="FG45" i="21" s="1"/>
  <c r="C10" i="15" s="1"/>
  <c r="EB45" i="21"/>
  <c r="EG45" i="21" s="1"/>
  <c r="H10" i="15" s="1"/>
  <c r="AQ52" i="16"/>
  <c r="AQ42" i="16" s="1"/>
  <c r="EB53" i="21"/>
  <c r="EG53" i="21" s="1"/>
  <c r="H18" i="15" s="1"/>
  <c r="FB53" i="21"/>
  <c r="FG53" i="21" s="1"/>
  <c r="C18" i="15" s="1"/>
  <c r="AB53" i="21"/>
  <c r="AG53" i="21" s="1"/>
  <c r="D18" i="15" s="1"/>
  <c r="BB53" i="21"/>
  <c r="BG53" i="21" s="1"/>
  <c r="E18" i="15" s="1"/>
  <c r="CB53" i="21"/>
  <c r="CG53" i="21" s="1"/>
  <c r="F18" i="15" s="1"/>
  <c r="DB53" i="21"/>
  <c r="DG53" i="21" s="1"/>
  <c r="G18" i="15" s="1"/>
  <c r="DB56" i="21"/>
  <c r="DG56" i="21" s="1"/>
  <c r="G21" i="15" s="1"/>
  <c r="AB56" i="21"/>
  <c r="AG56" i="21" s="1"/>
  <c r="D21" i="15" s="1"/>
  <c r="BB56" i="21"/>
  <c r="BG56" i="21" s="1"/>
  <c r="E21" i="15" s="1"/>
  <c r="CB56" i="21"/>
  <c r="CG56" i="21" s="1"/>
  <c r="F21" i="15" s="1"/>
  <c r="AQ53" i="16"/>
  <c r="AQ43" i="16" s="1"/>
  <c r="EB56" i="21"/>
  <c r="EG56" i="21" s="1"/>
  <c r="H21" i="15" s="1"/>
  <c r="FB56" i="21"/>
  <c r="FG56" i="21" s="1"/>
  <c r="C21" i="15" s="1"/>
  <c r="EB51" i="21"/>
  <c r="EG51" i="21" s="1"/>
  <c r="H16" i="15" s="1"/>
  <c r="AB51" i="21"/>
  <c r="AG51" i="21" s="1"/>
  <c r="D16" i="15" s="1"/>
  <c r="BB51" i="21"/>
  <c r="BG51" i="21" s="1"/>
  <c r="E16" i="15" s="1"/>
  <c r="DB51" i="21"/>
  <c r="DG51" i="21" s="1"/>
  <c r="G16" i="15" s="1"/>
  <c r="FB51" i="21"/>
  <c r="FG51" i="21" s="1"/>
  <c r="C16" i="15" s="1"/>
  <c r="CB51" i="21"/>
  <c r="CG51" i="21" s="1"/>
  <c r="F16" i="15" s="1"/>
  <c r="FB60" i="21"/>
  <c r="FG60" i="21" s="1"/>
  <c r="C25" i="15" s="1"/>
  <c r="AB60" i="21"/>
  <c r="AG60" i="21" s="1"/>
  <c r="D25" i="15" s="1"/>
  <c r="EB60" i="21"/>
  <c r="EG60" i="21" s="1"/>
  <c r="H25" i="15" s="1"/>
  <c r="DB60" i="21"/>
  <c r="DG60" i="21" s="1"/>
  <c r="G25" i="15" s="1"/>
  <c r="P55" i="2" s="1"/>
  <c r="CB60" i="21"/>
  <c r="CG60" i="21" s="1"/>
  <c r="F25" i="15" s="1"/>
  <c r="BB60" i="21"/>
  <c r="BG60" i="21" s="1"/>
  <c r="E25" i="15" s="1"/>
  <c r="EB57" i="21"/>
  <c r="EG57" i="21" s="1"/>
  <c r="H22" i="15" s="1"/>
  <c r="DB57" i="21"/>
  <c r="DG57" i="21" s="1"/>
  <c r="G22" i="15" s="1"/>
  <c r="CB57" i="21"/>
  <c r="CG57" i="21" s="1"/>
  <c r="F22" i="15" s="1"/>
  <c r="BB57" i="21"/>
  <c r="BG57" i="21" s="1"/>
  <c r="E22" i="15" s="1"/>
  <c r="FB57" i="21"/>
  <c r="FG57" i="21" s="1"/>
  <c r="C22" i="15" s="1"/>
  <c r="AB57" i="21"/>
  <c r="AG57" i="21" s="1"/>
  <c r="D22" i="15" s="1"/>
  <c r="FB46" i="21"/>
  <c r="FG46" i="21" s="1"/>
  <c r="C11" i="15" s="1"/>
  <c r="DB46" i="21"/>
  <c r="DG46" i="21" s="1"/>
  <c r="G11" i="15" s="1"/>
  <c r="BB46" i="21"/>
  <c r="BG46" i="21" s="1"/>
  <c r="E11" i="15" s="1"/>
  <c r="AB46" i="21"/>
  <c r="AG46" i="21" s="1"/>
  <c r="D11" i="15" s="1"/>
  <c r="CB46" i="21"/>
  <c r="CG46" i="21" s="1"/>
  <c r="F11" i="15" s="1"/>
  <c r="EB46" i="21"/>
  <c r="EG46" i="21" s="1"/>
  <c r="H11" i="15" s="1"/>
  <c r="FB47" i="21"/>
  <c r="FG47" i="21" s="1"/>
  <c r="C12" i="15" s="1"/>
  <c r="EB47" i="21"/>
  <c r="EG47" i="21" s="1"/>
  <c r="H12" i="15" s="1"/>
  <c r="AB47" i="21"/>
  <c r="AG47" i="21" s="1"/>
  <c r="D12" i="15" s="1"/>
  <c r="CB47" i="21"/>
  <c r="CG47" i="21" s="1"/>
  <c r="F12" i="15" s="1"/>
  <c r="DB47" i="21"/>
  <c r="DG47" i="21" s="1"/>
  <c r="G12" i="15" s="1"/>
  <c r="BB47" i="21"/>
  <c r="BG47" i="21" s="1"/>
  <c r="E12" i="15" s="1"/>
  <c r="AB55" i="21"/>
  <c r="AG55" i="21" s="1"/>
  <c r="D20" i="15" s="1"/>
  <c r="EB55" i="21"/>
  <c r="EG55" i="21" s="1"/>
  <c r="H20" i="15" s="1"/>
  <c r="BB55" i="21"/>
  <c r="BG55" i="21" s="1"/>
  <c r="E20" i="15" s="1"/>
  <c r="FB55" i="21"/>
  <c r="FG55" i="21" s="1"/>
  <c r="C20" i="15" s="1"/>
  <c r="DB55" i="21"/>
  <c r="DG55" i="21" s="1"/>
  <c r="G20" i="15" s="1"/>
  <c r="P50" i="2" s="1"/>
  <c r="CB55" i="21"/>
  <c r="CG55" i="21" s="1"/>
  <c r="F20" i="15" s="1"/>
  <c r="BB44" i="21"/>
  <c r="BG44" i="21" s="1"/>
  <c r="E9" i="15" s="1"/>
  <c r="CB44" i="21"/>
  <c r="CG44" i="21" s="1"/>
  <c r="F9" i="15" s="1"/>
  <c r="DB44" i="21"/>
  <c r="DG44" i="21" s="1"/>
  <c r="G9" i="15" s="1"/>
  <c r="EB44" i="21"/>
  <c r="EG44" i="21" s="1"/>
  <c r="H9" i="15" s="1"/>
  <c r="FB44" i="21"/>
  <c r="FG44" i="21" s="1"/>
  <c r="C9" i="15" s="1"/>
  <c r="AB44" i="21"/>
  <c r="AG44" i="21" s="1"/>
  <c r="D9" i="15" s="1"/>
  <c r="AQ50" i="16"/>
  <c r="AQ40" i="16" s="1"/>
  <c r="CB54" i="21"/>
  <c r="CG54" i="21" s="1"/>
  <c r="F19" i="15" s="1"/>
  <c r="DB54" i="21"/>
  <c r="DG54" i="21" s="1"/>
  <c r="G19" i="15" s="1"/>
  <c r="FB54" i="21"/>
  <c r="FG54" i="21" s="1"/>
  <c r="C19" i="15" s="1"/>
  <c r="EB54" i="21"/>
  <c r="EG54" i="21" s="1"/>
  <c r="H19" i="15" s="1"/>
  <c r="AB54" i="21"/>
  <c r="AG54" i="21" s="1"/>
  <c r="D19" i="15" s="1"/>
  <c r="BB54" i="21"/>
  <c r="BG54" i="21" s="1"/>
  <c r="E19" i="15" s="1"/>
  <c r="AQ54" i="16"/>
  <c r="AQ44" i="16" s="1"/>
  <c r="EB58" i="21"/>
  <c r="EG58" i="21" s="1"/>
  <c r="H23" i="15" s="1"/>
  <c r="CB58" i="21"/>
  <c r="CG58" i="21" s="1"/>
  <c r="F23" i="15" s="1"/>
  <c r="FB58" i="21"/>
  <c r="FG58" i="21" s="1"/>
  <c r="C23" i="15" s="1"/>
  <c r="DB58" i="21"/>
  <c r="DG58" i="21" s="1"/>
  <c r="G23" i="15" s="1"/>
  <c r="AC84" i="15" s="1"/>
  <c r="AH84" i="15" s="1"/>
  <c r="D27" i="2" s="1"/>
  <c r="AB58" i="21"/>
  <c r="AG58" i="21" s="1"/>
  <c r="D23" i="15" s="1"/>
  <c r="BB58" i="21"/>
  <c r="BG58" i="21" s="1"/>
  <c r="E23" i="15" s="1"/>
  <c r="CB61" i="21"/>
  <c r="CG61" i="21" s="1"/>
  <c r="F26" i="15" s="1"/>
  <c r="EB61" i="21"/>
  <c r="EG61" i="21" s="1"/>
  <c r="H26" i="15" s="1"/>
  <c r="FB61" i="21"/>
  <c r="FG61" i="21" s="1"/>
  <c r="C26" i="15" s="1"/>
  <c r="DB61" i="21"/>
  <c r="DG61" i="21" s="1"/>
  <c r="G26" i="15" s="1"/>
  <c r="AB61" i="21"/>
  <c r="AG61" i="21" s="1"/>
  <c r="D26" i="15" s="1"/>
  <c r="BB61" i="21"/>
  <c r="BG61" i="21" s="1"/>
  <c r="E26" i="15" s="1"/>
  <c r="CB52" i="21"/>
  <c r="CG52" i="21" s="1"/>
  <c r="F17" i="15" s="1"/>
  <c r="EB52" i="21"/>
  <c r="EG52" i="21" s="1"/>
  <c r="H17" i="15" s="1"/>
  <c r="FB52" i="21"/>
  <c r="FG52" i="21" s="1"/>
  <c r="C17" i="15" s="1"/>
  <c r="AB52" i="21"/>
  <c r="AG52" i="21" s="1"/>
  <c r="D17" i="15" s="1"/>
  <c r="DB52" i="21"/>
  <c r="DG52" i="21" s="1"/>
  <c r="G17" i="15" s="1"/>
  <c r="BB52" i="21"/>
  <c r="BG52" i="21" s="1"/>
  <c r="E17" i="15" s="1"/>
  <c r="EB62" i="21"/>
  <c r="EG62" i="21" s="1"/>
  <c r="H27" i="15" s="1"/>
  <c r="DB62" i="21"/>
  <c r="DG62" i="21" s="1"/>
  <c r="G27" i="15" s="1"/>
  <c r="AB62" i="21"/>
  <c r="AG62" i="21" s="1"/>
  <c r="D27" i="15" s="1"/>
  <c r="BB62" i="21"/>
  <c r="BG62" i="21" s="1"/>
  <c r="E27" i="15" s="1"/>
  <c r="FB62" i="21"/>
  <c r="FG62" i="21" s="1"/>
  <c r="C27" i="15" s="1"/>
  <c r="CB62" i="21"/>
  <c r="CG62" i="21" s="1"/>
  <c r="F27" i="15" s="1"/>
  <c r="AQ55" i="16"/>
  <c r="AQ45" i="16" s="1"/>
  <c r="FB63" i="21"/>
  <c r="FG63" i="21" s="1"/>
  <c r="C28" i="15" s="1"/>
  <c r="EB63" i="21"/>
  <c r="EG63" i="21" s="1"/>
  <c r="H28" i="15" s="1"/>
  <c r="CB63" i="21"/>
  <c r="CG63" i="21" s="1"/>
  <c r="F28" i="15" s="1"/>
  <c r="BB63" i="21"/>
  <c r="BG63" i="21" s="1"/>
  <c r="E28" i="15" s="1"/>
  <c r="DB63" i="21"/>
  <c r="DG63" i="21" s="1"/>
  <c r="G28" i="15" s="1"/>
  <c r="AB63" i="21"/>
  <c r="AG63" i="21" s="1"/>
  <c r="D28" i="15" s="1"/>
  <c r="EB59" i="21"/>
  <c r="EG59" i="21" s="1"/>
  <c r="H24" i="15" s="1"/>
  <c r="FB59" i="21"/>
  <c r="FG59" i="21" s="1"/>
  <c r="C24" i="15" s="1"/>
  <c r="BB59" i="21"/>
  <c r="BG59" i="21" s="1"/>
  <c r="E24" i="15" s="1"/>
  <c r="CB59" i="21"/>
  <c r="CG59" i="21" s="1"/>
  <c r="F24" i="15" s="1"/>
  <c r="DB59" i="21"/>
  <c r="DG59" i="21" s="1"/>
  <c r="G24" i="15" s="1"/>
  <c r="AB59" i="21"/>
  <c r="AG59" i="21" s="1"/>
  <c r="D24" i="15" s="1"/>
  <c r="EB49" i="21"/>
  <c r="EG49" i="21" s="1"/>
  <c r="H14" i="15" s="1"/>
  <c r="FB49" i="21"/>
  <c r="FG49" i="21" s="1"/>
  <c r="C14" i="15" s="1"/>
  <c r="AQ51" i="16"/>
  <c r="AQ41" i="16" s="1"/>
  <c r="CB49" i="21"/>
  <c r="CG49" i="21" s="1"/>
  <c r="F14" i="15" s="1"/>
  <c r="BB49" i="21"/>
  <c r="BG49" i="21" s="1"/>
  <c r="E14" i="15" s="1"/>
  <c r="AB49" i="21"/>
  <c r="AG49" i="21" s="1"/>
  <c r="D14" i="15" s="1"/>
  <c r="DB49" i="21"/>
  <c r="DG49" i="21" s="1"/>
  <c r="G14" i="15" s="1"/>
  <c r="H74" i="18"/>
  <c r="H72" i="18"/>
  <c r="H73" i="18"/>
  <c r="H71" i="18"/>
  <c r="H83" i="18"/>
  <c r="D114" i="18" l="1"/>
  <c r="D124" i="18"/>
  <c r="D129" i="18"/>
  <c r="D127" i="18"/>
  <c r="D118" i="18"/>
  <c r="D128" i="18"/>
  <c r="D115" i="18"/>
  <c r="D131" i="18"/>
  <c r="D132" i="18"/>
  <c r="D125" i="18"/>
  <c r="D122" i="18"/>
  <c r="D117" i="18"/>
  <c r="D126" i="18"/>
  <c r="D116" i="18"/>
  <c r="D119" i="18"/>
  <c r="D130" i="18"/>
  <c r="D123" i="18"/>
  <c r="D121" i="18"/>
  <c r="D133" i="18"/>
  <c r="CC195" i="11"/>
  <c r="DC55" i="21" l="1"/>
  <c r="DH55" i="21" s="1"/>
  <c r="G44" i="15" s="1"/>
  <c r="EC55" i="21"/>
  <c r="EH55" i="21" s="1"/>
  <c r="H44" i="15" s="1"/>
  <c r="BC55" i="21"/>
  <c r="BH55" i="21" s="1"/>
  <c r="E44" i="15" s="1"/>
  <c r="FC55" i="21"/>
  <c r="FH55" i="21" s="1"/>
  <c r="C44" i="15" s="1"/>
  <c r="AC55" i="21"/>
  <c r="AH55" i="21" s="1"/>
  <c r="D44" i="15" s="1"/>
  <c r="CC55" i="21"/>
  <c r="CH55" i="21" s="1"/>
  <c r="F44" i="15" s="1"/>
  <c r="BC53" i="21"/>
  <c r="BH53" i="21" s="1"/>
  <c r="E42" i="15" s="1"/>
  <c r="AR52" i="16"/>
  <c r="AR42" i="16" s="1"/>
  <c r="CC53" i="21"/>
  <c r="CH53" i="21" s="1"/>
  <c r="F42" i="15" s="1"/>
  <c r="AC53" i="21"/>
  <c r="AH53" i="21" s="1"/>
  <c r="D42" i="15" s="1"/>
  <c r="DC53" i="21"/>
  <c r="DH53" i="21" s="1"/>
  <c r="G42" i="15" s="1"/>
  <c r="FC53" i="21"/>
  <c r="FH53" i="21" s="1"/>
  <c r="C42" i="15" s="1"/>
  <c r="EC53" i="21"/>
  <c r="EH53" i="21" s="1"/>
  <c r="H42" i="15" s="1"/>
  <c r="EC56" i="21"/>
  <c r="EH56" i="21" s="1"/>
  <c r="H45" i="15" s="1"/>
  <c r="AC56" i="21"/>
  <c r="AH56" i="21" s="1"/>
  <c r="D45" i="15" s="1"/>
  <c r="BC56" i="21"/>
  <c r="BH56" i="21" s="1"/>
  <c r="E45" i="15" s="1"/>
  <c r="DC56" i="21"/>
  <c r="DH56" i="21" s="1"/>
  <c r="G45" i="15" s="1"/>
  <c r="CC56" i="21"/>
  <c r="CH56" i="21" s="1"/>
  <c r="F45" i="15" s="1"/>
  <c r="AR53" i="16"/>
  <c r="AR43" i="16" s="1"/>
  <c r="FC56" i="21"/>
  <c r="FH56" i="21" s="1"/>
  <c r="C45" i="15" s="1"/>
  <c r="FC45" i="21"/>
  <c r="FH45" i="21" s="1"/>
  <c r="C34" i="15" s="1"/>
  <c r="CC45" i="21"/>
  <c r="CH45" i="21" s="1"/>
  <c r="F34" i="15" s="1"/>
  <c r="DC45" i="21"/>
  <c r="DH45" i="21" s="1"/>
  <c r="G34" i="15" s="1"/>
  <c r="EC45" i="21"/>
  <c r="EH45" i="21" s="1"/>
  <c r="H34" i="15" s="1"/>
  <c r="AC45" i="21"/>
  <c r="AH45" i="21" s="1"/>
  <c r="D34" i="15" s="1"/>
  <c r="BC45" i="21"/>
  <c r="BH45" i="21" s="1"/>
  <c r="E34" i="15" s="1"/>
  <c r="DC51" i="21"/>
  <c r="DH51" i="21" s="1"/>
  <c r="G40" i="15" s="1"/>
  <c r="EC51" i="21"/>
  <c r="EH51" i="21" s="1"/>
  <c r="H40" i="15" s="1"/>
  <c r="BC51" i="21"/>
  <c r="BH51" i="21" s="1"/>
  <c r="E40" i="15" s="1"/>
  <c r="FC51" i="21"/>
  <c r="FH51" i="21" s="1"/>
  <c r="C40" i="15" s="1"/>
  <c r="CC51" i="21"/>
  <c r="CH51" i="21" s="1"/>
  <c r="F40" i="15" s="1"/>
  <c r="AC51" i="21"/>
  <c r="AH51" i="21" s="1"/>
  <c r="D40" i="15" s="1"/>
  <c r="DC49" i="21"/>
  <c r="DH49" i="21" s="1"/>
  <c r="G38" i="15" s="1"/>
  <c r="FC49" i="21"/>
  <c r="FH49" i="21" s="1"/>
  <c r="C38" i="15" s="1"/>
  <c r="AR51" i="16"/>
  <c r="AR41" i="16" s="1"/>
  <c r="AC49" i="21"/>
  <c r="AH49" i="21" s="1"/>
  <c r="D38" i="15" s="1"/>
  <c r="CC49" i="21"/>
  <c r="CH49" i="21" s="1"/>
  <c r="F38" i="15" s="1"/>
  <c r="EC49" i="21"/>
  <c r="EH49" i="21" s="1"/>
  <c r="H38" i="15" s="1"/>
  <c r="BC49" i="21"/>
  <c r="BH49" i="21" s="1"/>
  <c r="E38" i="15" s="1"/>
  <c r="EC52" i="21"/>
  <c r="EH52" i="21" s="1"/>
  <c r="H41" i="15" s="1"/>
  <c r="CC52" i="21"/>
  <c r="CH52" i="21" s="1"/>
  <c r="F41" i="15" s="1"/>
  <c r="AC52" i="21"/>
  <c r="AH52" i="21" s="1"/>
  <c r="D41" i="15" s="1"/>
  <c r="FC52" i="21"/>
  <c r="FH52" i="21" s="1"/>
  <c r="C41" i="15" s="1"/>
  <c r="DC52" i="21"/>
  <c r="DH52" i="21" s="1"/>
  <c r="G41" i="15" s="1"/>
  <c r="BC52" i="21"/>
  <c r="BH52" i="21" s="1"/>
  <c r="E41" i="15" s="1"/>
  <c r="CC48" i="21"/>
  <c r="CH48" i="21" s="1"/>
  <c r="F37" i="15" s="1"/>
  <c r="DC48" i="21"/>
  <c r="DH48" i="21" s="1"/>
  <c r="G37" i="15" s="1"/>
  <c r="AC48" i="21"/>
  <c r="AH48" i="21" s="1"/>
  <c r="D37" i="15" s="1"/>
  <c r="BC48" i="21"/>
  <c r="BH48" i="21" s="1"/>
  <c r="E37" i="15" s="1"/>
  <c r="EC48" i="21"/>
  <c r="EH48" i="21" s="1"/>
  <c r="H37" i="15" s="1"/>
  <c r="FC48" i="21"/>
  <c r="FH48" i="21" s="1"/>
  <c r="C37" i="15" s="1"/>
  <c r="AC63" i="21"/>
  <c r="AH63" i="21" s="1"/>
  <c r="D52" i="15" s="1"/>
  <c r="CC63" i="21"/>
  <c r="CH63" i="21" s="1"/>
  <c r="F52" i="15" s="1"/>
  <c r="EC63" i="21"/>
  <c r="EH63" i="21" s="1"/>
  <c r="H52" i="15" s="1"/>
  <c r="DC63" i="21"/>
  <c r="DH63" i="21" s="1"/>
  <c r="G52" i="15" s="1"/>
  <c r="Q58" i="2" s="1"/>
  <c r="AC45" i="16" s="1"/>
  <c r="BC63" i="21"/>
  <c r="BH63" i="21" s="1"/>
  <c r="E52" i="15" s="1"/>
  <c r="FC63" i="21"/>
  <c r="FH63" i="21" s="1"/>
  <c r="C52" i="15" s="1"/>
  <c r="AR55" i="16"/>
  <c r="AR45" i="16" s="1"/>
  <c r="AC46" i="21"/>
  <c r="AH46" i="21" s="1"/>
  <c r="D35" i="15" s="1"/>
  <c r="BC46" i="21"/>
  <c r="BH46" i="21" s="1"/>
  <c r="E35" i="15" s="1"/>
  <c r="FC46" i="21"/>
  <c r="FH46" i="21" s="1"/>
  <c r="C35" i="15" s="1"/>
  <c r="EC46" i="21"/>
  <c r="EH46" i="21" s="1"/>
  <c r="H35" i="15" s="1"/>
  <c r="CC46" i="21"/>
  <c r="CH46" i="21" s="1"/>
  <c r="F35" i="15" s="1"/>
  <c r="DC46" i="21"/>
  <c r="DH46" i="21" s="1"/>
  <c r="G35" i="15" s="1"/>
  <c r="CC62" i="21"/>
  <c r="CH62" i="21" s="1"/>
  <c r="F51" i="15" s="1"/>
  <c r="BC62" i="21"/>
  <c r="BH62" i="21" s="1"/>
  <c r="E51" i="15" s="1"/>
  <c r="DC62" i="21"/>
  <c r="DH62" i="21" s="1"/>
  <c r="G51" i="15" s="1"/>
  <c r="EC62" i="21"/>
  <c r="EH62" i="21" s="1"/>
  <c r="H51" i="15" s="1"/>
  <c r="FC62" i="21"/>
  <c r="FH62" i="21" s="1"/>
  <c r="C51" i="15" s="1"/>
  <c r="AC62" i="21"/>
  <c r="AH62" i="21" s="1"/>
  <c r="D51" i="15" s="1"/>
  <c r="DC58" i="21"/>
  <c r="DH58" i="21" s="1"/>
  <c r="G47" i="15" s="1"/>
  <c r="CC58" i="21"/>
  <c r="CH58" i="21" s="1"/>
  <c r="F47" i="15" s="1"/>
  <c r="AC58" i="21"/>
  <c r="AH58" i="21" s="1"/>
  <c r="D47" i="15" s="1"/>
  <c r="FC58" i="21"/>
  <c r="FH58" i="21" s="1"/>
  <c r="C47" i="15" s="1"/>
  <c r="EC58" i="21"/>
  <c r="EH58" i="21" s="1"/>
  <c r="H47" i="15" s="1"/>
  <c r="BC58" i="21"/>
  <c r="BH58" i="21" s="1"/>
  <c r="E47" i="15" s="1"/>
  <c r="AR54" i="16"/>
  <c r="AR44" i="16" s="1"/>
  <c r="BC54" i="21"/>
  <c r="BH54" i="21" s="1"/>
  <c r="E43" i="15" s="1"/>
  <c r="FC54" i="21"/>
  <c r="FH54" i="21" s="1"/>
  <c r="C43" i="15" s="1"/>
  <c r="DC54" i="21"/>
  <c r="DH54" i="21" s="1"/>
  <c r="G43" i="15" s="1"/>
  <c r="AC54" i="21"/>
  <c r="AH54" i="21" s="1"/>
  <c r="D43" i="15" s="1"/>
  <c r="EC54" i="21"/>
  <c r="EH54" i="21" s="1"/>
  <c r="H43" i="15" s="1"/>
  <c r="CC54" i="21"/>
  <c r="CH54" i="21" s="1"/>
  <c r="F43" i="15" s="1"/>
  <c r="FC60" i="21"/>
  <c r="FH60" i="21" s="1"/>
  <c r="C49" i="15" s="1"/>
  <c r="CC60" i="21"/>
  <c r="CH60" i="21" s="1"/>
  <c r="F49" i="15" s="1"/>
  <c r="DC60" i="21"/>
  <c r="DH60" i="21" s="1"/>
  <c r="G49" i="15" s="1"/>
  <c r="AC60" i="21"/>
  <c r="AH60" i="21" s="1"/>
  <c r="D49" i="15" s="1"/>
  <c r="EC60" i="21"/>
  <c r="EH60" i="21" s="1"/>
  <c r="H49" i="15" s="1"/>
  <c r="BC60" i="21"/>
  <c r="BH60" i="21" s="1"/>
  <c r="E49" i="15" s="1"/>
  <c r="AC47" i="21"/>
  <c r="AH47" i="21" s="1"/>
  <c r="D36" i="15" s="1"/>
  <c r="CC47" i="21"/>
  <c r="CH47" i="21" s="1"/>
  <c r="F36" i="15" s="1"/>
  <c r="EC47" i="21"/>
  <c r="EH47" i="21" s="1"/>
  <c r="H36" i="15" s="1"/>
  <c r="BC47" i="21"/>
  <c r="BH47" i="21" s="1"/>
  <c r="E36" i="15" s="1"/>
  <c r="DC47" i="21"/>
  <c r="DH47" i="21" s="1"/>
  <c r="G36" i="15" s="1"/>
  <c r="FC47" i="21"/>
  <c r="FH47" i="21" s="1"/>
  <c r="C36" i="15" s="1"/>
  <c r="FC61" i="21"/>
  <c r="FH61" i="21" s="1"/>
  <c r="C50" i="15" s="1"/>
  <c r="EC61" i="21"/>
  <c r="EH61" i="21" s="1"/>
  <c r="H50" i="15" s="1"/>
  <c r="DC61" i="21"/>
  <c r="DH61" i="21" s="1"/>
  <c r="G50" i="15" s="1"/>
  <c r="CC61" i="21"/>
  <c r="CH61" i="21" s="1"/>
  <c r="F50" i="15" s="1"/>
  <c r="AC61" i="21"/>
  <c r="AH61" i="21" s="1"/>
  <c r="D50" i="15" s="1"/>
  <c r="BC61" i="21"/>
  <c r="BH61" i="21" s="1"/>
  <c r="E50" i="15" s="1"/>
  <c r="DC57" i="21"/>
  <c r="DH57" i="21" s="1"/>
  <c r="G46" i="15" s="1"/>
  <c r="AC57" i="21"/>
  <c r="AH57" i="21" s="1"/>
  <c r="D46" i="15" s="1"/>
  <c r="EC57" i="21"/>
  <c r="EH57" i="21" s="1"/>
  <c r="H46" i="15" s="1"/>
  <c r="CC57" i="21"/>
  <c r="CH57" i="21" s="1"/>
  <c r="F46" i="15" s="1"/>
  <c r="BC57" i="21"/>
  <c r="BH57" i="21" s="1"/>
  <c r="E46" i="15" s="1"/>
  <c r="FC57" i="21"/>
  <c r="FH57" i="21" s="1"/>
  <c r="C46" i="15" s="1"/>
  <c r="CC59" i="21"/>
  <c r="CH59" i="21" s="1"/>
  <c r="F48" i="15" s="1"/>
  <c r="AC59" i="21"/>
  <c r="AH59" i="21" s="1"/>
  <c r="D48" i="15" s="1"/>
  <c r="BC59" i="21"/>
  <c r="BH59" i="21" s="1"/>
  <c r="E48" i="15" s="1"/>
  <c r="DC59" i="21"/>
  <c r="DH59" i="21" s="1"/>
  <c r="G48" i="15" s="1"/>
  <c r="EC59" i="21"/>
  <c r="EH59" i="21" s="1"/>
  <c r="H48" i="15" s="1"/>
  <c r="FC59" i="21"/>
  <c r="FH59" i="21" s="1"/>
  <c r="C48" i="15" s="1"/>
  <c r="FC44" i="21"/>
  <c r="FH44" i="21" s="1"/>
  <c r="C33" i="15" s="1"/>
  <c r="DC44" i="21"/>
  <c r="DH44" i="21" s="1"/>
  <c r="G33" i="15" s="1"/>
  <c r="EC44" i="21"/>
  <c r="EH44" i="21" s="1"/>
  <c r="H33" i="15" s="1"/>
  <c r="BC44" i="21"/>
  <c r="BH44" i="21" s="1"/>
  <c r="E33" i="15" s="1"/>
  <c r="AR50" i="16"/>
  <c r="AR40" i="16" s="1"/>
  <c r="CC44" i="21"/>
  <c r="CH44" i="21" s="1"/>
  <c r="F33" i="15" s="1"/>
  <c r="AC44" i="21"/>
  <c r="AH44" i="21" s="1"/>
  <c r="D33" i="15" s="1"/>
  <c r="V202" i="2" l="1"/>
  <c r="DI56" i="21" l="1"/>
  <c r="G93" i="15" s="1"/>
  <c r="FI59" i="21"/>
  <c r="C96" i="15" s="1"/>
  <c r="DI54" i="21"/>
  <c r="G91" i="15" s="1"/>
  <c r="DI60" i="21"/>
  <c r="G97" i="15" s="1"/>
  <c r="FI53" i="21"/>
  <c r="C90" i="15" s="1"/>
  <c r="DI53" i="21"/>
  <c r="G90" i="15" s="1"/>
  <c r="DI49" i="21"/>
  <c r="G86" i="15" s="1"/>
  <c r="FI63" i="21"/>
  <c r="C100" i="15" s="1"/>
  <c r="DI63" i="21"/>
  <c r="G100" i="15" s="1"/>
  <c r="DI61" i="21"/>
  <c r="G98" i="15" s="1"/>
  <c r="DI55" i="21"/>
  <c r="G92" i="15" s="1"/>
  <c r="DI48" i="21"/>
  <c r="G85" i="15" s="1"/>
  <c r="DI44" i="21"/>
  <c r="G81" i="15" s="1"/>
  <c r="DI62" i="21"/>
  <c r="G99" i="15" s="1"/>
  <c r="EI54" i="21"/>
  <c r="H91" i="15" s="1"/>
  <c r="FI54" i="21"/>
  <c r="C91" i="15" s="1"/>
  <c r="EI63" i="21"/>
  <c r="H100" i="15" s="1"/>
  <c r="DI52" i="21"/>
  <c r="G89" i="15" s="1"/>
  <c r="EI52" i="21"/>
  <c r="H89" i="15" s="1"/>
  <c r="FI52" i="21"/>
  <c r="C89" i="15" s="1"/>
  <c r="DI51" i="21"/>
  <c r="G88" i="15" s="1"/>
  <c r="EI51" i="21"/>
  <c r="H88" i="15" s="1"/>
  <c r="FI51" i="21"/>
  <c r="C88" i="15" s="1"/>
  <c r="EI49" i="21"/>
  <c r="H86" i="15" s="1"/>
  <c r="FI49" i="21"/>
  <c r="C86" i="15" s="1"/>
  <c r="EI48" i="21"/>
  <c r="H85" i="15" s="1"/>
  <c r="FI56" i="21"/>
  <c r="C93" i="15" s="1"/>
  <c r="DI47" i="21"/>
  <c r="G84" i="15" s="1"/>
  <c r="EI47" i="21"/>
  <c r="H84" i="15" s="1"/>
  <c r="FI47" i="21"/>
  <c r="C84" i="15" s="1"/>
  <c r="EI56" i="21"/>
  <c r="H93" i="15" s="1"/>
  <c r="DI46" i="21"/>
  <c r="G83" i="15" s="1"/>
  <c r="EI46" i="21"/>
  <c r="H83" i="15" s="1"/>
  <c r="FI46" i="21"/>
  <c r="C83" i="15" s="1"/>
  <c r="EI53" i="21"/>
  <c r="H90" i="15" s="1"/>
  <c r="DI45" i="21"/>
  <c r="G82" i="15" s="1"/>
  <c r="EI44" i="21"/>
  <c r="H81" i="15" s="1"/>
  <c r="FI44" i="21"/>
  <c r="C81" i="15" s="1"/>
  <c r="FI48" i="21"/>
  <c r="C85" i="15" s="1"/>
  <c r="FI45" i="21"/>
  <c r="C82" i="15" s="1"/>
  <c r="EI62" i="21"/>
  <c r="H99" i="15" s="1"/>
  <c r="FI62" i="21"/>
  <c r="C99" i="15" s="1"/>
  <c r="EI45" i="21"/>
  <c r="H82" i="15" s="1"/>
  <c r="EI55" i="21"/>
  <c r="H92" i="15" s="1"/>
  <c r="FI55" i="21"/>
  <c r="C92" i="15" s="1"/>
  <c r="EI61" i="21"/>
  <c r="H98" i="15" s="1"/>
  <c r="FI61" i="21"/>
  <c r="C98" i="15" s="1"/>
  <c r="EI60" i="21"/>
  <c r="H97" i="15" s="1"/>
  <c r="FI60" i="21"/>
  <c r="C97" i="15" s="1"/>
  <c r="DI59" i="21"/>
  <c r="G96" i="15" s="1"/>
  <c r="EI59" i="21"/>
  <c r="H96" i="15" s="1"/>
  <c r="DI58" i="21"/>
  <c r="G95" i="15" s="1"/>
  <c r="EI58" i="21"/>
  <c r="H95" i="15" s="1"/>
  <c r="FI58" i="21"/>
  <c r="C95" i="15" s="1"/>
  <c r="DI57" i="21"/>
  <c r="G94" i="15" s="1"/>
  <c r="EI57" i="21"/>
  <c r="H94" i="15" s="1"/>
  <c r="FI57" i="21"/>
  <c r="C94" i="15" s="1"/>
  <c r="AF82" i="15" l="1"/>
  <c r="AK82" i="15" s="1"/>
  <c r="AF70" i="15"/>
  <c r="AK70" i="15" s="1"/>
  <c r="AF73" i="15"/>
  <c r="AK73" i="15" s="1"/>
  <c r="AF78" i="15"/>
  <c r="AK78" i="15" s="1"/>
  <c r="AF84" i="15"/>
  <c r="AK84" i="15" s="1"/>
  <c r="AF81" i="15"/>
  <c r="AK81" i="15" s="1"/>
  <c r="AF71" i="15"/>
  <c r="AK71" i="15" s="1"/>
  <c r="AF74" i="15"/>
  <c r="AK74" i="15" s="1"/>
  <c r="AF85" i="15"/>
  <c r="AK85" i="15" s="1"/>
  <c r="AF87" i="15"/>
  <c r="AK87" i="15" s="1"/>
  <c r="AF88" i="15"/>
  <c r="AK88" i="15" s="1"/>
  <c r="AF79" i="15"/>
  <c r="AK79" i="15" s="1"/>
  <c r="AF80" i="15"/>
  <c r="AK80" i="15" s="1"/>
  <c r="AF86" i="15"/>
  <c r="AK86" i="15" s="1"/>
  <c r="AF72" i="15"/>
  <c r="AK72" i="15" s="1"/>
  <c r="AF75" i="15"/>
  <c r="AK75" i="15" s="1"/>
  <c r="AF77" i="15"/>
  <c r="AK77" i="15" s="1"/>
  <c r="AF89" i="15"/>
  <c r="AK89" i="15" s="1"/>
  <c r="AF83" i="15"/>
  <c r="AK83" i="15" s="1"/>
  <c r="C202" i="2"/>
  <c r="C208" i="2"/>
  <c r="C209" i="2"/>
  <c r="DG186" i="11"/>
  <c r="DC352" i="11"/>
  <c r="C57" i="15" a="1"/>
  <c r="C57" i="15" s="1"/>
  <c r="C58" i="15" a="1"/>
  <c r="C58" i="15" s="1"/>
  <c r="C59" i="15" a="1"/>
  <c r="C59" i="15" s="1"/>
  <c r="C60" i="15" a="1"/>
  <c r="C60" i="15" s="1"/>
  <c r="C61" i="15" a="1"/>
  <c r="C61" i="15" s="1"/>
  <c r="C62" i="15" a="1"/>
  <c r="C62" i="15" s="1"/>
  <c r="C64" i="15" a="1"/>
  <c r="C64" i="15" s="1"/>
  <c r="C65" i="15" a="1"/>
  <c r="C65" i="15" s="1"/>
  <c r="C66" i="15" a="1"/>
  <c r="C66" i="15" s="1"/>
  <c r="C67" i="15" a="1"/>
  <c r="C67" i="15" s="1"/>
  <c r="C68" i="15" a="1"/>
  <c r="C68" i="15" s="1"/>
  <c r="C69" i="15" a="1"/>
  <c r="C69" i="15" s="1"/>
  <c r="C70" i="15" a="1"/>
  <c r="C70" i="15" s="1"/>
  <c r="C71" i="15" a="1"/>
  <c r="C71" i="15" s="1"/>
  <c r="C72" i="15" a="1"/>
  <c r="C72" i="15" s="1"/>
  <c r="C73" i="15" a="1"/>
  <c r="C73" i="15" s="1"/>
  <c r="C74" i="15" a="1"/>
  <c r="C74" i="15" s="1"/>
  <c r="C75" i="15" a="1"/>
  <c r="C75" i="15" s="1"/>
  <c r="C76" i="15" a="1"/>
  <c r="C76" i="15" s="1"/>
  <c r="I77" i="18" l="1"/>
  <c r="AB14" i="16" l="1"/>
  <c r="AB15" i="16" s="1"/>
  <c r="AC14" i="16"/>
  <c r="AD14" i="16"/>
  <c r="AD15" i="16" l="1"/>
  <c r="AC15" i="16"/>
  <c r="AB33" i="16"/>
  <c r="AC33" i="16" l="1"/>
  <c r="AB35" i="16" s="1"/>
  <c r="DC350" i="11" l="1"/>
  <c r="J57" i="15" l="1" a="1"/>
  <c r="J57" i="15" s="1"/>
  <c r="J58" i="15" a="1"/>
  <c r="J58" i="15" s="1"/>
  <c r="J59" i="15" a="1"/>
  <c r="J59" i="15" s="1"/>
  <c r="J60" i="15" a="1"/>
  <c r="J60" i="15" s="1"/>
  <c r="J61" i="15" a="1"/>
  <c r="J61" i="15" s="1"/>
  <c r="J62" i="15" a="1"/>
  <c r="J62" i="15" s="1"/>
  <c r="J64" i="15" a="1"/>
  <c r="J64" i="15" s="1"/>
  <c r="J65" i="15" a="1"/>
  <c r="J65" i="15" s="1"/>
  <c r="J66" i="15" a="1"/>
  <c r="J66" i="15" s="1"/>
  <c r="J67" i="15" a="1"/>
  <c r="J67" i="15" s="1"/>
  <c r="J68" i="15" a="1"/>
  <c r="J68" i="15" s="1"/>
  <c r="J69" i="15" a="1"/>
  <c r="J69" i="15" s="1"/>
  <c r="J70" i="15" a="1"/>
  <c r="J70" i="15" s="1"/>
  <c r="J71" i="15" a="1"/>
  <c r="J71" i="15" s="1"/>
  <c r="J72" i="15" a="1"/>
  <c r="J72" i="15" s="1"/>
  <c r="J73" i="15" a="1"/>
  <c r="J73" i="15" s="1"/>
  <c r="J74" i="15" a="1"/>
  <c r="J74" i="15" s="1"/>
  <c r="J75" i="15" a="1"/>
  <c r="J75" i="15" s="1"/>
  <c r="J76" i="15" a="1"/>
  <c r="J76" i="15" s="1"/>
  <c r="J112" i="15" a="1"/>
  <c r="J112" i="15" s="1"/>
  <c r="I82" i="18" l="1"/>
  <c r="R202" i="2" l="1"/>
  <c r="R204" i="2"/>
  <c r="R205" i="2"/>
  <c r="R206" i="2"/>
  <c r="R207" i="2"/>
  <c r="R208" i="2"/>
  <c r="R209" i="2"/>
  <c r="AE79" i="15"/>
  <c r="AJ79" i="15" s="1"/>
  <c r="F22" i="2" s="1"/>
  <c r="AE23" i="16" s="1"/>
  <c r="AE81" i="15"/>
  <c r="AJ81" i="15" s="1"/>
  <c r="F24" i="2" s="1"/>
  <c r="AE83" i="15"/>
  <c r="AJ83" i="15" s="1"/>
  <c r="F26" i="2" s="1"/>
  <c r="AE87" i="15"/>
  <c r="AJ87" i="15" s="1"/>
  <c r="F30" i="2" s="1"/>
  <c r="AE26" i="16" s="1"/>
  <c r="AE88" i="15"/>
  <c r="AJ88" i="15" s="1"/>
  <c r="F31" i="2" s="1"/>
  <c r="T37" i="2"/>
  <c r="AD39" i="16" s="1"/>
  <c r="T48" i="2"/>
  <c r="AD42" i="16" s="1"/>
  <c r="T50" i="2"/>
  <c r="T52" i="2"/>
  <c r="T54" i="2"/>
  <c r="T55" i="2"/>
  <c r="T56" i="2"/>
  <c r="T53" i="2" l="1"/>
  <c r="AE77" i="15"/>
  <c r="AJ77" i="15" s="1"/>
  <c r="F20" i="2" s="1"/>
  <c r="AE72" i="15"/>
  <c r="AJ72" i="15" s="1"/>
  <c r="F15" i="2" s="1"/>
  <c r="AE70" i="15"/>
  <c r="AJ70" i="15" s="1"/>
  <c r="F13" i="2" s="1"/>
  <c r="AE21" i="16" s="1"/>
  <c r="AE14" i="16" s="1"/>
  <c r="AE15" i="16" s="1"/>
  <c r="T43" i="2"/>
  <c r="T58" i="2"/>
  <c r="AD45" i="16" s="1"/>
  <c r="AE75" i="15"/>
  <c r="AJ75" i="15" s="1"/>
  <c r="F18" i="2" s="1"/>
  <c r="AE22" i="16" s="1"/>
  <c r="T44" i="2"/>
  <c r="AD41" i="16" s="1"/>
  <c r="AE73" i="15"/>
  <c r="AJ73" i="15" s="1"/>
  <c r="F16" i="2" s="1"/>
  <c r="T42" i="2"/>
  <c r="T40" i="2"/>
  <c r="AE71" i="15"/>
  <c r="AJ71" i="15" s="1"/>
  <c r="F14" i="2" s="1"/>
  <c r="T49" i="2"/>
  <c r="AD44" i="16" s="1"/>
  <c r="AE80" i="15"/>
  <c r="AJ80" i="15" s="1"/>
  <c r="F23" i="2" s="1"/>
  <c r="AE25" i="16" s="1"/>
  <c r="T51" i="2"/>
  <c r="AD43" i="16" s="1"/>
  <c r="AE82" i="15"/>
  <c r="AJ82" i="15" s="1"/>
  <c r="F25" i="2" s="1"/>
  <c r="AE24" i="16" s="1"/>
  <c r="AE78" i="15"/>
  <c r="AJ78" i="15" s="1"/>
  <c r="F21" i="2" s="1"/>
  <c r="T47" i="2"/>
  <c r="I75" i="18" l="1"/>
  <c r="AC94" i="15" l="1"/>
  <c r="AQ94" i="15" s="1"/>
  <c r="AC109" i="15" s="1"/>
  <c r="AD94" i="15"/>
  <c r="AR94" i="15" s="1"/>
  <c r="AD109" i="15" s="1"/>
  <c r="AE94" i="15"/>
  <c r="AS94" i="15" s="1"/>
  <c r="AE109" i="15" s="1"/>
  <c r="AF94" i="15"/>
  <c r="AT94" i="15" s="1"/>
  <c r="AF109" i="15" s="1"/>
  <c r="P37" i="2"/>
  <c r="Q37" i="2"/>
  <c r="S37" i="2"/>
  <c r="T202" i="2"/>
  <c r="U202" i="2"/>
  <c r="S204" i="2"/>
  <c r="T204" i="2"/>
  <c r="U204" i="2"/>
  <c r="V204" i="2"/>
  <c r="S205" i="2"/>
  <c r="T205" i="2"/>
  <c r="U205" i="2"/>
  <c r="V205" i="2"/>
  <c r="S206" i="2"/>
  <c r="T206" i="2"/>
  <c r="U206" i="2"/>
  <c r="V206" i="2"/>
  <c r="S207" i="2"/>
  <c r="T207" i="2"/>
  <c r="U207" i="2"/>
  <c r="V207" i="2"/>
  <c r="S208" i="2"/>
  <c r="T208" i="2"/>
  <c r="U208" i="2"/>
  <c r="V208" i="2"/>
  <c r="S209" i="2"/>
  <c r="T209" i="2"/>
  <c r="U209" i="2"/>
  <c r="V209" i="2"/>
  <c r="AB39" i="16"/>
  <c r="AC39" i="16"/>
  <c r="T210" i="2" l="1"/>
  <c r="U210" i="2"/>
  <c r="AC117" i="15"/>
  <c r="AC116" i="15" s="1"/>
  <c r="AC121" i="15" s="1"/>
  <c r="E208" i="2" s="1"/>
  <c r="AC115" i="15"/>
  <c r="AC118" i="15" s="1"/>
  <c r="AE117" i="15"/>
  <c r="AE116" i="15" s="1"/>
  <c r="AE121" i="15" s="1"/>
  <c r="G208" i="2" s="1"/>
  <c r="G202" i="2"/>
  <c r="AE115" i="15"/>
  <c r="AE118" i="15" s="1"/>
  <c r="AD117" i="15"/>
  <c r="AD116" i="15" s="1"/>
  <c r="AD121" i="15" s="1"/>
  <c r="F208" i="2" s="1"/>
  <c r="F202" i="2"/>
  <c r="AD115" i="15"/>
  <c r="AD118" i="15" s="1"/>
  <c r="AF115" i="15"/>
  <c r="AF118" i="15" s="1"/>
  <c r="V210" i="2"/>
  <c r="S210" i="2"/>
  <c r="AF117" i="15"/>
  <c r="AF116" i="15" s="1"/>
  <c r="AF121" i="15" s="1"/>
  <c r="H208" i="2" s="1"/>
  <c r="H202" i="2"/>
  <c r="E202" i="2"/>
  <c r="AC122" i="15" l="1"/>
  <c r="E209" i="2" s="1"/>
  <c r="AC123" i="15"/>
  <c r="AE123" i="15"/>
  <c r="F11" i="2" s="1"/>
  <c r="AE20" i="16" s="1"/>
  <c r="AD123" i="15"/>
  <c r="E11" i="2" s="1"/>
  <c r="AD20" i="16" s="1"/>
  <c r="AE122" i="15"/>
  <c r="G209" i="2" s="1"/>
  <c r="AF123" i="15"/>
  <c r="AF122" i="15"/>
  <c r="H209" i="2" s="1"/>
  <c r="AD122" i="15"/>
  <c r="F209" i="2" s="1"/>
  <c r="D11" i="2" l="1"/>
  <c r="AC20" i="16" s="1"/>
  <c r="T41" i="2"/>
  <c r="T39" i="2"/>
  <c r="AD40" i="16" s="1"/>
  <c r="T46" i="2"/>
  <c r="AE89" i="15"/>
  <c r="AJ89" i="15" s="1"/>
  <c r="F32" i="2" s="1"/>
  <c r="AE27" i="16" s="1"/>
  <c r="T57" i="2"/>
  <c r="AE74" i="15"/>
  <c r="AJ74" i="15" s="1"/>
  <c r="F17" i="2" s="1"/>
  <c r="AE86" i="15"/>
  <c r="AJ86" i="15" s="1"/>
  <c r="F29" i="2" s="1"/>
  <c r="AE85" i="15"/>
  <c r="AJ85" i="15" s="1"/>
  <c r="F28" i="2" s="1"/>
  <c r="AE84" i="15"/>
  <c r="AJ84" i="15" s="1"/>
  <c r="F27" i="2" s="1"/>
  <c r="DD186" i="11" l="1"/>
  <c r="DC349" i="11"/>
  <c r="G57" i="15" l="1" a="1"/>
  <c r="G57" i="15" s="1"/>
  <c r="G58" i="15" a="1"/>
  <c r="G58" i="15" s="1"/>
  <c r="G59" i="15" a="1"/>
  <c r="G59" i="15" s="1"/>
  <c r="G60" i="15" a="1"/>
  <c r="G60" i="15" s="1"/>
  <c r="G61" i="15" a="1"/>
  <c r="G61" i="15" s="1"/>
  <c r="G62" i="15" a="1"/>
  <c r="G62" i="15" s="1"/>
  <c r="G64" i="15" a="1"/>
  <c r="G64" i="15" s="1"/>
  <c r="G65" i="15" a="1"/>
  <c r="G65" i="15" s="1"/>
  <c r="G66" i="15" a="1"/>
  <c r="G66" i="15" s="1"/>
  <c r="G67" i="15" a="1"/>
  <c r="G67" i="15" s="1"/>
  <c r="G68" i="15" a="1"/>
  <c r="G68" i="15" s="1"/>
  <c r="G69" i="15" a="1"/>
  <c r="G69" i="15" s="1"/>
  <c r="G70" i="15" a="1"/>
  <c r="G70" i="15" s="1"/>
  <c r="G71" i="15" a="1"/>
  <c r="G71" i="15" s="1"/>
  <c r="G72" i="15" a="1"/>
  <c r="G72" i="15" s="1"/>
  <c r="G73" i="15" a="1"/>
  <c r="G73" i="15" s="1"/>
  <c r="G74" i="15" a="1"/>
  <c r="G74" i="15" s="1"/>
  <c r="G75" i="15" a="1"/>
  <c r="G75" i="15" s="1"/>
  <c r="G76" i="15" a="1"/>
  <c r="G76" i="15" s="1"/>
  <c r="I79" i="18"/>
  <c r="H57" i="15" a="1"/>
  <c r="H57" i="15" s="1"/>
  <c r="H58" i="15" a="1"/>
  <c r="H58" i="15" s="1"/>
  <c r="H59" i="15" a="1"/>
  <c r="H59" i="15" s="1"/>
  <c r="H60" i="15" a="1"/>
  <c r="H60" i="15" s="1"/>
  <c r="H61" i="15" a="1"/>
  <c r="H61" i="15" s="1"/>
  <c r="H62" i="15" a="1"/>
  <c r="H62" i="15" s="1"/>
  <c r="H64" i="15" a="1"/>
  <c r="H64" i="15" s="1"/>
  <c r="H65" i="15" a="1"/>
  <c r="H65" i="15" s="1"/>
  <c r="H66" i="15" a="1"/>
  <c r="H66" i="15" s="1"/>
  <c r="H67" i="15" a="1"/>
  <c r="H67" i="15" s="1"/>
  <c r="H68" i="15" a="1"/>
  <c r="H68" i="15" s="1"/>
  <c r="H69" i="15" a="1"/>
  <c r="H69" i="15" s="1"/>
  <c r="H70" i="15" a="1"/>
  <c r="H70" i="15" s="1"/>
  <c r="H71" i="15" a="1"/>
  <c r="H71" i="15" s="1"/>
  <c r="H72" i="15" a="1"/>
  <c r="H72" i="15" s="1"/>
  <c r="H73" i="15" a="1"/>
  <c r="H73" i="15" s="1"/>
  <c r="H74" i="15" a="1"/>
  <c r="H74" i="15" s="1"/>
  <c r="H75" i="15" a="1"/>
  <c r="H75" i="15" s="1"/>
  <c r="H76" i="15" a="1"/>
  <c r="H76" i="15" s="1"/>
  <c r="I80" i="18"/>
  <c r="D57" i="15" l="1" a="1"/>
  <c r="D57" i="15" s="1"/>
  <c r="D58" i="15" a="1"/>
  <c r="D58" i="15" s="1"/>
  <c r="D59" i="15" a="1"/>
  <c r="D59" i="15" s="1"/>
  <c r="D60" i="15" a="1"/>
  <c r="D60" i="15" s="1"/>
  <c r="D61" i="15" a="1"/>
  <c r="D61" i="15" s="1"/>
  <c r="D62" i="15" a="1"/>
  <c r="D62" i="15" s="1"/>
  <c r="D64" i="15" a="1"/>
  <c r="D64" i="15" s="1"/>
  <c r="D65" i="15" a="1"/>
  <c r="D65" i="15" s="1"/>
  <c r="D66" i="15" a="1"/>
  <c r="D66" i="15" s="1"/>
  <c r="D67" i="15" a="1"/>
  <c r="D67" i="15" s="1"/>
  <c r="D68" i="15" a="1"/>
  <c r="D68" i="15" s="1"/>
  <c r="D69" i="15" a="1"/>
  <c r="D69" i="15" s="1"/>
  <c r="D70" i="15" a="1"/>
  <c r="D70" i="15" s="1"/>
  <c r="D71" i="15" a="1"/>
  <c r="D71" i="15" s="1"/>
  <c r="D72" i="15" a="1"/>
  <c r="D72" i="15" s="1"/>
  <c r="D73" i="15" a="1"/>
  <c r="D73" i="15" s="1"/>
  <c r="D74" i="15" a="1"/>
  <c r="D74" i="15" s="1"/>
  <c r="D75" i="15" a="1"/>
  <c r="D75" i="15" s="1"/>
  <c r="D76" i="15" a="1"/>
  <c r="D76" i="15" s="1"/>
  <c r="I76" i="18"/>
  <c r="DC186" i="11" l="1"/>
  <c r="DC348" i="11"/>
  <c r="E124" i="18" l="1"/>
  <c r="E130" i="18"/>
  <c r="E126" i="18"/>
  <c r="E123" i="18"/>
  <c r="E133" i="18"/>
  <c r="E131" i="18"/>
  <c r="E115" i="18"/>
  <c r="E129" i="18"/>
  <c r="E118" i="18"/>
  <c r="E116" i="18"/>
  <c r="E127" i="18"/>
  <c r="E132" i="18"/>
  <c r="E128" i="18"/>
  <c r="E114" i="18"/>
  <c r="E121" i="18"/>
  <c r="E122" i="18"/>
  <c r="E125" i="18"/>
  <c r="E117" i="18"/>
  <c r="AS50" i="16" l="1"/>
  <c r="AS40" i="16" s="1"/>
  <c r="AS51" i="16"/>
  <c r="AS41" i="16" s="1"/>
  <c r="AS55" i="16"/>
  <c r="AS45" i="16" s="1"/>
  <c r="AS52" i="16"/>
  <c r="AS42" i="16" s="1"/>
  <c r="AS53" i="16"/>
  <c r="AS43" i="16" s="1"/>
  <c r="AS54" i="16"/>
  <c r="AS44" i="16" s="1"/>
  <c r="K206" i="2"/>
  <c r="K209" i="2"/>
  <c r="S216" i="2" a="1"/>
  <c r="S219" i="2"/>
  <c r="K220" i="2"/>
  <c r="S221" i="2"/>
  <c r="K222" i="2"/>
  <c r="S216" i="2"/>
  <c r="K217" i="2"/>
  <c r="S218" i="2"/>
  <c r="K219" i="2"/>
  <c r="S224" i="2"/>
  <c r="K225" i="2"/>
  <c r="S220" i="2"/>
  <c r="K221" i="2"/>
  <c r="S222" i="2"/>
  <c r="K223" i="2"/>
  <c r="S223" i="2"/>
  <c r="K224" i="2"/>
  <c r="R216" i="2" a="1"/>
  <c r="R224" i="2"/>
  <c r="R223" i="2"/>
  <c r="R216" i="2"/>
  <c r="R221" i="2"/>
  <c r="R218" i="2"/>
  <c r="R220" i="2"/>
  <c r="R217" i="2"/>
  <c r="R222" i="2"/>
  <c r="B5" i="12"/>
  <c r="K5" i="12"/>
  <c r="O5" i="12"/>
  <c r="P5" i="12"/>
  <c r="Q5" i="12"/>
  <c r="R5" i="12"/>
  <c r="AD15" i="21"/>
  <c r="BD15" i="21"/>
  <c r="CD15" i="21"/>
  <c r="DD15" i="21"/>
  <c r="ED15" i="21"/>
  <c r="AD32" i="21"/>
  <c r="BD32" i="21"/>
  <c r="CD32" i="21"/>
  <c r="DD32" i="21"/>
  <c r="ED32" i="21"/>
  <c r="AD33" i="21"/>
  <c r="BD33" i="21"/>
  <c r="CD33" i="21"/>
  <c r="DD33" i="21"/>
  <c r="ED33" i="21"/>
  <c r="AD37" i="21"/>
  <c r="BD37" i="21"/>
  <c r="CD37" i="21"/>
  <c r="DD37" i="21"/>
  <c r="ED37" i="21"/>
  <c r="AB67" i="21"/>
  <c r="AC67" i="21"/>
  <c r="AD67" i="21"/>
  <c r="AE67" i="21"/>
  <c r="BB67" i="21"/>
  <c r="BC67" i="21"/>
  <c r="BD67" i="21"/>
  <c r="BE67" i="21"/>
  <c r="CB67" i="21"/>
  <c r="CC67" i="21"/>
  <c r="CD67" i="21"/>
  <c r="CE67" i="21"/>
  <c r="DB67" i="21"/>
  <c r="DC67" i="21"/>
  <c r="DD67" i="21"/>
  <c r="DE67" i="21"/>
  <c r="EB67" i="21"/>
  <c r="EC67" i="21"/>
  <c r="ED67" i="21"/>
  <c r="EE67" i="21"/>
  <c r="FB67" i="21"/>
  <c r="FC67" i="21"/>
  <c r="FD67" i="21"/>
  <c r="FE67" i="21"/>
  <c r="AB68" i="21"/>
  <c r="AC68" i="21"/>
  <c r="AD68" i="21"/>
  <c r="AE68" i="21"/>
  <c r="BB68" i="21"/>
  <c r="BC68" i="21"/>
  <c r="BD68" i="21"/>
  <c r="BE68" i="21"/>
  <c r="CB68" i="21"/>
  <c r="CC68" i="21"/>
  <c r="CD68" i="21"/>
  <c r="CE68" i="21"/>
  <c r="DB68" i="21"/>
  <c r="DC68" i="21"/>
  <c r="DD68" i="21"/>
  <c r="DE68" i="21"/>
  <c r="EB68" i="21"/>
  <c r="EC68" i="21"/>
  <c r="ED68" i="21"/>
  <c r="EE68" i="21"/>
  <c r="AB69" i="21"/>
  <c r="AC69" i="21"/>
  <c r="AD69" i="21"/>
  <c r="AE69" i="21"/>
  <c r="BB69" i="21"/>
  <c r="BC69" i="21"/>
  <c r="BD69" i="21"/>
  <c r="BE69" i="21"/>
  <c r="CB69" i="21"/>
  <c r="CC69" i="21"/>
  <c r="CD69" i="21"/>
  <c r="CE69" i="21"/>
  <c r="DB69" i="21"/>
  <c r="DC69" i="21"/>
  <c r="DD69" i="21"/>
  <c r="DE69" i="21"/>
  <c r="EB69" i="21"/>
  <c r="EC69" i="21"/>
  <c r="ED69" i="21"/>
  <c r="EE69" i="21"/>
  <c r="FB69" i="21"/>
  <c r="FC69" i="21"/>
  <c r="FD69" i="21"/>
  <c r="FE69" i="21"/>
  <c r="AB70" i="21"/>
  <c r="AC70" i="21"/>
  <c r="AD70" i="21"/>
  <c r="AE70" i="21"/>
  <c r="BB70" i="21"/>
  <c r="BC70" i="21"/>
  <c r="BD70" i="21"/>
  <c r="BE70" i="21"/>
  <c r="CB70" i="21"/>
  <c r="CC70" i="21"/>
  <c r="CD70" i="21"/>
  <c r="CE70" i="21"/>
  <c r="DB70" i="21"/>
  <c r="DC70" i="21"/>
  <c r="DD70" i="21"/>
  <c r="DE70" i="21"/>
  <c r="EB70" i="21"/>
  <c r="EC70" i="21"/>
  <c r="ED70" i="21"/>
  <c r="EE70" i="21"/>
  <c r="FB70" i="21"/>
  <c r="FC70" i="21"/>
  <c r="FD70" i="21"/>
  <c r="FE70" i="21"/>
  <c r="AB71" i="21"/>
  <c r="AC71" i="21"/>
  <c r="AD71" i="21"/>
  <c r="AE71" i="21"/>
  <c r="BB71" i="21"/>
  <c r="BC71" i="21"/>
  <c r="BD71" i="21"/>
  <c r="BE71" i="21"/>
  <c r="CB71" i="21"/>
  <c r="CC71" i="21"/>
  <c r="CD71" i="21"/>
  <c r="CE71" i="21"/>
  <c r="DB71" i="21"/>
  <c r="DC71" i="21"/>
  <c r="DD71" i="21"/>
  <c r="DE71" i="21"/>
  <c r="EB71" i="21"/>
  <c r="EC71" i="21"/>
  <c r="ED71" i="21"/>
  <c r="EE71" i="21"/>
  <c r="FB71" i="21"/>
  <c r="FC71" i="21"/>
  <c r="FD71" i="21"/>
  <c r="FE71" i="21"/>
  <c r="AB72" i="21"/>
  <c r="AC72" i="21"/>
  <c r="AD72" i="21"/>
  <c r="AE72" i="21"/>
  <c r="BB72" i="21"/>
  <c r="BC72" i="21"/>
  <c r="BD72" i="21"/>
  <c r="BE72" i="21"/>
  <c r="CB72" i="21"/>
  <c r="CC72" i="21"/>
  <c r="CD72" i="21"/>
  <c r="CE72" i="21"/>
  <c r="DB72" i="21"/>
  <c r="DC72" i="21"/>
  <c r="DD72" i="21"/>
  <c r="DE72" i="21"/>
  <c r="EB72" i="21"/>
  <c r="EC72" i="21"/>
  <c r="ED72" i="21"/>
  <c r="EE72" i="21"/>
  <c r="FB72" i="21"/>
  <c r="FC72" i="21"/>
  <c r="FD72" i="21"/>
  <c r="FE72" i="21"/>
  <c r="AB73" i="21"/>
  <c r="AC73" i="21"/>
  <c r="AD73" i="21"/>
  <c r="AE73" i="21"/>
  <c r="BB73" i="21"/>
  <c r="BC73" i="21"/>
  <c r="BD73" i="21"/>
  <c r="BE73" i="21"/>
  <c r="CB73" i="21"/>
  <c r="CC73" i="21"/>
  <c r="CD73" i="21"/>
  <c r="CE73" i="21"/>
  <c r="DB73" i="21"/>
  <c r="DC73" i="21"/>
  <c r="DD73" i="21"/>
  <c r="DE73" i="21"/>
  <c r="EB73" i="21"/>
  <c r="EC73" i="21"/>
  <c r="ED73" i="21"/>
  <c r="EE73" i="21"/>
  <c r="FB73" i="21"/>
  <c r="FC73" i="21"/>
  <c r="FD73" i="21"/>
  <c r="FE73" i="21"/>
  <c r="AB74" i="21"/>
  <c r="AC74" i="21"/>
  <c r="AD74" i="21"/>
  <c r="AE74" i="21"/>
  <c r="BB74" i="21"/>
  <c r="BC74" i="21"/>
  <c r="BD74" i="21"/>
  <c r="BE74" i="21"/>
  <c r="CB74" i="21"/>
  <c r="CC74" i="21"/>
  <c r="CD74" i="21"/>
  <c r="CE74" i="21"/>
  <c r="DB74" i="21"/>
  <c r="DC74" i="21"/>
  <c r="DD74" i="21"/>
  <c r="DE74" i="21"/>
  <c r="EB74" i="21"/>
  <c r="EC74" i="21"/>
  <c r="ED74" i="21"/>
  <c r="EE74" i="21"/>
  <c r="FB74" i="21"/>
  <c r="FC74" i="21"/>
  <c r="FD74" i="21"/>
  <c r="FE74" i="21"/>
  <c r="AB75" i="21"/>
  <c r="AC75" i="21"/>
  <c r="AD75" i="21"/>
  <c r="AE75" i="21"/>
  <c r="BB75" i="21"/>
  <c r="BC75" i="21"/>
  <c r="BD75" i="21"/>
  <c r="BE75" i="21"/>
  <c r="CB75" i="21"/>
  <c r="CC75" i="21"/>
  <c r="CD75" i="21"/>
  <c r="CE75" i="21"/>
  <c r="DB75" i="21"/>
  <c r="DC75" i="21"/>
  <c r="DD75" i="21"/>
  <c r="DE75" i="21"/>
  <c r="EB75" i="21"/>
  <c r="EC75" i="21"/>
  <c r="ED75" i="21"/>
  <c r="EE75" i="21"/>
  <c r="FB75" i="21"/>
  <c r="FC75" i="21"/>
  <c r="FD75" i="21"/>
  <c r="FE75" i="21"/>
  <c r="AB76" i="21"/>
  <c r="AC76" i="21"/>
  <c r="AD76" i="21"/>
  <c r="AE76" i="21"/>
  <c r="BB76" i="21"/>
  <c r="BC76" i="21"/>
  <c r="BD76" i="21"/>
  <c r="BE76" i="21"/>
  <c r="CB76" i="21"/>
  <c r="CC76" i="21"/>
  <c r="CD76" i="21"/>
  <c r="CE76" i="21"/>
  <c r="DB76" i="21"/>
  <c r="DC76" i="21"/>
  <c r="DD76" i="21"/>
  <c r="DE76" i="21"/>
  <c r="EB76" i="21"/>
  <c r="EC76" i="21"/>
  <c r="ED76" i="21"/>
  <c r="EE76" i="21"/>
  <c r="FB76" i="21"/>
  <c r="FC76" i="21"/>
  <c r="FD76" i="21"/>
  <c r="FE76" i="21"/>
  <c r="AC170" i="21"/>
  <c r="BC170" i="21"/>
  <c r="CC170" i="21"/>
  <c r="DC170" i="21"/>
  <c r="EC170" i="21"/>
  <c r="AC171" i="21"/>
  <c r="BC171" i="21"/>
  <c r="CC171" i="21"/>
  <c r="DC171" i="21"/>
  <c r="EC171" i="21"/>
  <c r="AC173" i="21"/>
  <c r="BC173" i="21"/>
  <c r="CC173" i="21"/>
  <c r="DC173" i="21"/>
  <c r="EC173" i="21"/>
  <c r="AC174" i="21"/>
  <c r="BC174" i="21"/>
  <c r="CC174" i="21"/>
  <c r="DC174" i="21"/>
  <c r="EC174" i="21"/>
  <c r="AC177" i="21"/>
  <c r="BC177" i="21"/>
  <c r="CC177" i="21"/>
  <c r="DC177" i="21"/>
  <c r="EC177" i="21"/>
  <c r="AC178" i="21"/>
  <c r="BC178" i="21"/>
  <c r="CC178" i="21"/>
  <c r="DC178" i="21"/>
  <c r="EC178" i="21"/>
  <c r="AC179" i="21"/>
  <c r="BC179" i="21"/>
  <c r="CC179" i="21"/>
  <c r="DC179" i="21"/>
  <c r="EC179" i="21"/>
  <c r="AC180" i="21"/>
  <c r="BC180" i="21"/>
  <c r="CC180" i="21"/>
  <c r="DC180" i="21"/>
  <c r="EC180" i="21"/>
  <c r="AC181" i="21"/>
  <c r="BC181" i="21"/>
  <c r="CC181" i="21"/>
  <c r="DC181" i="21"/>
  <c r="EC181" i="21"/>
  <c r="AC183" i="21"/>
  <c r="BC183" i="21"/>
  <c r="CC183" i="21"/>
  <c r="DC183" i="21"/>
  <c r="EC183" i="21"/>
  <c r="AC184" i="21"/>
  <c r="BC184" i="21"/>
  <c r="CC184" i="21"/>
  <c r="DC184" i="21"/>
  <c r="EC184" i="21"/>
  <c r="AC202" i="21"/>
  <c r="BC202" i="21"/>
  <c r="CC202" i="21"/>
  <c r="DC202" i="21"/>
  <c r="EC202" i="21"/>
  <c r="AC203" i="21"/>
  <c r="BC203" i="21"/>
  <c r="CC203" i="21"/>
  <c r="DC203" i="21"/>
  <c r="EC203" i="21"/>
  <c r="AC204" i="21"/>
  <c r="BC204" i="21"/>
  <c r="CC204" i="21"/>
  <c r="DC204" i="21"/>
  <c r="EC204" i="21"/>
  <c r="AC205" i="21"/>
  <c r="BC205" i="21"/>
  <c r="CC205" i="21"/>
  <c r="DC205" i="21"/>
  <c r="EC205" i="21"/>
  <c r="AC207" i="21"/>
  <c r="BC207" i="21"/>
  <c r="CC207" i="21"/>
  <c r="DC207" i="21"/>
  <c r="EC207" i="21"/>
  <c r="AC208" i="21"/>
  <c r="BC208" i="21"/>
  <c r="CC208" i="21"/>
  <c r="DC208" i="21"/>
  <c r="EC208" i="21"/>
  <c r="AC209" i="21"/>
  <c r="BC209" i="21"/>
  <c r="CC209" i="21"/>
  <c r="DC209" i="21"/>
  <c r="EC209" i="21"/>
  <c r="AC212" i="21"/>
  <c r="BC212" i="21"/>
  <c r="CC212" i="21"/>
  <c r="DC212" i="21"/>
  <c r="EC212" i="21"/>
  <c r="AC215" i="21"/>
  <c r="BC215" i="21"/>
  <c r="CC215" i="21"/>
  <c r="DC215" i="21"/>
  <c r="EC215" i="21"/>
  <c r="AC216" i="21"/>
  <c r="BC216" i="21"/>
  <c r="CC216" i="21"/>
  <c r="DC216" i="21"/>
  <c r="EC216" i="21"/>
  <c r="AC219" i="21"/>
  <c r="BC219" i="21"/>
  <c r="CC219" i="21"/>
  <c r="DC219" i="21"/>
  <c r="EC219" i="21"/>
  <c r="AC220" i="21"/>
  <c r="BC220" i="21"/>
  <c r="CC220" i="21"/>
  <c r="DC220" i="21"/>
  <c r="EC220" i="21"/>
  <c r="AC223" i="21"/>
  <c r="BC223" i="21"/>
  <c r="CC223" i="21"/>
  <c r="DC223" i="21"/>
  <c r="EC223" i="21"/>
  <c r="AC224" i="21"/>
  <c r="BC224" i="21"/>
  <c r="CC224" i="21"/>
  <c r="DC224" i="21"/>
  <c r="EC224" i="21"/>
  <c r="AC225" i="21"/>
  <c r="BC225" i="21"/>
  <c r="CC225" i="21"/>
  <c r="DC225" i="21"/>
  <c r="EC225" i="21"/>
  <c r="AC226" i="21"/>
  <c r="BC226" i="21"/>
  <c r="CC226" i="21"/>
  <c r="DC226" i="21"/>
  <c r="EC226" i="21"/>
  <c r="AC227" i="21"/>
  <c r="BC227" i="21"/>
  <c r="CC227" i="21"/>
  <c r="DC227" i="21"/>
  <c r="EC227" i="21"/>
  <c r="AC228" i="21"/>
  <c r="BC228" i="21"/>
  <c r="CC228" i="21"/>
  <c r="DC228" i="21"/>
  <c r="EC228" i="21"/>
  <c r="AC231" i="21"/>
  <c r="BC231" i="21"/>
  <c r="CC231" i="21"/>
  <c r="DC231" i="21"/>
  <c r="EC231" i="21"/>
  <c r="AC232" i="21"/>
  <c r="BC232" i="21"/>
  <c r="CC232" i="21"/>
  <c r="DC232" i="21"/>
  <c r="EC232" i="21"/>
  <c r="AC234" i="21"/>
  <c r="BC234" i="21"/>
  <c r="CC234" i="21"/>
  <c r="DC234" i="21"/>
  <c r="EC234" i="21"/>
  <c r="AC236" i="21"/>
  <c r="BC236" i="21"/>
  <c r="CC236" i="21"/>
  <c r="DC236" i="21"/>
  <c r="EC236" i="21"/>
  <c r="AC237" i="21"/>
  <c r="BC237" i="21"/>
  <c r="CC237" i="21"/>
  <c r="DC237" i="21"/>
  <c r="EC237" i="21"/>
  <c r="AC238" i="21"/>
  <c r="BC238" i="21"/>
  <c r="CC238" i="21"/>
  <c r="DC238" i="21"/>
  <c r="EC238" i="21"/>
  <c r="AC239" i="21"/>
  <c r="BC239" i="21"/>
  <c r="CC239" i="21"/>
  <c r="DC239" i="21"/>
  <c r="EC239" i="21"/>
  <c r="AC240" i="21"/>
  <c r="BC240" i="21"/>
  <c r="CC240" i="21"/>
  <c r="DC240" i="21"/>
  <c r="EC240" i="21"/>
  <c r="AC242" i="21"/>
  <c r="BC242" i="21"/>
  <c r="CC242" i="21"/>
  <c r="DC242" i="21"/>
  <c r="EC242" i="21"/>
  <c r="AC244" i="21"/>
  <c r="BC244" i="21"/>
  <c r="CC244" i="21"/>
  <c r="DC244" i="21"/>
  <c r="EC244" i="21"/>
  <c r="AC249" i="21"/>
  <c r="BC249" i="21"/>
  <c r="CC249" i="21"/>
  <c r="DC249" i="21"/>
  <c r="EC249" i="21"/>
  <c r="AC250" i="21"/>
  <c r="BC250" i="21"/>
  <c r="CC250" i="21"/>
  <c r="DC250" i="21"/>
  <c r="EC250" i="21"/>
  <c r="AC262" i="21"/>
  <c r="BC262" i="21"/>
  <c r="CC262" i="21"/>
  <c r="DC262" i="21"/>
  <c r="EC262" i="21"/>
  <c r="AC263" i="21"/>
  <c r="BC263" i="21"/>
  <c r="CC263" i="21"/>
  <c r="DC263" i="21"/>
  <c r="EC263" i="21"/>
  <c r="AC264" i="21"/>
  <c r="BC264" i="21"/>
  <c r="CC264" i="21"/>
  <c r="DC264" i="21"/>
  <c r="EC264" i="21"/>
  <c r="AC265" i="21"/>
  <c r="BC265" i="21"/>
  <c r="CC265" i="21"/>
  <c r="DC265" i="21"/>
  <c r="EC265" i="21"/>
  <c r="AC266" i="21"/>
  <c r="BC266" i="21"/>
  <c r="CC266" i="21"/>
  <c r="DC266" i="21"/>
  <c r="EC266" i="21"/>
  <c r="AC267" i="21"/>
  <c r="BC267" i="21"/>
  <c r="CC267" i="21"/>
  <c r="DC267" i="21"/>
  <c r="EC267" i="21"/>
  <c r="AC286" i="21"/>
  <c r="BC286" i="21"/>
  <c r="CC286" i="21"/>
  <c r="DC286" i="21"/>
  <c r="EC286" i="21"/>
  <c r="AC319" i="21"/>
  <c r="BC319" i="21"/>
  <c r="CC319" i="21"/>
  <c r="DC319" i="21"/>
  <c r="EC319" i="21"/>
  <c r="AC347" i="21"/>
  <c r="BC347" i="21"/>
  <c r="CC347" i="21"/>
  <c r="DC347" i="21"/>
  <c r="EC347" i="21"/>
  <c r="AC348" i="21"/>
  <c r="BC348" i="21"/>
  <c r="CC348" i="21"/>
  <c r="DC348" i="21"/>
  <c r="EC348" i="21"/>
  <c r="AC349" i="21"/>
  <c r="BC349" i="21"/>
  <c r="CC349" i="21"/>
  <c r="DC349" i="21"/>
  <c r="EC349" i="21"/>
  <c r="AC350" i="21"/>
  <c r="BC350" i="21"/>
  <c r="CC350" i="21"/>
  <c r="DC350" i="21"/>
  <c r="EC350" i="21"/>
  <c r="AC351" i="21"/>
  <c r="BC351" i="21"/>
  <c r="CC351" i="21"/>
  <c r="DC351" i="21"/>
  <c r="EC351" i="21"/>
  <c r="AC353" i="21"/>
  <c r="BC353" i="21"/>
  <c r="CC353" i="21"/>
  <c r="DC353" i="21"/>
  <c r="EC353" i="21"/>
  <c r="AC354" i="21"/>
  <c r="BC354" i="21"/>
  <c r="CC354" i="21"/>
  <c r="DC354" i="21"/>
  <c r="EC354" i="21"/>
  <c r="AC356" i="21"/>
  <c r="BC356" i="21"/>
  <c r="CC356" i="21"/>
  <c r="DC356" i="21"/>
  <c r="EC356" i="21"/>
  <c r="AC357" i="21"/>
  <c r="BC357" i="21"/>
  <c r="CC357" i="21"/>
  <c r="DC357" i="21"/>
  <c r="EC357" i="21"/>
  <c r="AC361" i="21"/>
  <c r="BC361" i="21"/>
  <c r="CC361" i="21"/>
  <c r="DC361" i="21"/>
  <c r="EC361" i="21"/>
  <c r="AC363" i="21"/>
  <c r="BC363" i="21"/>
  <c r="CC363" i="21"/>
  <c r="DC363" i="21"/>
  <c r="EC363" i="21"/>
  <c r="AC364" i="21"/>
  <c r="BC364" i="21"/>
  <c r="CC364" i="21"/>
  <c r="DC364" i="21"/>
  <c r="EC364" i="21"/>
  <c r="AC365" i="21"/>
  <c r="BC365" i="21"/>
  <c r="CC365" i="21"/>
  <c r="DC365" i="21"/>
  <c r="EC365" i="21"/>
  <c r="AC366" i="21"/>
  <c r="BC366" i="21"/>
  <c r="CC366" i="21"/>
  <c r="DC366" i="21"/>
  <c r="EC366" i="21"/>
  <c r="AC367" i="21"/>
  <c r="BC367" i="21"/>
  <c r="CC367" i="21"/>
  <c r="DC367" i="21"/>
  <c r="EC367" i="21"/>
  <c r="AC368" i="21"/>
  <c r="BC368" i="21"/>
  <c r="CC368" i="21"/>
  <c r="DC368" i="21"/>
  <c r="EC368" i="21"/>
  <c r="AC370" i="21"/>
  <c r="BC370" i="21"/>
  <c r="CC370" i="21"/>
  <c r="DC370" i="21"/>
  <c r="EC370" i="21"/>
  <c r="AC371" i="21"/>
  <c r="BC371" i="21"/>
  <c r="CC371" i="21"/>
  <c r="DC371" i="21"/>
  <c r="EC371" i="21"/>
  <c r="AC372" i="21"/>
  <c r="BC372" i="21"/>
  <c r="CC372" i="21"/>
  <c r="DC372" i="21"/>
  <c r="EC372" i="21"/>
  <c r="AC374" i="21"/>
  <c r="BC374" i="21"/>
  <c r="CC374" i="21"/>
  <c r="DC374" i="21"/>
  <c r="EC374" i="21"/>
  <c r="AC375" i="21"/>
  <c r="BC375" i="21"/>
  <c r="CC375" i="21"/>
  <c r="DC375" i="21"/>
  <c r="EC375" i="21"/>
  <c r="AC376" i="21"/>
  <c r="BC376" i="21"/>
  <c r="CC376" i="21"/>
  <c r="DC376" i="21"/>
  <c r="EC376" i="21"/>
  <c r="AC377" i="21"/>
  <c r="BC377" i="21"/>
  <c r="CC377" i="21"/>
  <c r="DC377" i="21"/>
  <c r="EC377" i="21"/>
  <c r="AC378" i="21"/>
  <c r="BC378" i="21"/>
  <c r="CC378" i="21"/>
  <c r="DC378" i="21"/>
  <c r="EC378" i="21"/>
  <c r="AC379" i="21"/>
  <c r="BC379" i="21"/>
  <c r="CC379" i="21"/>
  <c r="DC379" i="21"/>
  <c r="EC379" i="21"/>
  <c r="AC380" i="21"/>
  <c r="BC380" i="21"/>
  <c r="CC380" i="21"/>
  <c r="DC380" i="21"/>
  <c r="EC380" i="21"/>
  <c r="AC381" i="21"/>
  <c r="BC381" i="21"/>
  <c r="CC381" i="21"/>
  <c r="DC381" i="21"/>
  <c r="EC381" i="21"/>
  <c r="AC383" i="21"/>
  <c r="BC383" i="21"/>
  <c r="CC383" i="21"/>
  <c r="DC383" i="21"/>
  <c r="EC383" i="21"/>
  <c r="AC384" i="21"/>
  <c r="BC384" i="21"/>
  <c r="CC384" i="21"/>
  <c r="DC384" i="21"/>
  <c r="EC384" i="21"/>
  <c r="AC386" i="21"/>
  <c r="BC386" i="21"/>
  <c r="CC386" i="21"/>
  <c r="DC386" i="21"/>
  <c r="EC386" i="21"/>
  <c r="AC387" i="21"/>
  <c r="BC387" i="21"/>
  <c r="CC387" i="21"/>
  <c r="DC387" i="21"/>
  <c r="EC387" i="21"/>
  <c r="AC388" i="21"/>
  <c r="BC388" i="21"/>
  <c r="CC388" i="21"/>
  <c r="DC388" i="21"/>
  <c r="EC388" i="21"/>
  <c r="FC388" i="21"/>
  <c r="AC390" i="21"/>
  <c r="BC390" i="21"/>
  <c r="CC390" i="21"/>
  <c r="DC390" i="21"/>
  <c r="EC390" i="21"/>
  <c r="AC392" i="21"/>
  <c r="BC392" i="21"/>
  <c r="CC392" i="21"/>
  <c r="DC392" i="21"/>
  <c r="EC392" i="21"/>
  <c r="AC404" i="21"/>
  <c r="BC404" i="21"/>
  <c r="CC404" i="21"/>
  <c r="DC404" i="21"/>
  <c r="EC404" i="21"/>
  <c r="AC406" i="21"/>
  <c r="BC406" i="21"/>
  <c r="CC406" i="21"/>
  <c r="DC406" i="21"/>
  <c r="EC406" i="21"/>
  <c r="AC426" i="21"/>
  <c r="BC426" i="21"/>
  <c r="CC426" i="21"/>
  <c r="DC426" i="21"/>
  <c r="EC426" i="21"/>
  <c r="AC427" i="21"/>
  <c r="BC427" i="21"/>
  <c r="CC427" i="21"/>
  <c r="DC427" i="21"/>
  <c r="EC427" i="21"/>
  <c r="AC429" i="21"/>
  <c r="BC429" i="21"/>
  <c r="CC429" i="21"/>
  <c r="DC429" i="21"/>
  <c r="EC429" i="21"/>
  <c r="AC430" i="21"/>
  <c r="BC430" i="21"/>
  <c r="CC430" i="21"/>
  <c r="DC430" i="21"/>
  <c r="EC430" i="21"/>
  <c r="AC431" i="21"/>
  <c r="BC431" i="21"/>
  <c r="CC431" i="21"/>
  <c r="DC431" i="21"/>
  <c r="EC431" i="21"/>
  <c r="AC453" i="21"/>
  <c r="BC453" i="21"/>
  <c r="CC453" i="21"/>
  <c r="DC453" i="21"/>
  <c r="EC453" i="21"/>
  <c r="AC456" i="21"/>
  <c r="BC456" i="21"/>
  <c r="CC456" i="21"/>
  <c r="DC456" i="21"/>
  <c r="EC456" i="21"/>
  <c r="AC458" i="21"/>
  <c r="BC458" i="21"/>
  <c r="CC458" i="21"/>
  <c r="DC458" i="21"/>
  <c r="EC458" i="21"/>
  <c r="AC460" i="21"/>
  <c r="BC460" i="21"/>
  <c r="CC460" i="21"/>
  <c r="DC460" i="21"/>
  <c r="EC460" i="21"/>
  <c r="AC462" i="21"/>
  <c r="BC462" i="21"/>
  <c r="CC462" i="21"/>
  <c r="DC462" i="21"/>
  <c r="EC462" i="21"/>
  <c r="AC464" i="21"/>
  <c r="BC464" i="21"/>
  <c r="CC464" i="21"/>
  <c r="DC464" i="21"/>
  <c r="EC464" i="21"/>
  <c r="AC466" i="21"/>
  <c r="BC466" i="21"/>
  <c r="CC466" i="21"/>
  <c r="DC466" i="21"/>
  <c r="EC466" i="21"/>
  <c r="AC468" i="21"/>
  <c r="BC468" i="21"/>
  <c r="CC468" i="21"/>
  <c r="DC468" i="21"/>
  <c r="EC468" i="21"/>
  <c r="AC470" i="21"/>
  <c r="BC470" i="21"/>
  <c r="CC470" i="21"/>
  <c r="DC470" i="21"/>
  <c r="EC470" i="21"/>
  <c r="AC471" i="21"/>
  <c r="BC471" i="21"/>
  <c r="CC471" i="21"/>
  <c r="DC471" i="21"/>
  <c r="EC471" i="21"/>
  <c r="FC471" i="21"/>
  <c r="AC473" i="21"/>
  <c r="BC473" i="21"/>
  <c r="CC473" i="21"/>
  <c r="DC473" i="21"/>
  <c r="EC473" i="21"/>
  <c r="AC475" i="21"/>
  <c r="BC475" i="21"/>
  <c r="CC475" i="21"/>
  <c r="DC475" i="21"/>
  <c r="EC475" i="21"/>
  <c r="AC477" i="21"/>
  <c r="BC477" i="21"/>
  <c r="CC477" i="21"/>
  <c r="DC477" i="21"/>
  <c r="EC477" i="21"/>
  <c r="FC477" i="21"/>
  <c r="AC478" i="21"/>
  <c r="BC478" i="21"/>
  <c r="CC478" i="21"/>
  <c r="DC478" i="21"/>
  <c r="EC478" i="21"/>
  <c r="FC478" i="21"/>
  <c r="AC481" i="21"/>
  <c r="BC481" i="21"/>
  <c r="CC481" i="21"/>
  <c r="DC481" i="21"/>
  <c r="EC481" i="21"/>
  <c r="FC481" i="21"/>
  <c r="AC483" i="21"/>
  <c r="BC483" i="21"/>
  <c r="CC483" i="21"/>
  <c r="DC483" i="21"/>
  <c r="EC483" i="21"/>
  <c r="FC483" i="21"/>
  <c r="AC485" i="21"/>
  <c r="AD485" i="21"/>
  <c r="AE485" i="21"/>
  <c r="AF485" i="21"/>
  <c r="BC485" i="21"/>
  <c r="BD485" i="21"/>
  <c r="BE485" i="21"/>
  <c r="BF485" i="21"/>
  <c r="CC485" i="21"/>
  <c r="CD485" i="21"/>
  <c r="CE485" i="21"/>
  <c r="CF485" i="21"/>
  <c r="DC485" i="21"/>
  <c r="DD485" i="21"/>
  <c r="DE485" i="21"/>
  <c r="DF485" i="21"/>
  <c r="EC485" i="21"/>
  <c r="ED485" i="21"/>
  <c r="EE485" i="21"/>
  <c r="EF485" i="21"/>
  <c r="FC485" i="21"/>
  <c r="FD485" i="21"/>
  <c r="FE485" i="21"/>
  <c r="FF485" i="21"/>
  <c r="AC486" i="21"/>
  <c r="AD486" i="21"/>
  <c r="AE486" i="21"/>
  <c r="AF486" i="21"/>
  <c r="AH486" i="21"/>
  <c r="BC486" i="21"/>
  <c r="BD486" i="21"/>
  <c r="BE486" i="21"/>
  <c r="BF486" i="21"/>
  <c r="CC486" i="21"/>
  <c r="CD486" i="21"/>
  <c r="CE486" i="21"/>
  <c r="CF486" i="21"/>
  <c r="DC486" i="21"/>
  <c r="DD486" i="21"/>
  <c r="DE486" i="21"/>
  <c r="DF486" i="21"/>
  <c r="EC486" i="21"/>
  <c r="ED486" i="21"/>
  <c r="EE486" i="21"/>
  <c r="EF486" i="21"/>
  <c r="FC486" i="21"/>
  <c r="FD486" i="21"/>
  <c r="FE486" i="21"/>
  <c r="FF486" i="21"/>
  <c r="AH487" i="21"/>
  <c r="AC488" i="21"/>
  <c r="AD488" i="21"/>
  <c r="AE488" i="21"/>
  <c r="AG488" i="21"/>
  <c r="AH488" i="21"/>
  <c r="AI488" i="21"/>
  <c r="BC488" i="21"/>
  <c r="BD488" i="21"/>
  <c r="BE488" i="21"/>
  <c r="BG488" i="21"/>
  <c r="BH488" i="21"/>
  <c r="BI488" i="21"/>
  <c r="CC488" i="21"/>
  <c r="CD488" i="21"/>
  <c r="CE488" i="21"/>
  <c r="CG488" i="21"/>
  <c r="CH488" i="21"/>
  <c r="CI488" i="21"/>
  <c r="DC488" i="21"/>
  <c r="DD488" i="21"/>
  <c r="DE488" i="21"/>
  <c r="DG488" i="21"/>
  <c r="DH488" i="21"/>
  <c r="DI488" i="21"/>
  <c r="EC488" i="21"/>
  <c r="ED488" i="21"/>
  <c r="EE488" i="21"/>
  <c r="EG488" i="21"/>
  <c r="EH488" i="21"/>
  <c r="EI488" i="21"/>
  <c r="FC488" i="21"/>
  <c r="FD488" i="21"/>
  <c r="FE488" i="21"/>
  <c r="FG488" i="21"/>
  <c r="FH488" i="21"/>
  <c r="FI488" i="21"/>
  <c r="AC494" i="21"/>
  <c r="AD494" i="21"/>
  <c r="AE494" i="21"/>
  <c r="AF494" i="21"/>
  <c r="AG494" i="21"/>
  <c r="AH494" i="21"/>
  <c r="AI494" i="21"/>
  <c r="AJ494" i="21"/>
  <c r="BC494" i="21"/>
  <c r="BD494" i="21"/>
  <c r="BE494" i="21"/>
  <c r="BF494" i="21"/>
  <c r="BG494" i="21"/>
  <c r="BH494" i="21"/>
  <c r="BI494" i="21"/>
  <c r="BJ494" i="21"/>
  <c r="CC494" i="21"/>
  <c r="CD494" i="21"/>
  <c r="CE494" i="21"/>
  <c r="CF494" i="21"/>
  <c r="CG494" i="21"/>
  <c r="CH494" i="21"/>
  <c r="CI494" i="21"/>
  <c r="CJ494" i="21"/>
  <c r="DC494" i="21"/>
  <c r="DD494" i="21"/>
  <c r="DE494" i="21"/>
  <c r="DF494" i="21"/>
  <c r="DG494" i="21"/>
  <c r="DH494" i="21"/>
  <c r="DI494" i="21"/>
  <c r="DJ494" i="21"/>
  <c r="EC494" i="21"/>
  <c r="ED494" i="21"/>
  <c r="EE494" i="21"/>
  <c r="EF494" i="21"/>
  <c r="EG494" i="21"/>
  <c r="EH494" i="21"/>
  <c r="EI494" i="21"/>
  <c r="EJ494" i="21"/>
  <c r="FG494" i="21"/>
  <c r="FH494" i="21"/>
  <c r="FI494" i="21"/>
  <c r="FJ494" i="21"/>
  <c r="AC496" i="21"/>
  <c r="AD496" i="21"/>
  <c r="AE496" i="21"/>
  <c r="AF496" i="21"/>
  <c r="BC496" i="21"/>
  <c r="BD496" i="21"/>
  <c r="BE496" i="21"/>
  <c r="BF496" i="21"/>
  <c r="CC496" i="21"/>
  <c r="CD496" i="21"/>
  <c r="CE496" i="21"/>
  <c r="CF496" i="21"/>
  <c r="DC496" i="21"/>
  <c r="DD496" i="21"/>
  <c r="DE496" i="21"/>
  <c r="DF496" i="21"/>
  <c r="EC496" i="21"/>
  <c r="ED496" i="21"/>
  <c r="EE496" i="21"/>
  <c r="EF496" i="21"/>
  <c r="FC496" i="21"/>
  <c r="FD496" i="21"/>
  <c r="FE496" i="21"/>
  <c r="FF496" i="21"/>
  <c r="AC498" i="21"/>
  <c r="AD498" i="21"/>
  <c r="AE498" i="21"/>
  <c r="AF498" i="21"/>
  <c r="BC498" i="21"/>
  <c r="BD498" i="21"/>
  <c r="BE498" i="21"/>
  <c r="BF498" i="21"/>
  <c r="CC498" i="21"/>
  <c r="CD498" i="21"/>
  <c r="CE498" i="21"/>
  <c r="CF498" i="21"/>
  <c r="DC498" i="21"/>
  <c r="DD498" i="21"/>
  <c r="DE498" i="21"/>
  <c r="DF498" i="21"/>
  <c r="EC498" i="21"/>
  <c r="ED498" i="21"/>
  <c r="EE498" i="21"/>
  <c r="EF498" i="21"/>
  <c r="FC498" i="21"/>
  <c r="FD498" i="21"/>
  <c r="FE498" i="21"/>
  <c r="FF498" i="21"/>
  <c r="AC502" i="21"/>
  <c r="AD502" i="21"/>
  <c r="AE502" i="21"/>
  <c r="AF502" i="21"/>
  <c r="BC502" i="21"/>
  <c r="BD502" i="21"/>
  <c r="BE502" i="21"/>
  <c r="BF502" i="21"/>
  <c r="CC502" i="21"/>
  <c r="CD502" i="21"/>
  <c r="CE502" i="21"/>
  <c r="CF502" i="21"/>
  <c r="DC502" i="21"/>
  <c r="DD502" i="21"/>
  <c r="DE502" i="21"/>
  <c r="DF502" i="21"/>
  <c r="EC502" i="21"/>
  <c r="ED502" i="21"/>
  <c r="EE502" i="21"/>
  <c r="EF502" i="21"/>
  <c r="FC502" i="21"/>
  <c r="FD502" i="21"/>
  <c r="FE502" i="21"/>
  <c r="FF502" i="21"/>
  <c r="AC503" i="21"/>
  <c r="AD503" i="21"/>
  <c r="AE503" i="21"/>
  <c r="AF503" i="21"/>
  <c r="BC503" i="21"/>
  <c r="BD503" i="21"/>
  <c r="BE503" i="21"/>
  <c r="BF503" i="21"/>
  <c r="CC503" i="21"/>
  <c r="CD503" i="21"/>
  <c r="CE503" i="21"/>
  <c r="CF503" i="21"/>
  <c r="DC503" i="21"/>
  <c r="DD503" i="21"/>
  <c r="DE503" i="21"/>
  <c r="DF503" i="21"/>
  <c r="EC503" i="21"/>
  <c r="ED503" i="21"/>
  <c r="EE503" i="21"/>
  <c r="EF503" i="21"/>
  <c r="FC503" i="21"/>
  <c r="FD503" i="21"/>
  <c r="FE503" i="21"/>
  <c r="FF503" i="21"/>
  <c r="AC505" i="21"/>
  <c r="AD505" i="21"/>
  <c r="AE505" i="21"/>
  <c r="AF505" i="21"/>
  <c r="AG505" i="21"/>
  <c r="AH505" i="21"/>
  <c r="AI505" i="21"/>
  <c r="AJ505" i="21"/>
  <c r="BC505" i="21"/>
  <c r="BD505" i="21"/>
  <c r="BE505" i="21"/>
  <c r="BF505" i="21"/>
  <c r="BG505" i="21"/>
  <c r="BH505" i="21"/>
  <c r="BI505" i="21"/>
  <c r="BJ505" i="21"/>
  <c r="CC505" i="21"/>
  <c r="CD505" i="21"/>
  <c r="CE505" i="21"/>
  <c r="CF505" i="21"/>
  <c r="CG505" i="21"/>
  <c r="CH505" i="21"/>
  <c r="CI505" i="21"/>
  <c r="CJ505" i="21"/>
  <c r="DC505" i="21"/>
  <c r="DD505" i="21"/>
  <c r="DE505" i="21"/>
  <c r="DF505" i="21"/>
  <c r="DG505" i="21"/>
  <c r="DH505" i="21"/>
  <c r="DI505" i="21"/>
  <c r="DJ505" i="21"/>
  <c r="EC505" i="21"/>
  <c r="ED505" i="21"/>
  <c r="EE505" i="21"/>
  <c r="EF505" i="21"/>
  <c r="EG505" i="21"/>
  <c r="EH505" i="21"/>
  <c r="EI505" i="21"/>
  <c r="EJ505" i="21"/>
  <c r="FC505" i="21"/>
  <c r="FD505" i="21"/>
  <c r="FE505" i="21"/>
  <c r="FF505" i="21"/>
  <c r="FG505" i="21"/>
  <c r="FH505" i="21"/>
  <c r="FI505" i="21"/>
  <c r="FJ505" i="21"/>
  <c r="AC507" i="21"/>
  <c r="AD507" i="21"/>
  <c r="AE507" i="21"/>
  <c r="AF507" i="21"/>
  <c r="AG507" i="21"/>
  <c r="AH507" i="21"/>
  <c r="AI507" i="21"/>
  <c r="AJ507" i="21"/>
  <c r="BC507" i="21"/>
  <c r="BD507" i="21"/>
  <c r="BE507" i="21"/>
  <c r="BF507" i="21"/>
  <c r="BG507" i="21"/>
  <c r="BH507" i="21"/>
  <c r="BI507" i="21"/>
  <c r="BJ507" i="21"/>
  <c r="CC507" i="21"/>
  <c r="CD507" i="21"/>
  <c r="CE507" i="21"/>
  <c r="CF507" i="21"/>
  <c r="CG507" i="21"/>
  <c r="CH507" i="21"/>
  <c r="CI507" i="21"/>
  <c r="CJ507" i="21"/>
  <c r="DC507" i="21"/>
  <c r="DD507" i="21"/>
  <c r="DE507" i="21"/>
  <c r="DF507" i="21"/>
  <c r="DG507" i="21"/>
  <c r="DH507" i="21"/>
  <c r="DI507" i="21"/>
  <c r="DJ507" i="21"/>
  <c r="EC507" i="21"/>
  <c r="ED507" i="21"/>
  <c r="EE507" i="21"/>
  <c r="EF507" i="21"/>
  <c r="EG507" i="21"/>
  <c r="EH507" i="21"/>
  <c r="EI507" i="21"/>
  <c r="EJ507" i="21"/>
  <c r="FC507" i="21"/>
  <c r="FD507" i="21"/>
  <c r="FE507" i="21"/>
  <c r="FF507" i="21"/>
  <c r="FG507" i="21"/>
  <c r="FH507" i="21"/>
  <c r="FI507" i="21"/>
  <c r="FJ507" i="21"/>
  <c r="AC509" i="21"/>
  <c r="AD509" i="21"/>
  <c r="AE509" i="21"/>
  <c r="AF509" i="21"/>
  <c r="BC509" i="21"/>
  <c r="BD509" i="21"/>
  <c r="BE509" i="21"/>
  <c r="BF509" i="21"/>
  <c r="CC509" i="21"/>
  <c r="CD509" i="21"/>
  <c r="CE509" i="21"/>
  <c r="CF509" i="21"/>
  <c r="DC509" i="21"/>
  <c r="DD509" i="21"/>
  <c r="DE509" i="21"/>
  <c r="DF509" i="21"/>
  <c r="EC509" i="21"/>
  <c r="ED509" i="21"/>
  <c r="EE509" i="21"/>
  <c r="EF509" i="21"/>
  <c r="FC509" i="21"/>
  <c r="FD509" i="21"/>
  <c r="FE509" i="21"/>
  <c r="FF509" i="21"/>
  <c r="AC511" i="21"/>
  <c r="AD511" i="21"/>
  <c r="AE511" i="21"/>
  <c r="AF511" i="21"/>
  <c r="BC511" i="21"/>
  <c r="BD511" i="21"/>
  <c r="BE511" i="21"/>
  <c r="BF511" i="21"/>
  <c r="CC511" i="21"/>
  <c r="CD511" i="21"/>
  <c r="CE511" i="21"/>
  <c r="CF511" i="21"/>
  <c r="DC511" i="21"/>
  <c r="DD511" i="21"/>
  <c r="DE511" i="21"/>
  <c r="DF511" i="21"/>
  <c r="EC511" i="21"/>
  <c r="ED511" i="21"/>
  <c r="EE511" i="21"/>
  <c r="EF511" i="21"/>
  <c r="AC513" i="21"/>
  <c r="AD513" i="21"/>
  <c r="AE513" i="21"/>
  <c r="AF513" i="21"/>
  <c r="BC513" i="21"/>
  <c r="BD513" i="21"/>
  <c r="BE513" i="21"/>
  <c r="BF513" i="21"/>
  <c r="CC513" i="21"/>
  <c r="CD513" i="21"/>
  <c r="CE513" i="21"/>
  <c r="CF513" i="21"/>
  <c r="DC513" i="21"/>
  <c r="DD513" i="21"/>
  <c r="DE513" i="21"/>
  <c r="DF513" i="21"/>
  <c r="EC513" i="21"/>
  <c r="ED513" i="21"/>
  <c r="EE513" i="21"/>
  <c r="EF513" i="21"/>
  <c r="FC513" i="21"/>
  <c r="FD513" i="21"/>
  <c r="FE513" i="21"/>
  <c r="FF513" i="21"/>
  <c r="AC515" i="21"/>
  <c r="AD515" i="21"/>
  <c r="AE515" i="21"/>
  <c r="AF515" i="21"/>
  <c r="AG515" i="21"/>
  <c r="AH515" i="21"/>
  <c r="AI515" i="21"/>
  <c r="AJ515" i="21"/>
  <c r="BC515" i="21"/>
  <c r="BD515" i="21"/>
  <c r="BE515" i="21"/>
  <c r="BF515" i="21"/>
  <c r="BG515" i="21"/>
  <c r="BH515" i="21"/>
  <c r="BI515" i="21"/>
  <c r="BJ515" i="21"/>
  <c r="CC515" i="21"/>
  <c r="CD515" i="21"/>
  <c r="CE515" i="21"/>
  <c r="CF515" i="21"/>
  <c r="CG515" i="21"/>
  <c r="CH515" i="21"/>
  <c r="CI515" i="21"/>
  <c r="CJ515" i="21"/>
  <c r="DC515" i="21"/>
  <c r="DD515" i="21"/>
  <c r="DE515" i="21"/>
  <c r="DF515" i="21"/>
  <c r="DG515" i="21"/>
  <c r="DH515" i="21"/>
  <c r="DI515" i="21"/>
  <c r="DJ515" i="21"/>
  <c r="EC515" i="21"/>
  <c r="ED515" i="21"/>
  <c r="EE515" i="21"/>
  <c r="EF515" i="21"/>
  <c r="EG515" i="21"/>
  <c r="EH515" i="21"/>
  <c r="EI515" i="21"/>
  <c r="EJ515" i="21"/>
  <c r="FC515" i="21"/>
  <c r="FD515" i="21"/>
  <c r="FE515" i="21"/>
  <c r="FF515" i="21"/>
  <c r="FG515" i="21"/>
  <c r="FH515" i="21"/>
  <c r="FI515" i="21"/>
  <c r="FJ515" i="21"/>
  <c r="AC516" i="21"/>
  <c r="AD516" i="21"/>
  <c r="AE516" i="21"/>
  <c r="AF516" i="21"/>
  <c r="AG516" i="21"/>
  <c r="AH516" i="21"/>
  <c r="AI516" i="21"/>
  <c r="AJ516" i="21"/>
  <c r="BC516" i="21"/>
  <c r="BD516" i="21"/>
  <c r="BE516" i="21"/>
  <c r="BF516" i="21"/>
  <c r="BG516" i="21"/>
  <c r="BH516" i="21"/>
  <c r="BI516" i="21"/>
  <c r="BJ516" i="21"/>
  <c r="CC516" i="21"/>
  <c r="CD516" i="21"/>
  <c r="CE516" i="21"/>
  <c r="CF516" i="21"/>
  <c r="CG516" i="21"/>
  <c r="CH516" i="21"/>
  <c r="CI516" i="21"/>
  <c r="CJ516" i="21"/>
  <c r="DC516" i="21"/>
  <c r="DD516" i="21"/>
  <c r="DE516" i="21"/>
  <c r="DF516" i="21"/>
  <c r="DG516" i="21"/>
  <c r="DH516" i="21"/>
  <c r="DI516" i="21"/>
  <c r="DJ516" i="21"/>
  <c r="EC516" i="21"/>
  <c r="ED516" i="21"/>
  <c r="EE516" i="21"/>
  <c r="EF516" i="21"/>
  <c r="EG516" i="21"/>
  <c r="EH516" i="21"/>
  <c r="EI516" i="21"/>
  <c r="EJ516" i="21"/>
  <c r="FC516" i="21"/>
  <c r="FD516" i="21"/>
  <c r="FE516" i="21"/>
  <c r="FF516" i="21"/>
  <c r="FG516" i="21"/>
  <c r="FH516" i="21"/>
  <c r="FI516" i="21"/>
  <c r="FJ516" i="21"/>
  <c r="AG517" i="21"/>
  <c r="AH517" i="21"/>
  <c r="AI517" i="21"/>
  <c r="AJ517" i="21"/>
  <c r="BG517" i="21"/>
  <c r="BH517" i="21"/>
  <c r="BI517" i="21"/>
  <c r="BJ517" i="21"/>
  <c r="CG517" i="21"/>
  <c r="CH517" i="21"/>
  <c r="CI517" i="21"/>
  <c r="CJ517" i="21"/>
  <c r="DG517" i="21"/>
  <c r="DH517" i="21"/>
  <c r="DI517" i="21"/>
  <c r="DJ517" i="21"/>
  <c r="EG517" i="21"/>
  <c r="EH517" i="21"/>
  <c r="EI517" i="21"/>
  <c r="EJ517" i="21"/>
  <c r="FG517" i="21"/>
  <c r="FH517" i="21"/>
  <c r="FI517" i="21"/>
  <c r="FJ517" i="21"/>
  <c r="AC518" i="21"/>
  <c r="AD518" i="21"/>
  <c r="AE518" i="21"/>
  <c r="AF518" i="21"/>
  <c r="BC518" i="21"/>
  <c r="BD518" i="21"/>
  <c r="BE518" i="21"/>
  <c r="BF518" i="21"/>
  <c r="CC518" i="21"/>
  <c r="CD518" i="21"/>
  <c r="CE518" i="21"/>
  <c r="CF518" i="21"/>
  <c r="DC518" i="21"/>
  <c r="DD518" i="21"/>
  <c r="DE518" i="21"/>
  <c r="DF518" i="21"/>
  <c r="EC518" i="21"/>
  <c r="ED518" i="21"/>
  <c r="EE518" i="21"/>
  <c r="EF518" i="21"/>
  <c r="FC518" i="21"/>
  <c r="FD518" i="21"/>
  <c r="FE518" i="21"/>
  <c r="FF518" i="21"/>
  <c r="AC520" i="21"/>
  <c r="AD520" i="21"/>
  <c r="AE520" i="21"/>
  <c r="AF520" i="21"/>
  <c r="BC520" i="21"/>
  <c r="BD520" i="21"/>
  <c r="BE520" i="21"/>
  <c r="BF520" i="21"/>
  <c r="CC520" i="21"/>
  <c r="CD520" i="21"/>
  <c r="CE520" i="21"/>
  <c r="CF520" i="21"/>
  <c r="DC520" i="21"/>
  <c r="DD520" i="21"/>
  <c r="DE520" i="21"/>
  <c r="DF520" i="21"/>
  <c r="EC520" i="21"/>
  <c r="ED520" i="21"/>
  <c r="EE520" i="21"/>
  <c r="EF520" i="21"/>
  <c r="FC520" i="21"/>
  <c r="FD520" i="21"/>
  <c r="FE520" i="21"/>
  <c r="FF520" i="21"/>
  <c r="AC522" i="21"/>
  <c r="AD522" i="21"/>
  <c r="AE522" i="21"/>
  <c r="AF522" i="21"/>
  <c r="BC522" i="21"/>
  <c r="BD522" i="21"/>
  <c r="BE522" i="21"/>
  <c r="BF522" i="21"/>
  <c r="CC522" i="21"/>
  <c r="CD522" i="21"/>
  <c r="CE522" i="21"/>
  <c r="CF522" i="21"/>
  <c r="DC522" i="21"/>
  <c r="DD522" i="21"/>
  <c r="DE522" i="21"/>
  <c r="DF522" i="21"/>
  <c r="EC522" i="21"/>
  <c r="ED522" i="21"/>
  <c r="EE522" i="21"/>
  <c r="EF522" i="21"/>
  <c r="FC522" i="21"/>
  <c r="FD522" i="21"/>
  <c r="FE522" i="21"/>
  <c r="FF522" i="21"/>
  <c r="AC524" i="21"/>
  <c r="AD524" i="21"/>
  <c r="AE524" i="21"/>
  <c r="AF524" i="21"/>
  <c r="BC524" i="21"/>
  <c r="BD524" i="21"/>
  <c r="BE524" i="21"/>
  <c r="BF524" i="21"/>
  <c r="CC524" i="21"/>
  <c r="CD524" i="21"/>
  <c r="CE524" i="21"/>
  <c r="CF524" i="21"/>
  <c r="DC524" i="21"/>
  <c r="DD524" i="21"/>
  <c r="DE524" i="21"/>
  <c r="DF524" i="21"/>
  <c r="EC524" i="21"/>
  <c r="ED524" i="21"/>
  <c r="EE524" i="21"/>
  <c r="EF524" i="21"/>
  <c r="FC524" i="21"/>
  <c r="FD524" i="21"/>
  <c r="FE524" i="21"/>
  <c r="FF524" i="21"/>
  <c r="AC526" i="21"/>
  <c r="AD526" i="21"/>
  <c r="AE526" i="21"/>
  <c r="AF526" i="21"/>
  <c r="BC526" i="21"/>
  <c r="BD526" i="21"/>
  <c r="BE526" i="21"/>
  <c r="BF526" i="21"/>
  <c r="CC526" i="21"/>
  <c r="CD526" i="21"/>
  <c r="CE526" i="21"/>
  <c r="CF526" i="21"/>
  <c r="DC526" i="21"/>
  <c r="DD526" i="21"/>
  <c r="DE526" i="21"/>
  <c r="DF526" i="21"/>
  <c r="EC526" i="21"/>
  <c r="ED526" i="21"/>
  <c r="EE526" i="21"/>
  <c r="EF526" i="21"/>
  <c r="FC526" i="21"/>
  <c r="FD526" i="21"/>
  <c r="FE526" i="21"/>
  <c r="FF526" i="21"/>
  <c r="AC527" i="21"/>
  <c r="AD527" i="21"/>
  <c r="AE527" i="21"/>
  <c r="AF527" i="21"/>
  <c r="BC527" i="21"/>
  <c r="BD527" i="21"/>
  <c r="BE527" i="21"/>
  <c r="BF527" i="21"/>
  <c r="CC527" i="21"/>
  <c r="CD527" i="21"/>
  <c r="CE527" i="21"/>
  <c r="CF527" i="21"/>
  <c r="DC527" i="21"/>
  <c r="DD527" i="21"/>
  <c r="DE527" i="21"/>
  <c r="DF527" i="21"/>
  <c r="EC527" i="21"/>
  <c r="ED527" i="21"/>
  <c r="EE527" i="21"/>
  <c r="EF527" i="21"/>
  <c r="FC527" i="21"/>
  <c r="FD527" i="21"/>
  <c r="FE527" i="21"/>
  <c r="FF527" i="21"/>
  <c r="AC528" i="21"/>
  <c r="AD528" i="21"/>
  <c r="AE528" i="21"/>
  <c r="AF528" i="21"/>
  <c r="AH528" i="21"/>
  <c r="BC528" i="21"/>
  <c r="BD528" i="21"/>
  <c r="BE528" i="21"/>
  <c r="BF528" i="21"/>
  <c r="CC528" i="21"/>
  <c r="CD528" i="21"/>
  <c r="CE528" i="21"/>
  <c r="CF528" i="21"/>
  <c r="DC528" i="21"/>
  <c r="DD528" i="21"/>
  <c r="DE528" i="21"/>
  <c r="DF528" i="21"/>
  <c r="EC528" i="21"/>
  <c r="ED528" i="21"/>
  <c r="EE528" i="21"/>
  <c r="EF528" i="21"/>
  <c r="FC528" i="21"/>
  <c r="FD528" i="21"/>
  <c r="FE528" i="21"/>
  <c r="FF528" i="21"/>
  <c r="C37" i="11"/>
  <c r="D37" i="11"/>
  <c r="C38" i="11"/>
  <c r="D38" i="11"/>
  <c r="C39" i="11"/>
  <c r="D39" i="11"/>
  <c r="C40" i="11"/>
  <c r="D40" i="11"/>
  <c r="C41" i="11"/>
  <c r="D41" i="11"/>
  <c r="C47" i="11"/>
  <c r="D47" i="11"/>
  <c r="DC181" i="11"/>
  <c r="DD181" i="11"/>
  <c r="DE181" i="11"/>
  <c r="DF181" i="11"/>
  <c r="DG181" i="11"/>
  <c r="DH181" i="11"/>
  <c r="DI181" i="11"/>
  <c r="DJ181" i="11"/>
  <c r="DK181" i="11"/>
  <c r="EC183" i="11"/>
  <c r="ED183" i="11"/>
  <c r="EE183" i="11"/>
  <c r="EF183" i="11"/>
  <c r="EG183" i="11"/>
  <c r="EH183" i="11"/>
  <c r="EI183" i="11"/>
  <c r="EJ183" i="11"/>
  <c r="EK183" i="11"/>
  <c r="DF186" i="11"/>
  <c r="DL186" i="11"/>
  <c r="ED188" i="11"/>
  <c r="EL188" i="11"/>
  <c r="BC189" i="11"/>
  <c r="CC189" i="11"/>
  <c r="DC189" i="11"/>
  <c r="BC191" i="11"/>
  <c r="CC191" i="11"/>
  <c r="DC191" i="11"/>
  <c r="EC191" i="11"/>
  <c r="BC193" i="11"/>
  <c r="CC193" i="11"/>
  <c r="DC193" i="11"/>
  <c r="EC193" i="11"/>
  <c r="BC194" i="11"/>
  <c r="CC194" i="11"/>
  <c r="DC194" i="11"/>
  <c r="EC195" i="11"/>
  <c r="EC196" i="11"/>
  <c r="BC197" i="11"/>
  <c r="CC197" i="11"/>
  <c r="DC197" i="11"/>
  <c r="EC199" i="11"/>
  <c r="EC349" i="11"/>
  <c r="DC351" i="11"/>
  <c r="BD472" i="11"/>
  <c r="CD472" i="11"/>
  <c r="DD472" i="11"/>
  <c r="ED472" i="11"/>
  <c r="BD474" i="11"/>
  <c r="CD474" i="11"/>
  <c r="DD474" i="11"/>
  <c r="ED474" i="11"/>
  <c r="BD476" i="11"/>
  <c r="CD476" i="11"/>
  <c r="DD476" i="11"/>
  <c r="ED476" i="11"/>
  <c r="BD483" i="11"/>
  <c r="BH483" i="11"/>
  <c r="CD483" i="11"/>
  <c r="CH483" i="11"/>
  <c r="DD483" i="11"/>
  <c r="DH483" i="11"/>
  <c r="ED483" i="11"/>
  <c r="EH483" i="11"/>
  <c r="BD491" i="11"/>
  <c r="BG491" i="11"/>
  <c r="CD491" i="11"/>
  <c r="CG491" i="11"/>
  <c r="DD491" i="11"/>
  <c r="DG491" i="11"/>
  <c r="ED491" i="11"/>
  <c r="EG491" i="11"/>
  <c r="BG492" i="11"/>
  <c r="CG492" i="11"/>
  <c r="DD492" i="11"/>
  <c r="DG492" i="11"/>
  <c r="ED492" i="11"/>
  <c r="EG492" i="11"/>
  <c r="BD493" i="11"/>
  <c r="CD493" i="11"/>
  <c r="DD493" i="11"/>
  <c r="ED493" i="11"/>
  <c r="BD496" i="11"/>
  <c r="CD496" i="11"/>
  <c r="DD496" i="11"/>
  <c r="ED496" i="11"/>
  <c r="BD497" i="11"/>
  <c r="CD497" i="11"/>
  <c r="DD497" i="11"/>
  <c r="ED497" i="11"/>
  <c r="BD499" i="11"/>
  <c r="CD499" i="11"/>
  <c r="DD499" i="11"/>
  <c r="ED499" i="11"/>
  <c r="BD503" i="11"/>
  <c r="BH503" i="11"/>
  <c r="CD503" i="11"/>
  <c r="CH503" i="11"/>
  <c r="DD503" i="11"/>
  <c r="DH503" i="11"/>
  <c r="ED503" i="11"/>
  <c r="EH503" i="11"/>
  <c r="C91" i="8"/>
  <c r="N91" i="8"/>
  <c r="C105" i="8"/>
  <c r="C111" i="8"/>
  <c r="C112" i="8"/>
  <c r="C113" i="8"/>
  <c r="C114" i="8"/>
  <c r="C117" i="8"/>
  <c r="C118" i="8"/>
  <c r="C119" i="8"/>
  <c r="F57" i="15" a="1"/>
  <c r="F57" i="15"/>
  <c r="F58" i="15" a="1"/>
  <c r="F58" i="15"/>
  <c r="F59" i="15" a="1"/>
  <c r="F59" i="15"/>
  <c r="F60" i="15" a="1"/>
  <c r="F60" i="15"/>
  <c r="F61" i="15" a="1"/>
  <c r="F61" i="15"/>
  <c r="F62" i="15" a="1"/>
  <c r="F62" i="15"/>
  <c r="F64" i="15" a="1"/>
  <c r="F64" i="15"/>
  <c r="F65" i="15" a="1"/>
  <c r="F65" i="15"/>
  <c r="F66" i="15" a="1"/>
  <c r="F66" i="15"/>
  <c r="F67" i="15" a="1"/>
  <c r="F67" i="15"/>
  <c r="F68" i="15" a="1"/>
  <c r="F68" i="15"/>
  <c r="F69" i="15" a="1"/>
  <c r="F69" i="15"/>
  <c r="F70" i="15" a="1"/>
  <c r="F70" i="15"/>
  <c r="F71" i="15" a="1"/>
  <c r="F71" i="15"/>
  <c r="F72" i="15" a="1"/>
  <c r="F72" i="15"/>
  <c r="F73" i="15" a="1"/>
  <c r="F73" i="15"/>
  <c r="F74" i="15" a="1"/>
  <c r="F74" i="15"/>
  <c r="F75" i="15" a="1"/>
  <c r="F75" i="15"/>
  <c r="F76" i="15" a="1"/>
  <c r="F76" i="15"/>
  <c r="C104" i="15"/>
  <c r="D104" i="15"/>
  <c r="E104" i="15"/>
  <c r="F104" i="15"/>
  <c r="G104" i="15"/>
  <c r="H104" i="15"/>
  <c r="C108" i="15"/>
  <c r="D108" i="15"/>
  <c r="E108" i="15"/>
  <c r="F108" i="15"/>
  <c r="G108" i="15"/>
  <c r="H108" i="15"/>
  <c r="C112" i="15" a="1"/>
  <c r="C112" i="15"/>
  <c r="D112" i="15" a="1"/>
  <c r="D112" i="15"/>
  <c r="E112" i="15" a="1"/>
  <c r="E112" i="15"/>
  <c r="F112" i="15" a="1"/>
  <c r="F112" i="15"/>
  <c r="G112" i="15" a="1"/>
  <c r="G112" i="15"/>
  <c r="H112" i="15" a="1"/>
  <c r="H112" i="15"/>
  <c r="C116" i="15"/>
  <c r="D116" i="15"/>
  <c r="E116" i="15"/>
  <c r="F116" i="15"/>
  <c r="G116" i="15"/>
  <c r="H116" i="15"/>
  <c r="C120" i="15"/>
  <c r="D120" i="15"/>
  <c r="E120" i="15"/>
  <c r="F120" i="15"/>
  <c r="G120" i="15"/>
  <c r="H120" i="15"/>
  <c r="G53" i="18"/>
  <c r="H53" i="18"/>
  <c r="I53" i="18"/>
  <c r="J53" i="18"/>
  <c r="K53" i="18"/>
  <c r="L53" i="18"/>
  <c r="C58" i="18"/>
  <c r="D58" i="18"/>
  <c r="E58" i="18"/>
  <c r="F58" i="18"/>
  <c r="E61" i="18"/>
  <c r="F61" i="18"/>
  <c r="C64" i="18"/>
  <c r="D64" i="18"/>
  <c r="E64" i="18"/>
  <c r="F64" i="18"/>
  <c r="J71" i="18"/>
  <c r="J72" i="18"/>
  <c r="J73" i="18"/>
  <c r="I78" i="18"/>
  <c r="J78" i="18"/>
  <c r="I83" i="18"/>
  <c r="J83" i="18"/>
  <c r="B88" i="19"/>
  <c r="C88" i="19"/>
  <c r="B89" i="19"/>
  <c r="C89" i="19"/>
  <c r="B90" i="19"/>
  <c r="C90" i="19"/>
  <c r="B91" i="19"/>
  <c r="C91" i="19"/>
  <c r="B92" i="19"/>
  <c r="C92" i="19"/>
  <c r="B98" i="19"/>
  <c r="C98" i="19"/>
  <c r="C11" i="2"/>
  <c r="G11" i="2"/>
  <c r="H11" i="2"/>
  <c r="G13" i="2"/>
  <c r="G14" i="2"/>
  <c r="G15" i="2"/>
  <c r="G16" i="2"/>
  <c r="G17" i="2"/>
  <c r="G18" i="2"/>
  <c r="G20" i="2"/>
  <c r="G21" i="2"/>
  <c r="G22" i="2"/>
  <c r="G23" i="2"/>
  <c r="G24" i="2"/>
  <c r="G25" i="2"/>
  <c r="G26" i="2"/>
  <c r="G27" i="2"/>
  <c r="G28" i="2"/>
  <c r="G29" i="2"/>
  <c r="G30" i="2"/>
  <c r="G31" i="2"/>
  <c r="G32" i="2"/>
  <c r="J37" i="2"/>
  <c r="K37" i="2"/>
  <c r="L37" i="2"/>
  <c r="M37" i="2"/>
  <c r="R37" i="2"/>
  <c r="R39" i="2"/>
  <c r="R40" i="2"/>
  <c r="R41" i="2"/>
  <c r="R42" i="2"/>
  <c r="R43" i="2"/>
  <c r="R44" i="2"/>
  <c r="R46" i="2"/>
  <c r="R47" i="2"/>
  <c r="R48" i="2"/>
  <c r="R49" i="2"/>
  <c r="R50" i="2"/>
  <c r="R51" i="2"/>
  <c r="R52" i="2"/>
  <c r="R53" i="2"/>
  <c r="R54" i="2"/>
  <c r="R55" i="2"/>
  <c r="R56" i="2"/>
  <c r="R57" i="2"/>
  <c r="R58" i="2"/>
  <c r="L59" i="2"/>
  <c r="M59" i="2"/>
  <c r="D202" i="2"/>
  <c r="O206" i="2"/>
  <c r="K207" i="2"/>
  <c r="L207" i="2"/>
  <c r="M207" i="2"/>
  <c r="N207" i="2"/>
  <c r="O207" i="2"/>
  <c r="D208" i="2"/>
  <c r="K208" i="2"/>
  <c r="L208" i="2"/>
  <c r="M208" i="2"/>
  <c r="N208" i="2"/>
  <c r="O208" i="2"/>
  <c r="D209" i="2"/>
  <c r="O209" i="2"/>
  <c r="S217" i="2"/>
  <c r="K218" i="2"/>
  <c r="R219" i="2"/>
  <c r="AC187" i="24"/>
  <c r="BC187" i="24"/>
  <c r="BC188" i="24"/>
  <c r="AC189" i="24"/>
  <c r="BC189" i="24"/>
  <c r="AC191" i="24"/>
  <c r="BC191" i="24"/>
  <c r="AC192" i="24"/>
  <c r="BC192" i="24"/>
  <c r="BC193" i="24"/>
  <c r="AC195" i="24"/>
  <c r="BC195" i="24"/>
  <c r="BD419" i="24"/>
  <c r="BD420" i="24"/>
  <c r="BD422" i="24"/>
  <c r="BD423" i="24"/>
  <c r="BD424" i="24"/>
  <c r="BD425" i="24"/>
  <c r="BD426" i="24"/>
  <c r="BD427" i="24"/>
  <c r="BD428" i="24"/>
  <c r="BD430" i="24"/>
  <c r="BD432" i="24"/>
  <c r="BD434" i="24"/>
  <c r="BD437" i="24"/>
  <c r="BF437" i="24"/>
  <c r="AD438" i="24"/>
  <c r="BD439" i="24"/>
  <c r="AD440" i="24"/>
  <c r="BD441" i="24"/>
  <c r="AD442" i="24"/>
  <c r="BD448" i="24"/>
  <c r="BH448" i="24"/>
  <c r="AD449" i="24"/>
  <c r="AH449" i="24"/>
  <c r="BD453" i="24"/>
  <c r="BG453" i="24"/>
  <c r="BD454" i="24"/>
  <c r="BD455" i="24"/>
  <c r="BD456" i="24"/>
  <c r="BF456" i="24"/>
  <c r="BG456" i="24"/>
  <c r="AD457" i="24"/>
  <c r="AG457" i="24"/>
  <c r="BG457" i="24"/>
  <c r="AG458" i="24"/>
  <c r="BD458" i="24"/>
  <c r="AD459" i="24"/>
  <c r="BD460" i="24"/>
  <c r="BD461" i="24"/>
  <c r="AD462" i="24"/>
  <c r="BD462" i="24"/>
  <c r="AD463" i="24"/>
  <c r="BD463" i="24"/>
  <c r="BD464" i="24"/>
  <c r="AD465" i="24"/>
  <c r="BD466" i="24"/>
  <c r="BH466" i="24"/>
  <c r="BD468" i="24"/>
  <c r="BH468" i="24"/>
  <c r="AD469" i="24"/>
  <c r="AH469" i="24"/>
  <c r="AB20" i="16"/>
  <c r="AE39" i="16"/>
  <c r="AK39" i="16"/>
  <c r="AL39" i="16"/>
  <c r="AM39" i="16"/>
  <c r="AN39" i="16"/>
  <c r="AE40" i="16"/>
  <c r="AE41" i="16"/>
  <c r="AE42" i="16"/>
  <c r="AE43" i="16"/>
  <c r="AE44" i="16"/>
  <c r="AE45" i="16"/>
  <c r="AK49" i="16"/>
  <c r="AL49" i="16"/>
  <c r="AM49" i="16"/>
  <c r="AN49"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Qiang Dai</author>
  </authors>
  <commentList>
    <comment ref="C7" authorId="0" shapeId="0" xr:uid="{0100CDA8-0DFD-2C4B-88DD-97073C95CB26}">
      <text>
        <r>
          <rPr>
            <b/>
            <sz val="10"/>
            <color rgb="FF000000"/>
            <rFont val="Tahoma"/>
            <family val="2"/>
          </rPr>
          <t>Qiang Dai:</t>
        </r>
        <r>
          <rPr>
            <sz val="10"/>
            <color rgb="FF000000"/>
            <rFont val="Tahoma"/>
            <family val="2"/>
          </rPr>
          <t xml:space="preserve">
GWhs of battery (cell or pack) manufactured per year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Qiang Dai</author>
    <author>Dai, Qiang</author>
  </authors>
  <commentList>
    <comment ref="E59" authorId="0" shapeId="0" xr:uid="{711AD34A-140F-2743-B0B8-A06FED6249C8}">
      <text>
        <r>
          <rPr>
            <b/>
            <sz val="10"/>
            <color rgb="FF000000"/>
            <rFont val="Tahoma"/>
            <family val="2"/>
          </rPr>
          <t>Qiang Dai:</t>
        </r>
        <r>
          <rPr>
            <sz val="10"/>
            <color rgb="FF000000"/>
            <rFont val="Tahoma"/>
            <family val="2"/>
          </rPr>
          <t xml:space="preserve">
</t>
        </r>
        <r>
          <rPr>
            <sz val="10"/>
            <color rgb="FF000000"/>
            <rFont val="Calibri"/>
            <family val="2"/>
          </rPr>
          <t xml:space="preserve">This is the maximum value the disassembler can get by selling all recovered materials other than the cells
</t>
        </r>
      </text>
    </comment>
    <comment ref="I59" authorId="1" shapeId="0" xr:uid="{00000000-0006-0000-0200-000001000000}">
      <text>
        <r>
          <rPr>
            <b/>
            <sz val="9"/>
            <color rgb="FF000000"/>
            <rFont val="Tahoma"/>
            <family val="2"/>
          </rPr>
          <t>Dai, Qiang:</t>
        </r>
        <r>
          <rPr>
            <sz val="9"/>
            <color rgb="FF000000"/>
            <rFont val="Tahoma"/>
            <family val="2"/>
          </rPr>
          <t xml:space="preserve">
</t>
        </r>
        <r>
          <rPr>
            <sz val="9"/>
            <color rgb="FF000000"/>
            <rFont val="Tahoma"/>
            <family val="2"/>
          </rPr>
          <t>This is the maximum value the recycler can get by selling all recovered materials.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Qiang Dai</author>
    <author>Dai, Qiang</author>
  </authors>
  <commentList>
    <comment ref="AD12" authorId="0" shapeId="0" xr:uid="{D28440FB-BD9E-EC4B-975D-DD55110A5A1A}">
      <text>
        <r>
          <rPr>
            <b/>
            <sz val="10"/>
            <color rgb="FF000000"/>
            <rFont val="Tahoma"/>
            <family val="2"/>
          </rPr>
          <t>Qiang Dai:</t>
        </r>
        <r>
          <rPr>
            <sz val="10"/>
            <color rgb="FF000000"/>
            <rFont val="Tahoma"/>
            <family val="2"/>
          </rPr>
          <t xml:space="preserve">
Based on BatPaC 5.0 2022-07-22 EV Battery 1</t>
        </r>
      </text>
    </comment>
    <comment ref="AH12" authorId="0" shapeId="0" xr:uid="{AC8E78F1-3AAD-48F6-AA1A-59C083A07E8A}">
      <text>
        <r>
          <rPr>
            <b/>
            <sz val="10"/>
            <color rgb="FF000000"/>
            <rFont val="Tahoma"/>
            <family val="2"/>
          </rPr>
          <t>Qiang Dai:</t>
        </r>
        <r>
          <rPr>
            <sz val="10"/>
            <color rgb="FF000000"/>
            <rFont val="Tahoma"/>
            <family val="2"/>
          </rPr>
          <t xml:space="preserve">
Based on BatPaC 5.0 2022-07-22 EV Battery 1</t>
        </r>
      </text>
    </comment>
    <comment ref="D13" authorId="1" shapeId="0" xr:uid="{00000000-0006-0000-0400-000001000000}">
      <text>
        <r>
          <rPr>
            <b/>
            <sz val="9"/>
            <color rgb="FF000000"/>
            <rFont val="Tahoma"/>
            <family val="2"/>
          </rPr>
          <t>Dai, Qiang:</t>
        </r>
        <r>
          <rPr>
            <sz val="9"/>
            <color rgb="FF000000"/>
            <rFont val="Tahoma"/>
            <family val="2"/>
          </rPr>
          <t xml:space="preserve">
Based on BatPaC 5.0 2022-07-22 EV Battery 1, except for LCO</t>
        </r>
      </text>
    </comment>
    <comment ref="D15" authorId="1" shapeId="0" xr:uid="{00000000-0006-0000-0400-000002000000}">
      <text>
        <r>
          <rPr>
            <b/>
            <sz val="9"/>
            <color rgb="FF000000"/>
            <rFont val="Tahoma"/>
            <family val="2"/>
          </rPr>
          <t>Dai, Qiang:</t>
        </r>
        <r>
          <rPr>
            <sz val="9"/>
            <color rgb="FF000000"/>
            <rFont val="Tahoma"/>
            <family val="2"/>
          </rPr>
          <t xml:space="preserve">
0.2125 kWh usable</t>
        </r>
      </text>
    </comment>
    <comment ref="E15" authorId="1" shapeId="0" xr:uid="{B8E71367-8D27-448C-890A-DB8E00903848}">
      <text>
        <r>
          <rPr>
            <b/>
            <sz val="9"/>
            <color rgb="FF000000"/>
            <rFont val="Tahoma"/>
            <family val="2"/>
          </rPr>
          <t>Dai, Qiang:</t>
        </r>
        <r>
          <rPr>
            <sz val="9"/>
            <color rgb="FF000000"/>
            <rFont val="Tahoma"/>
            <family val="2"/>
          </rPr>
          <t xml:space="preserve">
0.2125 kWh usable</t>
        </r>
      </text>
    </comment>
    <comment ref="F15" authorId="1" shapeId="0" xr:uid="{1B2CEA0E-2F7D-4F35-AD26-41113873E0E8}">
      <text>
        <r>
          <rPr>
            <b/>
            <sz val="9"/>
            <color rgb="FF000000"/>
            <rFont val="Tahoma"/>
            <family val="2"/>
          </rPr>
          <t>Dai, Qiang:</t>
        </r>
        <r>
          <rPr>
            <sz val="9"/>
            <color rgb="FF000000"/>
            <rFont val="Tahoma"/>
            <family val="2"/>
          </rPr>
          <t xml:space="preserve">
0.2125 kWh usable</t>
        </r>
      </text>
    </comment>
    <comment ref="G15" authorId="1" shapeId="0" xr:uid="{3337EF46-C36A-42B5-B616-1DFDAC97857D}">
      <text>
        <r>
          <rPr>
            <b/>
            <sz val="9"/>
            <color rgb="FF000000"/>
            <rFont val="Tahoma"/>
            <family val="2"/>
          </rPr>
          <t>Dai, Qiang:</t>
        </r>
        <r>
          <rPr>
            <sz val="9"/>
            <color rgb="FF000000"/>
            <rFont val="Tahoma"/>
            <family val="2"/>
          </rPr>
          <t xml:space="preserve">
0.2125 kWh usable</t>
        </r>
      </text>
    </comment>
    <comment ref="H15" authorId="1" shapeId="0" xr:uid="{C07A05A7-E9D1-480C-B602-2B1D30FB81F7}">
      <text>
        <r>
          <rPr>
            <b/>
            <sz val="9"/>
            <color rgb="FF000000"/>
            <rFont val="Tahoma"/>
            <family val="2"/>
          </rPr>
          <t>Dai, Qiang:</t>
        </r>
        <r>
          <rPr>
            <sz val="9"/>
            <color rgb="FF000000"/>
            <rFont val="Tahoma"/>
            <family val="2"/>
          </rPr>
          <t xml:space="preserve">
0.2125 kWh usable</t>
        </r>
      </text>
    </comment>
    <comment ref="I15" authorId="1" shapeId="0" xr:uid="{F0CF225B-C84A-47D0-B3B3-DBE5B6C22D10}">
      <text>
        <r>
          <rPr>
            <b/>
            <sz val="9"/>
            <color rgb="FF000000"/>
            <rFont val="Tahoma"/>
            <family val="2"/>
          </rPr>
          <t>Dai, Qiang:</t>
        </r>
        <r>
          <rPr>
            <sz val="9"/>
            <color rgb="FF000000"/>
            <rFont val="Tahoma"/>
            <family val="2"/>
          </rPr>
          <t xml:space="preserve">
0.2125 kWh usable</t>
        </r>
      </text>
    </comment>
    <comment ref="J15" authorId="1" shapeId="0" xr:uid="{0464E333-57C8-413C-9E3C-11765AACD4F6}">
      <text>
        <r>
          <rPr>
            <b/>
            <sz val="9"/>
            <color rgb="FF000000"/>
            <rFont val="Tahoma"/>
            <family val="2"/>
          </rPr>
          <t>Dai, Qiang:</t>
        </r>
        <r>
          <rPr>
            <sz val="9"/>
            <color rgb="FF000000"/>
            <rFont val="Tahoma"/>
            <family val="2"/>
          </rPr>
          <t xml:space="preserve">
0.2125 kWh usable</t>
        </r>
      </text>
    </comment>
    <comment ref="K15" authorId="1" shapeId="0" xr:uid="{0D1CD4D9-17AF-4794-AC95-99D58E495A3E}">
      <text>
        <r>
          <rPr>
            <b/>
            <sz val="9"/>
            <color rgb="FF000000"/>
            <rFont val="Tahoma"/>
            <family val="2"/>
          </rPr>
          <t>Dai, Qiang:</t>
        </r>
        <r>
          <rPr>
            <sz val="9"/>
            <color rgb="FF000000"/>
            <rFont val="Tahoma"/>
            <family val="2"/>
          </rPr>
          <t xml:space="preserve">
0.2125 kWh usable</t>
        </r>
      </text>
    </comment>
    <comment ref="AD17" authorId="1" shapeId="0" xr:uid="{F0B0440F-C7DB-FA42-8475-FACE9DA95042}">
      <text>
        <r>
          <rPr>
            <b/>
            <sz val="9"/>
            <color rgb="FF000000"/>
            <rFont val="Tahoma"/>
            <family val="2"/>
          </rPr>
          <t>Dai, Qiang:</t>
        </r>
        <r>
          <rPr>
            <sz val="9"/>
            <color rgb="FF000000"/>
            <rFont val="Tahoma"/>
            <family val="2"/>
          </rPr>
          <t xml:space="preserve">
Based on BatPaC 5.0 2022-07-22 EV Battery 1, except for LCO</t>
        </r>
      </text>
    </comment>
    <comment ref="D18" authorId="1" shapeId="0" xr:uid="{00000000-0006-0000-0400-000009000000}">
      <text>
        <r>
          <rPr>
            <b/>
            <sz val="9"/>
            <color rgb="FF000000"/>
            <rFont val="Tahoma"/>
            <family val="2"/>
          </rPr>
          <t>Dai, Qiang:</t>
        </r>
        <r>
          <rPr>
            <sz val="9"/>
            <color rgb="FF000000"/>
            <rFont val="Tahoma"/>
            <family val="2"/>
          </rPr>
          <t xml:space="preserve">
</t>
        </r>
        <r>
          <rPr>
            <sz val="9"/>
            <color rgb="FF000000"/>
            <rFont val="Tahoma"/>
            <family val="2"/>
          </rPr>
          <t>Based on BatPaC 5.0 2022-07-22 EV Battery 1, except for LCO</t>
        </r>
      </text>
    </comment>
    <comment ref="AB19" authorId="1" shapeId="0" xr:uid="{57ACD4E5-EAA8-4979-B217-612F6A3061C1}">
      <text>
        <r>
          <rPr>
            <b/>
            <sz val="9"/>
            <color rgb="FF000000"/>
            <rFont val="Tahoma"/>
            <family val="2"/>
          </rPr>
          <t>Dai, Qiang:</t>
        </r>
        <r>
          <rPr>
            <sz val="9"/>
            <color rgb="FF000000"/>
            <rFont val="Tahoma"/>
            <family val="2"/>
          </rPr>
          <t xml:space="preserve">
</t>
        </r>
        <r>
          <rPr>
            <sz val="9"/>
            <color rgb="FF000000"/>
            <rFont val="Tahoma"/>
            <family val="2"/>
          </rPr>
          <t>Cu</t>
        </r>
      </text>
    </comment>
    <comment ref="AB20" authorId="1" shapeId="0" xr:uid="{29E5155E-4066-4471-A87D-C557A7A12364}">
      <text>
        <r>
          <rPr>
            <b/>
            <sz val="9"/>
            <color rgb="FF000000"/>
            <rFont val="Tahoma"/>
            <family val="2"/>
          </rPr>
          <t>Dai, Qiang:</t>
        </r>
        <r>
          <rPr>
            <sz val="9"/>
            <color rgb="FF000000"/>
            <rFont val="Tahoma"/>
            <family val="2"/>
          </rPr>
          <t xml:space="preserve">
</t>
        </r>
        <r>
          <rPr>
            <sz val="9"/>
            <color rgb="FF000000"/>
            <rFont val="Tahoma"/>
            <family val="2"/>
          </rPr>
          <t>PP</t>
        </r>
      </text>
    </comment>
    <comment ref="AB21" authorId="1" shapeId="0" xr:uid="{786C2D70-E058-4FBC-9688-17FFAB1EF089}">
      <text>
        <r>
          <rPr>
            <b/>
            <sz val="9"/>
            <color rgb="FF000000"/>
            <rFont val="Tahoma"/>
            <family val="2"/>
          </rPr>
          <t>Dai, Qiang:</t>
        </r>
        <r>
          <rPr>
            <sz val="9"/>
            <color rgb="FF000000"/>
            <rFont val="Tahoma"/>
            <family val="2"/>
          </rPr>
          <t xml:space="preserve">
</t>
        </r>
        <r>
          <rPr>
            <sz val="9"/>
            <color rgb="FF000000"/>
            <rFont val="Tahoma"/>
            <family val="2"/>
          </rPr>
          <t>Cu</t>
        </r>
      </text>
    </comment>
    <comment ref="AB22" authorId="1" shapeId="0" xr:uid="{04B895CF-3C31-4AB2-8F75-DA3443D1B9AF}">
      <text>
        <r>
          <rPr>
            <b/>
            <sz val="9"/>
            <color rgb="FF000000"/>
            <rFont val="Tahoma"/>
            <family val="2"/>
          </rPr>
          <t>Dai, Qiang:</t>
        </r>
        <r>
          <rPr>
            <sz val="9"/>
            <color rgb="FF000000"/>
            <rFont val="Tahoma"/>
            <family val="2"/>
          </rPr>
          <t xml:space="preserve">
</t>
        </r>
        <r>
          <rPr>
            <sz val="9"/>
            <color rgb="FF000000"/>
            <rFont val="Tahoma"/>
            <family val="2"/>
          </rPr>
          <t>Al</t>
        </r>
      </text>
    </comment>
    <comment ref="AB23" authorId="1" shapeId="0" xr:uid="{9F624476-3182-40E7-AD14-18144A7DFE62}">
      <text>
        <r>
          <rPr>
            <b/>
            <sz val="9"/>
            <color rgb="FF000000"/>
            <rFont val="Tahoma"/>
            <family val="2"/>
          </rPr>
          <t>Dai, Qiang:</t>
        </r>
        <r>
          <rPr>
            <sz val="9"/>
            <color rgb="FF000000"/>
            <rFont val="Tahoma"/>
            <family val="2"/>
          </rPr>
          <t xml:space="preserve">
</t>
        </r>
        <r>
          <rPr>
            <sz val="9"/>
            <color rgb="FF000000"/>
            <rFont val="Tahoma"/>
            <family val="2"/>
          </rPr>
          <t>Steel</t>
        </r>
      </text>
    </comment>
    <comment ref="AD26" authorId="1" shapeId="0" xr:uid="{88CAFD4D-4110-E44A-8CDC-ED8D9361D277}">
      <text>
        <r>
          <rPr>
            <b/>
            <sz val="9"/>
            <color rgb="FF000000"/>
            <rFont val="Tahoma"/>
            <family val="2"/>
          </rPr>
          <t>Dai, Qiang:</t>
        </r>
        <r>
          <rPr>
            <sz val="9"/>
            <color rgb="FF000000"/>
            <rFont val="Tahoma"/>
            <family val="2"/>
          </rPr>
          <t xml:space="preserve">
Based on BatPaC 5.0 2022-07-22 EV Battery 1, except for LCO</t>
        </r>
      </text>
    </comment>
    <comment ref="AB28" authorId="1" shapeId="0" xr:uid="{BF923309-85EF-41BC-8BC5-43631A8EF800}">
      <text>
        <r>
          <rPr>
            <b/>
            <sz val="9"/>
            <color indexed="81"/>
            <rFont val="Tahoma"/>
            <family val="2"/>
          </rPr>
          <t>Dai, Qiang:</t>
        </r>
        <r>
          <rPr>
            <sz val="9"/>
            <color indexed="81"/>
            <rFont val="Tahoma"/>
            <family val="2"/>
          </rPr>
          <t xml:space="preserve">
Steel</t>
        </r>
      </text>
    </comment>
    <comment ref="AB29" authorId="1" shapeId="0" xr:uid="{06EC6E6B-0D6A-4CC0-A3EB-C624231E4D96}">
      <text>
        <r>
          <rPr>
            <b/>
            <sz val="9"/>
            <color rgb="FF000000"/>
            <rFont val="Tahoma"/>
            <family val="2"/>
          </rPr>
          <t>Dai, Qiang:</t>
        </r>
        <r>
          <rPr>
            <sz val="9"/>
            <color rgb="FF000000"/>
            <rFont val="Tahoma"/>
            <family val="2"/>
          </rPr>
          <t xml:space="preserve">
</t>
        </r>
        <r>
          <rPr>
            <sz val="9"/>
            <color rgb="FF000000"/>
            <rFont val="Tahoma"/>
            <family val="2"/>
          </rPr>
          <t>Elastomer, assumed to be insulation material</t>
        </r>
      </text>
    </comment>
    <comment ref="AB30" authorId="1" shapeId="0" xr:uid="{39ED4456-322E-46B6-B0F0-09A3FE515B0D}">
      <text>
        <r>
          <rPr>
            <b/>
            <sz val="9"/>
            <color rgb="FF000000"/>
            <rFont val="Tahoma"/>
            <family val="2"/>
          </rPr>
          <t>Dai, Qiang:</t>
        </r>
        <r>
          <rPr>
            <sz val="9"/>
            <color rgb="FF000000"/>
            <rFont val="Tahoma"/>
            <family val="2"/>
          </rPr>
          <t xml:space="preserve">
</t>
        </r>
        <r>
          <rPr>
            <sz val="9"/>
            <color rgb="FF000000"/>
            <rFont val="Tahoma"/>
            <family val="2"/>
          </rPr>
          <t>Steel</t>
        </r>
      </text>
    </comment>
    <comment ref="D35" authorId="1" shapeId="0" xr:uid="{00000000-0006-0000-0400-00000A000000}">
      <text>
        <r>
          <rPr>
            <b/>
            <sz val="9"/>
            <color rgb="FF000000"/>
            <rFont val="Tahoma"/>
            <family val="2"/>
          </rPr>
          <t>Dai, Qiang:</t>
        </r>
        <r>
          <rPr>
            <sz val="9"/>
            <color rgb="FF000000"/>
            <rFont val="Tahoma"/>
            <family val="2"/>
          </rPr>
          <t xml:space="preserve">
GREET 2022</t>
        </r>
      </text>
    </comment>
    <comment ref="AB36" authorId="1" shapeId="0" xr:uid="{7BFD70AD-4CA0-4BDD-B7A8-4459076FE39D}">
      <text>
        <r>
          <rPr>
            <b/>
            <sz val="9"/>
            <color rgb="FF000000"/>
            <rFont val="Tahoma"/>
            <family val="2"/>
          </rPr>
          <t>Dai, Qiang:</t>
        </r>
        <r>
          <rPr>
            <sz val="9"/>
            <color rgb="FF000000"/>
            <rFont val="Tahoma"/>
            <family val="2"/>
          </rPr>
          <t xml:space="preserve">
</t>
        </r>
        <r>
          <rPr>
            <sz val="9"/>
            <color rgb="FF000000"/>
            <rFont val="Tahoma"/>
            <family val="2"/>
          </rPr>
          <t>Cu</t>
        </r>
      </text>
    </comment>
    <comment ref="AB37" authorId="1" shapeId="0" xr:uid="{18719023-3CBB-4F1F-8D85-1FFD2F2AFA94}">
      <text>
        <r>
          <rPr>
            <b/>
            <sz val="9"/>
            <color rgb="FF000000"/>
            <rFont val="Tahoma"/>
            <family val="2"/>
          </rPr>
          <t>Dai, Qiang:</t>
        </r>
        <r>
          <rPr>
            <sz val="9"/>
            <color rgb="FF000000"/>
            <rFont val="Tahoma"/>
            <family val="2"/>
          </rPr>
          <t xml:space="preserve">
</t>
        </r>
        <r>
          <rPr>
            <sz val="9"/>
            <color rgb="FF000000"/>
            <rFont val="Tahoma"/>
            <family val="2"/>
          </rPr>
          <t>Cu</t>
        </r>
      </text>
    </comment>
    <comment ref="AB38" authorId="1" shapeId="0" xr:uid="{D47BF42C-409E-43E4-8EBE-D6E2506DA114}">
      <text>
        <r>
          <rPr>
            <b/>
            <sz val="9"/>
            <color rgb="FF000000"/>
            <rFont val="Tahoma"/>
            <family val="2"/>
          </rPr>
          <t>Dai, Qiang:</t>
        </r>
        <r>
          <rPr>
            <sz val="9"/>
            <color rgb="FF000000"/>
            <rFont val="Tahoma"/>
            <family val="2"/>
          </rPr>
          <t xml:space="preserve">
</t>
        </r>
        <r>
          <rPr>
            <sz val="9"/>
            <color rgb="FF000000"/>
            <rFont val="Tahoma"/>
            <family val="2"/>
          </rPr>
          <t>90% Cu, 10% insulation</t>
        </r>
      </text>
    </comment>
    <comment ref="AB39" authorId="1" shapeId="0" xr:uid="{0221AC04-BB06-4846-BA72-8FE7721622BA}">
      <text>
        <r>
          <rPr>
            <b/>
            <sz val="9"/>
            <color rgb="FF000000"/>
            <rFont val="Tahoma"/>
            <family val="2"/>
          </rPr>
          <t>Dai, Qiang:</t>
        </r>
        <r>
          <rPr>
            <sz val="9"/>
            <color rgb="FF000000"/>
            <rFont val="Tahoma"/>
            <family val="2"/>
          </rPr>
          <t xml:space="preserve">
</t>
        </r>
        <r>
          <rPr>
            <sz val="9"/>
            <color rgb="FF000000"/>
            <rFont val="Tahoma"/>
            <family val="2"/>
          </rPr>
          <t>Assumed to be Al</t>
        </r>
      </text>
    </comment>
    <comment ref="D43" authorId="1" shapeId="0" xr:uid="{00000000-0006-0000-0400-00000B000000}">
      <text>
        <r>
          <rPr>
            <b/>
            <sz val="9"/>
            <color rgb="FF000000"/>
            <rFont val="Tahoma"/>
            <family val="2"/>
          </rPr>
          <t>Dai, Qiang:</t>
        </r>
        <r>
          <rPr>
            <sz val="9"/>
            <color rgb="FF000000"/>
            <rFont val="Tahoma"/>
            <family val="2"/>
          </rPr>
          <t xml:space="preserve">
Based on BatPaC 5.0 2022-07-22
</t>
        </r>
      </text>
    </comment>
    <comment ref="D44" authorId="1" shapeId="0" xr:uid="{00000000-0006-0000-0400-00000C000000}">
      <text>
        <r>
          <rPr>
            <b/>
            <sz val="9"/>
            <color rgb="FF000000"/>
            <rFont val="Tahoma"/>
            <family val="2"/>
          </rPr>
          <t>Dai, Qiang:</t>
        </r>
        <r>
          <rPr>
            <sz val="9"/>
            <color rgb="FF000000"/>
            <rFont val="Tahoma"/>
            <family val="2"/>
          </rPr>
          <t xml:space="preserve">
</t>
        </r>
        <r>
          <rPr>
            <sz val="9"/>
            <color rgb="FF000000"/>
            <rFont val="Tahoma"/>
            <family val="2"/>
          </rPr>
          <t>5% cell rejected</t>
        </r>
      </text>
    </comment>
    <comment ref="AD44" authorId="0" shapeId="0" xr:uid="{310B5048-9F2B-094C-A04E-2612AB6ACA29}">
      <text>
        <r>
          <rPr>
            <b/>
            <sz val="10"/>
            <color rgb="FF000000"/>
            <rFont val="Tahoma"/>
            <family val="2"/>
          </rPr>
          <t>Qiang Dai:</t>
        </r>
        <r>
          <rPr>
            <sz val="10"/>
            <color rgb="FF000000"/>
            <rFont val="Tahoma"/>
            <family val="2"/>
          </rPr>
          <t xml:space="preserve">
Based on BatPaC 5.0 2022-07-22</t>
        </r>
      </text>
    </comment>
    <comment ref="D46" authorId="1" shapeId="0" xr:uid="{00000000-0006-0000-0400-00000D000000}">
      <text>
        <r>
          <rPr>
            <b/>
            <sz val="9"/>
            <color rgb="FF000000"/>
            <rFont val="Tahoma"/>
            <family val="2"/>
          </rPr>
          <t>Dai, Qiang:</t>
        </r>
        <r>
          <rPr>
            <sz val="9"/>
            <color rgb="FF000000"/>
            <rFont val="Tahoma"/>
            <family val="2"/>
          </rPr>
          <t xml:space="preserve">
Based on BatPaC 5.0 2022-07-22</t>
        </r>
      </text>
    </comment>
    <comment ref="G54" authorId="1" shapeId="0" xr:uid="{8ED1B7C3-AB7C-4D0A-8DBA-5E64C0B73520}">
      <text>
        <r>
          <rPr>
            <b/>
            <sz val="9"/>
            <color indexed="81"/>
            <rFont val="Tahoma"/>
            <family val="2"/>
          </rPr>
          <t>Dai, Qiang:</t>
        </r>
        <r>
          <rPr>
            <sz val="9"/>
            <color indexed="81"/>
            <rFont val="Tahoma"/>
            <family val="2"/>
          </rPr>
          <t xml:space="preserve">
Recovered NMP will be sent back to producer for further refining, so the recovery rate only affects VOC emissions</t>
        </r>
      </text>
    </comment>
    <comment ref="E55" authorId="1" shapeId="0" xr:uid="{00000000-0006-0000-0400-00000E000000}">
      <text>
        <r>
          <rPr>
            <b/>
            <sz val="9"/>
            <color rgb="FF000000"/>
            <rFont val="Tahoma"/>
            <family val="2"/>
          </rPr>
          <t>Dai, Qiang:</t>
        </r>
        <r>
          <rPr>
            <sz val="9"/>
            <color rgb="FF000000"/>
            <rFont val="Tahoma"/>
            <family val="2"/>
          </rPr>
          <t xml:space="preserve">
Based on BatPaC 5.0 2022-07-22</t>
        </r>
      </text>
    </comment>
    <comment ref="H55" authorId="1" shapeId="0" xr:uid="{00000000-0006-0000-0400-00000F000000}">
      <text>
        <r>
          <rPr>
            <b/>
            <sz val="9"/>
            <color rgb="FF000000"/>
            <rFont val="Tahoma"/>
            <family val="2"/>
          </rPr>
          <t>Dai, Qiang:</t>
        </r>
        <r>
          <rPr>
            <sz val="9"/>
            <color rgb="FF000000"/>
            <rFont val="Tahoma"/>
            <family val="2"/>
          </rPr>
          <t xml:space="preserve">
Based on BatPaC 5.0 2022-07-22, for NMP only</t>
        </r>
      </text>
    </comment>
    <comment ref="AD59" authorId="0" shapeId="0" xr:uid="{3A62D281-908C-8740-9B4C-F830E3E3BC62}">
      <text>
        <r>
          <rPr>
            <b/>
            <sz val="10"/>
            <color rgb="FF000000"/>
            <rFont val="Tahoma"/>
            <family val="2"/>
          </rPr>
          <t>Qiang Dai:</t>
        </r>
        <r>
          <rPr>
            <sz val="10"/>
            <color rgb="FF000000"/>
            <rFont val="Tahoma"/>
            <family val="2"/>
          </rPr>
          <t xml:space="preserve">
Based on BatPaC 5.0 2022-07-22</t>
        </r>
      </text>
    </comment>
    <comment ref="AD80" authorId="1" shapeId="0" xr:uid="{C79566E6-42B0-884D-8220-9BE2A48CF29F}">
      <text>
        <r>
          <rPr>
            <b/>
            <sz val="9"/>
            <color rgb="FF000000"/>
            <rFont val="Tahoma"/>
            <family val="2"/>
          </rPr>
          <t>Dai, Qiang:</t>
        </r>
        <r>
          <rPr>
            <sz val="9"/>
            <color rgb="FF000000"/>
            <rFont val="Tahoma"/>
            <family val="2"/>
          </rPr>
          <t xml:space="preserve">
</t>
        </r>
        <r>
          <rPr>
            <sz val="9"/>
            <color rgb="FF000000"/>
            <rFont val="Tahoma"/>
            <family val="2"/>
          </rPr>
          <t>Manual assembly</t>
        </r>
      </text>
    </comment>
    <comment ref="K91" authorId="1" shapeId="0" xr:uid="{00000000-0006-0000-0400-000011000000}">
      <text>
        <r>
          <rPr>
            <b/>
            <sz val="9"/>
            <color rgb="FF000000"/>
            <rFont val="Tahoma"/>
            <family val="2"/>
          </rPr>
          <t>Dai, Qiang:</t>
        </r>
        <r>
          <rPr>
            <sz val="9"/>
            <color rgb="FF000000"/>
            <rFont val="Tahoma"/>
            <family val="2"/>
          </rPr>
          <t xml:space="preserve">
</t>
        </r>
        <r>
          <rPr>
            <sz val="9"/>
            <color rgb="FF000000"/>
            <rFont val="Tahoma"/>
            <family val="2"/>
          </rPr>
          <t>Assuming PE makes up 1/5 of the separator by wt</t>
        </r>
      </text>
    </comment>
    <comment ref="M91" authorId="1" shapeId="0" xr:uid="{00000000-0006-0000-0400-000012000000}">
      <text>
        <r>
          <rPr>
            <b/>
            <sz val="9"/>
            <color rgb="FF000000"/>
            <rFont val="Tahoma"/>
            <family val="2"/>
          </rPr>
          <t>Dai, Qiang:</t>
        </r>
        <r>
          <rPr>
            <sz val="9"/>
            <color rgb="FF000000"/>
            <rFont val="Tahoma"/>
            <family val="2"/>
          </rPr>
          <t xml:space="preserve">
</t>
        </r>
        <r>
          <rPr>
            <sz val="9"/>
            <color rgb="FF000000"/>
            <rFont val="Tahoma"/>
            <family val="2"/>
          </rPr>
          <t>Positive terminal assembly, negative terminal assembly, and cell container</t>
        </r>
      </text>
    </comment>
    <comment ref="AG120" authorId="1" shapeId="0" xr:uid="{21501A95-535A-4072-81F8-7B885B51A245}">
      <text>
        <r>
          <rPr>
            <b/>
            <sz val="9"/>
            <color indexed="81"/>
            <rFont val="Tahoma"/>
            <family val="2"/>
          </rPr>
          <t>Dai, Qiang:</t>
        </r>
        <r>
          <rPr>
            <sz val="9"/>
            <color indexed="81"/>
            <rFont val="Tahoma"/>
            <family val="2"/>
          </rPr>
          <t xml:space="preserve">
Tabs account for ~50% of the weight</t>
        </r>
      </text>
    </comment>
    <comment ref="AN120" authorId="1" shapeId="0" xr:uid="{12F0638F-397B-4809-9C2F-BE3CD8D4AD68}">
      <text>
        <r>
          <rPr>
            <b/>
            <sz val="9"/>
            <color indexed="81"/>
            <rFont val="Tahoma"/>
            <family val="2"/>
          </rPr>
          <t>Dai, Qiang:</t>
        </r>
        <r>
          <rPr>
            <sz val="9"/>
            <color indexed="81"/>
            <rFont val="Tahoma"/>
            <family val="2"/>
          </rPr>
          <t xml:space="preserve">
Manifold weighs ~1kg</t>
        </r>
      </text>
    </comment>
    <comment ref="AS121" authorId="1" shapeId="0" xr:uid="{94CCC675-BA93-0E4E-86E2-055F3FBF8B24}">
      <text>
        <r>
          <rPr>
            <b/>
            <sz val="9"/>
            <color rgb="FF000000"/>
            <rFont val="Tahoma"/>
            <family val="2"/>
          </rPr>
          <t>Dai, Qiang:</t>
        </r>
        <r>
          <rPr>
            <sz val="9"/>
            <color rgb="FF000000"/>
            <rFont val="Tahoma"/>
            <family val="2"/>
          </rPr>
          <t xml:space="preserve">
</t>
        </r>
        <r>
          <rPr>
            <sz val="9"/>
            <color rgb="FF000000"/>
            <rFont val="Tahoma"/>
            <family val="2"/>
          </rPr>
          <t>Positive terminal assembly, negative terminal assembly, and cell container</t>
        </r>
      </text>
    </comment>
    <comment ref="C127" authorId="1" shapeId="0" xr:uid="{00000000-0006-0000-0400-000013000000}">
      <text>
        <r>
          <rPr>
            <b/>
            <sz val="9"/>
            <color rgb="FF000000"/>
            <rFont val="Tahoma"/>
            <family val="2"/>
          </rPr>
          <t>Dai, Qiang:</t>
        </r>
        <r>
          <rPr>
            <sz val="9"/>
            <color rgb="FF000000"/>
            <rFont val="Tahoma"/>
            <family val="2"/>
          </rPr>
          <t xml:space="preserve">
</t>
        </r>
        <r>
          <rPr>
            <sz val="9"/>
            <color rgb="FF000000"/>
            <rFont val="Tahoma"/>
            <family val="2"/>
          </rPr>
          <t>Assuming PE makes up 1/6 of the separator by mass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Qiang Dai</author>
    <author>Dai, Qiang</author>
  </authors>
  <commentList>
    <comment ref="D41" authorId="0" shapeId="0" xr:uid="{DB2DD9E4-4AAB-4478-9342-FF65B1A7207F}">
      <text>
        <r>
          <rPr>
            <b/>
            <sz val="10"/>
            <color rgb="FF000000"/>
            <rFont val="Tahoma"/>
            <family val="2"/>
          </rPr>
          <t>Qiang Dai:</t>
        </r>
        <r>
          <rPr>
            <sz val="10"/>
            <color rgb="FF000000"/>
            <rFont val="Tahoma"/>
            <family val="2"/>
          </rPr>
          <t xml:space="preserve">
2020 average:
https://www.bts.gov/content/average-freight-revenue-ton-mile</t>
        </r>
      </text>
    </comment>
    <comment ref="D42" authorId="1" shapeId="0" xr:uid="{00000000-0006-0000-0500-000004000000}">
      <text>
        <r>
          <rPr>
            <b/>
            <sz val="9"/>
            <color rgb="FF000000"/>
            <rFont val="Tahoma"/>
            <family val="2"/>
          </rPr>
          <t>Dai, Qiang:</t>
        </r>
        <r>
          <rPr>
            <sz val="9"/>
            <color rgb="FF000000"/>
            <rFont val="Tahoma"/>
            <family val="2"/>
          </rPr>
          <t xml:space="preserve">
</t>
        </r>
        <r>
          <rPr>
            <sz val="9"/>
            <color rgb="FF000000"/>
            <rFont val="Tahoma"/>
            <family val="2"/>
          </rPr>
          <t>Use barge cost as a proxy</t>
        </r>
      </text>
    </comment>
    <comment ref="D43" authorId="1" shapeId="0" xr:uid="{A4AB6F9B-C347-4C74-B6AB-FCE15871DBB8}">
      <text>
        <r>
          <rPr>
            <b/>
            <sz val="9"/>
            <color indexed="81"/>
            <rFont val="Tahoma"/>
            <family val="2"/>
          </rPr>
          <t>Dai, Qiang:</t>
        </r>
        <r>
          <rPr>
            <sz val="9"/>
            <color indexed="81"/>
            <rFont val="Tahoma"/>
            <family val="2"/>
          </rPr>
          <t xml:space="preserve">
2020 average:
https://www.bts.gov/content/average-freight-revenue-ton-mile</t>
        </r>
      </text>
    </comment>
    <comment ref="D46" authorId="0" shapeId="0" xr:uid="{07EA5AE6-972D-44F9-B74B-10D5E3D194BA}">
      <text>
        <r>
          <rPr>
            <b/>
            <sz val="10"/>
            <color rgb="FF000000"/>
            <rFont val="Tahoma"/>
            <family val="2"/>
          </rPr>
          <t>Qiang Dai:</t>
        </r>
        <r>
          <rPr>
            <sz val="10"/>
            <color rgb="FF000000"/>
            <rFont val="Tahoma"/>
            <family val="2"/>
          </rPr>
          <t xml:space="preserve">
2021 national average based on 2022 ATRI Trucking Operational Cost Report</t>
        </r>
      </text>
    </comment>
    <comment ref="G46" authorId="0" shapeId="0" xr:uid="{63D78C63-1455-4C0F-B114-0F9C4AB1FFB6}">
      <text>
        <r>
          <rPr>
            <b/>
            <sz val="10"/>
            <color rgb="FF000000"/>
            <rFont val="Tahoma"/>
            <family val="2"/>
          </rPr>
          <t>Qiang Dai:</t>
        </r>
        <r>
          <rPr>
            <sz val="10"/>
            <color rgb="FF000000"/>
            <rFont val="Tahoma"/>
            <family val="2"/>
          </rPr>
          <t xml:space="preserve">
Including additional driver compensation, permits and special licenses, and  insurance preminum for hazmat</t>
        </r>
      </text>
    </comment>
    <comment ref="D47" authorId="0" shapeId="0" xr:uid="{2208A727-704D-4BAE-98EB-48799FBEFA96}">
      <text>
        <r>
          <rPr>
            <b/>
            <sz val="10"/>
            <color rgb="FF000000"/>
            <rFont val="Tahoma"/>
            <family val="2"/>
          </rPr>
          <t>Qiang Dai:</t>
        </r>
        <r>
          <rPr>
            <sz val="10"/>
            <color rgb="FF000000"/>
            <rFont val="Tahoma"/>
            <family val="2"/>
          </rPr>
          <t xml:space="preserve">
</t>
        </r>
        <r>
          <rPr>
            <sz val="10"/>
            <color rgb="FF000000"/>
            <rFont val="Tahoma"/>
            <family val="2"/>
          </rPr>
          <t>2021 national average based on 2022 ATRI Trucking Operational Cost Report</t>
        </r>
      </text>
    </comment>
    <comment ref="G47" authorId="0" shapeId="0" xr:uid="{7EC828EB-AC78-4AE7-8CB6-4BA227AEBED3}">
      <text>
        <r>
          <rPr>
            <b/>
            <sz val="10"/>
            <color rgb="FF000000"/>
            <rFont val="Tahoma"/>
            <family val="2"/>
          </rPr>
          <t>Qiang Dai:</t>
        </r>
        <r>
          <rPr>
            <sz val="10"/>
            <color rgb="FF000000"/>
            <rFont val="Tahoma"/>
            <family val="2"/>
          </rPr>
          <t xml:space="preserve">
Including additional driver compensation, permits and special licenses, and  insurance preminum for hazmat</t>
        </r>
      </text>
    </comment>
    <comment ref="C61" authorId="0" shapeId="0" xr:uid="{A0CDA94B-E328-D848-9BFB-749FA5656F4F}">
      <text>
        <r>
          <rPr>
            <b/>
            <sz val="10"/>
            <color rgb="FF000000"/>
            <rFont val="Tahoma"/>
            <family val="2"/>
          </rPr>
          <t>Qiang Dai:</t>
        </r>
        <r>
          <rPr>
            <sz val="10"/>
            <color rgb="FF000000"/>
            <rFont val="Tahoma"/>
            <family val="2"/>
          </rPr>
          <t xml:space="preserve">
</t>
        </r>
        <r>
          <rPr>
            <sz val="10"/>
            <color rgb="FF000000"/>
            <rFont val="Tahoma"/>
            <family val="2"/>
          </rPr>
          <t>Assuming packaging adds 10% to battery weight</t>
        </r>
      </text>
    </comment>
    <comment ref="C62" authorId="0" shapeId="0" xr:uid="{A1BB1EBE-BA0E-8148-99C4-9790C52CAC83}">
      <text>
        <r>
          <rPr>
            <b/>
            <sz val="10"/>
            <color rgb="FF000000"/>
            <rFont val="Tahoma"/>
            <family val="2"/>
          </rPr>
          <t>Qiang Dai:</t>
        </r>
        <r>
          <rPr>
            <sz val="10"/>
            <color rgb="FF000000"/>
            <rFont val="Tahoma"/>
            <family val="2"/>
          </rPr>
          <t xml:space="preserve">
</t>
        </r>
        <r>
          <rPr>
            <sz val="10"/>
            <color rgb="FF000000"/>
            <rFont val="Calibri"/>
            <family val="2"/>
          </rPr>
          <t xml:space="preserve">Assuming packaging adds 10% to battery weight
</t>
        </r>
      </text>
    </comment>
    <comment ref="C63" authorId="0" shapeId="0" xr:uid="{D9A567C4-21E1-3246-ADC4-838AA7195A05}">
      <text>
        <r>
          <rPr>
            <b/>
            <sz val="10"/>
            <color rgb="FF000000"/>
            <rFont val="Tahoma"/>
            <family val="2"/>
          </rPr>
          <t>Qiang Dai:</t>
        </r>
        <r>
          <rPr>
            <sz val="10"/>
            <color rgb="FF000000"/>
            <rFont val="Tahoma"/>
            <family val="2"/>
          </rPr>
          <t xml:space="preserve">
</t>
        </r>
        <r>
          <rPr>
            <sz val="10"/>
            <color rgb="FF000000"/>
            <rFont val="Calibri"/>
            <family val="2"/>
          </rPr>
          <t xml:space="preserve">Assuming packaging adds 10% to battery weight
</t>
        </r>
      </text>
    </comment>
    <comment ref="C65" authorId="1" shapeId="0" xr:uid="{00000000-0006-0000-0500-000006000000}">
      <text>
        <r>
          <rPr>
            <b/>
            <sz val="9"/>
            <color rgb="FF000000"/>
            <rFont val="Tahoma"/>
            <family val="2"/>
          </rPr>
          <t>Dai, Qiang:</t>
        </r>
        <r>
          <rPr>
            <sz val="9"/>
            <color rgb="FF000000"/>
            <rFont val="Tahoma"/>
            <family val="2"/>
          </rPr>
          <t xml:space="preserve">
</t>
        </r>
        <r>
          <rPr>
            <sz val="9"/>
            <color rgb="FF000000"/>
            <rFont val="Tahoma"/>
            <family val="2"/>
          </rPr>
          <t>Use hydro outputs for a conservative estimate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Qiang Dai</author>
    <author>Dai, Qiang</author>
  </authors>
  <commentList>
    <comment ref="D16" authorId="0" shapeId="0" xr:uid="{F143BED8-EB8A-3E4E-8C69-1C05BFBEE79B}">
      <text>
        <r>
          <rPr>
            <b/>
            <sz val="10"/>
            <color rgb="FF000000"/>
            <rFont val="Tahoma"/>
            <family val="2"/>
          </rPr>
          <t>Qiang Dai:</t>
        </r>
        <r>
          <rPr>
            <sz val="10"/>
            <color rgb="FF000000"/>
            <rFont val="Tahoma"/>
            <family val="2"/>
          </rPr>
          <t xml:space="preserve">
Based on BatPaC 5.0 2022-07-22 EV Battery 1</t>
        </r>
      </text>
    </comment>
    <comment ref="D36" authorId="0" shapeId="0" xr:uid="{BE81863F-2557-4609-8C74-0D5EE663DCB9}">
      <text>
        <r>
          <rPr>
            <b/>
            <sz val="10"/>
            <color rgb="FF000000"/>
            <rFont val="Tahoma"/>
            <family val="2"/>
          </rPr>
          <t>Qiang Dai:</t>
        </r>
        <r>
          <rPr>
            <sz val="10"/>
            <color rgb="FF000000"/>
            <rFont val="Tahoma"/>
            <family val="2"/>
          </rPr>
          <t xml:space="preserve">
</t>
        </r>
        <r>
          <rPr>
            <sz val="10"/>
            <color rgb="FF000000"/>
            <rFont val="Tahoma"/>
            <family val="2"/>
          </rPr>
          <t>Based on BatPaC 5.0 2022-07-22 EV Battery 1</t>
        </r>
      </text>
    </comment>
    <comment ref="D44" authorId="0" shapeId="0" xr:uid="{B0CCCD79-CC01-482F-8EB8-69F4CEE4E619}">
      <text>
        <r>
          <rPr>
            <b/>
            <sz val="10"/>
            <color rgb="FF000000"/>
            <rFont val="Tahoma"/>
            <family val="2"/>
          </rPr>
          <t>Qiang Dai:</t>
        </r>
        <r>
          <rPr>
            <sz val="10"/>
            <color rgb="FF000000"/>
            <rFont val="Tahoma"/>
            <family val="2"/>
          </rPr>
          <t xml:space="preserve">
</t>
        </r>
        <r>
          <rPr>
            <sz val="10"/>
            <color rgb="FF000000"/>
            <rFont val="Tahoma"/>
            <family val="2"/>
          </rPr>
          <t>Based on BatPaC 5.0 2022-07-22 EV Battery 1</t>
        </r>
      </text>
    </comment>
    <comment ref="D54" authorId="1" shapeId="0" xr:uid="{A49A4599-BCE9-A440-B9DF-116406322CF2}">
      <text>
        <r>
          <rPr>
            <b/>
            <sz val="9"/>
            <color rgb="FF000000"/>
            <rFont val="Tahoma"/>
            <family val="2"/>
          </rPr>
          <t>Dai, Qiang:</t>
        </r>
        <r>
          <rPr>
            <sz val="9"/>
            <color rgb="FF000000"/>
            <rFont val="Tahoma"/>
            <family val="2"/>
          </rPr>
          <t xml:space="preserve">
</t>
        </r>
        <r>
          <rPr>
            <sz val="9"/>
            <color rgb="FF000000"/>
            <rFont val="Tahoma"/>
            <family val="2"/>
          </rPr>
          <t xml:space="preserve">2018-2022 average, No.1 Scrap price.
</t>
        </r>
        <r>
          <rPr>
            <sz val="9"/>
            <color rgb="FF000000"/>
            <rFont val="Tahoma"/>
            <family val="2"/>
          </rPr>
          <t>USGS Minerals Year Book 2018 &amp; 2019, Mineral Industry Surveys Dec 2021 &amp; Dec 2022</t>
        </r>
      </text>
    </comment>
    <comment ref="D55" authorId="1" shapeId="0" xr:uid="{09B05E62-5EB0-4E45-8DBA-0C699A3BE0DC}">
      <text>
        <r>
          <rPr>
            <b/>
            <sz val="9"/>
            <color rgb="FF000000"/>
            <rFont val="Tahoma"/>
            <family val="2"/>
          </rPr>
          <t>Dai, Qiang:</t>
        </r>
        <r>
          <rPr>
            <sz val="9"/>
            <color rgb="FF000000"/>
            <rFont val="Tahoma"/>
            <family val="2"/>
          </rPr>
          <t xml:space="preserve">
</t>
        </r>
        <r>
          <rPr>
            <sz val="9"/>
            <color rgb="FF000000"/>
            <rFont val="Tahoma"/>
            <family val="2"/>
          </rPr>
          <t>2018-2022 average, clean dry turnings. USGS Minerals Year Book 2019 &amp; 2020, Mineral Industry Surveys Dec 2022</t>
        </r>
      </text>
    </comment>
    <comment ref="D56" authorId="1" shapeId="0" xr:uid="{8FE7BA70-FC6A-3940-A7EF-6AC91CDCE42E}">
      <text>
        <r>
          <rPr>
            <b/>
            <sz val="9"/>
            <color rgb="FF000000"/>
            <rFont val="Tahoma"/>
            <family val="2"/>
          </rPr>
          <t xml:space="preserve">Dai, Qiang:
</t>
        </r>
        <r>
          <rPr>
            <sz val="9"/>
            <color rgb="FF000000"/>
            <rFont val="Tahoma"/>
            <family val="2"/>
          </rPr>
          <t>PE clean film price.</t>
        </r>
        <r>
          <rPr>
            <b/>
            <sz val="9"/>
            <color rgb="FF000000"/>
            <rFont val="Tahoma"/>
            <family val="2"/>
          </rPr>
          <t xml:space="preserve">
</t>
        </r>
        <r>
          <rPr>
            <sz val="9"/>
            <color rgb="FF000000"/>
            <rFont val="Tahoma"/>
            <family val="2"/>
          </rPr>
          <t>https://www.plasticsmarkets.org/view/commoditypricing</t>
        </r>
      </text>
    </comment>
    <comment ref="D57" authorId="1" shapeId="0" xr:uid="{CE8B1C7B-641E-4C40-B1E9-6E7868AC9469}">
      <text>
        <r>
          <rPr>
            <b/>
            <sz val="9"/>
            <color rgb="FF000000"/>
            <rFont val="Tahoma"/>
            <family val="2"/>
          </rPr>
          <t>Dai, Qiang:</t>
        </r>
        <r>
          <rPr>
            <sz val="9"/>
            <color rgb="FF000000"/>
            <rFont val="Tahoma"/>
            <family val="2"/>
          </rPr>
          <t xml:space="preserve">
</t>
        </r>
        <r>
          <rPr>
            <sz val="9"/>
            <color rgb="FF000000"/>
            <rFont val="Tahoma"/>
            <family val="2"/>
          </rPr>
          <t>2018-2022 average, No.1 heavy melting composite price. https://pubs.usgs.gov/periodicals/mcs2023/mcs2023-iron-steel-scrap.pdf</t>
        </r>
      </text>
    </comment>
    <comment ref="D58" authorId="0" shapeId="0" xr:uid="{CCCBD66F-78AC-5B44-9C80-F4932B624DEF}">
      <text>
        <r>
          <rPr>
            <b/>
            <sz val="10"/>
            <color rgb="FF000000"/>
            <rFont val="Tahoma"/>
            <family val="2"/>
          </rPr>
          <t>Qiang Dai:</t>
        </r>
        <r>
          <rPr>
            <sz val="10"/>
            <color rgb="FF000000"/>
            <rFont val="Tahoma"/>
            <family val="2"/>
          </rPr>
          <t xml:space="preserve">
</t>
        </r>
        <r>
          <rPr>
            <sz val="10"/>
            <color rgb="FF000000"/>
            <rFont val="Tahoma"/>
            <family val="2"/>
          </rPr>
          <t>Assumed to be green motherboard,https://www.scrapmonster.com/scrap-yard/price/electronics-scrap/4</t>
        </r>
      </text>
    </comment>
    <comment ref="D59" authorId="1" shapeId="0" xr:uid="{4D3E1EE9-8035-4D47-AD5B-5DECDC0BFBB1}">
      <text>
        <r>
          <rPr>
            <b/>
            <sz val="9"/>
            <color rgb="FF000000"/>
            <rFont val="Tahoma"/>
            <family val="2"/>
          </rPr>
          <t xml:space="preserve">Dai, Qiang:
</t>
        </r>
        <r>
          <rPr>
            <sz val="9"/>
            <color rgb="FF000000"/>
            <rFont val="Tahoma"/>
            <family val="2"/>
          </rPr>
          <t>Assumed to be the same as waste plastics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Dai, Qiang</author>
    <author>Spangenberger, Jeffrey S.</author>
  </authors>
  <commentList>
    <comment ref="AB14" authorId="0" shapeId="0" xr:uid="{52EFB52C-6398-FC4E-9C5F-BEFA3525E230}">
      <text>
        <r>
          <rPr>
            <b/>
            <sz val="9"/>
            <color indexed="81"/>
            <rFont val="Tahoma"/>
            <family val="2"/>
          </rPr>
          <t>Dai, Qiang:</t>
        </r>
        <r>
          <rPr>
            <sz val="9"/>
            <color indexed="81"/>
            <rFont val="Tahoma"/>
            <family val="2"/>
          </rPr>
          <t xml:space="preserve">
Includes rejected cells and scraps from cell manufacturing if selected</t>
        </r>
      </text>
    </comment>
    <comment ref="BB15" authorId="0" shapeId="0" xr:uid="{7405DCC0-462B-4BA0-BBE0-90B112B21585}">
      <text>
        <r>
          <rPr>
            <b/>
            <sz val="9"/>
            <color indexed="81"/>
            <rFont val="Tahoma"/>
            <family val="2"/>
          </rPr>
          <t>Dai, Qiang:</t>
        </r>
        <r>
          <rPr>
            <sz val="9"/>
            <color indexed="81"/>
            <rFont val="Tahoma"/>
            <family val="2"/>
          </rPr>
          <t xml:space="preserve">
Includes rejected cells and scraps from cell manufacturing if selected</t>
        </r>
      </text>
    </comment>
    <comment ref="D20" authorId="0" shapeId="0" xr:uid="{B3325F74-3A8D-A248-B4B9-B7CFABFC1DA8}">
      <text>
        <r>
          <rPr>
            <b/>
            <sz val="9"/>
            <color rgb="FF000000"/>
            <rFont val="Tahoma"/>
            <family val="2"/>
          </rPr>
          <t>Dai, Qiang:</t>
        </r>
        <r>
          <rPr>
            <sz val="9"/>
            <color rgb="FF000000"/>
            <rFont val="Tahoma"/>
            <family val="2"/>
          </rPr>
          <t xml:space="preserve">
</t>
        </r>
        <r>
          <rPr>
            <sz val="9"/>
            <color rgb="FF000000"/>
            <rFont val="Tahoma"/>
            <family val="2"/>
          </rPr>
          <t>Based on default LCO and NMC cell composition</t>
        </r>
      </text>
    </comment>
    <comment ref="H20" authorId="0" shapeId="0" xr:uid="{6AE94A5B-0515-2943-9590-8B9F7949DC31}">
      <text>
        <r>
          <rPr>
            <b/>
            <sz val="9"/>
            <color rgb="FF000000"/>
            <rFont val="Tahoma"/>
            <family val="2"/>
          </rPr>
          <t>Dai, Qiang:</t>
        </r>
        <r>
          <rPr>
            <sz val="9"/>
            <color rgb="FF000000"/>
            <rFont val="Tahoma"/>
            <family val="2"/>
          </rPr>
          <t xml:space="preserve">
</t>
        </r>
        <r>
          <rPr>
            <sz val="9"/>
            <color rgb="FF000000"/>
            <rFont val="Tahoma"/>
            <family val="2"/>
          </rPr>
          <t>Based on default LCO and NMC cell composition</t>
        </r>
      </text>
    </comment>
    <comment ref="L20" authorId="0" shapeId="0" xr:uid="{6CD8F667-B302-6242-B163-E0FAF14FFCC9}">
      <text>
        <r>
          <rPr>
            <b/>
            <sz val="9"/>
            <color rgb="FF000000"/>
            <rFont val="Tahoma"/>
            <family val="2"/>
          </rPr>
          <t>Dai, Qiang:</t>
        </r>
        <r>
          <rPr>
            <sz val="9"/>
            <color rgb="FF000000"/>
            <rFont val="Tahoma"/>
            <family val="2"/>
          </rPr>
          <t xml:space="preserve">
</t>
        </r>
        <r>
          <rPr>
            <sz val="9"/>
            <color rgb="FF000000"/>
            <rFont val="Tahoma"/>
            <family val="2"/>
          </rPr>
          <t>Based on default LCO and NMC cell composition</t>
        </r>
      </text>
    </comment>
    <comment ref="P20" authorId="0" shapeId="0" xr:uid="{C5F840D7-13D0-F94F-9EE7-0AE8109DB5B0}">
      <text>
        <r>
          <rPr>
            <b/>
            <sz val="9"/>
            <color rgb="FF000000"/>
            <rFont val="Tahoma"/>
            <family val="2"/>
          </rPr>
          <t>Dai, Qiang:</t>
        </r>
        <r>
          <rPr>
            <sz val="9"/>
            <color rgb="FF000000"/>
            <rFont val="Tahoma"/>
            <family val="2"/>
          </rPr>
          <t xml:space="preserve">
</t>
        </r>
        <r>
          <rPr>
            <sz val="9"/>
            <color rgb="FF000000"/>
            <rFont val="Tahoma"/>
            <family val="2"/>
          </rPr>
          <t>Based on default LCO and NMC cell composition</t>
        </r>
      </text>
    </comment>
    <comment ref="T20" authorId="0" shapeId="0" xr:uid="{BF973D48-4D41-5845-8620-D09F8BC61271}">
      <text>
        <r>
          <rPr>
            <b/>
            <sz val="9"/>
            <color rgb="FF000000"/>
            <rFont val="Tahoma"/>
            <family val="2"/>
          </rPr>
          <t>Dai, Qiang:</t>
        </r>
        <r>
          <rPr>
            <sz val="9"/>
            <color rgb="FF000000"/>
            <rFont val="Tahoma"/>
            <family val="2"/>
          </rPr>
          <t xml:space="preserve">
</t>
        </r>
        <r>
          <rPr>
            <sz val="9"/>
            <color rgb="FF000000"/>
            <rFont val="Tahoma"/>
            <family val="2"/>
          </rPr>
          <t>Based on default LCO and NMC cell composition</t>
        </r>
      </text>
    </comment>
    <comment ref="D40" authorId="0" shapeId="0" xr:uid="{3A0BD528-E3E4-7846-AB19-EA3EBF9B5E07}">
      <text>
        <r>
          <rPr>
            <b/>
            <sz val="9"/>
            <color rgb="FF000000"/>
            <rFont val="Tahoma"/>
            <family val="2"/>
          </rPr>
          <t>Dai, Qiang:</t>
        </r>
        <r>
          <rPr>
            <sz val="9"/>
            <color rgb="FF000000"/>
            <rFont val="Tahoma"/>
            <family val="2"/>
          </rPr>
          <t xml:space="preserve">
</t>
        </r>
        <r>
          <rPr>
            <sz val="9"/>
            <color rgb="FF000000"/>
            <rFont val="Tahoma"/>
            <family val="2"/>
          </rPr>
          <t>Based on default LCO and NMC cell composition</t>
        </r>
      </text>
    </comment>
    <comment ref="AC43" authorId="0" shapeId="0" xr:uid="{177B06A5-471B-F644-A85C-2A96E8E88AEA}">
      <text>
        <r>
          <rPr>
            <b/>
            <sz val="9"/>
            <color indexed="81"/>
            <rFont val="Tahoma"/>
            <family val="2"/>
          </rPr>
          <t>Dai, Qiang:</t>
        </r>
        <r>
          <rPr>
            <sz val="9"/>
            <color indexed="81"/>
            <rFont val="Tahoma"/>
            <family val="2"/>
          </rPr>
          <t xml:space="preserve">
Optional</t>
        </r>
      </text>
    </comment>
    <comment ref="BC44" authorId="0" shapeId="0" xr:uid="{086F4C05-51DB-724D-9709-A573CB8958C4}">
      <text>
        <r>
          <rPr>
            <b/>
            <sz val="9"/>
            <color indexed="81"/>
            <rFont val="Tahoma"/>
            <family val="2"/>
          </rPr>
          <t>Dai, Qiang:</t>
        </r>
        <r>
          <rPr>
            <sz val="9"/>
            <color indexed="81"/>
            <rFont val="Tahoma"/>
            <family val="2"/>
          </rPr>
          <t xml:space="preserve">
Optional</t>
        </r>
      </text>
    </comment>
    <comment ref="D69" authorId="0" shapeId="0" xr:uid="{CDC5F58A-6CE5-43BB-8A95-FD8CF081C676}">
      <text>
        <r>
          <rPr>
            <b/>
            <sz val="9"/>
            <color rgb="FF000000"/>
            <rFont val="Tahoma"/>
            <family val="2"/>
          </rPr>
          <t>Dai, Qiang:</t>
        </r>
        <r>
          <rPr>
            <sz val="9"/>
            <color rgb="FF000000"/>
            <rFont val="Tahoma"/>
            <family val="2"/>
          </rPr>
          <t xml:space="preserve">
</t>
        </r>
        <r>
          <rPr>
            <sz val="9"/>
            <color rgb="FF000000"/>
            <rFont val="Tahoma"/>
            <family val="2"/>
          </rPr>
          <t>2018-2022 average, clean dry turnings. USGS Minerals Year Book 2019 &amp; 2020, Mineral Industry Surveys Dec 2022</t>
        </r>
      </text>
    </comment>
    <comment ref="D70" authorId="0" shapeId="0" xr:uid="{00F47DCB-B9D3-46D1-9F79-AB4D00122744}">
      <text>
        <r>
          <rPr>
            <b/>
            <sz val="9"/>
            <color rgb="FF000000"/>
            <rFont val="Tahoma"/>
            <family val="2"/>
          </rPr>
          <t>Dai, Qiang:</t>
        </r>
        <r>
          <rPr>
            <sz val="9"/>
            <color rgb="FF000000"/>
            <rFont val="Tahoma"/>
            <family val="2"/>
          </rPr>
          <t xml:space="preserve">
2018-2022 average, No.1 Scrap price.
USGS Minerals Year Book 2018 &amp; 2019, Mineral Industry Surveys Dec 2021 &amp; Dec 2022</t>
        </r>
      </text>
    </comment>
    <comment ref="D71" authorId="0" shapeId="0" xr:uid="{44AAE88F-652D-46A9-9712-5CB855C986F8}">
      <text>
        <r>
          <rPr>
            <b/>
            <sz val="9"/>
            <color rgb="FF000000"/>
            <rFont val="Tahoma"/>
            <family val="2"/>
          </rPr>
          <t>Dai, Qiang:</t>
        </r>
        <r>
          <rPr>
            <sz val="9"/>
            <color rgb="FF000000"/>
            <rFont val="Tahoma"/>
            <family val="2"/>
          </rPr>
          <t xml:space="preserve">
2018-2022 average, No.1 heavy melting composite price. https://pubs.usgs.gov/periodicals/mcs2023/mcs2023-iron-steel-scrap.pdf</t>
        </r>
      </text>
    </comment>
    <comment ref="D72" authorId="0" shapeId="0" xr:uid="{731C74E2-CDD7-40E9-82AA-A6533E2C8BFE}">
      <text>
        <r>
          <rPr>
            <b/>
            <sz val="9"/>
            <color rgb="FF000000"/>
            <rFont val="Tahoma"/>
            <family val="2"/>
          </rPr>
          <t xml:space="preserve">Dai, Qiang:
</t>
        </r>
        <r>
          <rPr>
            <sz val="9"/>
            <color rgb="FF000000"/>
            <rFont val="Tahoma"/>
            <family val="2"/>
          </rPr>
          <t>PE clean film price.</t>
        </r>
        <r>
          <rPr>
            <b/>
            <sz val="9"/>
            <color rgb="FF000000"/>
            <rFont val="Tahoma"/>
            <family val="2"/>
          </rPr>
          <t xml:space="preserve">
</t>
        </r>
        <r>
          <rPr>
            <sz val="9"/>
            <color rgb="FF000000"/>
            <rFont val="Tahoma"/>
            <family val="2"/>
          </rPr>
          <t>https://www.plasticsmarkets.org/view/commoditypricing</t>
        </r>
      </text>
    </comment>
    <comment ref="D90" authorId="0" shapeId="0" xr:uid="{B2730E6D-F0E5-47F9-A090-4DC536B73D79}">
      <text>
        <r>
          <rPr>
            <b/>
            <sz val="9"/>
            <color rgb="FF000000"/>
            <rFont val="Tahoma"/>
            <family val="2"/>
          </rPr>
          <t>Dai, Qiang:</t>
        </r>
        <r>
          <rPr>
            <sz val="9"/>
            <color rgb="FF000000"/>
            <rFont val="Tahoma"/>
            <family val="2"/>
          </rPr>
          <t xml:space="preserve">
2018-2022 average, quick lime. https://pubs.usgs.gov/periodicals/mcs2023/mcs2023-lime.pdf</t>
        </r>
      </text>
    </comment>
    <comment ref="D91" authorId="0" shapeId="0" xr:uid="{003A28F0-2740-4A16-BEC5-67F3CEE1EB0E}">
      <text>
        <r>
          <rPr>
            <b/>
            <sz val="9"/>
            <color rgb="FF000000"/>
            <rFont val="Tahoma"/>
            <family val="2"/>
          </rPr>
          <t>Dai, Qiang:</t>
        </r>
        <r>
          <rPr>
            <sz val="9"/>
            <color rgb="FF000000"/>
            <rFont val="Tahoma"/>
            <family val="2"/>
          </rPr>
          <t xml:space="preserve">
</t>
        </r>
        <r>
          <rPr>
            <sz val="9"/>
            <color rgb="FF000000"/>
            <rFont val="Tahoma"/>
            <family val="2"/>
          </rPr>
          <t>https://puritygas.ca/knowledge-center/how-much-should-you-be-paying-for-nitrogen-gas/</t>
        </r>
      </text>
    </comment>
    <comment ref="BD139" authorId="0" shapeId="0" xr:uid="{F70EB23B-E638-2044-BA22-BE1A861294BF}">
      <text>
        <r>
          <rPr>
            <b/>
            <sz val="9"/>
            <color indexed="81"/>
            <rFont val="Tahoma"/>
            <family val="2"/>
          </rPr>
          <t>Dai, Qiang:</t>
        </r>
        <r>
          <rPr>
            <sz val="9"/>
            <color indexed="81"/>
            <rFont val="Tahoma"/>
            <family val="2"/>
          </rPr>
          <t xml:space="preserve">
Including 10% loss of super critical CO2 input</t>
        </r>
      </text>
    </comment>
    <comment ref="AC356" authorId="1" shapeId="0" xr:uid="{5D852737-F688-0048-9DB7-C9DFC2C74A03}">
      <text>
        <r>
          <rPr>
            <b/>
            <sz val="9"/>
            <color rgb="FF000000"/>
            <rFont val="Tahoma"/>
            <family val="2"/>
          </rPr>
          <t>Spangenberger, Jeffrey S.:</t>
        </r>
        <r>
          <rPr>
            <sz val="9"/>
            <color rgb="FF000000"/>
            <rFont val="Tahoma"/>
            <family val="2"/>
          </rPr>
          <t xml:space="preserve">
</t>
        </r>
        <r>
          <rPr>
            <sz val="9"/>
            <color rgb="FF000000"/>
            <rFont val="Tahoma"/>
            <family val="2"/>
          </rPr>
          <t>Based on all equipment power divided by feedrate</t>
        </r>
      </text>
    </comment>
    <comment ref="AE503" authorId="1" shapeId="0" xr:uid="{39C0FAC3-22AA-114A-B8A9-6652FD2A925A}">
      <text>
        <r>
          <rPr>
            <b/>
            <sz val="9"/>
            <color indexed="81"/>
            <rFont val="Tahoma"/>
            <family val="2"/>
          </rPr>
          <t>Spangenberger, Jeffrey S.:</t>
        </r>
        <r>
          <rPr>
            <sz val="9"/>
            <color indexed="81"/>
            <rFont val="Tahoma"/>
            <family val="2"/>
          </rPr>
          <t xml:space="preserve">
At hrs per day and days per year entered above</t>
        </r>
      </text>
    </comment>
    <comment ref="BE503" authorId="1" shapeId="0" xr:uid="{AD716195-7AFD-EB40-93D9-99168EC6A760}">
      <text>
        <r>
          <rPr>
            <b/>
            <sz val="9"/>
            <color indexed="81"/>
            <rFont val="Tahoma"/>
            <family val="2"/>
          </rPr>
          <t>Spangenberger, Jeffrey S.:</t>
        </r>
        <r>
          <rPr>
            <sz val="9"/>
            <color indexed="81"/>
            <rFont val="Tahoma"/>
            <family val="2"/>
          </rPr>
          <t xml:space="preserve">
At hrs per day and days per year entered above</t>
        </r>
      </text>
    </comment>
    <comment ref="AB562" authorId="1" shapeId="0" xr:uid="{195233E8-06C3-494B-B278-9448E6878489}">
      <text>
        <r>
          <rPr>
            <b/>
            <sz val="9"/>
            <color indexed="81"/>
            <rFont val="Tahoma"/>
            <family val="2"/>
          </rPr>
          <t>Spangenberger, Jeffrey S.:</t>
        </r>
        <r>
          <rPr>
            <sz val="9"/>
            <color indexed="81"/>
            <rFont val="Tahoma"/>
            <family val="2"/>
          </rPr>
          <t xml:space="preserve">
Not used currently</t>
        </r>
      </text>
    </comment>
    <comment ref="BB562" authorId="1" shapeId="0" xr:uid="{FEFE7510-863F-DA4C-9E76-7B032B08A9D1}">
      <text>
        <r>
          <rPr>
            <b/>
            <sz val="9"/>
            <color indexed="81"/>
            <rFont val="Tahoma"/>
            <family val="2"/>
          </rPr>
          <t>Spangenberger, Jeffrey S.:</t>
        </r>
        <r>
          <rPr>
            <sz val="9"/>
            <color indexed="81"/>
            <rFont val="Tahoma"/>
            <family val="2"/>
          </rPr>
          <t xml:space="preserve">
Not used currently</t>
        </r>
      </text>
    </comment>
    <comment ref="AE603" authorId="1" shapeId="0" xr:uid="{8F88E123-15BF-9B47-8396-353E4C2E9456}">
      <text>
        <r>
          <rPr>
            <b/>
            <sz val="9"/>
            <color indexed="81"/>
            <rFont val="Tahoma"/>
            <family val="2"/>
          </rPr>
          <t>Spangenberger, Jeffrey S.:</t>
        </r>
        <r>
          <rPr>
            <sz val="9"/>
            <color indexed="81"/>
            <rFont val="Tahoma"/>
            <family val="2"/>
          </rPr>
          <t xml:space="preserve">
At hrs per day and days per year entered above</t>
        </r>
      </text>
    </comment>
    <comment ref="BE603" authorId="1" shapeId="0" xr:uid="{B26AB890-35A5-DF47-8729-DB5662FC272B}">
      <text>
        <r>
          <rPr>
            <b/>
            <sz val="9"/>
            <color indexed="81"/>
            <rFont val="Tahoma"/>
            <family val="2"/>
          </rPr>
          <t>Spangenberger, Jeffrey S.:</t>
        </r>
        <r>
          <rPr>
            <sz val="9"/>
            <color indexed="81"/>
            <rFont val="Tahoma"/>
            <family val="2"/>
          </rPr>
          <t xml:space="preserve">
At hrs per day and days per year entered above</t>
        </r>
      </text>
    </comment>
    <comment ref="AB662" authorId="1" shapeId="0" xr:uid="{6C257FD0-F4B2-6C4B-B93E-88D158FFACCF}">
      <text>
        <r>
          <rPr>
            <b/>
            <sz val="9"/>
            <color indexed="81"/>
            <rFont val="Tahoma"/>
            <family val="2"/>
          </rPr>
          <t>Spangenberger, Jeffrey S.:</t>
        </r>
        <r>
          <rPr>
            <sz val="9"/>
            <color indexed="81"/>
            <rFont val="Tahoma"/>
            <family val="2"/>
          </rPr>
          <t xml:space="preserve">
Not used currently</t>
        </r>
      </text>
    </comment>
    <comment ref="BB662" authorId="1" shapeId="0" xr:uid="{935FD29D-EDF7-B446-B36A-FFB500DEA961}">
      <text>
        <r>
          <rPr>
            <b/>
            <sz val="9"/>
            <color indexed="81"/>
            <rFont val="Tahoma"/>
            <family val="2"/>
          </rPr>
          <t>Spangenberger, Jeffrey S.:</t>
        </r>
        <r>
          <rPr>
            <sz val="9"/>
            <color indexed="81"/>
            <rFont val="Tahoma"/>
            <family val="2"/>
          </rPr>
          <t xml:space="preserve">
Not used currently</t>
        </r>
      </text>
    </comment>
    <comment ref="AE703" authorId="1" shapeId="0" xr:uid="{2527C9C2-B588-E74A-91B0-16C86FED4496}">
      <text>
        <r>
          <rPr>
            <b/>
            <sz val="9"/>
            <color indexed="81"/>
            <rFont val="Tahoma"/>
            <family val="2"/>
          </rPr>
          <t>Spangenberger, Jeffrey S.:</t>
        </r>
        <r>
          <rPr>
            <sz val="9"/>
            <color indexed="81"/>
            <rFont val="Tahoma"/>
            <family val="2"/>
          </rPr>
          <t xml:space="preserve">
At hrs per day and days per year entered above</t>
        </r>
      </text>
    </comment>
    <comment ref="BE703" authorId="1" shapeId="0" xr:uid="{AB9744CA-4D5D-C840-9293-8AF1E0CD08DF}">
      <text>
        <r>
          <rPr>
            <b/>
            <sz val="9"/>
            <color indexed="81"/>
            <rFont val="Tahoma"/>
            <family val="2"/>
          </rPr>
          <t>Spangenberger, Jeffrey S.:</t>
        </r>
        <r>
          <rPr>
            <sz val="9"/>
            <color indexed="81"/>
            <rFont val="Tahoma"/>
            <family val="2"/>
          </rPr>
          <t xml:space="preserve">
At hrs per day and days per year entered above</t>
        </r>
      </text>
    </comment>
    <comment ref="AB762" authorId="1" shapeId="0" xr:uid="{D59C7178-03CE-A949-A968-BD730234DE0A}">
      <text>
        <r>
          <rPr>
            <b/>
            <sz val="9"/>
            <color indexed="81"/>
            <rFont val="Tahoma"/>
            <family val="2"/>
          </rPr>
          <t>Spangenberger, Jeffrey S.:</t>
        </r>
        <r>
          <rPr>
            <sz val="9"/>
            <color indexed="81"/>
            <rFont val="Tahoma"/>
            <family val="2"/>
          </rPr>
          <t xml:space="preserve">
Not used currently</t>
        </r>
      </text>
    </comment>
    <comment ref="BB762" authorId="1" shapeId="0" xr:uid="{DAE87BF8-7552-7442-8374-9CEC8580E367}">
      <text>
        <r>
          <rPr>
            <b/>
            <sz val="9"/>
            <color indexed="81"/>
            <rFont val="Tahoma"/>
            <family val="2"/>
          </rPr>
          <t>Spangenberger, Jeffrey S.:</t>
        </r>
        <r>
          <rPr>
            <sz val="9"/>
            <color indexed="81"/>
            <rFont val="Tahoma"/>
            <family val="2"/>
          </rPr>
          <t xml:space="preserve">
Not used currently</t>
        </r>
      </text>
    </comment>
    <comment ref="AE803" authorId="1" shapeId="0" xr:uid="{461A1E01-E397-2440-B649-D6626FD79571}">
      <text>
        <r>
          <rPr>
            <b/>
            <sz val="9"/>
            <color indexed="81"/>
            <rFont val="Tahoma"/>
            <family val="2"/>
          </rPr>
          <t>Spangenberger, Jeffrey S.:</t>
        </r>
        <r>
          <rPr>
            <sz val="9"/>
            <color indexed="81"/>
            <rFont val="Tahoma"/>
            <family val="2"/>
          </rPr>
          <t xml:space="preserve">
At hrs per day and days per year entered above</t>
        </r>
      </text>
    </comment>
    <comment ref="BE803" authorId="1" shapeId="0" xr:uid="{0C0BE9E8-1C83-4A45-8364-67F7912A330C}">
      <text>
        <r>
          <rPr>
            <b/>
            <sz val="9"/>
            <color indexed="81"/>
            <rFont val="Tahoma"/>
            <family val="2"/>
          </rPr>
          <t>Spangenberger, Jeffrey S.:</t>
        </r>
        <r>
          <rPr>
            <sz val="9"/>
            <color indexed="81"/>
            <rFont val="Tahoma"/>
            <family val="2"/>
          </rPr>
          <t xml:space="preserve">
At hrs per day and days per year entered above</t>
        </r>
      </text>
    </comment>
    <comment ref="AB862" authorId="1" shapeId="0" xr:uid="{5F92552F-AFEC-504B-8ABD-5CE7140F8582}">
      <text>
        <r>
          <rPr>
            <b/>
            <sz val="9"/>
            <color indexed="81"/>
            <rFont val="Tahoma"/>
            <family val="2"/>
          </rPr>
          <t>Spangenberger, Jeffrey S.:</t>
        </r>
        <r>
          <rPr>
            <sz val="9"/>
            <color indexed="81"/>
            <rFont val="Tahoma"/>
            <family val="2"/>
          </rPr>
          <t xml:space="preserve">
Not used currently</t>
        </r>
      </text>
    </comment>
    <comment ref="BB862" authorId="1" shapeId="0" xr:uid="{26EBA34A-C847-AE48-A1A2-686A54BA855B}">
      <text>
        <r>
          <rPr>
            <b/>
            <sz val="9"/>
            <color indexed="81"/>
            <rFont val="Tahoma"/>
            <family val="2"/>
          </rPr>
          <t>Spangenberger, Jeffrey S.:</t>
        </r>
        <r>
          <rPr>
            <sz val="9"/>
            <color indexed="81"/>
            <rFont val="Tahoma"/>
            <family val="2"/>
          </rPr>
          <t xml:space="preserve">
Not used currently</t>
        </r>
      </text>
    </comment>
    <comment ref="AE903" authorId="1" shapeId="0" xr:uid="{15DE583A-7DAD-D74B-9A5F-4AFC7246D207}">
      <text>
        <r>
          <rPr>
            <b/>
            <sz val="9"/>
            <color indexed="81"/>
            <rFont val="Tahoma"/>
            <family val="2"/>
          </rPr>
          <t>Spangenberger, Jeffrey S.:</t>
        </r>
        <r>
          <rPr>
            <sz val="9"/>
            <color indexed="81"/>
            <rFont val="Tahoma"/>
            <family val="2"/>
          </rPr>
          <t xml:space="preserve">
At hrs per day and days per year entered above</t>
        </r>
      </text>
    </comment>
    <comment ref="BE903" authorId="1" shapeId="0" xr:uid="{92B1A2B5-51AE-5F44-BFAA-F9CFB374D93B}">
      <text>
        <r>
          <rPr>
            <b/>
            <sz val="9"/>
            <color indexed="81"/>
            <rFont val="Tahoma"/>
            <family val="2"/>
          </rPr>
          <t>Spangenberger, Jeffrey S.:</t>
        </r>
        <r>
          <rPr>
            <sz val="9"/>
            <color indexed="81"/>
            <rFont val="Tahoma"/>
            <family val="2"/>
          </rPr>
          <t xml:space="preserve">
At hrs per day and days per year entered above</t>
        </r>
      </text>
    </comment>
    <comment ref="AB962" authorId="1" shapeId="0" xr:uid="{E891AC3A-A95A-2642-97EB-8E556055AC8A}">
      <text>
        <r>
          <rPr>
            <b/>
            <sz val="9"/>
            <color indexed="81"/>
            <rFont val="Tahoma"/>
            <family val="2"/>
          </rPr>
          <t>Spangenberger, Jeffrey S.:</t>
        </r>
        <r>
          <rPr>
            <sz val="9"/>
            <color indexed="81"/>
            <rFont val="Tahoma"/>
            <family val="2"/>
          </rPr>
          <t xml:space="preserve">
Not used currently</t>
        </r>
      </text>
    </comment>
    <comment ref="BB962" authorId="1" shapeId="0" xr:uid="{8F801A54-314A-E142-848B-CD42AF842BA9}">
      <text>
        <r>
          <rPr>
            <b/>
            <sz val="9"/>
            <color indexed="81"/>
            <rFont val="Tahoma"/>
            <family val="2"/>
          </rPr>
          <t>Spangenberger, Jeffrey S.:</t>
        </r>
        <r>
          <rPr>
            <sz val="9"/>
            <color indexed="81"/>
            <rFont val="Tahoma"/>
            <family val="2"/>
          </rPr>
          <t xml:space="preserve">
Not used currently</t>
        </r>
      </text>
    </comment>
    <comment ref="AE1003" authorId="1" shapeId="0" xr:uid="{FC09FAE4-BA01-E441-BFF7-6BC2AC674CB6}">
      <text>
        <r>
          <rPr>
            <b/>
            <sz val="9"/>
            <color indexed="81"/>
            <rFont val="Tahoma"/>
            <family val="2"/>
          </rPr>
          <t>Spangenberger, Jeffrey S.:</t>
        </r>
        <r>
          <rPr>
            <sz val="9"/>
            <color indexed="81"/>
            <rFont val="Tahoma"/>
            <family val="2"/>
          </rPr>
          <t xml:space="preserve">
At hrs per day and days per year entered above</t>
        </r>
      </text>
    </comment>
    <comment ref="BE1003" authorId="1" shapeId="0" xr:uid="{66A36438-A48A-1144-B94E-D9647E8361AD}">
      <text>
        <r>
          <rPr>
            <b/>
            <sz val="9"/>
            <color indexed="81"/>
            <rFont val="Tahoma"/>
            <family val="2"/>
          </rPr>
          <t>Spangenberger, Jeffrey S.:</t>
        </r>
        <r>
          <rPr>
            <sz val="9"/>
            <color indexed="81"/>
            <rFont val="Tahoma"/>
            <family val="2"/>
          </rPr>
          <t xml:space="preserve">
At hrs per day and days per year entered above</t>
        </r>
      </text>
    </comment>
    <comment ref="AB1062" authorId="1" shapeId="0" xr:uid="{D4D5A18C-D1FC-9549-A8D3-1C67C45C8376}">
      <text>
        <r>
          <rPr>
            <b/>
            <sz val="9"/>
            <color indexed="81"/>
            <rFont val="Tahoma"/>
            <family val="2"/>
          </rPr>
          <t>Spangenberger, Jeffrey S.:</t>
        </r>
        <r>
          <rPr>
            <sz val="9"/>
            <color indexed="81"/>
            <rFont val="Tahoma"/>
            <family val="2"/>
          </rPr>
          <t xml:space="preserve">
Not used currently</t>
        </r>
      </text>
    </comment>
    <comment ref="BB1062" authorId="1" shapeId="0" xr:uid="{5606196D-D28F-7948-B399-FAAF6FD32389}">
      <text>
        <r>
          <rPr>
            <b/>
            <sz val="9"/>
            <color indexed="81"/>
            <rFont val="Tahoma"/>
            <family val="2"/>
          </rPr>
          <t>Spangenberger, Jeffrey S.:</t>
        </r>
        <r>
          <rPr>
            <sz val="9"/>
            <color indexed="81"/>
            <rFont val="Tahoma"/>
            <family val="2"/>
          </rPr>
          <t xml:space="preserve">
Not used currently</t>
        </r>
      </text>
    </comment>
    <comment ref="AE1103" authorId="1" shapeId="0" xr:uid="{31768607-FD7D-C245-9B1D-6D740242F2CA}">
      <text>
        <r>
          <rPr>
            <b/>
            <sz val="9"/>
            <color indexed="81"/>
            <rFont val="Tahoma"/>
            <family val="2"/>
          </rPr>
          <t>Spangenberger, Jeffrey S.:</t>
        </r>
        <r>
          <rPr>
            <sz val="9"/>
            <color indexed="81"/>
            <rFont val="Tahoma"/>
            <family val="2"/>
          </rPr>
          <t xml:space="preserve">
At hrs per day and days per year entered above</t>
        </r>
      </text>
    </comment>
    <comment ref="BE1103" authorId="1" shapeId="0" xr:uid="{BB9CE020-711B-BC49-B151-5E23A61926D2}">
      <text>
        <r>
          <rPr>
            <b/>
            <sz val="9"/>
            <color indexed="81"/>
            <rFont val="Tahoma"/>
            <family val="2"/>
          </rPr>
          <t>Spangenberger, Jeffrey S.:</t>
        </r>
        <r>
          <rPr>
            <sz val="9"/>
            <color indexed="81"/>
            <rFont val="Tahoma"/>
            <family val="2"/>
          </rPr>
          <t xml:space="preserve">
At hrs per day and days per year entered above</t>
        </r>
      </text>
    </comment>
    <comment ref="AB1162" authorId="1" shapeId="0" xr:uid="{D2B9976F-6399-A440-975A-A7AF734A76FC}">
      <text>
        <r>
          <rPr>
            <b/>
            <sz val="9"/>
            <color indexed="81"/>
            <rFont val="Tahoma"/>
            <family val="2"/>
          </rPr>
          <t>Spangenberger, Jeffrey S.:</t>
        </r>
        <r>
          <rPr>
            <sz val="9"/>
            <color indexed="81"/>
            <rFont val="Tahoma"/>
            <family val="2"/>
          </rPr>
          <t xml:space="preserve">
Not used currently</t>
        </r>
      </text>
    </comment>
    <comment ref="BB1162" authorId="1" shapeId="0" xr:uid="{9CAC14FA-1770-A64F-9919-E26D79DCE462}">
      <text>
        <r>
          <rPr>
            <b/>
            <sz val="9"/>
            <color indexed="81"/>
            <rFont val="Tahoma"/>
            <family val="2"/>
          </rPr>
          <t>Spangenberger, Jeffrey S.:</t>
        </r>
        <r>
          <rPr>
            <sz val="9"/>
            <color indexed="81"/>
            <rFont val="Tahoma"/>
            <family val="2"/>
          </rPr>
          <t xml:space="preserve">
Not used currently</t>
        </r>
      </text>
    </comment>
    <comment ref="AE1203" authorId="1" shapeId="0" xr:uid="{AC0D927D-EEEB-4243-A7B0-59090BDA80DA}">
      <text>
        <r>
          <rPr>
            <b/>
            <sz val="9"/>
            <color indexed="81"/>
            <rFont val="Tahoma"/>
            <family val="2"/>
          </rPr>
          <t>Spangenberger, Jeffrey S.:</t>
        </r>
        <r>
          <rPr>
            <sz val="9"/>
            <color indexed="81"/>
            <rFont val="Tahoma"/>
            <family val="2"/>
          </rPr>
          <t xml:space="preserve">
At hrs per day and days per year entered above</t>
        </r>
      </text>
    </comment>
    <comment ref="BE1203" authorId="1" shapeId="0" xr:uid="{AFBFEB62-6AC7-574A-9B12-036C8343ABAF}">
      <text>
        <r>
          <rPr>
            <b/>
            <sz val="9"/>
            <color indexed="81"/>
            <rFont val="Tahoma"/>
            <family val="2"/>
          </rPr>
          <t>Spangenberger, Jeffrey S.:</t>
        </r>
        <r>
          <rPr>
            <sz val="9"/>
            <color indexed="81"/>
            <rFont val="Tahoma"/>
            <family val="2"/>
          </rPr>
          <t xml:space="preserve">
At hrs per day and days per year entered above</t>
        </r>
      </text>
    </comment>
    <comment ref="AB1262" authorId="1" shapeId="0" xr:uid="{5B03B0AF-5505-B347-8C58-066C411BC209}">
      <text>
        <r>
          <rPr>
            <b/>
            <sz val="9"/>
            <color indexed="81"/>
            <rFont val="Tahoma"/>
            <family val="2"/>
          </rPr>
          <t>Spangenberger, Jeffrey S.:</t>
        </r>
        <r>
          <rPr>
            <sz val="9"/>
            <color indexed="81"/>
            <rFont val="Tahoma"/>
            <family val="2"/>
          </rPr>
          <t xml:space="preserve">
Not used currently</t>
        </r>
      </text>
    </comment>
    <comment ref="BB1262" authorId="1" shapeId="0" xr:uid="{5679C9DD-A47B-474F-A3F4-5782209A77CF}">
      <text>
        <r>
          <rPr>
            <b/>
            <sz val="9"/>
            <color indexed="81"/>
            <rFont val="Tahoma"/>
            <family val="2"/>
          </rPr>
          <t>Spangenberger, Jeffrey S.:</t>
        </r>
        <r>
          <rPr>
            <sz val="9"/>
            <color indexed="81"/>
            <rFont val="Tahoma"/>
            <family val="2"/>
          </rPr>
          <t xml:space="preserve">
Not used currently</t>
        </r>
      </text>
    </comment>
    <comment ref="AE1303" authorId="1" shapeId="0" xr:uid="{9C288224-0415-6342-A253-1383ECB0F442}">
      <text>
        <r>
          <rPr>
            <b/>
            <sz val="9"/>
            <color indexed="81"/>
            <rFont val="Tahoma"/>
            <family val="2"/>
          </rPr>
          <t>Spangenberger, Jeffrey S.:</t>
        </r>
        <r>
          <rPr>
            <sz val="9"/>
            <color indexed="81"/>
            <rFont val="Tahoma"/>
            <family val="2"/>
          </rPr>
          <t xml:space="preserve">
At hrs per day and days per year entered above</t>
        </r>
      </text>
    </comment>
    <comment ref="BE1303" authorId="1" shapeId="0" xr:uid="{211ADD56-8F9C-3444-9C66-16BE49F8D1AF}">
      <text>
        <r>
          <rPr>
            <b/>
            <sz val="9"/>
            <color indexed="81"/>
            <rFont val="Tahoma"/>
            <family val="2"/>
          </rPr>
          <t>Spangenberger, Jeffrey S.:</t>
        </r>
        <r>
          <rPr>
            <sz val="9"/>
            <color indexed="81"/>
            <rFont val="Tahoma"/>
            <family val="2"/>
          </rPr>
          <t xml:space="preserve">
At hrs per day and days per year entered above</t>
        </r>
      </text>
    </comment>
    <comment ref="AB1362" authorId="1" shapeId="0" xr:uid="{995C66B3-40E0-3B4F-89C9-77144AA31AC5}">
      <text>
        <r>
          <rPr>
            <b/>
            <sz val="9"/>
            <color indexed="81"/>
            <rFont val="Tahoma"/>
            <family val="2"/>
          </rPr>
          <t>Spangenberger, Jeffrey S.:</t>
        </r>
        <r>
          <rPr>
            <sz val="9"/>
            <color indexed="81"/>
            <rFont val="Tahoma"/>
            <family val="2"/>
          </rPr>
          <t xml:space="preserve">
Not used currently</t>
        </r>
      </text>
    </comment>
    <comment ref="BB1362" authorId="1" shapeId="0" xr:uid="{7552FE94-8973-1E41-80F2-02E796840B60}">
      <text>
        <r>
          <rPr>
            <b/>
            <sz val="9"/>
            <color indexed="81"/>
            <rFont val="Tahoma"/>
            <family val="2"/>
          </rPr>
          <t>Spangenberger, Jeffrey S.:</t>
        </r>
        <r>
          <rPr>
            <sz val="9"/>
            <color indexed="81"/>
            <rFont val="Tahoma"/>
            <family val="2"/>
          </rPr>
          <t xml:space="preserve">
Not used currently</t>
        </r>
      </text>
    </comment>
    <comment ref="AE1403" authorId="1" shapeId="0" xr:uid="{72F378A4-6A77-974C-AA14-B80189480002}">
      <text>
        <r>
          <rPr>
            <b/>
            <sz val="9"/>
            <color indexed="81"/>
            <rFont val="Tahoma"/>
            <family val="2"/>
          </rPr>
          <t>Spangenberger, Jeffrey S.:</t>
        </r>
        <r>
          <rPr>
            <sz val="9"/>
            <color indexed="81"/>
            <rFont val="Tahoma"/>
            <family val="2"/>
          </rPr>
          <t xml:space="preserve">
At hrs per day and days per year entered above</t>
        </r>
      </text>
    </comment>
    <comment ref="BE1403" authorId="1" shapeId="0" xr:uid="{E9B84AA3-4606-964B-9C24-019488E99EBE}">
      <text>
        <r>
          <rPr>
            <b/>
            <sz val="9"/>
            <color indexed="81"/>
            <rFont val="Tahoma"/>
            <family val="2"/>
          </rPr>
          <t>Spangenberger, Jeffrey S.:</t>
        </r>
        <r>
          <rPr>
            <sz val="9"/>
            <color indexed="81"/>
            <rFont val="Tahoma"/>
            <family val="2"/>
          </rPr>
          <t xml:space="preserve">
At hrs per day and days per year entered above</t>
        </r>
      </text>
    </comment>
    <comment ref="AB1462" authorId="1" shapeId="0" xr:uid="{FE228DF5-0532-4245-B2F8-7497CCF63A1C}">
      <text>
        <r>
          <rPr>
            <b/>
            <sz val="9"/>
            <color indexed="81"/>
            <rFont val="Tahoma"/>
            <family val="2"/>
          </rPr>
          <t>Spangenberger, Jeffrey S.:</t>
        </r>
        <r>
          <rPr>
            <sz val="9"/>
            <color indexed="81"/>
            <rFont val="Tahoma"/>
            <family val="2"/>
          </rPr>
          <t xml:space="preserve">
Not used currently</t>
        </r>
      </text>
    </comment>
    <comment ref="BB1462" authorId="1" shapeId="0" xr:uid="{628765B6-BF4F-C046-A0ED-800535200443}">
      <text>
        <r>
          <rPr>
            <b/>
            <sz val="9"/>
            <color indexed="81"/>
            <rFont val="Tahoma"/>
            <family val="2"/>
          </rPr>
          <t>Spangenberger, Jeffrey S.:</t>
        </r>
        <r>
          <rPr>
            <sz val="9"/>
            <color indexed="81"/>
            <rFont val="Tahoma"/>
            <family val="2"/>
          </rPr>
          <t xml:space="preserve">
Not used currently</t>
        </r>
      </text>
    </comment>
    <comment ref="AE1503" authorId="1" shapeId="0" xr:uid="{EE66C0CC-CADA-3B4D-B753-89F85127D456}">
      <text>
        <r>
          <rPr>
            <b/>
            <sz val="9"/>
            <color indexed="81"/>
            <rFont val="Tahoma"/>
            <family val="2"/>
          </rPr>
          <t>Spangenberger, Jeffrey S.:</t>
        </r>
        <r>
          <rPr>
            <sz val="9"/>
            <color indexed="81"/>
            <rFont val="Tahoma"/>
            <family val="2"/>
          </rPr>
          <t xml:space="preserve">
At hrs per day and days per year entered above</t>
        </r>
      </text>
    </comment>
    <comment ref="BE1503" authorId="1" shapeId="0" xr:uid="{72F2D139-5B5C-D740-8922-C49B3C1A4F7C}">
      <text>
        <r>
          <rPr>
            <b/>
            <sz val="9"/>
            <color indexed="81"/>
            <rFont val="Tahoma"/>
            <family val="2"/>
          </rPr>
          <t>Spangenberger, Jeffrey S.:</t>
        </r>
        <r>
          <rPr>
            <sz val="9"/>
            <color indexed="81"/>
            <rFont val="Tahoma"/>
            <family val="2"/>
          </rPr>
          <t xml:space="preserve">
At hrs per day and days per year entered above</t>
        </r>
      </text>
    </comment>
    <comment ref="AB1562" authorId="1" shapeId="0" xr:uid="{96A25580-B8E8-4443-9EC1-C2451BE8545A}">
      <text>
        <r>
          <rPr>
            <b/>
            <sz val="9"/>
            <color indexed="81"/>
            <rFont val="Tahoma"/>
            <family val="2"/>
          </rPr>
          <t>Spangenberger, Jeffrey S.:</t>
        </r>
        <r>
          <rPr>
            <sz val="9"/>
            <color indexed="81"/>
            <rFont val="Tahoma"/>
            <family val="2"/>
          </rPr>
          <t xml:space="preserve">
Not used currently</t>
        </r>
      </text>
    </comment>
    <comment ref="BB1562" authorId="1" shapeId="0" xr:uid="{14465055-B0D7-1E4A-9906-945000BD0C20}">
      <text>
        <r>
          <rPr>
            <b/>
            <sz val="9"/>
            <color indexed="81"/>
            <rFont val="Tahoma"/>
            <family val="2"/>
          </rPr>
          <t>Spangenberger, Jeffrey S.:</t>
        </r>
        <r>
          <rPr>
            <sz val="9"/>
            <color indexed="81"/>
            <rFont val="Tahoma"/>
            <family val="2"/>
          </rPr>
          <t xml:space="preserve">
Not used currently</t>
        </r>
      </text>
    </comment>
    <comment ref="AE1603" authorId="1" shapeId="0" xr:uid="{E46FC1A7-1A8F-7740-9651-503483ACE580}">
      <text>
        <r>
          <rPr>
            <b/>
            <sz val="9"/>
            <color indexed="81"/>
            <rFont val="Tahoma"/>
            <family val="2"/>
          </rPr>
          <t>Spangenberger, Jeffrey S.:</t>
        </r>
        <r>
          <rPr>
            <sz val="9"/>
            <color indexed="81"/>
            <rFont val="Tahoma"/>
            <family val="2"/>
          </rPr>
          <t xml:space="preserve">
At hrs per day and days per year entered above</t>
        </r>
      </text>
    </comment>
    <comment ref="BE1603" authorId="1" shapeId="0" xr:uid="{12F7D0B0-4584-0847-8573-A250A5A40690}">
      <text>
        <r>
          <rPr>
            <b/>
            <sz val="9"/>
            <color indexed="81"/>
            <rFont val="Tahoma"/>
            <family val="2"/>
          </rPr>
          <t>Spangenberger, Jeffrey S.:</t>
        </r>
        <r>
          <rPr>
            <sz val="9"/>
            <color indexed="81"/>
            <rFont val="Tahoma"/>
            <family val="2"/>
          </rPr>
          <t xml:space="preserve">
At hrs per day and days per year entered above</t>
        </r>
      </text>
    </comment>
    <comment ref="AB1662" authorId="1" shapeId="0" xr:uid="{9916FC95-7A20-7B4E-B981-9C44AE496C66}">
      <text>
        <r>
          <rPr>
            <b/>
            <sz val="9"/>
            <color indexed="81"/>
            <rFont val="Tahoma"/>
            <family val="2"/>
          </rPr>
          <t>Spangenberger, Jeffrey S.:</t>
        </r>
        <r>
          <rPr>
            <sz val="9"/>
            <color indexed="81"/>
            <rFont val="Tahoma"/>
            <family val="2"/>
          </rPr>
          <t xml:space="preserve">
Not used currently</t>
        </r>
      </text>
    </comment>
    <comment ref="BB1662" authorId="1" shapeId="0" xr:uid="{A16F128A-6E47-244B-9C1D-03AB40819429}">
      <text>
        <r>
          <rPr>
            <b/>
            <sz val="9"/>
            <color indexed="81"/>
            <rFont val="Tahoma"/>
            <family val="2"/>
          </rPr>
          <t>Spangenberger, Jeffrey S.:</t>
        </r>
        <r>
          <rPr>
            <sz val="9"/>
            <color indexed="81"/>
            <rFont val="Tahoma"/>
            <family val="2"/>
          </rPr>
          <t xml:space="preserve">
Not used currently</t>
        </r>
      </text>
    </comment>
    <comment ref="AE1703" authorId="1" shapeId="0" xr:uid="{67D312F2-63E9-474C-896E-502A72231DFD}">
      <text>
        <r>
          <rPr>
            <b/>
            <sz val="9"/>
            <color indexed="81"/>
            <rFont val="Tahoma"/>
            <family val="2"/>
          </rPr>
          <t>Spangenberger, Jeffrey S.:</t>
        </r>
        <r>
          <rPr>
            <sz val="9"/>
            <color indexed="81"/>
            <rFont val="Tahoma"/>
            <family val="2"/>
          </rPr>
          <t xml:space="preserve">
At hrs per day and days per year entered above</t>
        </r>
      </text>
    </comment>
    <comment ref="BE1703" authorId="1" shapeId="0" xr:uid="{A4E3046F-9142-394B-B410-D01E40E46EB5}">
      <text>
        <r>
          <rPr>
            <b/>
            <sz val="9"/>
            <color indexed="81"/>
            <rFont val="Tahoma"/>
            <family val="2"/>
          </rPr>
          <t>Spangenberger, Jeffrey S.:</t>
        </r>
        <r>
          <rPr>
            <sz val="9"/>
            <color indexed="81"/>
            <rFont val="Tahoma"/>
            <family val="2"/>
          </rPr>
          <t xml:space="preserve">
At hrs per day and days per year entered above</t>
        </r>
      </text>
    </comment>
    <comment ref="AB1762" authorId="1" shapeId="0" xr:uid="{72D1E863-8AE1-AC4B-B603-0CB08ADACE37}">
      <text>
        <r>
          <rPr>
            <b/>
            <sz val="9"/>
            <color indexed="81"/>
            <rFont val="Tahoma"/>
            <family val="2"/>
          </rPr>
          <t>Spangenberger, Jeffrey S.:</t>
        </r>
        <r>
          <rPr>
            <sz val="9"/>
            <color indexed="81"/>
            <rFont val="Tahoma"/>
            <family val="2"/>
          </rPr>
          <t xml:space="preserve">
Not used currently</t>
        </r>
      </text>
    </comment>
    <comment ref="BB1762" authorId="1" shapeId="0" xr:uid="{AE28CC98-B83D-0443-A1E2-A8DFC8D5F812}">
      <text>
        <r>
          <rPr>
            <b/>
            <sz val="9"/>
            <color indexed="81"/>
            <rFont val="Tahoma"/>
            <family val="2"/>
          </rPr>
          <t>Spangenberger, Jeffrey S.:</t>
        </r>
        <r>
          <rPr>
            <sz val="9"/>
            <color indexed="81"/>
            <rFont val="Tahoma"/>
            <family val="2"/>
          </rPr>
          <t xml:space="preserve">
Not used currently</t>
        </r>
      </text>
    </comment>
    <comment ref="AE1803" authorId="1" shapeId="0" xr:uid="{9EB5B653-7269-DD46-81EF-10E4E918BC3A}">
      <text>
        <r>
          <rPr>
            <b/>
            <sz val="9"/>
            <color indexed="81"/>
            <rFont val="Tahoma"/>
            <family val="2"/>
          </rPr>
          <t>Spangenberger, Jeffrey S.:</t>
        </r>
        <r>
          <rPr>
            <sz val="9"/>
            <color indexed="81"/>
            <rFont val="Tahoma"/>
            <family val="2"/>
          </rPr>
          <t xml:space="preserve">
At hrs per day and days per year entered above</t>
        </r>
      </text>
    </comment>
    <comment ref="BE1803" authorId="1" shapeId="0" xr:uid="{DD70EF06-8AA4-824F-B874-91E13F1046FA}">
      <text>
        <r>
          <rPr>
            <b/>
            <sz val="9"/>
            <color indexed="81"/>
            <rFont val="Tahoma"/>
            <family val="2"/>
          </rPr>
          <t>Spangenberger, Jeffrey S.:</t>
        </r>
        <r>
          <rPr>
            <sz val="9"/>
            <color indexed="81"/>
            <rFont val="Tahoma"/>
            <family val="2"/>
          </rPr>
          <t xml:space="preserve">
At hrs per day and days per year entered above</t>
        </r>
      </text>
    </comment>
    <comment ref="AB1862" authorId="1" shapeId="0" xr:uid="{010B8662-2432-BC4D-A181-2E371E234839}">
      <text>
        <r>
          <rPr>
            <b/>
            <sz val="9"/>
            <color indexed="81"/>
            <rFont val="Tahoma"/>
            <family val="2"/>
          </rPr>
          <t>Spangenberger, Jeffrey S.:</t>
        </r>
        <r>
          <rPr>
            <sz val="9"/>
            <color indexed="81"/>
            <rFont val="Tahoma"/>
            <family val="2"/>
          </rPr>
          <t xml:space="preserve">
Not used currently</t>
        </r>
      </text>
    </comment>
    <comment ref="BB1862" authorId="1" shapeId="0" xr:uid="{B431E393-2859-7545-A070-47D586A759E0}">
      <text>
        <r>
          <rPr>
            <b/>
            <sz val="9"/>
            <color indexed="81"/>
            <rFont val="Tahoma"/>
            <family val="2"/>
          </rPr>
          <t>Spangenberger, Jeffrey S.:</t>
        </r>
        <r>
          <rPr>
            <sz val="9"/>
            <color indexed="81"/>
            <rFont val="Tahoma"/>
            <family val="2"/>
          </rPr>
          <t xml:space="preserve">
Not used currently</t>
        </r>
      </text>
    </comment>
    <comment ref="AE1903" authorId="1" shapeId="0" xr:uid="{6196B029-1D79-A34F-98BA-AD9E3B2FCFC2}">
      <text>
        <r>
          <rPr>
            <b/>
            <sz val="9"/>
            <color indexed="81"/>
            <rFont val="Tahoma"/>
            <family val="2"/>
          </rPr>
          <t>Spangenberger, Jeffrey S.:</t>
        </r>
        <r>
          <rPr>
            <sz val="9"/>
            <color indexed="81"/>
            <rFont val="Tahoma"/>
            <family val="2"/>
          </rPr>
          <t xml:space="preserve">
At hrs per day and days per year entered above</t>
        </r>
      </text>
    </comment>
    <comment ref="BE1903" authorId="1" shapeId="0" xr:uid="{4389274B-C45B-1B40-AA2B-7B0851CDFA0C}">
      <text>
        <r>
          <rPr>
            <b/>
            <sz val="9"/>
            <color indexed="81"/>
            <rFont val="Tahoma"/>
            <family val="2"/>
          </rPr>
          <t>Spangenberger, Jeffrey S.:</t>
        </r>
        <r>
          <rPr>
            <sz val="9"/>
            <color indexed="81"/>
            <rFont val="Tahoma"/>
            <family val="2"/>
          </rPr>
          <t xml:space="preserve">
At hrs per day and days per year entered above</t>
        </r>
      </text>
    </comment>
    <comment ref="AB1962" authorId="1" shapeId="0" xr:uid="{BF4C71F7-A066-7749-9C43-7C9FCC8B26C7}">
      <text>
        <r>
          <rPr>
            <b/>
            <sz val="9"/>
            <color indexed="81"/>
            <rFont val="Tahoma"/>
            <family val="2"/>
          </rPr>
          <t>Spangenberger, Jeffrey S.:</t>
        </r>
        <r>
          <rPr>
            <sz val="9"/>
            <color indexed="81"/>
            <rFont val="Tahoma"/>
            <family val="2"/>
          </rPr>
          <t xml:space="preserve">
Not used currently</t>
        </r>
      </text>
    </comment>
    <comment ref="BB1962" authorId="1" shapeId="0" xr:uid="{84659C1B-8262-ED43-8D5C-8432254AF964}">
      <text>
        <r>
          <rPr>
            <b/>
            <sz val="9"/>
            <color indexed="81"/>
            <rFont val="Tahoma"/>
            <family val="2"/>
          </rPr>
          <t>Spangenberger, Jeffrey S.:</t>
        </r>
        <r>
          <rPr>
            <sz val="9"/>
            <color indexed="81"/>
            <rFont val="Tahoma"/>
            <family val="2"/>
          </rPr>
          <t xml:space="preserve">
Not used currently</t>
        </r>
      </text>
    </comment>
    <comment ref="AE2003" authorId="1" shapeId="0" xr:uid="{A82299A4-1F01-3B4D-A253-EF1F0DB27DC4}">
      <text>
        <r>
          <rPr>
            <b/>
            <sz val="9"/>
            <color indexed="81"/>
            <rFont val="Tahoma"/>
            <family val="2"/>
          </rPr>
          <t>Spangenberger, Jeffrey S.:</t>
        </r>
        <r>
          <rPr>
            <sz val="9"/>
            <color indexed="81"/>
            <rFont val="Tahoma"/>
            <family val="2"/>
          </rPr>
          <t xml:space="preserve">
At hrs per day and days per year entered above</t>
        </r>
      </text>
    </comment>
    <comment ref="BE2003" authorId="1" shapeId="0" xr:uid="{9C1FF740-9FB8-2E4C-A552-E45AADF41F1D}">
      <text>
        <r>
          <rPr>
            <b/>
            <sz val="9"/>
            <color indexed="81"/>
            <rFont val="Tahoma"/>
            <family val="2"/>
          </rPr>
          <t>Spangenberger, Jeffrey S.:</t>
        </r>
        <r>
          <rPr>
            <sz val="9"/>
            <color indexed="81"/>
            <rFont val="Tahoma"/>
            <family val="2"/>
          </rPr>
          <t xml:space="preserve">
At hrs per day and days per year entered above</t>
        </r>
      </text>
    </comment>
    <comment ref="AB2062" authorId="1" shapeId="0" xr:uid="{8420B17F-201F-2C4F-B750-63F6663DA829}">
      <text>
        <r>
          <rPr>
            <b/>
            <sz val="9"/>
            <color indexed="81"/>
            <rFont val="Tahoma"/>
            <family val="2"/>
          </rPr>
          <t>Spangenberger, Jeffrey S.:</t>
        </r>
        <r>
          <rPr>
            <sz val="9"/>
            <color indexed="81"/>
            <rFont val="Tahoma"/>
            <family val="2"/>
          </rPr>
          <t xml:space="preserve">
Not used currently</t>
        </r>
      </text>
    </comment>
    <comment ref="BB2062" authorId="1" shapeId="0" xr:uid="{0F27CF81-B22C-A840-B3A6-91BF26D2EA32}">
      <text>
        <r>
          <rPr>
            <b/>
            <sz val="9"/>
            <color indexed="81"/>
            <rFont val="Tahoma"/>
            <family val="2"/>
          </rPr>
          <t>Spangenberger, Jeffrey S.:</t>
        </r>
        <r>
          <rPr>
            <sz val="9"/>
            <color indexed="81"/>
            <rFont val="Tahoma"/>
            <family val="2"/>
          </rPr>
          <t xml:space="preserve">
Not used currently</t>
        </r>
      </text>
    </comment>
    <comment ref="AE2103" authorId="1" shapeId="0" xr:uid="{B787A782-1C21-FF43-97BA-723704E81810}">
      <text>
        <r>
          <rPr>
            <b/>
            <sz val="9"/>
            <color indexed="81"/>
            <rFont val="Tahoma"/>
            <family val="2"/>
          </rPr>
          <t>Spangenberger, Jeffrey S.:</t>
        </r>
        <r>
          <rPr>
            <sz val="9"/>
            <color indexed="81"/>
            <rFont val="Tahoma"/>
            <family val="2"/>
          </rPr>
          <t xml:space="preserve">
At hrs per day and days per year entered above</t>
        </r>
      </text>
    </comment>
    <comment ref="BE2103" authorId="1" shapeId="0" xr:uid="{63120A4F-8B0D-014B-84D5-6776F726262D}">
      <text>
        <r>
          <rPr>
            <b/>
            <sz val="9"/>
            <color indexed="81"/>
            <rFont val="Tahoma"/>
            <family val="2"/>
          </rPr>
          <t>Spangenberger, Jeffrey S.:</t>
        </r>
        <r>
          <rPr>
            <sz val="9"/>
            <color indexed="81"/>
            <rFont val="Tahoma"/>
            <family val="2"/>
          </rPr>
          <t xml:space="preserve">
At hrs per day and days per year entered above</t>
        </r>
      </text>
    </comment>
    <comment ref="AB2162" authorId="1" shapeId="0" xr:uid="{F4B9DB8A-57FF-BE42-8218-B8D3C6DE2409}">
      <text>
        <r>
          <rPr>
            <b/>
            <sz val="9"/>
            <color indexed="81"/>
            <rFont val="Tahoma"/>
            <family val="2"/>
          </rPr>
          <t>Spangenberger, Jeffrey S.:</t>
        </r>
        <r>
          <rPr>
            <sz val="9"/>
            <color indexed="81"/>
            <rFont val="Tahoma"/>
            <family val="2"/>
          </rPr>
          <t xml:space="preserve">
Not used currently</t>
        </r>
      </text>
    </comment>
    <comment ref="BB2162" authorId="1" shapeId="0" xr:uid="{D2CF1C90-9F8E-8440-9C26-921891DE964A}">
      <text>
        <r>
          <rPr>
            <b/>
            <sz val="9"/>
            <color indexed="81"/>
            <rFont val="Tahoma"/>
            <family val="2"/>
          </rPr>
          <t>Spangenberger, Jeffrey S.:</t>
        </r>
        <r>
          <rPr>
            <sz val="9"/>
            <color indexed="81"/>
            <rFont val="Tahoma"/>
            <family val="2"/>
          </rPr>
          <t xml:space="preserve">
Not used currently</t>
        </r>
      </text>
    </comment>
    <comment ref="AE2203" authorId="1" shapeId="0" xr:uid="{D22E4D89-58B7-5149-9467-C19DB2823813}">
      <text>
        <r>
          <rPr>
            <b/>
            <sz val="9"/>
            <color indexed="81"/>
            <rFont val="Tahoma"/>
            <family val="2"/>
          </rPr>
          <t>Spangenberger, Jeffrey S.:</t>
        </r>
        <r>
          <rPr>
            <sz val="9"/>
            <color indexed="81"/>
            <rFont val="Tahoma"/>
            <family val="2"/>
          </rPr>
          <t xml:space="preserve">
At hrs per day and days per year entered above</t>
        </r>
      </text>
    </comment>
    <comment ref="BE2203" authorId="1" shapeId="0" xr:uid="{2FF055F3-56CE-064C-BF79-A778BE73ED37}">
      <text>
        <r>
          <rPr>
            <b/>
            <sz val="9"/>
            <color indexed="81"/>
            <rFont val="Tahoma"/>
            <family val="2"/>
          </rPr>
          <t>Spangenberger, Jeffrey S.:</t>
        </r>
        <r>
          <rPr>
            <sz val="9"/>
            <color indexed="81"/>
            <rFont val="Tahoma"/>
            <family val="2"/>
          </rPr>
          <t xml:space="preserve">
At hrs per day and days per year entered above</t>
        </r>
      </text>
    </comment>
    <comment ref="AB2262" authorId="1" shapeId="0" xr:uid="{1BCD7CD3-577F-3642-8C32-897D03EA588A}">
      <text>
        <r>
          <rPr>
            <b/>
            <sz val="9"/>
            <color indexed="81"/>
            <rFont val="Tahoma"/>
            <family val="2"/>
          </rPr>
          <t>Spangenberger, Jeffrey S.:</t>
        </r>
        <r>
          <rPr>
            <sz val="9"/>
            <color indexed="81"/>
            <rFont val="Tahoma"/>
            <family val="2"/>
          </rPr>
          <t xml:space="preserve">
Not used currently</t>
        </r>
      </text>
    </comment>
    <comment ref="BB2262" authorId="1" shapeId="0" xr:uid="{A9F5BF07-9F8B-8848-A1D0-5675C76C97B1}">
      <text>
        <r>
          <rPr>
            <b/>
            <sz val="9"/>
            <color indexed="81"/>
            <rFont val="Tahoma"/>
            <family val="2"/>
          </rPr>
          <t>Spangenberger, Jeffrey S.:</t>
        </r>
        <r>
          <rPr>
            <sz val="9"/>
            <color indexed="81"/>
            <rFont val="Tahoma"/>
            <family val="2"/>
          </rPr>
          <t xml:space="preserve">
Not used currently</t>
        </r>
      </text>
    </comment>
    <comment ref="AE2303" authorId="1" shapeId="0" xr:uid="{7C75724B-52F3-0449-81C6-3303DC1039AE}">
      <text>
        <r>
          <rPr>
            <b/>
            <sz val="9"/>
            <color indexed="81"/>
            <rFont val="Tahoma"/>
            <family val="2"/>
          </rPr>
          <t>Spangenberger, Jeffrey S.:</t>
        </r>
        <r>
          <rPr>
            <sz val="9"/>
            <color indexed="81"/>
            <rFont val="Tahoma"/>
            <family val="2"/>
          </rPr>
          <t xml:space="preserve">
At hrs per day and days per year entered above</t>
        </r>
      </text>
    </comment>
    <comment ref="BE2303" authorId="1" shapeId="0" xr:uid="{7C379D03-41A2-BA43-B8CE-F32D9A3705F6}">
      <text>
        <r>
          <rPr>
            <b/>
            <sz val="9"/>
            <color indexed="81"/>
            <rFont val="Tahoma"/>
            <family val="2"/>
          </rPr>
          <t>Spangenberger, Jeffrey S.:</t>
        </r>
        <r>
          <rPr>
            <sz val="9"/>
            <color indexed="81"/>
            <rFont val="Tahoma"/>
            <family val="2"/>
          </rPr>
          <t xml:space="preserve">
At hrs per day and days per year entered above</t>
        </r>
      </text>
    </comment>
    <comment ref="AB2362" authorId="1" shapeId="0" xr:uid="{BBFBFE41-003D-F346-B226-954A91CD58FF}">
      <text>
        <r>
          <rPr>
            <b/>
            <sz val="9"/>
            <color indexed="81"/>
            <rFont val="Tahoma"/>
            <family val="2"/>
          </rPr>
          <t>Spangenberger, Jeffrey S.:</t>
        </r>
        <r>
          <rPr>
            <sz val="9"/>
            <color indexed="81"/>
            <rFont val="Tahoma"/>
            <family val="2"/>
          </rPr>
          <t xml:space="preserve">
Not used currently</t>
        </r>
      </text>
    </comment>
    <comment ref="BB2362" authorId="1" shapeId="0" xr:uid="{D273BBAF-657D-C54E-8144-BE3CE30DCB81}">
      <text>
        <r>
          <rPr>
            <b/>
            <sz val="9"/>
            <color indexed="81"/>
            <rFont val="Tahoma"/>
            <family val="2"/>
          </rPr>
          <t>Spangenberger, Jeffrey S.:</t>
        </r>
        <r>
          <rPr>
            <sz val="9"/>
            <color indexed="81"/>
            <rFont val="Tahoma"/>
            <family val="2"/>
          </rPr>
          <t xml:space="preserve">
Not used currently</t>
        </r>
      </text>
    </comment>
    <comment ref="AE2403" authorId="1" shapeId="0" xr:uid="{95C5AE9A-0AB8-E14A-852E-5B9B52CAD76B}">
      <text>
        <r>
          <rPr>
            <b/>
            <sz val="9"/>
            <color indexed="81"/>
            <rFont val="Tahoma"/>
            <family val="2"/>
          </rPr>
          <t>Spangenberger, Jeffrey S.:</t>
        </r>
        <r>
          <rPr>
            <sz val="9"/>
            <color indexed="81"/>
            <rFont val="Tahoma"/>
            <family val="2"/>
          </rPr>
          <t xml:space="preserve">
At hrs per day and days per year entered above</t>
        </r>
      </text>
    </comment>
    <comment ref="BE2403" authorId="1" shapeId="0" xr:uid="{61F665F6-658E-F74B-BCBC-16555264D88E}">
      <text>
        <r>
          <rPr>
            <b/>
            <sz val="9"/>
            <color indexed="81"/>
            <rFont val="Tahoma"/>
            <family val="2"/>
          </rPr>
          <t>Spangenberger, Jeffrey S.:</t>
        </r>
        <r>
          <rPr>
            <sz val="9"/>
            <color indexed="81"/>
            <rFont val="Tahoma"/>
            <family val="2"/>
          </rPr>
          <t xml:space="preserve">
At hrs per day and days per year entered above</t>
        </r>
      </text>
    </comment>
    <comment ref="AB2462" authorId="1" shapeId="0" xr:uid="{F91FC6B3-F783-BC42-88FF-FACA28C03185}">
      <text>
        <r>
          <rPr>
            <b/>
            <sz val="9"/>
            <color indexed="81"/>
            <rFont val="Tahoma"/>
            <family val="2"/>
          </rPr>
          <t>Spangenberger, Jeffrey S.:</t>
        </r>
        <r>
          <rPr>
            <sz val="9"/>
            <color indexed="81"/>
            <rFont val="Tahoma"/>
            <family val="2"/>
          </rPr>
          <t xml:space="preserve">
Not used currently</t>
        </r>
      </text>
    </comment>
    <comment ref="BB2462" authorId="1" shapeId="0" xr:uid="{21945941-EAF3-4243-B0FF-2CDB049B7984}">
      <text>
        <r>
          <rPr>
            <b/>
            <sz val="9"/>
            <color indexed="81"/>
            <rFont val="Tahoma"/>
            <family val="2"/>
          </rPr>
          <t>Spangenberger, Jeffrey S.:</t>
        </r>
        <r>
          <rPr>
            <sz val="9"/>
            <color indexed="81"/>
            <rFont val="Tahoma"/>
            <family val="2"/>
          </rPr>
          <t xml:space="preserve">
Not used currently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Dai, Qiang</author>
    <author>Spangenberger, Jeffrey S.</author>
  </authors>
  <commentList>
    <comment ref="EB26" authorId="0" shapeId="0" xr:uid="{00000000-0006-0000-0600-000005000000}">
      <text>
        <r>
          <rPr>
            <b/>
            <sz val="9"/>
            <color indexed="81"/>
            <rFont val="Tahoma"/>
            <family val="2"/>
          </rPr>
          <t>Dai, Qiang:</t>
        </r>
        <r>
          <rPr>
            <sz val="9"/>
            <color indexed="81"/>
            <rFont val="Tahoma"/>
            <family val="2"/>
          </rPr>
          <t xml:space="preserve">
Includes rejected cells and scraps from cell manufacturing if selected</t>
        </r>
      </text>
    </comment>
    <comment ref="D33" authorId="0" shapeId="0" xr:uid="{2EA0E66B-D1AC-4753-B5EE-9FBA45083689}">
      <text>
        <r>
          <rPr>
            <b/>
            <sz val="9"/>
            <color rgb="FF000000"/>
            <rFont val="Tahoma"/>
            <family val="2"/>
          </rPr>
          <t>Dai, Qiang:</t>
        </r>
        <r>
          <rPr>
            <sz val="9"/>
            <color rgb="FF000000"/>
            <rFont val="Tahoma"/>
            <family val="2"/>
          </rPr>
          <t xml:space="preserve">
2018-2022 average, clean dry turnings. USGS Minerals Year Book 2019 &amp; 2020, Mineral Industry Surveys Dec 2022</t>
        </r>
      </text>
    </comment>
    <comment ref="D34" authorId="0" shapeId="0" xr:uid="{BF3CC83D-1C90-46D7-B039-04297C62D54B}">
      <text>
        <r>
          <rPr>
            <b/>
            <sz val="9"/>
            <color rgb="FF000000"/>
            <rFont val="Tahoma"/>
            <family val="2"/>
          </rPr>
          <t>Dai, Qiang:</t>
        </r>
        <r>
          <rPr>
            <sz val="9"/>
            <color rgb="FF000000"/>
            <rFont val="Tahoma"/>
            <family val="2"/>
          </rPr>
          <t xml:space="preserve">
2018-2022 average, No.1 Scrap price.
USGS Minerals Year Book 2018 &amp; 2019, Mineral Industry Surveys Dec 2021 &amp; Dec 2022</t>
        </r>
      </text>
    </comment>
    <comment ref="D35" authorId="0" shapeId="0" xr:uid="{01B139E3-E22D-45F2-9918-B3F65B280908}">
      <text>
        <r>
          <rPr>
            <b/>
            <sz val="9"/>
            <color rgb="FF000000"/>
            <rFont val="Tahoma"/>
            <family val="2"/>
          </rPr>
          <t>Dai, Qiang:</t>
        </r>
        <r>
          <rPr>
            <sz val="9"/>
            <color rgb="FF000000"/>
            <rFont val="Tahoma"/>
            <family val="2"/>
          </rPr>
          <t xml:space="preserve">
2018-2022 average, No.1 heavy melting composite price. https://pubs.usgs.gov/periodicals/mcs2023/mcs2023-iron-steel-scrap.pdf</t>
        </r>
      </text>
    </comment>
    <comment ref="D36" authorId="0" shapeId="0" xr:uid="{C8659E99-FE2D-489D-A353-A8FEC774F418}">
      <text>
        <r>
          <rPr>
            <b/>
            <sz val="9"/>
            <color rgb="FF000000"/>
            <rFont val="Tahoma"/>
            <family val="2"/>
          </rPr>
          <t xml:space="preserve">Dai, Qiang:
</t>
        </r>
        <r>
          <rPr>
            <sz val="9"/>
            <color rgb="FF000000"/>
            <rFont val="Tahoma"/>
            <family val="2"/>
          </rPr>
          <t>PE clean film price.</t>
        </r>
        <r>
          <rPr>
            <b/>
            <sz val="9"/>
            <color rgb="FF000000"/>
            <rFont val="Tahoma"/>
            <family val="2"/>
          </rPr>
          <t xml:space="preserve">
</t>
        </r>
        <r>
          <rPr>
            <sz val="9"/>
            <color rgb="FF000000"/>
            <rFont val="Tahoma"/>
            <family val="2"/>
          </rPr>
          <t>https://www.plasticsmarkets.org/view/commoditypricing</t>
        </r>
      </text>
    </comment>
    <comment ref="D42" authorId="0" shapeId="0" xr:uid="{A5CA0B00-7676-4507-BFFE-B7D70CA75FDC}">
      <text>
        <r>
          <rPr>
            <b/>
            <sz val="9"/>
            <color rgb="FF000000"/>
            <rFont val="Tahoma"/>
            <family val="2"/>
          </rPr>
          <t>Dai, Qiang:</t>
        </r>
        <r>
          <rPr>
            <sz val="9"/>
            <color rgb="FF000000"/>
            <rFont val="Tahoma"/>
            <family val="2"/>
          </rPr>
          <t xml:space="preserve">
Assumed to be 50% of battery-grade Li2CO3 cost</t>
        </r>
      </text>
    </comment>
    <comment ref="D50" authorId="0" shapeId="0" xr:uid="{392725C7-C756-4542-A92E-B46304E5C61D}">
      <text>
        <r>
          <rPr>
            <b/>
            <sz val="9"/>
            <color rgb="FF000000"/>
            <rFont val="Tahoma"/>
            <family val="2"/>
          </rPr>
          <t xml:space="preserve">Dai, Qiang:
</t>
        </r>
        <r>
          <rPr>
            <sz val="9"/>
            <color rgb="FF000000"/>
            <rFont val="Tahoma"/>
            <family val="2"/>
          </rPr>
          <t>https://www.recycle.net/cgi-bin/exview.cgi?wscg=01-080303</t>
        </r>
      </text>
    </comment>
    <comment ref="D51" authorId="0" shapeId="0" xr:uid="{DBADF174-59BF-47CA-9201-6CE37570BB3A}">
      <text>
        <r>
          <rPr>
            <b/>
            <sz val="9"/>
            <color indexed="81"/>
            <rFont val="Tahoma"/>
            <family val="2"/>
          </rPr>
          <t>Dai, Qiang:</t>
        </r>
        <r>
          <rPr>
            <sz val="9"/>
            <color indexed="81"/>
            <rFont val="Tahoma"/>
            <family val="2"/>
          </rPr>
          <t xml:space="preserve">
2018-2022 average. LME cash price for Grade A copper. USGS 2023 mineral commodity summary</t>
        </r>
      </text>
    </comment>
    <comment ref="BC53" authorId="0" shapeId="0" xr:uid="{00000000-0006-0000-0600-00000A000000}">
      <text>
        <r>
          <rPr>
            <b/>
            <sz val="9"/>
            <color rgb="FF000000"/>
            <rFont val="Tahoma"/>
            <family val="2"/>
          </rPr>
          <t>Dai, Qiang:</t>
        </r>
        <r>
          <rPr>
            <sz val="9"/>
            <color rgb="FF000000"/>
            <rFont val="Tahoma"/>
            <family val="2"/>
          </rPr>
          <t xml:space="preserve">
</t>
        </r>
        <r>
          <rPr>
            <sz val="9"/>
            <color rgb="FF000000"/>
            <rFont val="Tahoma"/>
            <family val="2"/>
          </rPr>
          <t>Optional</t>
        </r>
      </text>
    </comment>
    <comment ref="CC53" authorId="0" shapeId="0" xr:uid="{00000000-0006-0000-0600-00000B000000}">
      <text>
        <r>
          <rPr>
            <b/>
            <sz val="9"/>
            <color indexed="81"/>
            <rFont val="Tahoma"/>
            <family val="2"/>
          </rPr>
          <t>Dai, Qiang:</t>
        </r>
        <r>
          <rPr>
            <sz val="9"/>
            <color indexed="81"/>
            <rFont val="Tahoma"/>
            <family val="2"/>
          </rPr>
          <t xml:space="preserve">
Optional</t>
        </r>
      </text>
    </comment>
    <comment ref="DC53" authorId="0" shapeId="0" xr:uid="{00000000-0006-0000-0600-00000C000000}">
      <text>
        <r>
          <rPr>
            <b/>
            <sz val="9"/>
            <color rgb="FF000000"/>
            <rFont val="Tahoma"/>
            <family val="2"/>
          </rPr>
          <t>Dai, Qiang:</t>
        </r>
        <r>
          <rPr>
            <sz val="9"/>
            <color rgb="FF000000"/>
            <rFont val="Tahoma"/>
            <family val="2"/>
          </rPr>
          <t xml:space="preserve">
</t>
        </r>
        <r>
          <rPr>
            <sz val="9"/>
            <color rgb="FF000000"/>
            <rFont val="Tahoma"/>
            <family val="2"/>
          </rPr>
          <t>Optional</t>
        </r>
      </text>
    </comment>
    <comment ref="EC55" authorId="0" shapeId="0" xr:uid="{00000000-0006-0000-0600-00000D000000}">
      <text>
        <r>
          <rPr>
            <b/>
            <sz val="9"/>
            <color indexed="81"/>
            <rFont val="Tahoma"/>
            <family val="2"/>
          </rPr>
          <t>Dai, Qiang:</t>
        </r>
        <r>
          <rPr>
            <sz val="9"/>
            <color indexed="81"/>
            <rFont val="Tahoma"/>
            <family val="2"/>
          </rPr>
          <t xml:space="preserve">
Optional</t>
        </r>
      </text>
    </comment>
    <comment ref="D66" authorId="0" shapeId="0" xr:uid="{6BDC13DA-F5CE-43AF-B020-194B8052DF9A}">
      <text>
        <r>
          <rPr>
            <b/>
            <sz val="9"/>
            <color rgb="FF000000"/>
            <rFont val="Tahoma"/>
            <family val="2"/>
          </rPr>
          <t>Dai, Qiang:</t>
        </r>
        <r>
          <rPr>
            <sz val="9"/>
            <color rgb="FF000000"/>
            <rFont val="Tahoma"/>
            <family val="2"/>
          </rPr>
          <t xml:space="preserve">
2018-2022 average, FOB gulf coast
https://pubs.usgs.gov/periodicals/mcs2023/mcs2023-nitrogen.pdf</t>
        </r>
      </text>
    </comment>
    <comment ref="D67" authorId="0" shapeId="0" xr:uid="{F0DE2F36-64E7-459A-A805-8AD09315B21D}">
      <text>
        <r>
          <rPr>
            <b/>
            <sz val="9"/>
            <color rgb="FF000000"/>
            <rFont val="Tahoma"/>
            <family val="2"/>
          </rPr>
          <t>Dai, Qiang:</t>
        </r>
        <r>
          <rPr>
            <sz val="9"/>
            <color rgb="FF000000"/>
            <rFont val="Tahoma"/>
            <family val="2"/>
          </rPr>
          <t xml:space="preserve">
</t>
        </r>
        <r>
          <rPr>
            <sz val="9"/>
            <color rgb="FF000000"/>
            <rFont val="Tahoma"/>
            <family val="2"/>
          </rPr>
          <t>Assumed to be the same as Ammonia. Could be an overestimate</t>
        </r>
      </text>
    </comment>
    <comment ref="D68" authorId="0" shapeId="0" xr:uid="{0976FB63-E708-4E6B-B44A-9ECDC38512AF}">
      <text>
        <r>
          <rPr>
            <b/>
            <sz val="9"/>
            <color rgb="FF000000"/>
            <rFont val="Tahoma"/>
            <family val="2"/>
          </rPr>
          <t>Dai, Qiang:</t>
        </r>
        <r>
          <rPr>
            <sz val="9"/>
            <color rgb="FF000000"/>
            <rFont val="Tahoma"/>
            <family val="2"/>
          </rPr>
          <t xml:space="preserve">
</t>
        </r>
        <r>
          <rPr>
            <sz val="9"/>
            <color rgb="FF000000"/>
            <rFont val="Tahoma"/>
            <family val="2"/>
          </rPr>
          <t>Assumed to be the same as Ammonia. Could be an overestimate</t>
        </r>
      </text>
    </comment>
    <comment ref="D69" authorId="0" shapeId="0" xr:uid="{A7329EF2-E881-4231-B8E8-BA1B45FE7572}">
      <text>
        <r>
          <rPr>
            <b/>
            <sz val="9"/>
            <color rgb="FF000000"/>
            <rFont val="Tahoma"/>
            <family val="2"/>
          </rPr>
          <t>Dai, Qiang:</t>
        </r>
        <r>
          <rPr>
            <sz val="9"/>
            <color rgb="FF000000"/>
            <rFont val="Tahoma"/>
            <family val="2"/>
          </rPr>
          <t xml:space="preserve">
Bulk liquid price in 2022, http://www.wichitafallstx.gov/DocumentCenter/View/38336/BID-TAB-2022-BULK-CHEMICALS</t>
        </r>
      </text>
    </comment>
    <comment ref="D70" authorId="0" shapeId="0" xr:uid="{206823CC-5C29-47CD-A4CD-8D5650819687}">
      <text>
        <r>
          <rPr>
            <b/>
            <sz val="9"/>
            <color rgb="FF000000"/>
            <rFont val="Tahoma"/>
            <family val="2"/>
          </rPr>
          <t>Dai, Qiang:</t>
        </r>
        <r>
          <rPr>
            <sz val="9"/>
            <color rgb="FF000000"/>
            <rFont val="Tahoma"/>
            <family val="2"/>
          </rPr>
          <t xml:space="preserve">
2018-2022 average, anhydrous. Intratec, ChemAnalyst, Procurement Resource</t>
        </r>
      </text>
    </comment>
    <comment ref="D71" authorId="0" shapeId="0" xr:uid="{7EAF9FCD-E7A5-4306-98C5-3D05C33F4E83}">
      <text>
        <r>
          <rPr>
            <b/>
            <sz val="9"/>
            <color rgb="FF000000"/>
            <rFont val="Tahoma"/>
            <family val="2"/>
          </rPr>
          <t>Dai, Qiang:</t>
        </r>
        <r>
          <rPr>
            <sz val="9"/>
            <color rgb="FF000000"/>
            <rFont val="Tahoma"/>
            <family val="2"/>
          </rPr>
          <t xml:space="preserve">
2022 U.S. average,
https://www.eia.gov/coal/production/quarterly/pdf/t25p01p1.pdf</t>
        </r>
      </text>
    </comment>
    <comment ref="D72" authorId="0" shapeId="0" xr:uid="{1962BF75-6B08-426F-B989-672F1A13A509}">
      <text>
        <r>
          <rPr>
            <b/>
            <sz val="9"/>
            <color rgb="FF000000"/>
            <rFont val="Tahoma"/>
            <family val="2"/>
          </rPr>
          <t>Dai, Qiang:</t>
        </r>
        <r>
          <rPr>
            <sz val="9"/>
            <color rgb="FF000000"/>
            <rFont val="Tahoma"/>
            <family val="2"/>
          </rPr>
          <t xml:space="preserve">
2018-2022 average, converted to 100% HCl from price for wet ton (35% HCl). ICIS, ChemAnalyst</t>
        </r>
      </text>
    </comment>
    <comment ref="D73" authorId="0" shapeId="0" xr:uid="{2B4D8DA2-6EAD-4951-A541-24F751A868BB}">
      <text>
        <r>
          <rPr>
            <b/>
            <sz val="9"/>
            <color rgb="FF000000"/>
            <rFont val="Tahoma"/>
            <family val="2"/>
          </rPr>
          <t>Dai, Qiang:</t>
        </r>
        <r>
          <rPr>
            <sz val="9"/>
            <color rgb="FF000000"/>
            <rFont val="Tahoma"/>
            <family val="2"/>
          </rPr>
          <t xml:space="preserve">
2018-2022 average, converted to 100% H2O2 from price for 50% grade. Intratec, ChemAnalyst, IndexBox</t>
        </r>
      </text>
    </comment>
    <comment ref="D74" authorId="0" shapeId="0" xr:uid="{A9A15FB2-6969-4BAD-AC7E-FA04E929CA0F}">
      <text>
        <r>
          <rPr>
            <b/>
            <sz val="9"/>
            <color rgb="FF000000"/>
            <rFont val="Tahoma"/>
            <family val="2"/>
          </rPr>
          <t>Dai, Qiang:</t>
        </r>
        <r>
          <rPr>
            <sz val="9"/>
            <color rgb="FF000000"/>
            <rFont val="Tahoma"/>
            <family val="2"/>
          </rPr>
          <t xml:space="preserve">
2018-2022 average, quick lime. https://pubs.usgs.gov/periodicals/mcs2023/mcs2023-lime.pdf</t>
        </r>
      </text>
    </comment>
    <comment ref="D75" authorId="0" shapeId="0" xr:uid="{08394E27-41F7-4F76-8CCB-D42FDBCA3CB0}">
      <text>
        <r>
          <rPr>
            <b/>
            <sz val="9"/>
            <color rgb="FF000000"/>
            <rFont val="Tahoma"/>
            <family val="2"/>
          </rPr>
          <t>Dai, Qiang:</t>
        </r>
        <r>
          <rPr>
            <sz val="9"/>
            <color rgb="FF000000"/>
            <rFont val="Tahoma"/>
            <family val="2"/>
          </rPr>
          <t xml:space="preserve">
</t>
        </r>
        <r>
          <rPr>
            <sz val="9"/>
            <color rgb="FF000000"/>
            <rFont val="Tahoma"/>
            <family val="2"/>
          </rPr>
          <t>Use lime price as a proxy</t>
        </r>
      </text>
    </comment>
    <comment ref="D76" authorId="0" shapeId="0" xr:uid="{27303BEF-AE23-4E9C-A915-124C1D11BC13}">
      <text>
        <r>
          <rPr>
            <b/>
            <sz val="9"/>
            <color rgb="FF000000"/>
            <rFont val="Tahoma"/>
            <family val="2"/>
          </rPr>
          <t>Dai, Qiang:</t>
        </r>
        <r>
          <rPr>
            <sz val="9"/>
            <color rgb="FF000000"/>
            <rFont val="Tahoma"/>
            <family val="2"/>
          </rPr>
          <t xml:space="preserve">
</t>
        </r>
        <r>
          <rPr>
            <sz val="9"/>
            <color rgb="FF000000"/>
            <rFont val="Tahoma"/>
            <family val="2"/>
          </rPr>
          <t>2018-2022 average. https://pubs.usgs.gov/periodicals/mcs2023/mcs2023-lithium.pdf</t>
        </r>
      </text>
    </comment>
    <comment ref="D77" authorId="0" shapeId="0" xr:uid="{016E86B4-609B-40D2-8A7D-84482968EAF6}">
      <text>
        <r>
          <rPr>
            <b/>
            <sz val="9"/>
            <color rgb="FF000000"/>
            <rFont val="Tahoma"/>
            <family val="2"/>
          </rPr>
          <t>Dai, Qiang:</t>
        </r>
        <r>
          <rPr>
            <sz val="9"/>
            <color rgb="FF000000"/>
            <rFont val="Tahoma"/>
            <family val="2"/>
          </rPr>
          <t xml:space="preserve">
Anhydrous. USGS Mineral Commodity Summaries 2019-2022</t>
        </r>
      </text>
    </comment>
    <comment ref="D78" authorId="0" shapeId="0" xr:uid="{76928CC8-5C64-409D-A97E-16863D238825}">
      <text>
        <r>
          <rPr>
            <b/>
            <sz val="9"/>
            <color rgb="FF000000"/>
            <rFont val="Tahoma"/>
            <family val="2"/>
          </rPr>
          <t>Dai, Qiang:</t>
        </r>
        <r>
          <rPr>
            <sz val="9"/>
            <color rgb="FF000000"/>
            <rFont val="Tahoma"/>
            <family val="2"/>
          </rPr>
          <t xml:space="preserve">
</t>
        </r>
        <r>
          <rPr>
            <sz val="9"/>
            <color rgb="FF000000"/>
            <rFont val="Tahoma"/>
            <family val="2"/>
          </rPr>
          <t>BatPaC</t>
        </r>
      </text>
    </comment>
    <comment ref="D79" authorId="0" shapeId="0" xr:uid="{DCAEC4C0-4E94-40A6-8A0E-9AC05840C15B}">
      <text>
        <r>
          <rPr>
            <b/>
            <sz val="9"/>
            <color rgb="FF000000"/>
            <rFont val="Tahoma"/>
            <family val="2"/>
          </rPr>
          <t>Dai, Qiang:</t>
        </r>
        <r>
          <rPr>
            <sz val="9"/>
            <color rgb="FF000000"/>
            <rFont val="Tahoma"/>
            <family val="2"/>
          </rPr>
          <t xml:space="preserve">
</t>
        </r>
        <r>
          <rPr>
            <sz val="9"/>
            <color rgb="FF000000"/>
            <rFont val="Tahoma"/>
            <family val="2"/>
          </rPr>
          <t>http://www.chemicool.com/elements/oxygen.html</t>
        </r>
      </text>
    </comment>
    <comment ref="D80" authorId="0" shapeId="0" xr:uid="{2DA56F7B-2B58-4B29-A6E2-365055D6F6C8}">
      <text>
        <r>
          <rPr>
            <b/>
            <sz val="9"/>
            <color rgb="FF000000"/>
            <rFont val="Tahoma"/>
            <family val="2"/>
          </rPr>
          <t>Dai, Qiang:</t>
        </r>
        <r>
          <rPr>
            <sz val="9"/>
            <color rgb="FF000000"/>
            <rFont val="Tahoma"/>
            <family val="2"/>
          </rPr>
          <t xml:space="preserve">
2018-2022 average, converted to 100% H3PO4 from price for 85% grade. ICIS, ChemAnalyst</t>
        </r>
      </text>
    </comment>
    <comment ref="D81" authorId="0" shapeId="0" xr:uid="{9B71FF5D-D0E2-42C8-A63E-DB2DE8482AC5}">
      <text>
        <r>
          <rPr>
            <b/>
            <sz val="9"/>
            <color rgb="FF000000"/>
            <rFont val="Tahoma"/>
            <family val="2"/>
          </rPr>
          <t>Dai, Qiang:</t>
        </r>
        <r>
          <rPr>
            <sz val="9"/>
            <color rgb="FF000000"/>
            <rFont val="Tahoma"/>
            <family val="2"/>
          </rPr>
          <t xml:space="preserve">
2018-2022 average. https://pubs.usgs.gov/periodicals/mcs2023/mcs2023-sand-industrial.pdf</t>
        </r>
      </text>
    </comment>
    <comment ref="D82" authorId="0" shapeId="0" xr:uid="{0175BEE6-F277-4FF1-AFAC-79A406972238}">
      <text>
        <r>
          <rPr>
            <b/>
            <sz val="9"/>
            <color rgb="FF000000"/>
            <rFont val="Tahoma"/>
            <family val="2"/>
          </rPr>
          <t>Dai, Qiang:</t>
        </r>
        <r>
          <rPr>
            <sz val="9"/>
            <color rgb="FF000000"/>
            <rFont val="Tahoma"/>
            <family val="2"/>
          </rPr>
          <t xml:space="preserve">
</t>
        </r>
        <r>
          <rPr>
            <sz val="9"/>
            <color rgb="FF000000"/>
            <rFont val="Tahoma"/>
            <family val="2"/>
          </rPr>
          <t>Guess</t>
        </r>
      </text>
    </comment>
    <comment ref="D83" authorId="0" shapeId="0" xr:uid="{EDF8BAAD-A7C4-4790-9478-0A4DF585A0AA}">
      <text>
        <r>
          <rPr>
            <b/>
            <sz val="9"/>
            <color rgb="FF000000"/>
            <rFont val="Tahoma"/>
            <family val="2"/>
          </rPr>
          <t>Dai, Qiang:</t>
        </r>
        <r>
          <rPr>
            <sz val="9"/>
            <color rgb="FF000000"/>
            <rFont val="Tahoma"/>
            <family val="2"/>
          </rPr>
          <t xml:space="preserve">
</t>
        </r>
        <r>
          <rPr>
            <sz val="9"/>
            <color rgb="FF000000"/>
            <rFont val="Tahoma"/>
            <family val="2"/>
          </rPr>
          <t>Guess</t>
        </r>
      </text>
    </comment>
    <comment ref="D84" authorId="0" shapeId="0" xr:uid="{A5D81DDD-935A-4B4D-A9B1-68F3F757A791}">
      <text>
        <r>
          <rPr>
            <b/>
            <sz val="9"/>
            <color rgb="FF000000"/>
            <rFont val="Tahoma"/>
            <family val="2"/>
          </rPr>
          <t>Dai, Qiang:</t>
        </r>
        <r>
          <rPr>
            <sz val="9"/>
            <color rgb="FF000000"/>
            <rFont val="Tahoma"/>
            <family val="2"/>
          </rPr>
          <t xml:space="preserve">
2018-2022 average. https://pubs.usgs.gov/periodicals/mcs2023/mcs2023-soda-ash.pdf</t>
        </r>
      </text>
    </comment>
    <comment ref="D85" authorId="0" shapeId="0" xr:uid="{0300C596-B2B1-446C-9C51-BAE3A66B607F}">
      <text>
        <r>
          <rPr>
            <b/>
            <sz val="9"/>
            <color rgb="FF000000"/>
            <rFont val="Tahoma"/>
            <family val="2"/>
          </rPr>
          <t>Dai, Qiang:</t>
        </r>
        <r>
          <rPr>
            <sz val="9"/>
            <color rgb="FF000000"/>
            <rFont val="Tahoma"/>
            <family val="2"/>
          </rPr>
          <t xml:space="preserve">
2018-2022 average. ICIS, Business Analytiq</t>
        </r>
      </text>
    </comment>
    <comment ref="D86" authorId="0" shapeId="0" xr:uid="{99BFA1A9-93FD-4EAD-BADA-6D181690AEA7}">
      <text>
        <r>
          <rPr>
            <b/>
            <sz val="9"/>
            <color rgb="FF000000"/>
            <rFont val="Tahoma"/>
            <family val="2"/>
          </rPr>
          <t>Dai, Qiang:</t>
        </r>
        <r>
          <rPr>
            <sz val="9"/>
            <color rgb="FF000000"/>
            <rFont val="Tahoma"/>
            <family val="2"/>
          </rPr>
          <t xml:space="preserve">
</t>
        </r>
        <r>
          <rPr>
            <sz val="9"/>
            <color rgb="FF000000"/>
            <rFont val="Tahoma"/>
            <family val="2"/>
          </rPr>
          <t>2018-2022 average, 100% H2SO4, US import price; USGS Minerals Year Book 2019 &amp; 2021, Mineral Industry Surveys Jan 2022</t>
        </r>
      </text>
    </comment>
    <comment ref="B93" authorId="0" shapeId="0" xr:uid="{00000000-0006-0000-0600-000024000000}">
      <text>
        <r>
          <rPr>
            <b/>
            <sz val="9"/>
            <color rgb="FF000000"/>
            <rFont val="Tahoma"/>
            <family val="2"/>
          </rPr>
          <t>Dai, Qiang:</t>
        </r>
        <r>
          <rPr>
            <sz val="9"/>
            <color rgb="FF000000"/>
            <rFont val="Tahoma"/>
            <family val="2"/>
          </rPr>
          <t xml:space="preserve">
</t>
        </r>
        <r>
          <rPr>
            <sz val="9"/>
            <color rgb="FF000000"/>
            <rFont val="Tahoma"/>
            <family val="2"/>
          </rPr>
          <t>To allocate environmental impacts to recovered materials</t>
        </r>
      </text>
    </comment>
    <comment ref="CD125" authorId="0" shapeId="0" xr:uid="{00000000-0006-0000-0600-000026000000}">
      <text>
        <r>
          <rPr>
            <b/>
            <sz val="9"/>
            <color indexed="81"/>
            <rFont val="Tahoma"/>
            <family val="2"/>
          </rPr>
          <t>Dai, Qiang:</t>
        </r>
        <r>
          <rPr>
            <sz val="9"/>
            <color indexed="81"/>
            <rFont val="Tahoma"/>
            <family val="2"/>
          </rPr>
          <t xml:space="preserve">
Based on default materiral recovery efficiencies
</t>
        </r>
      </text>
    </comment>
    <comment ref="DD125" authorId="0" shapeId="0" xr:uid="{8D5E891F-8696-4E7D-A7CB-11DC933DDEE9}">
      <text>
        <r>
          <rPr>
            <b/>
            <sz val="9"/>
            <color indexed="81"/>
            <rFont val="Tahoma"/>
            <family val="2"/>
          </rPr>
          <t>Dai, Qiang:</t>
        </r>
        <r>
          <rPr>
            <sz val="9"/>
            <color indexed="81"/>
            <rFont val="Tahoma"/>
            <family val="2"/>
          </rPr>
          <t xml:space="preserve">
Based on default materiral recovery efficiencies
</t>
        </r>
      </text>
    </comment>
    <comment ref="BD126" authorId="0" shapeId="0" xr:uid="{58281C44-0180-4010-9F74-D3BF6864B6B2}">
      <text>
        <r>
          <rPr>
            <b/>
            <sz val="9"/>
            <color rgb="FF000000"/>
            <rFont val="Tahoma"/>
            <family val="2"/>
          </rPr>
          <t>Dai, Qiang:</t>
        </r>
        <r>
          <rPr>
            <sz val="9"/>
            <color rgb="FF000000"/>
            <rFont val="Tahoma"/>
            <family val="2"/>
          </rPr>
          <t xml:space="preserve">
</t>
        </r>
        <r>
          <rPr>
            <sz val="9"/>
            <color rgb="FF000000"/>
            <rFont val="Tahoma"/>
            <family val="2"/>
          </rPr>
          <t xml:space="preserve">Based on default materiral recovery efficiencies
</t>
        </r>
      </text>
    </comment>
    <comment ref="BJ138" authorId="0" shapeId="0" xr:uid="{00000000-0006-0000-0600-00002A000000}">
      <text>
        <r>
          <rPr>
            <b/>
            <sz val="9"/>
            <color rgb="FF000000"/>
            <rFont val="Tahoma"/>
            <family val="2"/>
          </rPr>
          <t>Dai, Qiang:</t>
        </r>
        <r>
          <rPr>
            <sz val="9"/>
            <color rgb="FF000000"/>
            <rFont val="Tahoma"/>
            <family val="2"/>
          </rPr>
          <t xml:space="preserve">
</t>
        </r>
        <r>
          <rPr>
            <sz val="9"/>
            <color rgb="FF000000"/>
            <rFont val="Tahoma"/>
            <family val="2"/>
          </rPr>
          <t>9.4wt% plastics</t>
        </r>
      </text>
    </comment>
    <comment ref="BK138" authorId="0" shapeId="0" xr:uid="{00000000-0006-0000-0600-00002B000000}">
      <text>
        <r>
          <rPr>
            <b/>
            <sz val="9"/>
            <color rgb="FF000000"/>
            <rFont val="Tahoma"/>
            <family val="2"/>
          </rPr>
          <t>Dai, Qiang:</t>
        </r>
        <r>
          <rPr>
            <sz val="9"/>
            <color rgb="FF000000"/>
            <rFont val="Tahoma"/>
            <family val="2"/>
          </rPr>
          <t xml:space="preserve">
</t>
        </r>
        <r>
          <rPr>
            <sz val="9"/>
            <color rgb="FF000000"/>
            <rFont val="Tahoma"/>
            <family val="2"/>
          </rPr>
          <t>77.1wt% plastics</t>
        </r>
      </text>
    </comment>
    <comment ref="BL138" authorId="0" shapeId="0" xr:uid="{00000000-0006-0000-0600-00002C000000}">
      <text>
        <r>
          <rPr>
            <b/>
            <sz val="9"/>
            <color rgb="FF000000"/>
            <rFont val="Tahoma"/>
            <family val="2"/>
          </rPr>
          <t>Dai, Qiang:</t>
        </r>
        <r>
          <rPr>
            <sz val="9"/>
            <color rgb="FF000000"/>
            <rFont val="Tahoma"/>
            <family val="2"/>
          </rPr>
          <t xml:space="preserve">
</t>
        </r>
        <r>
          <rPr>
            <sz val="9"/>
            <color rgb="FF000000"/>
            <rFont val="Tahoma"/>
            <family val="2"/>
          </rPr>
          <t>13.5wt% plastics</t>
        </r>
      </text>
    </comment>
    <comment ref="BM138" authorId="0" shapeId="0" xr:uid="{00000000-0006-0000-0600-00002D000000}">
      <text>
        <r>
          <rPr>
            <b/>
            <sz val="9"/>
            <color rgb="FF000000"/>
            <rFont val="Tahoma"/>
            <family val="2"/>
          </rPr>
          <t xml:space="preserve">Dai, Qiang:
</t>
        </r>
        <r>
          <rPr>
            <sz val="9"/>
            <color rgb="FF000000"/>
            <rFont val="Tahoma"/>
            <family val="2"/>
          </rPr>
          <t>50wt% electrolyte</t>
        </r>
      </text>
    </comment>
    <comment ref="BN138" authorId="0" shapeId="0" xr:uid="{00000000-0006-0000-0600-00002E000000}">
      <text>
        <r>
          <rPr>
            <b/>
            <sz val="9"/>
            <color rgb="FF000000"/>
            <rFont val="Tahoma"/>
            <family val="2"/>
          </rPr>
          <t>Dai, Qiang:</t>
        </r>
        <r>
          <rPr>
            <sz val="9"/>
            <color rgb="FF000000"/>
            <rFont val="Tahoma"/>
            <family val="2"/>
          </rPr>
          <t xml:space="preserve">
</t>
        </r>
        <r>
          <rPr>
            <sz val="9"/>
            <color rgb="FF000000"/>
            <rFont val="Tahoma"/>
            <family val="2"/>
          </rPr>
          <t>50wt% electrolyte</t>
        </r>
      </text>
    </comment>
    <comment ref="BJ140" authorId="0" shapeId="0" xr:uid="{00000000-0006-0000-0600-000030000000}">
      <text>
        <r>
          <rPr>
            <b/>
            <sz val="9"/>
            <color rgb="FF000000"/>
            <rFont val="Tahoma"/>
            <family val="2"/>
          </rPr>
          <t>Dai, Qiang:</t>
        </r>
        <r>
          <rPr>
            <sz val="9"/>
            <color rgb="FF000000"/>
            <rFont val="Tahoma"/>
            <family val="2"/>
          </rPr>
          <t xml:space="preserve">
</t>
        </r>
        <r>
          <rPr>
            <sz val="9"/>
            <color rgb="FF000000"/>
            <rFont val="Tahoma"/>
            <family val="2"/>
          </rPr>
          <t>wt% of PET in plastics</t>
        </r>
      </text>
    </comment>
    <comment ref="BK140" authorId="0" shapeId="0" xr:uid="{00000000-0006-0000-0600-000031000000}">
      <text>
        <r>
          <rPr>
            <b/>
            <sz val="9"/>
            <color rgb="FF000000"/>
            <rFont val="Tahoma"/>
            <family val="2"/>
          </rPr>
          <t>Dai, Qiang:</t>
        </r>
        <r>
          <rPr>
            <sz val="9"/>
            <color rgb="FF000000"/>
            <rFont val="Tahoma"/>
            <family val="2"/>
          </rPr>
          <t xml:space="preserve">
</t>
        </r>
        <r>
          <rPr>
            <sz val="9"/>
            <color rgb="FF000000"/>
            <rFont val="Tahoma"/>
            <family val="2"/>
          </rPr>
          <t>wt% of PP in plastics</t>
        </r>
      </text>
    </comment>
    <comment ref="BL140" authorId="0" shapeId="0" xr:uid="{00000000-0006-0000-0600-000032000000}">
      <text>
        <r>
          <rPr>
            <b/>
            <sz val="9"/>
            <color rgb="FF000000"/>
            <rFont val="Tahoma"/>
            <family val="2"/>
          </rPr>
          <t>Dai, Qiang:</t>
        </r>
        <r>
          <rPr>
            <sz val="9"/>
            <color rgb="FF000000"/>
            <rFont val="Tahoma"/>
            <family val="2"/>
          </rPr>
          <t xml:space="preserve">
</t>
        </r>
        <r>
          <rPr>
            <sz val="9"/>
            <color rgb="FF000000"/>
            <rFont val="Tahoma"/>
            <family val="2"/>
          </rPr>
          <t>wt% of PE in plastics</t>
        </r>
      </text>
    </comment>
    <comment ref="BM140" authorId="0" shapeId="0" xr:uid="{00000000-0006-0000-0600-000033000000}">
      <text>
        <r>
          <rPr>
            <b/>
            <sz val="9"/>
            <color rgb="FF000000"/>
            <rFont val="Tahoma"/>
            <family val="2"/>
          </rPr>
          <t>Dai, Qiang:</t>
        </r>
        <r>
          <rPr>
            <sz val="9"/>
            <color rgb="FF000000"/>
            <rFont val="Tahoma"/>
            <family val="2"/>
          </rPr>
          <t xml:space="preserve">
</t>
        </r>
        <r>
          <rPr>
            <sz val="9"/>
            <color rgb="FF000000"/>
            <rFont val="Tahoma"/>
            <family val="2"/>
          </rPr>
          <t>wt% of EC in electrolyte orgaincs</t>
        </r>
      </text>
    </comment>
    <comment ref="BN140" authorId="0" shapeId="0" xr:uid="{00000000-0006-0000-0600-000034000000}">
      <text>
        <r>
          <rPr>
            <b/>
            <sz val="9"/>
            <color indexed="81"/>
            <rFont val="Tahoma"/>
            <family val="2"/>
          </rPr>
          <t>Dai, Qiang:</t>
        </r>
        <r>
          <rPr>
            <sz val="9"/>
            <color indexed="81"/>
            <rFont val="Tahoma"/>
            <family val="2"/>
          </rPr>
          <t xml:space="preserve">
wt% of DMC in electrolyte organics</t>
        </r>
      </text>
    </comment>
    <comment ref="BD141" authorId="0" shapeId="0" xr:uid="{00000000-0006-0000-0600-000035000000}">
      <text>
        <r>
          <rPr>
            <b/>
            <sz val="9"/>
            <color rgb="FF000000"/>
            <rFont val="Tahoma"/>
            <family val="2"/>
          </rPr>
          <t>Dai, Qiang:</t>
        </r>
        <r>
          <rPr>
            <sz val="9"/>
            <color rgb="FF000000"/>
            <rFont val="Tahoma"/>
            <family val="2"/>
          </rPr>
          <t xml:space="preserve">
</t>
        </r>
        <r>
          <rPr>
            <sz val="9"/>
            <color rgb="FF000000"/>
            <rFont val="Tahoma"/>
            <family val="2"/>
          </rPr>
          <t>Including 10% loss of super critical CO2 input</t>
        </r>
      </text>
    </comment>
    <comment ref="CD141" authorId="0" shapeId="0" xr:uid="{00000000-0006-0000-0600-000036000000}">
      <text>
        <r>
          <rPr>
            <b/>
            <sz val="9"/>
            <color rgb="FF000000"/>
            <rFont val="Tahoma"/>
            <family val="2"/>
          </rPr>
          <t>Dai, Qiang:</t>
        </r>
        <r>
          <rPr>
            <sz val="9"/>
            <color rgb="FF000000"/>
            <rFont val="Tahoma"/>
            <family val="2"/>
          </rPr>
          <t xml:space="preserve">
</t>
        </r>
        <r>
          <rPr>
            <sz val="9"/>
            <color rgb="FF000000"/>
            <rFont val="Tahoma"/>
            <family val="2"/>
          </rPr>
          <t>Including 10% loss of super critical CO2 input</t>
        </r>
      </text>
    </comment>
    <comment ref="DD141" authorId="0" shapeId="0" xr:uid="{00000000-0006-0000-0600-000037000000}">
      <text>
        <r>
          <rPr>
            <b/>
            <sz val="9"/>
            <color indexed="81"/>
            <rFont val="Tahoma"/>
            <family val="2"/>
          </rPr>
          <t>Dai, Qiang:</t>
        </r>
        <r>
          <rPr>
            <sz val="9"/>
            <color indexed="81"/>
            <rFont val="Tahoma"/>
            <family val="2"/>
          </rPr>
          <t xml:space="preserve">
Including 10% loss of super critical CO2 input</t>
        </r>
      </text>
    </comment>
    <comment ref="ED143" authorId="0" shapeId="0" xr:uid="{00000000-0006-0000-0600-000038000000}">
      <text>
        <r>
          <rPr>
            <b/>
            <sz val="9"/>
            <color indexed="81"/>
            <rFont val="Tahoma"/>
            <family val="2"/>
          </rPr>
          <t>Dai, Qiang:</t>
        </r>
        <r>
          <rPr>
            <sz val="9"/>
            <color indexed="81"/>
            <rFont val="Tahoma"/>
            <family val="2"/>
          </rPr>
          <t xml:space="preserve">
Including 10% loss of super critical CO2 input</t>
        </r>
      </text>
    </comment>
    <comment ref="BC370" authorId="1" shapeId="0" xr:uid="{00000000-0006-0000-0600-00003A000000}">
      <text>
        <r>
          <rPr>
            <b/>
            <sz val="9"/>
            <color rgb="FF000000"/>
            <rFont val="Tahoma"/>
            <family val="2"/>
          </rPr>
          <t>Spangenberger, Jeffrey S.:</t>
        </r>
        <r>
          <rPr>
            <sz val="9"/>
            <color rgb="FF000000"/>
            <rFont val="Tahoma"/>
            <family val="2"/>
          </rPr>
          <t xml:space="preserve">
</t>
        </r>
        <r>
          <rPr>
            <sz val="9"/>
            <color rgb="FF000000"/>
            <rFont val="Tahoma"/>
            <family val="2"/>
          </rPr>
          <t>Based on all equipment power divided by feedrate</t>
        </r>
      </text>
    </comment>
    <comment ref="CC370" authorId="1" shapeId="0" xr:uid="{00000000-0006-0000-0600-00003B000000}">
      <text>
        <r>
          <rPr>
            <b/>
            <sz val="9"/>
            <color indexed="81"/>
            <rFont val="Tahoma"/>
            <family val="2"/>
          </rPr>
          <t>Spangenberger, Jeffrey S.:</t>
        </r>
        <r>
          <rPr>
            <sz val="9"/>
            <color indexed="81"/>
            <rFont val="Tahoma"/>
            <family val="2"/>
          </rPr>
          <t xml:space="preserve">
Based on all equipment power divided by feedrate</t>
        </r>
      </text>
    </comment>
    <comment ref="DC370" authorId="1" shapeId="0" xr:uid="{00000000-0006-0000-0600-00003C000000}">
      <text>
        <r>
          <rPr>
            <b/>
            <sz val="9"/>
            <color indexed="81"/>
            <rFont val="Tahoma"/>
            <family val="2"/>
          </rPr>
          <t>Spangenberger, Jeffrey S.:</t>
        </r>
        <r>
          <rPr>
            <sz val="9"/>
            <color indexed="81"/>
            <rFont val="Tahoma"/>
            <family val="2"/>
          </rPr>
          <t xml:space="preserve">
Based on all equipment power divided by feedrate</t>
        </r>
      </text>
    </comment>
    <comment ref="BB388" authorId="1" shapeId="0" xr:uid="{00000000-0006-0000-0600-00003D000000}">
      <text>
        <r>
          <rPr>
            <b/>
            <sz val="9"/>
            <color indexed="81"/>
            <rFont val="Tahoma"/>
            <family val="2"/>
          </rPr>
          <t>Spangenberger, Jeffrey S.:</t>
        </r>
        <r>
          <rPr>
            <sz val="9"/>
            <color indexed="81"/>
            <rFont val="Tahoma"/>
            <family val="2"/>
          </rPr>
          <t xml:space="preserve">
Not used currently</t>
        </r>
      </text>
    </comment>
    <comment ref="CB388" authorId="1" shapeId="0" xr:uid="{00000000-0006-0000-0600-00003E000000}">
      <text>
        <r>
          <rPr>
            <b/>
            <sz val="9"/>
            <color indexed="81"/>
            <rFont val="Tahoma"/>
            <family val="2"/>
          </rPr>
          <t>Spangenberger, Jeffrey S.:</t>
        </r>
        <r>
          <rPr>
            <sz val="9"/>
            <color indexed="81"/>
            <rFont val="Tahoma"/>
            <family val="2"/>
          </rPr>
          <t xml:space="preserve">
Not used currently</t>
        </r>
      </text>
    </comment>
    <comment ref="DB388" authorId="1" shapeId="0" xr:uid="{00000000-0006-0000-0600-00003F000000}">
      <text>
        <r>
          <rPr>
            <b/>
            <sz val="9"/>
            <color indexed="81"/>
            <rFont val="Tahoma"/>
            <family val="2"/>
          </rPr>
          <t>Spangenberger, Jeffrey S.:</t>
        </r>
        <r>
          <rPr>
            <sz val="9"/>
            <color indexed="81"/>
            <rFont val="Tahoma"/>
            <family val="2"/>
          </rPr>
          <t xml:space="preserve">
Not used currently</t>
        </r>
      </text>
    </comment>
    <comment ref="BE510" authorId="1" shapeId="0" xr:uid="{00000000-0006-0000-0600-000040000000}">
      <text>
        <r>
          <rPr>
            <b/>
            <sz val="9"/>
            <color indexed="81"/>
            <rFont val="Tahoma"/>
            <family val="2"/>
          </rPr>
          <t>Spangenberger, Jeffrey S.:</t>
        </r>
        <r>
          <rPr>
            <sz val="9"/>
            <color indexed="81"/>
            <rFont val="Tahoma"/>
            <family val="2"/>
          </rPr>
          <t xml:space="preserve">
At hrs per day and days per year entered above</t>
        </r>
      </text>
    </comment>
    <comment ref="CE510" authorId="1" shapeId="0" xr:uid="{00000000-0006-0000-0600-000041000000}">
      <text>
        <r>
          <rPr>
            <b/>
            <sz val="9"/>
            <color indexed="81"/>
            <rFont val="Tahoma"/>
            <family val="2"/>
          </rPr>
          <t>Spangenberger, Jeffrey S.:</t>
        </r>
        <r>
          <rPr>
            <sz val="9"/>
            <color indexed="81"/>
            <rFont val="Tahoma"/>
            <family val="2"/>
          </rPr>
          <t xml:space="preserve">
At hrs per day and days per year entered above</t>
        </r>
      </text>
    </comment>
    <comment ref="DE510" authorId="1" shapeId="0" xr:uid="{00000000-0006-0000-0600-000042000000}">
      <text>
        <r>
          <rPr>
            <b/>
            <sz val="9"/>
            <color indexed="81"/>
            <rFont val="Tahoma"/>
            <family val="2"/>
          </rPr>
          <t>Spangenberger, Jeffrey S.:</t>
        </r>
        <r>
          <rPr>
            <sz val="9"/>
            <color indexed="81"/>
            <rFont val="Tahoma"/>
            <family val="2"/>
          </rPr>
          <t xml:space="preserve">
At hrs per day and days per year entered above</t>
        </r>
      </text>
    </comment>
    <comment ref="EE510" authorId="1" shapeId="0" xr:uid="{00000000-0006-0000-0600-000043000000}">
      <text>
        <r>
          <rPr>
            <b/>
            <sz val="9"/>
            <color indexed="81"/>
            <rFont val="Tahoma"/>
            <family val="2"/>
          </rPr>
          <t>Spangenberger, Jeffrey S.:</t>
        </r>
        <r>
          <rPr>
            <sz val="9"/>
            <color indexed="81"/>
            <rFont val="Tahoma"/>
            <family val="2"/>
          </rPr>
          <t xml:space="preserve">
At hrs per day and days per year entered above</t>
        </r>
      </text>
    </comment>
    <comment ref="BB569" authorId="1" shapeId="0" xr:uid="{00000000-0006-0000-0600-000044000000}">
      <text>
        <r>
          <rPr>
            <b/>
            <sz val="9"/>
            <color indexed="81"/>
            <rFont val="Tahoma"/>
            <family val="2"/>
          </rPr>
          <t>Spangenberger, Jeffrey S.:</t>
        </r>
        <r>
          <rPr>
            <sz val="9"/>
            <color indexed="81"/>
            <rFont val="Tahoma"/>
            <family val="2"/>
          </rPr>
          <t xml:space="preserve">
Not used currently</t>
        </r>
      </text>
    </comment>
    <comment ref="CB569" authorId="1" shapeId="0" xr:uid="{00000000-0006-0000-0600-000045000000}">
      <text>
        <r>
          <rPr>
            <b/>
            <sz val="9"/>
            <color indexed="81"/>
            <rFont val="Tahoma"/>
            <family val="2"/>
          </rPr>
          <t>Spangenberger, Jeffrey S.:</t>
        </r>
        <r>
          <rPr>
            <sz val="9"/>
            <color indexed="81"/>
            <rFont val="Tahoma"/>
            <family val="2"/>
          </rPr>
          <t xml:space="preserve">
Not used currently</t>
        </r>
      </text>
    </comment>
    <comment ref="DB569" authorId="1" shapeId="0" xr:uid="{00000000-0006-0000-0600-000046000000}">
      <text>
        <r>
          <rPr>
            <b/>
            <sz val="9"/>
            <color indexed="81"/>
            <rFont val="Tahoma"/>
            <family val="2"/>
          </rPr>
          <t>Spangenberger, Jeffrey S.:</t>
        </r>
        <r>
          <rPr>
            <sz val="9"/>
            <color indexed="81"/>
            <rFont val="Tahoma"/>
            <family val="2"/>
          </rPr>
          <t xml:space="preserve">
Not used currently</t>
        </r>
      </text>
    </comment>
    <comment ref="EB569" authorId="1" shapeId="0" xr:uid="{00000000-0006-0000-0600-000047000000}">
      <text>
        <r>
          <rPr>
            <b/>
            <sz val="9"/>
            <color indexed="81"/>
            <rFont val="Tahoma"/>
            <family val="2"/>
          </rPr>
          <t>Spangenberger, Jeffrey S.:</t>
        </r>
        <r>
          <rPr>
            <sz val="9"/>
            <color indexed="81"/>
            <rFont val="Tahoma"/>
            <family val="2"/>
          </rPr>
          <t xml:space="preserve">
Not used currently</t>
        </r>
      </text>
    </comment>
    <comment ref="BE610" authorId="1" shapeId="0" xr:uid="{00000000-0006-0000-0600-000048000000}">
      <text>
        <r>
          <rPr>
            <b/>
            <sz val="9"/>
            <color indexed="81"/>
            <rFont val="Tahoma"/>
            <family val="2"/>
          </rPr>
          <t>Spangenberger, Jeffrey S.:</t>
        </r>
        <r>
          <rPr>
            <sz val="9"/>
            <color indexed="81"/>
            <rFont val="Tahoma"/>
            <family val="2"/>
          </rPr>
          <t xml:space="preserve">
At hrs per day and days per year entered above</t>
        </r>
      </text>
    </comment>
    <comment ref="CE610" authorId="1" shapeId="0" xr:uid="{00000000-0006-0000-0600-000049000000}">
      <text>
        <r>
          <rPr>
            <b/>
            <sz val="9"/>
            <color indexed="81"/>
            <rFont val="Tahoma"/>
            <family val="2"/>
          </rPr>
          <t>Spangenberger, Jeffrey S.:</t>
        </r>
        <r>
          <rPr>
            <sz val="9"/>
            <color indexed="81"/>
            <rFont val="Tahoma"/>
            <family val="2"/>
          </rPr>
          <t xml:space="preserve">
At hrs per day and days per year entered above</t>
        </r>
      </text>
    </comment>
    <comment ref="DE610" authorId="1" shapeId="0" xr:uid="{00000000-0006-0000-0600-00004A000000}">
      <text>
        <r>
          <rPr>
            <b/>
            <sz val="9"/>
            <color indexed="81"/>
            <rFont val="Tahoma"/>
            <family val="2"/>
          </rPr>
          <t>Spangenberger, Jeffrey S.:</t>
        </r>
        <r>
          <rPr>
            <sz val="9"/>
            <color indexed="81"/>
            <rFont val="Tahoma"/>
            <family val="2"/>
          </rPr>
          <t xml:space="preserve">
At hrs per day and days per year entered above</t>
        </r>
      </text>
    </comment>
    <comment ref="EE610" authorId="1" shapeId="0" xr:uid="{00000000-0006-0000-0600-00004B000000}">
      <text>
        <r>
          <rPr>
            <b/>
            <sz val="9"/>
            <color indexed="81"/>
            <rFont val="Tahoma"/>
            <family val="2"/>
          </rPr>
          <t>Spangenberger, Jeffrey S.:</t>
        </r>
        <r>
          <rPr>
            <sz val="9"/>
            <color indexed="81"/>
            <rFont val="Tahoma"/>
            <family val="2"/>
          </rPr>
          <t xml:space="preserve">
At hrs per day and days per year entered above</t>
        </r>
      </text>
    </comment>
    <comment ref="BB669" authorId="1" shapeId="0" xr:uid="{00000000-0006-0000-0600-00004C000000}">
      <text>
        <r>
          <rPr>
            <b/>
            <sz val="9"/>
            <color indexed="81"/>
            <rFont val="Tahoma"/>
            <family val="2"/>
          </rPr>
          <t>Spangenberger, Jeffrey S.:</t>
        </r>
        <r>
          <rPr>
            <sz val="9"/>
            <color indexed="81"/>
            <rFont val="Tahoma"/>
            <family val="2"/>
          </rPr>
          <t xml:space="preserve">
Not used currently</t>
        </r>
      </text>
    </comment>
    <comment ref="CB669" authorId="1" shapeId="0" xr:uid="{00000000-0006-0000-0600-00004D000000}">
      <text>
        <r>
          <rPr>
            <b/>
            <sz val="9"/>
            <color indexed="81"/>
            <rFont val="Tahoma"/>
            <family val="2"/>
          </rPr>
          <t>Spangenberger, Jeffrey S.:</t>
        </r>
        <r>
          <rPr>
            <sz val="9"/>
            <color indexed="81"/>
            <rFont val="Tahoma"/>
            <family val="2"/>
          </rPr>
          <t xml:space="preserve">
Not used currently</t>
        </r>
      </text>
    </comment>
    <comment ref="DB669" authorId="1" shapeId="0" xr:uid="{00000000-0006-0000-0600-00004E000000}">
      <text>
        <r>
          <rPr>
            <b/>
            <sz val="9"/>
            <color indexed="81"/>
            <rFont val="Tahoma"/>
            <family val="2"/>
          </rPr>
          <t>Spangenberger, Jeffrey S.:</t>
        </r>
        <r>
          <rPr>
            <sz val="9"/>
            <color indexed="81"/>
            <rFont val="Tahoma"/>
            <family val="2"/>
          </rPr>
          <t xml:space="preserve">
Not used currently</t>
        </r>
      </text>
    </comment>
    <comment ref="EB669" authorId="1" shapeId="0" xr:uid="{00000000-0006-0000-0600-00004F000000}">
      <text>
        <r>
          <rPr>
            <b/>
            <sz val="9"/>
            <color indexed="81"/>
            <rFont val="Tahoma"/>
            <family val="2"/>
          </rPr>
          <t>Spangenberger, Jeffrey S.:</t>
        </r>
        <r>
          <rPr>
            <sz val="9"/>
            <color indexed="81"/>
            <rFont val="Tahoma"/>
            <family val="2"/>
          </rPr>
          <t xml:space="preserve">
Not used currently</t>
        </r>
      </text>
    </comment>
    <comment ref="BE710" authorId="1" shapeId="0" xr:uid="{00000000-0006-0000-0600-000050000000}">
      <text>
        <r>
          <rPr>
            <b/>
            <sz val="9"/>
            <color indexed="81"/>
            <rFont val="Tahoma"/>
            <family val="2"/>
          </rPr>
          <t>Spangenberger, Jeffrey S.:</t>
        </r>
        <r>
          <rPr>
            <sz val="9"/>
            <color indexed="81"/>
            <rFont val="Tahoma"/>
            <family val="2"/>
          </rPr>
          <t xml:space="preserve">
At hrs per day and days per year entered above</t>
        </r>
      </text>
    </comment>
    <comment ref="CE710" authorId="1" shapeId="0" xr:uid="{00000000-0006-0000-0600-000051000000}">
      <text>
        <r>
          <rPr>
            <b/>
            <sz val="9"/>
            <color indexed="81"/>
            <rFont val="Tahoma"/>
            <family val="2"/>
          </rPr>
          <t>Spangenberger, Jeffrey S.:</t>
        </r>
        <r>
          <rPr>
            <sz val="9"/>
            <color indexed="81"/>
            <rFont val="Tahoma"/>
            <family val="2"/>
          </rPr>
          <t xml:space="preserve">
At hrs per day and days per year entered above</t>
        </r>
      </text>
    </comment>
    <comment ref="DE710" authorId="1" shapeId="0" xr:uid="{00000000-0006-0000-0600-000052000000}">
      <text>
        <r>
          <rPr>
            <b/>
            <sz val="9"/>
            <color rgb="FF000000"/>
            <rFont val="Tahoma"/>
            <family val="2"/>
          </rPr>
          <t>Spangenberger, Jeffrey S.:</t>
        </r>
        <r>
          <rPr>
            <sz val="9"/>
            <color rgb="FF000000"/>
            <rFont val="Tahoma"/>
            <family val="2"/>
          </rPr>
          <t xml:space="preserve">
</t>
        </r>
        <r>
          <rPr>
            <sz val="9"/>
            <color rgb="FF000000"/>
            <rFont val="Tahoma"/>
            <family val="2"/>
          </rPr>
          <t>At hrs per day and days per year entered above</t>
        </r>
      </text>
    </comment>
    <comment ref="EE710" authorId="1" shapeId="0" xr:uid="{00000000-0006-0000-0600-000053000000}">
      <text>
        <r>
          <rPr>
            <b/>
            <sz val="9"/>
            <color indexed="81"/>
            <rFont val="Tahoma"/>
            <family val="2"/>
          </rPr>
          <t>Spangenberger, Jeffrey S.:</t>
        </r>
        <r>
          <rPr>
            <sz val="9"/>
            <color indexed="81"/>
            <rFont val="Tahoma"/>
            <family val="2"/>
          </rPr>
          <t xml:space="preserve">
At hrs per day and days per year entered above</t>
        </r>
      </text>
    </comment>
    <comment ref="BB769" authorId="1" shapeId="0" xr:uid="{00000000-0006-0000-0600-000054000000}">
      <text>
        <r>
          <rPr>
            <b/>
            <sz val="9"/>
            <color indexed="81"/>
            <rFont val="Tahoma"/>
            <family val="2"/>
          </rPr>
          <t>Spangenberger, Jeffrey S.:</t>
        </r>
        <r>
          <rPr>
            <sz val="9"/>
            <color indexed="81"/>
            <rFont val="Tahoma"/>
            <family val="2"/>
          </rPr>
          <t xml:space="preserve">
Not used currently</t>
        </r>
      </text>
    </comment>
    <comment ref="CB769" authorId="1" shapeId="0" xr:uid="{00000000-0006-0000-0600-000055000000}">
      <text>
        <r>
          <rPr>
            <b/>
            <sz val="9"/>
            <color indexed="81"/>
            <rFont val="Tahoma"/>
            <family val="2"/>
          </rPr>
          <t>Spangenberger, Jeffrey S.:</t>
        </r>
        <r>
          <rPr>
            <sz val="9"/>
            <color indexed="81"/>
            <rFont val="Tahoma"/>
            <family val="2"/>
          </rPr>
          <t xml:space="preserve">
Not used currently</t>
        </r>
      </text>
    </comment>
    <comment ref="DB769" authorId="1" shapeId="0" xr:uid="{00000000-0006-0000-0600-000056000000}">
      <text>
        <r>
          <rPr>
            <b/>
            <sz val="9"/>
            <color indexed="81"/>
            <rFont val="Tahoma"/>
            <family val="2"/>
          </rPr>
          <t>Spangenberger, Jeffrey S.:</t>
        </r>
        <r>
          <rPr>
            <sz val="9"/>
            <color indexed="81"/>
            <rFont val="Tahoma"/>
            <family val="2"/>
          </rPr>
          <t xml:space="preserve">
Not used currently</t>
        </r>
      </text>
    </comment>
    <comment ref="EB769" authorId="1" shapeId="0" xr:uid="{00000000-0006-0000-0600-000057000000}">
      <text>
        <r>
          <rPr>
            <b/>
            <sz val="9"/>
            <color indexed="81"/>
            <rFont val="Tahoma"/>
            <family val="2"/>
          </rPr>
          <t>Spangenberger, Jeffrey S.:</t>
        </r>
        <r>
          <rPr>
            <sz val="9"/>
            <color indexed="81"/>
            <rFont val="Tahoma"/>
            <family val="2"/>
          </rPr>
          <t xml:space="preserve">
Not used currently</t>
        </r>
      </text>
    </comment>
    <comment ref="BE810" authorId="1" shapeId="0" xr:uid="{00000000-0006-0000-0600-000058000000}">
      <text>
        <r>
          <rPr>
            <b/>
            <sz val="9"/>
            <color indexed="81"/>
            <rFont val="Tahoma"/>
            <family val="2"/>
          </rPr>
          <t>Spangenberger, Jeffrey S.:</t>
        </r>
        <r>
          <rPr>
            <sz val="9"/>
            <color indexed="81"/>
            <rFont val="Tahoma"/>
            <family val="2"/>
          </rPr>
          <t xml:space="preserve">
At hrs per day and days per year entered above</t>
        </r>
      </text>
    </comment>
    <comment ref="CE810" authorId="1" shapeId="0" xr:uid="{00000000-0006-0000-0600-000059000000}">
      <text>
        <r>
          <rPr>
            <b/>
            <sz val="9"/>
            <color indexed="81"/>
            <rFont val="Tahoma"/>
            <family val="2"/>
          </rPr>
          <t>Spangenberger, Jeffrey S.:</t>
        </r>
        <r>
          <rPr>
            <sz val="9"/>
            <color indexed="81"/>
            <rFont val="Tahoma"/>
            <family val="2"/>
          </rPr>
          <t xml:space="preserve">
At hrs per day and days per year entered above</t>
        </r>
      </text>
    </comment>
    <comment ref="DE810" authorId="1" shapeId="0" xr:uid="{00000000-0006-0000-0600-00005A000000}">
      <text>
        <r>
          <rPr>
            <b/>
            <sz val="9"/>
            <color indexed="81"/>
            <rFont val="Tahoma"/>
            <family val="2"/>
          </rPr>
          <t>Spangenberger, Jeffrey S.:</t>
        </r>
        <r>
          <rPr>
            <sz val="9"/>
            <color indexed="81"/>
            <rFont val="Tahoma"/>
            <family val="2"/>
          </rPr>
          <t xml:space="preserve">
At hrs per day and days per year entered above</t>
        </r>
      </text>
    </comment>
    <comment ref="EE810" authorId="1" shapeId="0" xr:uid="{00000000-0006-0000-0600-00005B000000}">
      <text>
        <r>
          <rPr>
            <b/>
            <sz val="9"/>
            <color indexed="81"/>
            <rFont val="Tahoma"/>
            <family val="2"/>
          </rPr>
          <t>Spangenberger, Jeffrey S.:</t>
        </r>
        <r>
          <rPr>
            <sz val="9"/>
            <color indexed="81"/>
            <rFont val="Tahoma"/>
            <family val="2"/>
          </rPr>
          <t xml:space="preserve">
At hrs per day and days per year entered above</t>
        </r>
      </text>
    </comment>
    <comment ref="BB869" authorId="1" shapeId="0" xr:uid="{00000000-0006-0000-0600-00005C000000}">
      <text>
        <r>
          <rPr>
            <b/>
            <sz val="9"/>
            <color indexed="81"/>
            <rFont val="Tahoma"/>
            <family val="2"/>
          </rPr>
          <t>Spangenberger, Jeffrey S.:</t>
        </r>
        <r>
          <rPr>
            <sz val="9"/>
            <color indexed="81"/>
            <rFont val="Tahoma"/>
            <family val="2"/>
          </rPr>
          <t xml:space="preserve">
Not used currently</t>
        </r>
      </text>
    </comment>
    <comment ref="CB869" authorId="1" shapeId="0" xr:uid="{00000000-0006-0000-0600-00005D000000}">
      <text>
        <r>
          <rPr>
            <b/>
            <sz val="9"/>
            <color indexed="81"/>
            <rFont val="Tahoma"/>
            <family val="2"/>
          </rPr>
          <t>Spangenberger, Jeffrey S.:</t>
        </r>
        <r>
          <rPr>
            <sz val="9"/>
            <color indexed="81"/>
            <rFont val="Tahoma"/>
            <family val="2"/>
          </rPr>
          <t xml:space="preserve">
Not used currently</t>
        </r>
      </text>
    </comment>
    <comment ref="DB869" authorId="1" shapeId="0" xr:uid="{00000000-0006-0000-0600-00005E000000}">
      <text>
        <r>
          <rPr>
            <b/>
            <sz val="9"/>
            <color indexed="81"/>
            <rFont val="Tahoma"/>
            <family val="2"/>
          </rPr>
          <t>Spangenberger, Jeffrey S.:</t>
        </r>
        <r>
          <rPr>
            <sz val="9"/>
            <color indexed="81"/>
            <rFont val="Tahoma"/>
            <family val="2"/>
          </rPr>
          <t xml:space="preserve">
Not used currently</t>
        </r>
      </text>
    </comment>
    <comment ref="EB869" authorId="1" shapeId="0" xr:uid="{00000000-0006-0000-0600-00005F000000}">
      <text>
        <r>
          <rPr>
            <b/>
            <sz val="9"/>
            <color indexed="81"/>
            <rFont val="Tahoma"/>
            <family val="2"/>
          </rPr>
          <t>Spangenberger, Jeffrey S.:</t>
        </r>
        <r>
          <rPr>
            <sz val="9"/>
            <color indexed="81"/>
            <rFont val="Tahoma"/>
            <family val="2"/>
          </rPr>
          <t xml:space="preserve">
Not used currently</t>
        </r>
      </text>
    </comment>
    <comment ref="BE910" authorId="1" shapeId="0" xr:uid="{00000000-0006-0000-0600-000060000000}">
      <text>
        <r>
          <rPr>
            <b/>
            <sz val="9"/>
            <color indexed="81"/>
            <rFont val="Tahoma"/>
            <family val="2"/>
          </rPr>
          <t>Spangenberger, Jeffrey S.:</t>
        </r>
        <r>
          <rPr>
            <sz val="9"/>
            <color indexed="81"/>
            <rFont val="Tahoma"/>
            <family val="2"/>
          </rPr>
          <t xml:space="preserve">
At hrs per day and days per year entered above</t>
        </r>
      </text>
    </comment>
    <comment ref="CE910" authorId="1" shapeId="0" xr:uid="{00000000-0006-0000-0600-000061000000}">
      <text>
        <r>
          <rPr>
            <b/>
            <sz val="9"/>
            <color indexed="81"/>
            <rFont val="Tahoma"/>
            <family val="2"/>
          </rPr>
          <t>Spangenberger, Jeffrey S.:</t>
        </r>
        <r>
          <rPr>
            <sz val="9"/>
            <color indexed="81"/>
            <rFont val="Tahoma"/>
            <family val="2"/>
          </rPr>
          <t xml:space="preserve">
At hrs per day and days per year entered above</t>
        </r>
      </text>
    </comment>
    <comment ref="DE910" authorId="1" shapeId="0" xr:uid="{00000000-0006-0000-0600-000062000000}">
      <text>
        <r>
          <rPr>
            <b/>
            <sz val="9"/>
            <color indexed="81"/>
            <rFont val="Tahoma"/>
            <family val="2"/>
          </rPr>
          <t>Spangenberger, Jeffrey S.:</t>
        </r>
        <r>
          <rPr>
            <sz val="9"/>
            <color indexed="81"/>
            <rFont val="Tahoma"/>
            <family val="2"/>
          </rPr>
          <t xml:space="preserve">
At hrs per day and days per year entered above</t>
        </r>
      </text>
    </comment>
    <comment ref="EE910" authorId="1" shapeId="0" xr:uid="{00000000-0006-0000-0600-000063000000}">
      <text>
        <r>
          <rPr>
            <b/>
            <sz val="9"/>
            <color indexed="81"/>
            <rFont val="Tahoma"/>
            <family val="2"/>
          </rPr>
          <t>Spangenberger, Jeffrey S.:</t>
        </r>
        <r>
          <rPr>
            <sz val="9"/>
            <color indexed="81"/>
            <rFont val="Tahoma"/>
            <family val="2"/>
          </rPr>
          <t xml:space="preserve">
At hrs per day and days per year entered above</t>
        </r>
      </text>
    </comment>
    <comment ref="BB969" authorId="1" shapeId="0" xr:uid="{00000000-0006-0000-0600-000064000000}">
      <text>
        <r>
          <rPr>
            <b/>
            <sz val="9"/>
            <color indexed="81"/>
            <rFont val="Tahoma"/>
            <family val="2"/>
          </rPr>
          <t>Spangenberger, Jeffrey S.:</t>
        </r>
        <r>
          <rPr>
            <sz val="9"/>
            <color indexed="81"/>
            <rFont val="Tahoma"/>
            <family val="2"/>
          </rPr>
          <t xml:space="preserve">
Not used currently</t>
        </r>
      </text>
    </comment>
    <comment ref="CB969" authorId="1" shapeId="0" xr:uid="{00000000-0006-0000-0600-000065000000}">
      <text>
        <r>
          <rPr>
            <b/>
            <sz val="9"/>
            <color indexed="81"/>
            <rFont val="Tahoma"/>
            <family val="2"/>
          </rPr>
          <t>Spangenberger, Jeffrey S.:</t>
        </r>
        <r>
          <rPr>
            <sz val="9"/>
            <color indexed="81"/>
            <rFont val="Tahoma"/>
            <family val="2"/>
          </rPr>
          <t xml:space="preserve">
Not used currently</t>
        </r>
      </text>
    </comment>
    <comment ref="DB969" authorId="1" shapeId="0" xr:uid="{00000000-0006-0000-0600-000066000000}">
      <text>
        <r>
          <rPr>
            <b/>
            <sz val="9"/>
            <color indexed="81"/>
            <rFont val="Tahoma"/>
            <family val="2"/>
          </rPr>
          <t>Spangenberger, Jeffrey S.:</t>
        </r>
        <r>
          <rPr>
            <sz val="9"/>
            <color indexed="81"/>
            <rFont val="Tahoma"/>
            <family val="2"/>
          </rPr>
          <t xml:space="preserve">
Not used currently</t>
        </r>
      </text>
    </comment>
    <comment ref="EB969" authorId="1" shapeId="0" xr:uid="{00000000-0006-0000-0600-000067000000}">
      <text>
        <r>
          <rPr>
            <b/>
            <sz val="9"/>
            <color indexed="81"/>
            <rFont val="Tahoma"/>
            <family val="2"/>
          </rPr>
          <t>Spangenberger, Jeffrey S.:</t>
        </r>
        <r>
          <rPr>
            <sz val="9"/>
            <color indexed="81"/>
            <rFont val="Tahoma"/>
            <family val="2"/>
          </rPr>
          <t xml:space="preserve">
Not used currently</t>
        </r>
      </text>
    </comment>
    <comment ref="BE1010" authorId="1" shapeId="0" xr:uid="{00000000-0006-0000-0600-000068000000}">
      <text>
        <r>
          <rPr>
            <b/>
            <sz val="9"/>
            <color indexed="81"/>
            <rFont val="Tahoma"/>
            <family val="2"/>
          </rPr>
          <t>Spangenberger, Jeffrey S.:</t>
        </r>
        <r>
          <rPr>
            <sz val="9"/>
            <color indexed="81"/>
            <rFont val="Tahoma"/>
            <family val="2"/>
          </rPr>
          <t xml:space="preserve">
At hrs per day and days per year entered above</t>
        </r>
      </text>
    </comment>
    <comment ref="CE1010" authorId="1" shapeId="0" xr:uid="{00000000-0006-0000-0600-000069000000}">
      <text>
        <r>
          <rPr>
            <b/>
            <sz val="9"/>
            <color indexed="81"/>
            <rFont val="Tahoma"/>
            <family val="2"/>
          </rPr>
          <t>Spangenberger, Jeffrey S.:</t>
        </r>
        <r>
          <rPr>
            <sz val="9"/>
            <color indexed="81"/>
            <rFont val="Tahoma"/>
            <family val="2"/>
          </rPr>
          <t xml:space="preserve">
At hrs per day and days per year entered above</t>
        </r>
      </text>
    </comment>
    <comment ref="DE1010" authorId="1" shapeId="0" xr:uid="{00000000-0006-0000-0600-00006A000000}">
      <text>
        <r>
          <rPr>
            <b/>
            <sz val="9"/>
            <color indexed="81"/>
            <rFont val="Tahoma"/>
            <family val="2"/>
          </rPr>
          <t>Spangenberger, Jeffrey S.:</t>
        </r>
        <r>
          <rPr>
            <sz val="9"/>
            <color indexed="81"/>
            <rFont val="Tahoma"/>
            <family val="2"/>
          </rPr>
          <t xml:space="preserve">
At hrs per day and days per year entered above</t>
        </r>
      </text>
    </comment>
    <comment ref="EE1010" authorId="1" shapeId="0" xr:uid="{00000000-0006-0000-0600-00006B000000}">
      <text>
        <r>
          <rPr>
            <b/>
            <sz val="9"/>
            <color indexed="81"/>
            <rFont val="Tahoma"/>
            <family val="2"/>
          </rPr>
          <t>Spangenberger, Jeffrey S.:</t>
        </r>
        <r>
          <rPr>
            <sz val="9"/>
            <color indexed="81"/>
            <rFont val="Tahoma"/>
            <family val="2"/>
          </rPr>
          <t xml:space="preserve">
At hrs per day and days per year entered above</t>
        </r>
      </text>
    </comment>
    <comment ref="BB1069" authorId="1" shapeId="0" xr:uid="{00000000-0006-0000-0600-00006C000000}">
      <text>
        <r>
          <rPr>
            <b/>
            <sz val="9"/>
            <color indexed="81"/>
            <rFont val="Tahoma"/>
            <family val="2"/>
          </rPr>
          <t>Spangenberger, Jeffrey S.:</t>
        </r>
        <r>
          <rPr>
            <sz val="9"/>
            <color indexed="81"/>
            <rFont val="Tahoma"/>
            <family val="2"/>
          </rPr>
          <t xml:space="preserve">
Not used currently</t>
        </r>
      </text>
    </comment>
    <comment ref="CB1069" authorId="1" shapeId="0" xr:uid="{00000000-0006-0000-0600-00006D000000}">
      <text>
        <r>
          <rPr>
            <b/>
            <sz val="9"/>
            <color indexed="81"/>
            <rFont val="Tahoma"/>
            <family val="2"/>
          </rPr>
          <t>Spangenberger, Jeffrey S.:</t>
        </r>
        <r>
          <rPr>
            <sz val="9"/>
            <color indexed="81"/>
            <rFont val="Tahoma"/>
            <family val="2"/>
          </rPr>
          <t xml:space="preserve">
Not used currently</t>
        </r>
      </text>
    </comment>
    <comment ref="DB1069" authorId="1" shapeId="0" xr:uid="{00000000-0006-0000-0600-00006E000000}">
      <text>
        <r>
          <rPr>
            <b/>
            <sz val="9"/>
            <color indexed="81"/>
            <rFont val="Tahoma"/>
            <family val="2"/>
          </rPr>
          <t>Spangenberger, Jeffrey S.:</t>
        </r>
        <r>
          <rPr>
            <sz val="9"/>
            <color indexed="81"/>
            <rFont val="Tahoma"/>
            <family val="2"/>
          </rPr>
          <t xml:space="preserve">
Not used currently</t>
        </r>
      </text>
    </comment>
    <comment ref="EB1069" authorId="1" shapeId="0" xr:uid="{00000000-0006-0000-0600-00006F000000}">
      <text>
        <r>
          <rPr>
            <b/>
            <sz val="9"/>
            <color indexed="81"/>
            <rFont val="Tahoma"/>
            <family val="2"/>
          </rPr>
          <t>Spangenberger, Jeffrey S.:</t>
        </r>
        <r>
          <rPr>
            <sz val="9"/>
            <color indexed="81"/>
            <rFont val="Tahoma"/>
            <family val="2"/>
          </rPr>
          <t xml:space="preserve">
Not used currently</t>
        </r>
      </text>
    </comment>
    <comment ref="BE1110" authorId="1" shapeId="0" xr:uid="{00000000-0006-0000-0600-000070000000}">
      <text>
        <r>
          <rPr>
            <b/>
            <sz val="9"/>
            <color indexed="81"/>
            <rFont val="Tahoma"/>
            <family val="2"/>
          </rPr>
          <t>Spangenberger, Jeffrey S.:</t>
        </r>
        <r>
          <rPr>
            <sz val="9"/>
            <color indexed="81"/>
            <rFont val="Tahoma"/>
            <family val="2"/>
          </rPr>
          <t xml:space="preserve">
At hrs per day and days per year entered above</t>
        </r>
      </text>
    </comment>
    <comment ref="CE1110" authorId="1" shapeId="0" xr:uid="{00000000-0006-0000-0600-000071000000}">
      <text>
        <r>
          <rPr>
            <b/>
            <sz val="9"/>
            <color indexed="81"/>
            <rFont val="Tahoma"/>
            <family val="2"/>
          </rPr>
          <t>Spangenberger, Jeffrey S.:</t>
        </r>
        <r>
          <rPr>
            <sz val="9"/>
            <color indexed="81"/>
            <rFont val="Tahoma"/>
            <family val="2"/>
          </rPr>
          <t xml:space="preserve">
At hrs per day and days per year entered above</t>
        </r>
      </text>
    </comment>
    <comment ref="DE1110" authorId="1" shapeId="0" xr:uid="{00000000-0006-0000-0600-000072000000}">
      <text>
        <r>
          <rPr>
            <b/>
            <sz val="9"/>
            <color indexed="81"/>
            <rFont val="Tahoma"/>
            <family val="2"/>
          </rPr>
          <t>Spangenberger, Jeffrey S.:</t>
        </r>
        <r>
          <rPr>
            <sz val="9"/>
            <color indexed="81"/>
            <rFont val="Tahoma"/>
            <family val="2"/>
          </rPr>
          <t xml:space="preserve">
At hrs per day and days per year entered above</t>
        </r>
      </text>
    </comment>
    <comment ref="EE1110" authorId="1" shapeId="0" xr:uid="{00000000-0006-0000-0600-000073000000}">
      <text>
        <r>
          <rPr>
            <b/>
            <sz val="9"/>
            <color indexed="81"/>
            <rFont val="Tahoma"/>
            <family val="2"/>
          </rPr>
          <t>Spangenberger, Jeffrey S.:</t>
        </r>
        <r>
          <rPr>
            <sz val="9"/>
            <color indexed="81"/>
            <rFont val="Tahoma"/>
            <family val="2"/>
          </rPr>
          <t xml:space="preserve">
At hrs per day and days per year entered above</t>
        </r>
      </text>
    </comment>
    <comment ref="BB1169" authorId="1" shapeId="0" xr:uid="{00000000-0006-0000-0600-000074000000}">
      <text>
        <r>
          <rPr>
            <b/>
            <sz val="9"/>
            <color indexed="81"/>
            <rFont val="Tahoma"/>
            <family val="2"/>
          </rPr>
          <t>Spangenberger, Jeffrey S.:</t>
        </r>
        <r>
          <rPr>
            <sz val="9"/>
            <color indexed="81"/>
            <rFont val="Tahoma"/>
            <family val="2"/>
          </rPr>
          <t xml:space="preserve">
Not used currently</t>
        </r>
      </text>
    </comment>
    <comment ref="CB1169" authorId="1" shapeId="0" xr:uid="{00000000-0006-0000-0600-000075000000}">
      <text>
        <r>
          <rPr>
            <b/>
            <sz val="9"/>
            <color indexed="81"/>
            <rFont val="Tahoma"/>
            <family val="2"/>
          </rPr>
          <t>Spangenberger, Jeffrey S.:</t>
        </r>
        <r>
          <rPr>
            <sz val="9"/>
            <color indexed="81"/>
            <rFont val="Tahoma"/>
            <family val="2"/>
          </rPr>
          <t xml:space="preserve">
Not used currently</t>
        </r>
      </text>
    </comment>
    <comment ref="DB1169" authorId="1" shapeId="0" xr:uid="{00000000-0006-0000-0600-000076000000}">
      <text>
        <r>
          <rPr>
            <b/>
            <sz val="9"/>
            <color indexed="81"/>
            <rFont val="Tahoma"/>
            <family val="2"/>
          </rPr>
          <t>Spangenberger, Jeffrey S.:</t>
        </r>
        <r>
          <rPr>
            <sz val="9"/>
            <color indexed="81"/>
            <rFont val="Tahoma"/>
            <family val="2"/>
          </rPr>
          <t xml:space="preserve">
Not used currently</t>
        </r>
      </text>
    </comment>
    <comment ref="EB1169" authorId="1" shapeId="0" xr:uid="{00000000-0006-0000-0600-000077000000}">
      <text>
        <r>
          <rPr>
            <b/>
            <sz val="9"/>
            <color indexed="81"/>
            <rFont val="Tahoma"/>
            <family val="2"/>
          </rPr>
          <t>Spangenberger, Jeffrey S.:</t>
        </r>
        <r>
          <rPr>
            <sz val="9"/>
            <color indexed="81"/>
            <rFont val="Tahoma"/>
            <family val="2"/>
          </rPr>
          <t xml:space="preserve">
Not used currently</t>
        </r>
      </text>
    </comment>
    <comment ref="BE1210" authorId="1" shapeId="0" xr:uid="{00000000-0006-0000-0600-000078000000}">
      <text>
        <r>
          <rPr>
            <b/>
            <sz val="9"/>
            <color indexed="81"/>
            <rFont val="Tahoma"/>
            <family val="2"/>
          </rPr>
          <t>Spangenberger, Jeffrey S.:</t>
        </r>
        <r>
          <rPr>
            <sz val="9"/>
            <color indexed="81"/>
            <rFont val="Tahoma"/>
            <family val="2"/>
          </rPr>
          <t xml:space="preserve">
At hrs per day and days per year entered above</t>
        </r>
      </text>
    </comment>
    <comment ref="CE1210" authorId="1" shapeId="0" xr:uid="{00000000-0006-0000-0600-000079000000}">
      <text>
        <r>
          <rPr>
            <b/>
            <sz val="9"/>
            <color indexed="81"/>
            <rFont val="Tahoma"/>
            <family val="2"/>
          </rPr>
          <t>Spangenberger, Jeffrey S.:</t>
        </r>
        <r>
          <rPr>
            <sz val="9"/>
            <color indexed="81"/>
            <rFont val="Tahoma"/>
            <family val="2"/>
          </rPr>
          <t xml:space="preserve">
At hrs per day and days per year entered above</t>
        </r>
      </text>
    </comment>
    <comment ref="DE1210" authorId="1" shapeId="0" xr:uid="{00000000-0006-0000-0600-00007A000000}">
      <text>
        <r>
          <rPr>
            <b/>
            <sz val="9"/>
            <color rgb="FF000000"/>
            <rFont val="Tahoma"/>
            <family val="2"/>
          </rPr>
          <t>Spangenberger, Jeffrey S.:</t>
        </r>
        <r>
          <rPr>
            <sz val="9"/>
            <color rgb="FF000000"/>
            <rFont val="Tahoma"/>
            <family val="2"/>
          </rPr>
          <t xml:space="preserve">
</t>
        </r>
        <r>
          <rPr>
            <sz val="9"/>
            <color rgb="FF000000"/>
            <rFont val="Tahoma"/>
            <family val="2"/>
          </rPr>
          <t>At hrs per day and days per year entered above</t>
        </r>
      </text>
    </comment>
    <comment ref="EE1210" authorId="1" shapeId="0" xr:uid="{00000000-0006-0000-0600-00007B000000}">
      <text>
        <r>
          <rPr>
            <b/>
            <sz val="9"/>
            <color indexed="81"/>
            <rFont val="Tahoma"/>
            <family val="2"/>
          </rPr>
          <t>Spangenberger, Jeffrey S.:</t>
        </r>
        <r>
          <rPr>
            <sz val="9"/>
            <color indexed="81"/>
            <rFont val="Tahoma"/>
            <family val="2"/>
          </rPr>
          <t xml:space="preserve">
At hrs per day and days per year entered above</t>
        </r>
      </text>
    </comment>
    <comment ref="BB1269" authorId="1" shapeId="0" xr:uid="{00000000-0006-0000-0600-00007C000000}">
      <text>
        <r>
          <rPr>
            <b/>
            <sz val="9"/>
            <color indexed="81"/>
            <rFont val="Tahoma"/>
            <family val="2"/>
          </rPr>
          <t>Spangenberger, Jeffrey S.:</t>
        </r>
        <r>
          <rPr>
            <sz val="9"/>
            <color indexed="81"/>
            <rFont val="Tahoma"/>
            <family val="2"/>
          </rPr>
          <t xml:space="preserve">
Not used currently</t>
        </r>
      </text>
    </comment>
    <comment ref="CB1269" authorId="1" shapeId="0" xr:uid="{00000000-0006-0000-0600-00007D000000}">
      <text>
        <r>
          <rPr>
            <b/>
            <sz val="9"/>
            <color indexed="81"/>
            <rFont val="Tahoma"/>
            <family val="2"/>
          </rPr>
          <t>Spangenberger, Jeffrey S.:</t>
        </r>
        <r>
          <rPr>
            <sz val="9"/>
            <color indexed="81"/>
            <rFont val="Tahoma"/>
            <family val="2"/>
          </rPr>
          <t xml:space="preserve">
Not used currently</t>
        </r>
      </text>
    </comment>
    <comment ref="DB1269" authorId="1" shapeId="0" xr:uid="{00000000-0006-0000-0600-00007E000000}">
      <text>
        <r>
          <rPr>
            <b/>
            <sz val="9"/>
            <color indexed="81"/>
            <rFont val="Tahoma"/>
            <family val="2"/>
          </rPr>
          <t>Spangenberger, Jeffrey S.:</t>
        </r>
        <r>
          <rPr>
            <sz val="9"/>
            <color indexed="81"/>
            <rFont val="Tahoma"/>
            <family val="2"/>
          </rPr>
          <t xml:space="preserve">
Not used currently</t>
        </r>
      </text>
    </comment>
    <comment ref="EB1269" authorId="1" shapeId="0" xr:uid="{00000000-0006-0000-0600-00007F000000}">
      <text>
        <r>
          <rPr>
            <b/>
            <sz val="9"/>
            <color indexed="81"/>
            <rFont val="Tahoma"/>
            <family val="2"/>
          </rPr>
          <t>Spangenberger, Jeffrey S.:</t>
        </r>
        <r>
          <rPr>
            <sz val="9"/>
            <color indexed="81"/>
            <rFont val="Tahoma"/>
            <family val="2"/>
          </rPr>
          <t xml:space="preserve">
Not used currently</t>
        </r>
      </text>
    </comment>
    <comment ref="BE1310" authorId="1" shapeId="0" xr:uid="{00000000-0006-0000-0600-000080000000}">
      <text>
        <r>
          <rPr>
            <b/>
            <sz val="9"/>
            <color indexed="81"/>
            <rFont val="Tahoma"/>
            <family val="2"/>
          </rPr>
          <t>Spangenberger, Jeffrey S.:</t>
        </r>
        <r>
          <rPr>
            <sz val="9"/>
            <color indexed="81"/>
            <rFont val="Tahoma"/>
            <family val="2"/>
          </rPr>
          <t xml:space="preserve">
At hrs per day and days per year entered above</t>
        </r>
      </text>
    </comment>
    <comment ref="CE1310" authorId="1" shapeId="0" xr:uid="{00000000-0006-0000-0600-000081000000}">
      <text>
        <r>
          <rPr>
            <b/>
            <sz val="9"/>
            <color indexed="81"/>
            <rFont val="Tahoma"/>
            <family val="2"/>
          </rPr>
          <t>Spangenberger, Jeffrey S.:</t>
        </r>
        <r>
          <rPr>
            <sz val="9"/>
            <color indexed="81"/>
            <rFont val="Tahoma"/>
            <family val="2"/>
          </rPr>
          <t xml:space="preserve">
At hrs per day and days per year entered above</t>
        </r>
      </text>
    </comment>
    <comment ref="DE1310" authorId="1" shapeId="0" xr:uid="{00000000-0006-0000-0600-000082000000}">
      <text>
        <r>
          <rPr>
            <b/>
            <sz val="9"/>
            <color indexed="81"/>
            <rFont val="Tahoma"/>
            <family val="2"/>
          </rPr>
          <t>Spangenberger, Jeffrey S.:</t>
        </r>
        <r>
          <rPr>
            <sz val="9"/>
            <color indexed="81"/>
            <rFont val="Tahoma"/>
            <family val="2"/>
          </rPr>
          <t xml:space="preserve">
At hrs per day and days per year entered above</t>
        </r>
      </text>
    </comment>
    <comment ref="EE1310" authorId="1" shapeId="0" xr:uid="{00000000-0006-0000-0600-000083000000}">
      <text>
        <r>
          <rPr>
            <b/>
            <sz val="9"/>
            <color indexed="81"/>
            <rFont val="Tahoma"/>
            <family val="2"/>
          </rPr>
          <t>Spangenberger, Jeffrey S.:</t>
        </r>
        <r>
          <rPr>
            <sz val="9"/>
            <color indexed="81"/>
            <rFont val="Tahoma"/>
            <family val="2"/>
          </rPr>
          <t xml:space="preserve">
At hrs per day and days per year entered above</t>
        </r>
      </text>
    </comment>
    <comment ref="BB1369" authorId="1" shapeId="0" xr:uid="{00000000-0006-0000-0600-000084000000}">
      <text>
        <r>
          <rPr>
            <b/>
            <sz val="9"/>
            <color indexed="81"/>
            <rFont val="Tahoma"/>
            <family val="2"/>
          </rPr>
          <t>Spangenberger, Jeffrey S.:</t>
        </r>
        <r>
          <rPr>
            <sz val="9"/>
            <color indexed="81"/>
            <rFont val="Tahoma"/>
            <family val="2"/>
          </rPr>
          <t xml:space="preserve">
Not used currently</t>
        </r>
      </text>
    </comment>
    <comment ref="CB1369" authorId="1" shapeId="0" xr:uid="{00000000-0006-0000-0600-000085000000}">
      <text>
        <r>
          <rPr>
            <b/>
            <sz val="9"/>
            <color indexed="81"/>
            <rFont val="Tahoma"/>
            <family val="2"/>
          </rPr>
          <t>Spangenberger, Jeffrey S.:</t>
        </r>
        <r>
          <rPr>
            <sz val="9"/>
            <color indexed="81"/>
            <rFont val="Tahoma"/>
            <family val="2"/>
          </rPr>
          <t xml:space="preserve">
Not used currently</t>
        </r>
      </text>
    </comment>
    <comment ref="DB1369" authorId="1" shapeId="0" xr:uid="{00000000-0006-0000-0600-000086000000}">
      <text>
        <r>
          <rPr>
            <b/>
            <sz val="9"/>
            <color indexed="81"/>
            <rFont val="Tahoma"/>
            <family val="2"/>
          </rPr>
          <t>Spangenberger, Jeffrey S.:</t>
        </r>
        <r>
          <rPr>
            <sz val="9"/>
            <color indexed="81"/>
            <rFont val="Tahoma"/>
            <family val="2"/>
          </rPr>
          <t xml:space="preserve">
Not used currently</t>
        </r>
      </text>
    </comment>
    <comment ref="EB1369" authorId="1" shapeId="0" xr:uid="{00000000-0006-0000-0600-000087000000}">
      <text>
        <r>
          <rPr>
            <b/>
            <sz val="9"/>
            <color indexed="81"/>
            <rFont val="Tahoma"/>
            <family val="2"/>
          </rPr>
          <t>Spangenberger, Jeffrey S.:</t>
        </r>
        <r>
          <rPr>
            <sz val="9"/>
            <color indexed="81"/>
            <rFont val="Tahoma"/>
            <family val="2"/>
          </rPr>
          <t xml:space="preserve">
Not used currently</t>
        </r>
      </text>
    </comment>
    <comment ref="BE1410" authorId="1" shapeId="0" xr:uid="{00000000-0006-0000-0600-000088000000}">
      <text>
        <r>
          <rPr>
            <b/>
            <sz val="9"/>
            <color indexed="81"/>
            <rFont val="Tahoma"/>
            <family val="2"/>
          </rPr>
          <t>Spangenberger, Jeffrey S.:</t>
        </r>
        <r>
          <rPr>
            <sz val="9"/>
            <color indexed="81"/>
            <rFont val="Tahoma"/>
            <family val="2"/>
          </rPr>
          <t xml:space="preserve">
At hrs per day and days per year entered above</t>
        </r>
      </text>
    </comment>
    <comment ref="CE1410" authorId="1" shapeId="0" xr:uid="{00000000-0006-0000-0600-000089000000}">
      <text>
        <r>
          <rPr>
            <b/>
            <sz val="9"/>
            <color indexed="81"/>
            <rFont val="Tahoma"/>
            <family val="2"/>
          </rPr>
          <t>Spangenberger, Jeffrey S.:</t>
        </r>
        <r>
          <rPr>
            <sz val="9"/>
            <color indexed="81"/>
            <rFont val="Tahoma"/>
            <family val="2"/>
          </rPr>
          <t xml:space="preserve">
At hrs per day and days per year entered above</t>
        </r>
      </text>
    </comment>
    <comment ref="DE1410" authorId="1" shapeId="0" xr:uid="{00000000-0006-0000-0600-00008A000000}">
      <text>
        <r>
          <rPr>
            <b/>
            <sz val="9"/>
            <color indexed="81"/>
            <rFont val="Tahoma"/>
            <family val="2"/>
          </rPr>
          <t>Spangenberger, Jeffrey S.:</t>
        </r>
        <r>
          <rPr>
            <sz val="9"/>
            <color indexed="81"/>
            <rFont val="Tahoma"/>
            <family val="2"/>
          </rPr>
          <t xml:space="preserve">
At hrs per day and days per year entered above</t>
        </r>
      </text>
    </comment>
    <comment ref="EE1410" authorId="1" shapeId="0" xr:uid="{00000000-0006-0000-0600-00008B000000}">
      <text>
        <r>
          <rPr>
            <b/>
            <sz val="9"/>
            <color indexed="81"/>
            <rFont val="Tahoma"/>
            <family val="2"/>
          </rPr>
          <t>Spangenberger, Jeffrey S.:</t>
        </r>
        <r>
          <rPr>
            <sz val="9"/>
            <color indexed="81"/>
            <rFont val="Tahoma"/>
            <family val="2"/>
          </rPr>
          <t xml:space="preserve">
At hrs per day and days per year entered above</t>
        </r>
      </text>
    </comment>
    <comment ref="BB1469" authorId="1" shapeId="0" xr:uid="{00000000-0006-0000-0600-00008C000000}">
      <text>
        <r>
          <rPr>
            <b/>
            <sz val="9"/>
            <color indexed="81"/>
            <rFont val="Tahoma"/>
            <family val="2"/>
          </rPr>
          <t>Spangenberger, Jeffrey S.:</t>
        </r>
        <r>
          <rPr>
            <sz val="9"/>
            <color indexed="81"/>
            <rFont val="Tahoma"/>
            <family val="2"/>
          </rPr>
          <t xml:space="preserve">
Not used currently</t>
        </r>
      </text>
    </comment>
    <comment ref="CB1469" authorId="1" shapeId="0" xr:uid="{00000000-0006-0000-0600-00008D000000}">
      <text>
        <r>
          <rPr>
            <b/>
            <sz val="9"/>
            <color indexed="81"/>
            <rFont val="Tahoma"/>
            <family val="2"/>
          </rPr>
          <t>Spangenberger, Jeffrey S.:</t>
        </r>
        <r>
          <rPr>
            <sz val="9"/>
            <color indexed="81"/>
            <rFont val="Tahoma"/>
            <family val="2"/>
          </rPr>
          <t xml:space="preserve">
Not used currently</t>
        </r>
      </text>
    </comment>
    <comment ref="DB1469" authorId="1" shapeId="0" xr:uid="{00000000-0006-0000-0600-00008E000000}">
      <text>
        <r>
          <rPr>
            <b/>
            <sz val="9"/>
            <color indexed="81"/>
            <rFont val="Tahoma"/>
            <family val="2"/>
          </rPr>
          <t>Spangenberger, Jeffrey S.:</t>
        </r>
        <r>
          <rPr>
            <sz val="9"/>
            <color indexed="81"/>
            <rFont val="Tahoma"/>
            <family val="2"/>
          </rPr>
          <t xml:space="preserve">
Not used currently</t>
        </r>
      </text>
    </comment>
    <comment ref="EB1469" authorId="1" shapeId="0" xr:uid="{00000000-0006-0000-0600-00008F000000}">
      <text>
        <r>
          <rPr>
            <b/>
            <sz val="9"/>
            <color indexed="81"/>
            <rFont val="Tahoma"/>
            <family val="2"/>
          </rPr>
          <t>Spangenberger, Jeffrey S.:</t>
        </r>
        <r>
          <rPr>
            <sz val="9"/>
            <color indexed="81"/>
            <rFont val="Tahoma"/>
            <family val="2"/>
          </rPr>
          <t xml:space="preserve">
Not used currently</t>
        </r>
      </text>
    </comment>
    <comment ref="BE1510" authorId="1" shapeId="0" xr:uid="{00000000-0006-0000-0600-000090000000}">
      <text>
        <r>
          <rPr>
            <b/>
            <sz val="9"/>
            <color indexed="81"/>
            <rFont val="Tahoma"/>
            <family val="2"/>
          </rPr>
          <t>Spangenberger, Jeffrey S.:</t>
        </r>
        <r>
          <rPr>
            <sz val="9"/>
            <color indexed="81"/>
            <rFont val="Tahoma"/>
            <family val="2"/>
          </rPr>
          <t xml:space="preserve">
At hrs per day and days per year entered above</t>
        </r>
      </text>
    </comment>
    <comment ref="CE1510" authorId="1" shapeId="0" xr:uid="{00000000-0006-0000-0600-000091000000}">
      <text>
        <r>
          <rPr>
            <b/>
            <sz val="9"/>
            <color indexed="81"/>
            <rFont val="Tahoma"/>
            <family val="2"/>
          </rPr>
          <t>Spangenberger, Jeffrey S.:</t>
        </r>
        <r>
          <rPr>
            <sz val="9"/>
            <color indexed="81"/>
            <rFont val="Tahoma"/>
            <family val="2"/>
          </rPr>
          <t xml:space="preserve">
At hrs per day and days per year entered above</t>
        </r>
      </text>
    </comment>
    <comment ref="DE1510" authorId="1" shapeId="0" xr:uid="{00000000-0006-0000-0600-000092000000}">
      <text>
        <r>
          <rPr>
            <b/>
            <sz val="9"/>
            <color indexed="81"/>
            <rFont val="Tahoma"/>
            <family val="2"/>
          </rPr>
          <t>Spangenberger, Jeffrey S.:</t>
        </r>
        <r>
          <rPr>
            <sz val="9"/>
            <color indexed="81"/>
            <rFont val="Tahoma"/>
            <family val="2"/>
          </rPr>
          <t xml:space="preserve">
At hrs per day and days per year entered above</t>
        </r>
      </text>
    </comment>
    <comment ref="EE1510" authorId="1" shapeId="0" xr:uid="{00000000-0006-0000-0600-000093000000}">
      <text>
        <r>
          <rPr>
            <b/>
            <sz val="9"/>
            <color indexed="81"/>
            <rFont val="Tahoma"/>
            <family val="2"/>
          </rPr>
          <t>Spangenberger, Jeffrey S.:</t>
        </r>
        <r>
          <rPr>
            <sz val="9"/>
            <color indexed="81"/>
            <rFont val="Tahoma"/>
            <family val="2"/>
          </rPr>
          <t xml:space="preserve">
At hrs per day and days per year entered above</t>
        </r>
      </text>
    </comment>
    <comment ref="BB1569" authorId="1" shapeId="0" xr:uid="{00000000-0006-0000-0600-000094000000}">
      <text>
        <r>
          <rPr>
            <b/>
            <sz val="9"/>
            <color indexed="81"/>
            <rFont val="Tahoma"/>
            <family val="2"/>
          </rPr>
          <t>Spangenberger, Jeffrey S.:</t>
        </r>
        <r>
          <rPr>
            <sz val="9"/>
            <color indexed="81"/>
            <rFont val="Tahoma"/>
            <family val="2"/>
          </rPr>
          <t xml:space="preserve">
Not used currently</t>
        </r>
      </text>
    </comment>
    <comment ref="CB1569" authorId="1" shapeId="0" xr:uid="{00000000-0006-0000-0600-000095000000}">
      <text>
        <r>
          <rPr>
            <b/>
            <sz val="9"/>
            <color indexed="81"/>
            <rFont val="Tahoma"/>
            <family val="2"/>
          </rPr>
          <t>Spangenberger, Jeffrey S.:</t>
        </r>
        <r>
          <rPr>
            <sz val="9"/>
            <color indexed="81"/>
            <rFont val="Tahoma"/>
            <family val="2"/>
          </rPr>
          <t xml:space="preserve">
Not used currently</t>
        </r>
      </text>
    </comment>
    <comment ref="DB1569" authorId="1" shapeId="0" xr:uid="{00000000-0006-0000-0600-000096000000}">
      <text>
        <r>
          <rPr>
            <b/>
            <sz val="9"/>
            <color indexed="81"/>
            <rFont val="Tahoma"/>
            <family val="2"/>
          </rPr>
          <t>Spangenberger, Jeffrey S.:</t>
        </r>
        <r>
          <rPr>
            <sz val="9"/>
            <color indexed="81"/>
            <rFont val="Tahoma"/>
            <family val="2"/>
          </rPr>
          <t xml:space="preserve">
Not used currently</t>
        </r>
      </text>
    </comment>
    <comment ref="EB1569" authorId="1" shapeId="0" xr:uid="{00000000-0006-0000-0600-000097000000}">
      <text>
        <r>
          <rPr>
            <b/>
            <sz val="9"/>
            <color indexed="81"/>
            <rFont val="Tahoma"/>
            <family val="2"/>
          </rPr>
          <t>Spangenberger, Jeffrey S.:</t>
        </r>
        <r>
          <rPr>
            <sz val="9"/>
            <color indexed="81"/>
            <rFont val="Tahoma"/>
            <family val="2"/>
          </rPr>
          <t xml:space="preserve">
Not used currently</t>
        </r>
      </text>
    </comment>
    <comment ref="BE1610" authorId="1" shapeId="0" xr:uid="{00000000-0006-0000-0600-000098000000}">
      <text>
        <r>
          <rPr>
            <b/>
            <sz val="9"/>
            <color indexed="81"/>
            <rFont val="Tahoma"/>
            <family val="2"/>
          </rPr>
          <t>Spangenberger, Jeffrey S.:</t>
        </r>
        <r>
          <rPr>
            <sz val="9"/>
            <color indexed="81"/>
            <rFont val="Tahoma"/>
            <family val="2"/>
          </rPr>
          <t xml:space="preserve">
At hrs per day and days per year entered above</t>
        </r>
      </text>
    </comment>
    <comment ref="CE1610" authorId="1" shapeId="0" xr:uid="{00000000-0006-0000-0600-000099000000}">
      <text>
        <r>
          <rPr>
            <b/>
            <sz val="9"/>
            <color indexed="81"/>
            <rFont val="Tahoma"/>
            <family val="2"/>
          </rPr>
          <t>Spangenberger, Jeffrey S.:</t>
        </r>
        <r>
          <rPr>
            <sz val="9"/>
            <color indexed="81"/>
            <rFont val="Tahoma"/>
            <family val="2"/>
          </rPr>
          <t xml:space="preserve">
At hrs per day and days per year entered above</t>
        </r>
      </text>
    </comment>
    <comment ref="DE1610" authorId="1" shapeId="0" xr:uid="{00000000-0006-0000-0600-00009A000000}">
      <text>
        <r>
          <rPr>
            <b/>
            <sz val="9"/>
            <color indexed="81"/>
            <rFont val="Tahoma"/>
            <family val="2"/>
          </rPr>
          <t>Spangenberger, Jeffrey S.:</t>
        </r>
        <r>
          <rPr>
            <sz val="9"/>
            <color indexed="81"/>
            <rFont val="Tahoma"/>
            <family val="2"/>
          </rPr>
          <t xml:space="preserve">
At hrs per day and days per year entered above</t>
        </r>
      </text>
    </comment>
    <comment ref="EE1610" authorId="1" shapeId="0" xr:uid="{00000000-0006-0000-0600-00009B000000}">
      <text>
        <r>
          <rPr>
            <b/>
            <sz val="9"/>
            <color indexed="81"/>
            <rFont val="Tahoma"/>
            <family val="2"/>
          </rPr>
          <t>Spangenberger, Jeffrey S.:</t>
        </r>
        <r>
          <rPr>
            <sz val="9"/>
            <color indexed="81"/>
            <rFont val="Tahoma"/>
            <family val="2"/>
          </rPr>
          <t xml:space="preserve">
At hrs per day and days per year entered above</t>
        </r>
      </text>
    </comment>
    <comment ref="BB1669" authorId="1" shapeId="0" xr:uid="{00000000-0006-0000-0600-00009C000000}">
      <text>
        <r>
          <rPr>
            <b/>
            <sz val="9"/>
            <color indexed="81"/>
            <rFont val="Tahoma"/>
            <family val="2"/>
          </rPr>
          <t>Spangenberger, Jeffrey S.:</t>
        </r>
        <r>
          <rPr>
            <sz val="9"/>
            <color indexed="81"/>
            <rFont val="Tahoma"/>
            <family val="2"/>
          </rPr>
          <t xml:space="preserve">
Not used currently</t>
        </r>
      </text>
    </comment>
    <comment ref="CB1669" authorId="1" shapeId="0" xr:uid="{00000000-0006-0000-0600-00009D000000}">
      <text>
        <r>
          <rPr>
            <b/>
            <sz val="9"/>
            <color indexed="81"/>
            <rFont val="Tahoma"/>
            <family val="2"/>
          </rPr>
          <t>Spangenberger, Jeffrey S.:</t>
        </r>
        <r>
          <rPr>
            <sz val="9"/>
            <color indexed="81"/>
            <rFont val="Tahoma"/>
            <family val="2"/>
          </rPr>
          <t xml:space="preserve">
Not used currently</t>
        </r>
      </text>
    </comment>
    <comment ref="DB1669" authorId="1" shapeId="0" xr:uid="{00000000-0006-0000-0600-00009E000000}">
      <text>
        <r>
          <rPr>
            <b/>
            <sz val="9"/>
            <color indexed="81"/>
            <rFont val="Tahoma"/>
            <family val="2"/>
          </rPr>
          <t>Spangenberger, Jeffrey S.:</t>
        </r>
        <r>
          <rPr>
            <sz val="9"/>
            <color indexed="81"/>
            <rFont val="Tahoma"/>
            <family val="2"/>
          </rPr>
          <t xml:space="preserve">
Not used currently</t>
        </r>
      </text>
    </comment>
    <comment ref="EB1669" authorId="1" shapeId="0" xr:uid="{00000000-0006-0000-0600-00009F000000}">
      <text>
        <r>
          <rPr>
            <b/>
            <sz val="9"/>
            <color indexed="81"/>
            <rFont val="Tahoma"/>
            <family val="2"/>
          </rPr>
          <t>Spangenberger, Jeffrey S.:</t>
        </r>
        <r>
          <rPr>
            <sz val="9"/>
            <color indexed="81"/>
            <rFont val="Tahoma"/>
            <family val="2"/>
          </rPr>
          <t xml:space="preserve">
Not used currently</t>
        </r>
      </text>
    </comment>
    <comment ref="BE1710" authorId="1" shapeId="0" xr:uid="{00000000-0006-0000-0600-0000A0000000}">
      <text>
        <r>
          <rPr>
            <b/>
            <sz val="9"/>
            <color indexed="81"/>
            <rFont val="Tahoma"/>
            <family val="2"/>
          </rPr>
          <t>Spangenberger, Jeffrey S.:</t>
        </r>
        <r>
          <rPr>
            <sz val="9"/>
            <color indexed="81"/>
            <rFont val="Tahoma"/>
            <family val="2"/>
          </rPr>
          <t xml:space="preserve">
At hrs per day and days per year entered above</t>
        </r>
      </text>
    </comment>
    <comment ref="CE1710" authorId="1" shapeId="0" xr:uid="{00000000-0006-0000-0600-0000A1000000}">
      <text>
        <r>
          <rPr>
            <b/>
            <sz val="9"/>
            <color indexed="81"/>
            <rFont val="Tahoma"/>
            <family val="2"/>
          </rPr>
          <t>Spangenberger, Jeffrey S.:</t>
        </r>
        <r>
          <rPr>
            <sz val="9"/>
            <color indexed="81"/>
            <rFont val="Tahoma"/>
            <family val="2"/>
          </rPr>
          <t xml:space="preserve">
At hrs per day and days per year entered above</t>
        </r>
      </text>
    </comment>
    <comment ref="DE1710" authorId="1" shapeId="0" xr:uid="{00000000-0006-0000-0600-0000A2000000}">
      <text>
        <r>
          <rPr>
            <b/>
            <sz val="9"/>
            <color indexed="81"/>
            <rFont val="Tahoma"/>
            <family val="2"/>
          </rPr>
          <t>Spangenberger, Jeffrey S.:</t>
        </r>
        <r>
          <rPr>
            <sz val="9"/>
            <color indexed="81"/>
            <rFont val="Tahoma"/>
            <family val="2"/>
          </rPr>
          <t xml:space="preserve">
At hrs per day and days per year entered above</t>
        </r>
      </text>
    </comment>
    <comment ref="EE1710" authorId="1" shapeId="0" xr:uid="{00000000-0006-0000-0600-0000A3000000}">
      <text>
        <r>
          <rPr>
            <b/>
            <sz val="9"/>
            <color indexed="81"/>
            <rFont val="Tahoma"/>
            <family val="2"/>
          </rPr>
          <t>Spangenberger, Jeffrey S.:</t>
        </r>
        <r>
          <rPr>
            <sz val="9"/>
            <color indexed="81"/>
            <rFont val="Tahoma"/>
            <family val="2"/>
          </rPr>
          <t xml:space="preserve">
At hrs per day and days per year entered above</t>
        </r>
      </text>
    </comment>
    <comment ref="BB1769" authorId="1" shapeId="0" xr:uid="{00000000-0006-0000-0600-0000A4000000}">
      <text>
        <r>
          <rPr>
            <b/>
            <sz val="9"/>
            <color indexed="81"/>
            <rFont val="Tahoma"/>
            <family val="2"/>
          </rPr>
          <t>Spangenberger, Jeffrey S.:</t>
        </r>
        <r>
          <rPr>
            <sz val="9"/>
            <color indexed="81"/>
            <rFont val="Tahoma"/>
            <family val="2"/>
          </rPr>
          <t xml:space="preserve">
Not used currently</t>
        </r>
      </text>
    </comment>
    <comment ref="CB1769" authorId="1" shapeId="0" xr:uid="{00000000-0006-0000-0600-0000A5000000}">
      <text>
        <r>
          <rPr>
            <b/>
            <sz val="9"/>
            <color indexed="81"/>
            <rFont val="Tahoma"/>
            <family val="2"/>
          </rPr>
          <t>Spangenberger, Jeffrey S.:</t>
        </r>
        <r>
          <rPr>
            <sz val="9"/>
            <color indexed="81"/>
            <rFont val="Tahoma"/>
            <family val="2"/>
          </rPr>
          <t xml:space="preserve">
Not used currently</t>
        </r>
      </text>
    </comment>
    <comment ref="DB1769" authorId="1" shapeId="0" xr:uid="{00000000-0006-0000-0600-0000A6000000}">
      <text>
        <r>
          <rPr>
            <b/>
            <sz val="9"/>
            <color indexed="81"/>
            <rFont val="Tahoma"/>
            <family val="2"/>
          </rPr>
          <t>Spangenberger, Jeffrey S.:</t>
        </r>
        <r>
          <rPr>
            <sz val="9"/>
            <color indexed="81"/>
            <rFont val="Tahoma"/>
            <family val="2"/>
          </rPr>
          <t xml:space="preserve">
Not used currently</t>
        </r>
      </text>
    </comment>
    <comment ref="EB1769" authorId="1" shapeId="0" xr:uid="{00000000-0006-0000-0600-0000A7000000}">
      <text>
        <r>
          <rPr>
            <b/>
            <sz val="9"/>
            <color indexed="81"/>
            <rFont val="Tahoma"/>
            <family val="2"/>
          </rPr>
          <t>Spangenberger, Jeffrey S.:</t>
        </r>
        <r>
          <rPr>
            <sz val="9"/>
            <color indexed="81"/>
            <rFont val="Tahoma"/>
            <family val="2"/>
          </rPr>
          <t xml:space="preserve">
Not used currently</t>
        </r>
      </text>
    </comment>
    <comment ref="BE1810" authorId="1" shapeId="0" xr:uid="{00000000-0006-0000-0600-0000A8000000}">
      <text>
        <r>
          <rPr>
            <b/>
            <sz val="9"/>
            <color indexed="81"/>
            <rFont val="Tahoma"/>
            <family val="2"/>
          </rPr>
          <t>Spangenberger, Jeffrey S.:</t>
        </r>
        <r>
          <rPr>
            <sz val="9"/>
            <color indexed="81"/>
            <rFont val="Tahoma"/>
            <family val="2"/>
          </rPr>
          <t xml:space="preserve">
At hrs per day and days per year entered above</t>
        </r>
      </text>
    </comment>
    <comment ref="CE1810" authorId="1" shapeId="0" xr:uid="{00000000-0006-0000-0600-0000A9000000}">
      <text>
        <r>
          <rPr>
            <b/>
            <sz val="9"/>
            <color indexed="81"/>
            <rFont val="Tahoma"/>
            <family val="2"/>
          </rPr>
          <t>Spangenberger, Jeffrey S.:</t>
        </r>
        <r>
          <rPr>
            <sz val="9"/>
            <color indexed="81"/>
            <rFont val="Tahoma"/>
            <family val="2"/>
          </rPr>
          <t xml:space="preserve">
At hrs per day and days per year entered above</t>
        </r>
      </text>
    </comment>
    <comment ref="DE1810" authorId="1" shapeId="0" xr:uid="{00000000-0006-0000-0600-0000AA000000}">
      <text>
        <r>
          <rPr>
            <b/>
            <sz val="9"/>
            <color indexed="81"/>
            <rFont val="Tahoma"/>
            <family val="2"/>
          </rPr>
          <t>Spangenberger, Jeffrey S.:</t>
        </r>
        <r>
          <rPr>
            <sz val="9"/>
            <color indexed="81"/>
            <rFont val="Tahoma"/>
            <family val="2"/>
          </rPr>
          <t xml:space="preserve">
At hrs per day and days per year entered above</t>
        </r>
      </text>
    </comment>
    <comment ref="EE1810" authorId="1" shapeId="0" xr:uid="{00000000-0006-0000-0600-0000AB000000}">
      <text>
        <r>
          <rPr>
            <b/>
            <sz val="9"/>
            <color indexed="81"/>
            <rFont val="Tahoma"/>
            <family val="2"/>
          </rPr>
          <t>Spangenberger, Jeffrey S.:</t>
        </r>
        <r>
          <rPr>
            <sz val="9"/>
            <color indexed="81"/>
            <rFont val="Tahoma"/>
            <family val="2"/>
          </rPr>
          <t xml:space="preserve">
At hrs per day and days per year entered above</t>
        </r>
      </text>
    </comment>
    <comment ref="BB1869" authorId="1" shapeId="0" xr:uid="{00000000-0006-0000-0600-0000AC000000}">
      <text>
        <r>
          <rPr>
            <b/>
            <sz val="9"/>
            <color indexed="81"/>
            <rFont val="Tahoma"/>
            <family val="2"/>
          </rPr>
          <t>Spangenberger, Jeffrey S.:</t>
        </r>
        <r>
          <rPr>
            <sz val="9"/>
            <color indexed="81"/>
            <rFont val="Tahoma"/>
            <family val="2"/>
          </rPr>
          <t xml:space="preserve">
Not used currently</t>
        </r>
      </text>
    </comment>
    <comment ref="CB1869" authorId="1" shapeId="0" xr:uid="{00000000-0006-0000-0600-0000AD000000}">
      <text>
        <r>
          <rPr>
            <b/>
            <sz val="9"/>
            <color indexed="81"/>
            <rFont val="Tahoma"/>
            <family val="2"/>
          </rPr>
          <t>Spangenberger, Jeffrey S.:</t>
        </r>
        <r>
          <rPr>
            <sz val="9"/>
            <color indexed="81"/>
            <rFont val="Tahoma"/>
            <family val="2"/>
          </rPr>
          <t xml:space="preserve">
Not used currently</t>
        </r>
      </text>
    </comment>
    <comment ref="DB1869" authorId="1" shapeId="0" xr:uid="{00000000-0006-0000-0600-0000AE000000}">
      <text>
        <r>
          <rPr>
            <b/>
            <sz val="9"/>
            <color indexed="81"/>
            <rFont val="Tahoma"/>
            <family val="2"/>
          </rPr>
          <t>Spangenberger, Jeffrey S.:</t>
        </r>
        <r>
          <rPr>
            <sz val="9"/>
            <color indexed="81"/>
            <rFont val="Tahoma"/>
            <family val="2"/>
          </rPr>
          <t xml:space="preserve">
Not used currently</t>
        </r>
      </text>
    </comment>
    <comment ref="EB1869" authorId="1" shapeId="0" xr:uid="{00000000-0006-0000-0600-0000AF000000}">
      <text>
        <r>
          <rPr>
            <b/>
            <sz val="9"/>
            <color indexed="81"/>
            <rFont val="Tahoma"/>
            <family val="2"/>
          </rPr>
          <t>Spangenberger, Jeffrey S.:</t>
        </r>
        <r>
          <rPr>
            <sz val="9"/>
            <color indexed="81"/>
            <rFont val="Tahoma"/>
            <family val="2"/>
          </rPr>
          <t xml:space="preserve">
Not used currently</t>
        </r>
      </text>
    </comment>
    <comment ref="BE1910" authorId="1" shapeId="0" xr:uid="{00000000-0006-0000-0600-0000B0000000}">
      <text>
        <r>
          <rPr>
            <b/>
            <sz val="9"/>
            <color indexed="81"/>
            <rFont val="Tahoma"/>
            <family val="2"/>
          </rPr>
          <t>Spangenberger, Jeffrey S.:</t>
        </r>
        <r>
          <rPr>
            <sz val="9"/>
            <color indexed="81"/>
            <rFont val="Tahoma"/>
            <family val="2"/>
          </rPr>
          <t xml:space="preserve">
At hrs per day and days per year entered above</t>
        </r>
      </text>
    </comment>
    <comment ref="CE1910" authorId="1" shapeId="0" xr:uid="{00000000-0006-0000-0600-0000B1000000}">
      <text>
        <r>
          <rPr>
            <b/>
            <sz val="9"/>
            <color indexed="81"/>
            <rFont val="Tahoma"/>
            <family val="2"/>
          </rPr>
          <t>Spangenberger, Jeffrey S.:</t>
        </r>
        <r>
          <rPr>
            <sz val="9"/>
            <color indexed="81"/>
            <rFont val="Tahoma"/>
            <family val="2"/>
          </rPr>
          <t xml:space="preserve">
At hrs per day and days per year entered above</t>
        </r>
      </text>
    </comment>
    <comment ref="DE1910" authorId="1" shapeId="0" xr:uid="{00000000-0006-0000-0600-0000B2000000}">
      <text>
        <r>
          <rPr>
            <b/>
            <sz val="9"/>
            <color indexed="81"/>
            <rFont val="Tahoma"/>
            <family val="2"/>
          </rPr>
          <t>Spangenberger, Jeffrey S.:</t>
        </r>
        <r>
          <rPr>
            <sz val="9"/>
            <color indexed="81"/>
            <rFont val="Tahoma"/>
            <family val="2"/>
          </rPr>
          <t xml:space="preserve">
At hrs per day and days per year entered above</t>
        </r>
      </text>
    </comment>
    <comment ref="EE1910" authorId="1" shapeId="0" xr:uid="{00000000-0006-0000-0600-0000B3000000}">
      <text>
        <r>
          <rPr>
            <b/>
            <sz val="9"/>
            <color indexed="81"/>
            <rFont val="Tahoma"/>
            <family val="2"/>
          </rPr>
          <t>Spangenberger, Jeffrey S.:</t>
        </r>
        <r>
          <rPr>
            <sz val="9"/>
            <color indexed="81"/>
            <rFont val="Tahoma"/>
            <family val="2"/>
          </rPr>
          <t xml:space="preserve">
At hrs per day and days per year entered above</t>
        </r>
      </text>
    </comment>
    <comment ref="BB1969" authorId="1" shapeId="0" xr:uid="{00000000-0006-0000-0600-0000B4000000}">
      <text>
        <r>
          <rPr>
            <b/>
            <sz val="9"/>
            <color indexed="81"/>
            <rFont val="Tahoma"/>
            <family val="2"/>
          </rPr>
          <t>Spangenberger, Jeffrey S.:</t>
        </r>
        <r>
          <rPr>
            <sz val="9"/>
            <color indexed="81"/>
            <rFont val="Tahoma"/>
            <family val="2"/>
          </rPr>
          <t xml:space="preserve">
Not used currently</t>
        </r>
      </text>
    </comment>
    <comment ref="CB1969" authorId="1" shapeId="0" xr:uid="{00000000-0006-0000-0600-0000B5000000}">
      <text>
        <r>
          <rPr>
            <b/>
            <sz val="9"/>
            <color indexed="81"/>
            <rFont val="Tahoma"/>
            <family val="2"/>
          </rPr>
          <t>Spangenberger, Jeffrey S.:</t>
        </r>
        <r>
          <rPr>
            <sz val="9"/>
            <color indexed="81"/>
            <rFont val="Tahoma"/>
            <family val="2"/>
          </rPr>
          <t xml:space="preserve">
Not used currently</t>
        </r>
      </text>
    </comment>
    <comment ref="DB1969" authorId="1" shapeId="0" xr:uid="{00000000-0006-0000-0600-0000B6000000}">
      <text>
        <r>
          <rPr>
            <b/>
            <sz val="9"/>
            <color indexed="81"/>
            <rFont val="Tahoma"/>
            <family val="2"/>
          </rPr>
          <t>Spangenberger, Jeffrey S.:</t>
        </r>
        <r>
          <rPr>
            <sz val="9"/>
            <color indexed="81"/>
            <rFont val="Tahoma"/>
            <family val="2"/>
          </rPr>
          <t xml:space="preserve">
Not used currently</t>
        </r>
      </text>
    </comment>
    <comment ref="EB1969" authorId="1" shapeId="0" xr:uid="{00000000-0006-0000-0600-0000B7000000}">
      <text>
        <r>
          <rPr>
            <b/>
            <sz val="9"/>
            <color indexed="81"/>
            <rFont val="Tahoma"/>
            <family val="2"/>
          </rPr>
          <t>Spangenberger, Jeffrey S.:</t>
        </r>
        <r>
          <rPr>
            <sz val="9"/>
            <color indexed="81"/>
            <rFont val="Tahoma"/>
            <family val="2"/>
          </rPr>
          <t xml:space="preserve">
Not used currently</t>
        </r>
      </text>
    </comment>
    <comment ref="BE2010" authorId="1" shapeId="0" xr:uid="{00000000-0006-0000-0600-0000B8000000}">
      <text>
        <r>
          <rPr>
            <b/>
            <sz val="9"/>
            <color indexed="81"/>
            <rFont val="Tahoma"/>
            <family val="2"/>
          </rPr>
          <t>Spangenberger, Jeffrey S.:</t>
        </r>
        <r>
          <rPr>
            <sz val="9"/>
            <color indexed="81"/>
            <rFont val="Tahoma"/>
            <family val="2"/>
          </rPr>
          <t xml:space="preserve">
At hrs per day and days per year entered above</t>
        </r>
      </text>
    </comment>
    <comment ref="CE2010" authorId="1" shapeId="0" xr:uid="{00000000-0006-0000-0600-0000B9000000}">
      <text>
        <r>
          <rPr>
            <b/>
            <sz val="9"/>
            <color indexed="81"/>
            <rFont val="Tahoma"/>
            <family val="2"/>
          </rPr>
          <t>Spangenberger, Jeffrey S.:</t>
        </r>
        <r>
          <rPr>
            <sz val="9"/>
            <color indexed="81"/>
            <rFont val="Tahoma"/>
            <family val="2"/>
          </rPr>
          <t xml:space="preserve">
At hrs per day and days per year entered above</t>
        </r>
      </text>
    </comment>
    <comment ref="DE2010" authorId="1" shapeId="0" xr:uid="{00000000-0006-0000-0600-0000BA000000}">
      <text>
        <r>
          <rPr>
            <b/>
            <sz val="9"/>
            <color indexed="81"/>
            <rFont val="Tahoma"/>
            <family val="2"/>
          </rPr>
          <t>Spangenberger, Jeffrey S.:</t>
        </r>
        <r>
          <rPr>
            <sz val="9"/>
            <color indexed="81"/>
            <rFont val="Tahoma"/>
            <family val="2"/>
          </rPr>
          <t xml:space="preserve">
At hrs per day and days per year entered above</t>
        </r>
      </text>
    </comment>
    <comment ref="EE2010" authorId="1" shapeId="0" xr:uid="{00000000-0006-0000-0600-0000BB000000}">
      <text>
        <r>
          <rPr>
            <b/>
            <sz val="9"/>
            <color indexed="81"/>
            <rFont val="Tahoma"/>
            <family val="2"/>
          </rPr>
          <t>Spangenberger, Jeffrey S.:</t>
        </r>
        <r>
          <rPr>
            <sz val="9"/>
            <color indexed="81"/>
            <rFont val="Tahoma"/>
            <family val="2"/>
          </rPr>
          <t xml:space="preserve">
At hrs per day and days per year entered above</t>
        </r>
      </text>
    </comment>
    <comment ref="BB2069" authorId="1" shapeId="0" xr:uid="{00000000-0006-0000-0600-0000BC000000}">
      <text>
        <r>
          <rPr>
            <b/>
            <sz val="9"/>
            <color indexed="81"/>
            <rFont val="Tahoma"/>
            <family val="2"/>
          </rPr>
          <t>Spangenberger, Jeffrey S.:</t>
        </r>
        <r>
          <rPr>
            <sz val="9"/>
            <color indexed="81"/>
            <rFont val="Tahoma"/>
            <family val="2"/>
          </rPr>
          <t xml:space="preserve">
Not used currently</t>
        </r>
      </text>
    </comment>
    <comment ref="CB2069" authorId="1" shapeId="0" xr:uid="{00000000-0006-0000-0600-0000BD000000}">
      <text>
        <r>
          <rPr>
            <b/>
            <sz val="9"/>
            <color indexed="81"/>
            <rFont val="Tahoma"/>
            <family val="2"/>
          </rPr>
          <t>Spangenberger, Jeffrey S.:</t>
        </r>
        <r>
          <rPr>
            <sz val="9"/>
            <color indexed="81"/>
            <rFont val="Tahoma"/>
            <family val="2"/>
          </rPr>
          <t xml:space="preserve">
Not used currently</t>
        </r>
      </text>
    </comment>
    <comment ref="DB2069" authorId="1" shapeId="0" xr:uid="{00000000-0006-0000-0600-0000BE000000}">
      <text>
        <r>
          <rPr>
            <b/>
            <sz val="9"/>
            <color indexed="81"/>
            <rFont val="Tahoma"/>
            <family val="2"/>
          </rPr>
          <t>Spangenberger, Jeffrey S.:</t>
        </r>
        <r>
          <rPr>
            <sz val="9"/>
            <color indexed="81"/>
            <rFont val="Tahoma"/>
            <family val="2"/>
          </rPr>
          <t xml:space="preserve">
Not used currently</t>
        </r>
      </text>
    </comment>
    <comment ref="EB2069" authorId="1" shapeId="0" xr:uid="{00000000-0006-0000-0600-0000BF000000}">
      <text>
        <r>
          <rPr>
            <b/>
            <sz val="9"/>
            <color indexed="81"/>
            <rFont val="Tahoma"/>
            <family val="2"/>
          </rPr>
          <t>Spangenberger, Jeffrey S.:</t>
        </r>
        <r>
          <rPr>
            <sz val="9"/>
            <color indexed="81"/>
            <rFont val="Tahoma"/>
            <family val="2"/>
          </rPr>
          <t xml:space="preserve">
Not used currently</t>
        </r>
      </text>
    </comment>
    <comment ref="BE2110" authorId="1" shapeId="0" xr:uid="{00000000-0006-0000-0600-0000C0000000}">
      <text>
        <r>
          <rPr>
            <b/>
            <sz val="9"/>
            <color indexed="81"/>
            <rFont val="Tahoma"/>
            <family val="2"/>
          </rPr>
          <t>Spangenberger, Jeffrey S.:</t>
        </r>
        <r>
          <rPr>
            <sz val="9"/>
            <color indexed="81"/>
            <rFont val="Tahoma"/>
            <family val="2"/>
          </rPr>
          <t xml:space="preserve">
At hrs per day and days per year entered above</t>
        </r>
      </text>
    </comment>
    <comment ref="CE2110" authorId="1" shapeId="0" xr:uid="{00000000-0006-0000-0600-0000C1000000}">
      <text>
        <r>
          <rPr>
            <b/>
            <sz val="9"/>
            <color indexed="81"/>
            <rFont val="Tahoma"/>
            <family val="2"/>
          </rPr>
          <t>Spangenberger, Jeffrey S.:</t>
        </r>
        <r>
          <rPr>
            <sz val="9"/>
            <color indexed="81"/>
            <rFont val="Tahoma"/>
            <family val="2"/>
          </rPr>
          <t xml:space="preserve">
At hrs per day and days per year entered above</t>
        </r>
      </text>
    </comment>
    <comment ref="DE2110" authorId="1" shapeId="0" xr:uid="{00000000-0006-0000-0600-0000C2000000}">
      <text>
        <r>
          <rPr>
            <b/>
            <sz val="9"/>
            <color indexed="81"/>
            <rFont val="Tahoma"/>
            <family val="2"/>
          </rPr>
          <t>Spangenberger, Jeffrey S.:</t>
        </r>
        <r>
          <rPr>
            <sz val="9"/>
            <color indexed="81"/>
            <rFont val="Tahoma"/>
            <family val="2"/>
          </rPr>
          <t xml:space="preserve">
At hrs per day and days per year entered above</t>
        </r>
      </text>
    </comment>
    <comment ref="EE2110" authorId="1" shapeId="0" xr:uid="{00000000-0006-0000-0600-0000C3000000}">
      <text>
        <r>
          <rPr>
            <b/>
            <sz val="9"/>
            <color indexed="81"/>
            <rFont val="Tahoma"/>
            <family val="2"/>
          </rPr>
          <t>Spangenberger, Jeffrey S.:</t>
        </r>
        <r>
          <rPr>
            <sz val="9"/>
            <color indexed="81"/>
            <rFont val="Tahoma"/>
            <family val="2"/>
          </rPr>
          <t xml:space="preserve">
At hrs per day and days per year entered above</t>
        </r>
      </text>
    </comment>
    <comment ref="BB2169" authorId="1" shapeId="0" xr:uid="{00000000-0006-0000-0600-0000C4000000}">
      <text>
        <r>
          <rPr>
            <b/>
            <sz val="9"/>
            <color indexed="81"/>
            <rFont val="Tahoma"/>
            <family val="2"/>
          </rPr>
          <t>Spangenberger, Jeffrey S.:</t>
        </r>
        <r>
          <rPr>
            <sz val="9"/>
            <color indexed="81"/>
            <rFont val="Tahoma"/>
            <family val="2"/>
          </rPr>
          <t xml:space="preserve">
Not used currently</t>
        </r>
      </text>
    </comment>
    <comment ref="CB2169" authorId="1" shapeId="0" xr:uid="{00000000-0006-0000-0600-0000C5000000}">
      <text>
        <r>
          <rPr>
            <b/>
            <sz val="9"/>
            <color indexed="81"/>
            <rFont val="Tahoma"/>
            <family val="2"/>
          </rPr>
          <t>Spangenberger, Jeffrey S.:</t>
        </r>
        <r>
          <rPr>
            <sz val="9"/>
            <color indexed="81"/>
            <rFont val="Tahoma"/>
            <family val="2"/>
          </rPr>
          <t xml:space="preserve">
Not used currently</t>
        </r>
      </text>
    </comment>
    <comment ref="DB2169" authorId="1" shapeId="0" xr:uid="{00000000-0006-0000-0600-0000C6000000}">
      <text>
        <r>
          <rPr>
            <b/>
            <sz val="9"/>
            <color indexed="81"/>
            <rFont val="Tahoma"/>
            <family val="2"/>
          </rPr>
          <t>Spangenberger, Jeffrey S.:</t>
        </r>
        <r>
          <rPr>
            <sz val="9"/>
            <color indexed="81"/>
            <rFont val="Tahoma"/>
            <family val="2"/>
          </rPr>
          <t xml:space="preserve">
Not used currently</t>
        </r>
      </text>
    </comment>
    <comment ref="EB2169" authorId="1" shapeId="0" xr:uid="{00000000-0006-0000-0600-0000C7000000}">
      <text>
        <r>
          <rPr>
            <b/>
            <sz val="9"/>
            <color indexed="81"/>
            <rFont val="Tahoma"/>
            <family val="2"/>
          </rPr>
          <t>Spangenberger, Jeffrey S.:</t>
        </r>
        <r>
          <rPr>
            <sz val="9"/>
            <color indexed="81"/>
            <rFont val="Tahoma"/>
            <family val="2"/>
          </rPr>
          <t xml:space="preserve">
Not used currently</t>
        </r>
      </text>
    </comment>
    <comment ref="BE2210" authorId="1" shapeId="0" xr:uid="{00000000-0006-0000-0600-0000C8000000}">
      <text>
        <r>
          <rPr>
            <b/>
            <sz val="9"/>
            <color indexed="81"/>
            <rFont val="Tahoma"/>
            <family val="2"/>
          </rPr>
          <t>Spangenberger, Jeffrey S.:</t>
        </r>
        <r>
          <rPr>
            <sz val="9"/>
            <color indexed="81"/>
            <rFont val="Tahoma"/>
            <family val="2"/>
          </rPr>
          <t xml:space="preserve">
At hrs per day and days per year entered above</t>
        </r>
      </text>
    </comment>
    <comment ref="CE2210" authorId="1" shapeId="0" xr:uid="{00000000-0006-0000-0600-0000C9000000}">
      <text>
        <r>
          <rPr>
            <b/>
            <sz val="9"/>
            <color indexed="81"/>
            <rFont val="Tahoma"/>
            <family val="2"/>
          </rPr>
          <t>Spangenberger, Jeffrey S.:</t>
        </r>
        <r>
          <rPr>
            <sz val="9"/>
            <color indexed="81"/>
            <rFont val="Tahoma"/>
            <family val="2"/>
          </rPr>
          <t xml:space="preserve">
At hrs per day and days per year entered above</t>
        </r>
      </text>
    </comment>
    <comment ref="DE2210" authorId="1" shapeId="0" xr:uid="{00000000-0006-0000-0600-0000CA000000}">
      <text>
        <r>
          <rPr>
            <b/>
            <sz val="9"/>
            <color indexed="81"/>
            <rFont val="Tahoma"/>
            <family val="2"/>
          </rPr>
          <t>Spangenberger, Jeffrey S.:</t>
        </r>
        <r>
          <rPr>
            <sz val="9"/>
            <color indexed="81"/>
            <rFont val="Tahoma"/>
            <family val="2"/>
          </rPr>
          <t xml:space="preserve">
At hrs per day and days per year entered above</t>
        </r>
      </text>
    </comment>
    <comment ref="EE2210" authorId="1" shapeId="0" xr:uid="{00000000-0006-0000-0600-0000CB000000}">
      <text>
        <r>
          <rPr>
            <b/>
            <sz val="9"/>
            <color indexed="81"/>
            <rFont val="Tahoma"/>
            <family val="2"/>
          </rPr>
          <t>Spangenberger, Jeffrey S.:</t>
        </r>
        <r>
          <rPr>
            <sz val="9"/>
            <color indexed="81"/>
            <rFont val="Tahoma"/>
            <family val="2"/>
          </rPr>
          <t xml:space="preserve">
At hrs per day and days per year entered above</t>
        </r>
      </text>
    </comment>
    <comment ref="BB2269" authorId="1" shapeId="0" xr:uid="{00000000-0006-0000-0600-0000CC000000}">
      <text>
        <r>
          <rPr>
            <b/>
            <sz val="9"/>
            <color indexed="81"/>
            <rFont val="Tahoma"/>
            <family val="2"/>
          </rPr>
          <t>Spangenberger, Jeffrey S.:</t>
        </r>
        <r>
          <rPr>
            <sz val="9"/>
            <color indexed="81"/>
            <rFont val="Tahoma"/>
            <family val="2"/>
          </rPr>
          <t xml:space="preserve">
Not used currently</t>
        </r>
      </text>
    </comment>
    <comment ref="CB2269" authorId="1" shapeId="0" xr:uid="{00000000-0006-0000-0600-0000CD000000}">
      <text>
        <r>
          <rPr>
            <b/>
            <sz val="9"/>
            <color indexed="81"/>
            <rFont val="Tahoma"/>
            <family val="2"/>
          </rPr>
          <t>Spangenberger, Jeffrey S.:</t>
        </r>
        <r>
          <rPr>
            <sz val="9"/>
            <color indexed="81"/>
            <rFont val="Tahoma"/>
            <family val="2"/>
          </rPr>
          <t xml:space="preserve">
Not used currently</t>
        </r>
      </text>
    </comment>
    <comment ref="DB2269" authorId="1" shapeId="0" xr:uid="{00000000-0006-0000-0600-0000CE000000}">
      <text>
        <r>
          <rPr>
            <b/>
            <sz val="9"/>
            <color indexed="81"/>
            <rFont val="Tahoma"/>
            <family val="2"/>
          </rPr>
          <t>Spangenberger, Jeffrey S.:</t>
        </r>
        <r>
          <rPr>
            <sz val="9"/>
            <color indexed="81"/>
            <rFont val="Tahoma"/>
            <family val="2"/>
          </rPr>
          <t xml:space="preserve">
Not used currently</t>
        </r>
      </text>
    </comment>
    <comment ref="EB2269" authorId="1" shapeId="0" xr:uid="{00000000-0006-0000-0600-0000CF000000}">
      <text>
        <r>
          <rPr>
            <b/>
            <sz val="9"/>
            <color indexed="81"/>
            <rFont val="Tahoma"/>
            <family val="2"/>
          </rPr>
          <t>Spangenberger, Jeffrey S.:</t>
        </r>
        <r>
          <rPr>
            <sz val="9"/>
            <color indexed="81"/>
            <rFont val="Tahoma"/>
            <family val="2"/>
          </rPr>
          <t xml:space="preserve">
Not used currently</t>
        </r>
      </text>
    </comment>
    <comment ref="BE2310" authorId="1" shapeId="0" xr:uid="{00000000-0006-0000-0600-0000D0000000}">
      <text>
        <r>
          <rPr>
            <b/>
            <sz val="9"/>
            <color indexed="81"/>
            <rFont val="Tahoma"/>
            <family val="2"/>
          </rPr>
          <t>Spangenberger, Jeffrey S.:</t>
        </r>
        <r>
          <rPr>
            <sz val="9"/>
            <color indexed="81"/>
            <rFont val="Tahoma"/>
            <family val="2"/>
          </rPr>
          <t xml:space="preserve">
At hrs per day and days per year entered above</t>
        </r>
      </text>
    </comment>
    <comment ref="CE2310" authorId="1" shapeId="0" xr:uid="{00000000-0006-0000-0600-0000D1000000}">
      <text>
        <r>
          <rPr>
            <b/>
            <sz val="9"/>
            <color indexed="81"/>
            <rFont val="Tahoma"/>
            <family val="2"/>
          </rPr>
          <t>Spangenberger, Jeffrey S.:</t>
        </r>
        <r>
          <rPr>
            <sz val="9"/>
            <color indexed="81"/>
            <rFont val="Tahoma"/>
            <family val="2"/>
          </rPr>
          <t xml:space="preserve">
At hrs per day and days per year entered above</t>
        </r>
      </text>
    </comment>
    <comment ref="DE2310" authorId="1" shapeId="0" xr:uid="{00000000-0006-0000-0600-0000D2000000}">
      <text>
        <r>
          <rPr>
            <b/>
            <sz val="9"/>
            <color indexed="81"/>
            <rFont val="Tahoma"/>
            <family val="2"/>
          </rPr>
          <t>Spangenberger, Jeffrey S.:</t>
        </r>
        <r>
          <rPr>
            <sz val="9"/>
            <color indexed="81"/>
            <rFont val="Tahoma"/>
            <family val="2"/>
          </rPr>
          <t xml:space="preserve">
At hrs per day and days per year entered above</t>
        </r>
      </text>
    </comment>
    <comment ref="EE2310" authorId="1" shapeId="0" xr:uid="{00000000-0006-0000-0600-0000D3000000}">
      <text>
        <r>
          <rPr>
            <b/>
            <sz val="9"/>
            <color indexed="81"/>
            <rFont val="Tahoma"/>
            <family val="2"/>
          </rPr>
          <t>Spangenberger, Jeffrey S.:</t>
        </r>
        <r>
          <rPr>
            <sz val="9"/>
            <color indexed="81"/>
            <rFont val="Tahoma"/>
            <family val="2"/>
          </rPr>
          <t xml:space="preserve">
At hrs per day and days per year entered above</t>
        </r>
      </text>
    </comment>
    <comment ref="BB2369" authorId="1" shapeId="0" xr:uid="{00000000-0006-0000-0600-0000D4000000}">
      <text>
        <r>
          <rPr>
            <b/>
            <sz val="9"/>
            <color indexed="81"/>
            <rFont val="Tahoma"/>
            <family val="2"/>
          </rPr>
          <t>Spangenberger, Jeffrey S.:</t>
        </r>
        <r>
          <rPr>
            <sz val="9"/>
            <color indexed="81"/>
            <rFont val="Tahoma"/>
            <family val="2"/>
          </rPr>
          <t xml:space="preserve">
Not used currently</t>
        </r>
      </text>
    </comment>
    <comment ref="CB2369" authorId="1" shapeId="0" xr:uid="{00000000-0006-0000-0600-0000D5000000}">
      <text>
        <r>
          <rPr>
            <b/>
            <sz val="9"/>
            <color indexed="81"/>
            <rFont val="Tahoma"/>
            <family val="2"/>
          </rPr>
          <t>Spangenberger, Jeffrey S.:</t>
        </r>
        <r>
          <rPr>
            <sz val="9"/>
            <color indexed="81"/>
            <rFont val="Tahoma"/>
            <family val="2"/>
          </rPr>
          <t xml:space="preserve">
Not used currently</t>
        </r>
      </text>
    </comment>
    <comment ref="DB2369" authorId="1" shapeId="0" xr:uid="{00000000-0006-0000-0600-0000D6000000}">
      <text>
        <r>
          <rPr>
            <b/>
            <sz val="9"/>
            <color indexed="81"/>
            <rFont val="Tahoma"/>
            <family val="2"/>
          </rPr>
          <t>Spangenberger, Jeffrey S.:</t>
        </r>
        <r>
          <rPr>
            <sz val="9"/>
            <color indexed="81"/>
            <rFont val="Tahoma"/>
            <family val="2"/>
          </rPr>
          <t xml:space="preserve">
Not used currently</t>
        </r>
      </text>
    </comment>
    <comment ref="EB2369" authorId="1" shapeId="0" xr:uid="{00000000-0006-0000-0600-0000D7000000}">
      <text>
        <r>
          <rPr>
            <b/>
            <sz val="9"/>
            <color indexed="81"/>
            <rFont val="Tahoma"/>
            <family val="2"/>
          </rPr>
          <t>Spangenberger, Jeffrey S.:</t>
        </r>
        <r>
          <rPr>
            <sz val="9"/>
            <color indexed="81"/>
            <rFont val="Tahoma"/>
            <family val="2"/>
          </rPr>
          <t xml:space="preserve">
Not used currently</t>
        </r>
      </text>
    </comment>
    <comment ref="BE2410" authorId="1" shapeId="0" xr:uid="{00000000-0006-0000-0600-0000D8000000}">
      <text>
        <r>
          <rPr>
            <b/>
            <sz val="9"/>
            <color indexed="81"/>
            <rFont val="Tahoma"/>
            <family val="2"/>
          </rPr>
          <t>Spangenberger, Jeffrey S.:</t>
        </r>
        <r>
          <rPr>
            <sz val="9"/>
            <color indexed="81"/>
            <rFont val="Tahoma"/>
            <family val="2"/>
          </rPr>
          <t xml:space="preserve">
At hrs per day and days per year entered above</t>
        </r>
      </text>
    </comment>
    <comment ref="CE2410" authorId="1" shapeId="0" xr:uid="{00000000-0006-0000-0600-0000D9000000}">
      <text>
        <r>
          <rPr>
            <b/>
            <sz val="9"/>
            <color indexed="81"/>
            <rFont val="Tahoma"/>
            <family val="2"/>
          </rPr>
          <t>Spangenberger, Jeffrey S.:</t>
        </r>
        <r>
          <rPr>
            <sz val="9"/>
            <color indexed="81"/>
            <rFont val="Tahoma"/>
            <family val="2"/>
          </rPr>
          <t xml:space="preserve">
At hrs per day and days per year entered above</t>
        </r>
      </text>
    </comment>
    <comment ref="DE2410" authorId="1" shapeId="0" xr:uid="{00000000-0006-0000-0600-0000DA000000}">
      <text>
        <r>
          <rPr>
            <b/>
            <sz val="9"/>
            <color indexed="81"/>
            <rFont val="Tahoma"/>
            <family val="2"/>
          </rPr>
          <t>Spangenberger, Jeffrey S.:</t>
        </r>
        <r>
          <rPr>
            <sz val="9"/>
            <color indexed="81"/>
            <rFont val="Tahoma"/>
            <family val="2"/>
          </rPr>
          <t xml:space="preserve">
At hrs per day and days per year entered above</t>
        </r>
      </text>
    </comment>
    <comment ref="EE2410" authorId="1" shapeId="0" xr:uid="{00000000-0006-0000-0600-0000DB000000}">
      <text>
        <r>
          <rPr>
            <b/>
            <sz val="9"/>
            <color indexed="81"/>
            <rFont val="Tahoma"/>
            <family val="2"/>
          </rPr>
          <t>Spangenberger, Jeffrey S.:</t>
        </r>
        <r>
          <rPr>
            <sz val="9"/>
            <color indexed="81"/>
            <rFont val="Tahoma"/>
            <family val="2"/>
          </rPr>
          <t xml:space="preserve">
At hrs per day and days per year entered above</t>
        </r>
      </text>
    </comment>
    <comment ref="BB2469" authorId="1" shapeId="0" xr:uid="{00000000-0006-0000-0600-0000DC000000}">
      <text>
        <r>
          <rPr>
            <b/>
            <sz val="9"/>
            <color indexed="81"/>
            <rFont val="Tahoma"/>
            <family val="2"/>
          </rPr>
          <t>Spangenberger, Jeffrey S.:</t>
        </r>
        <r>
          <rPr>
            <sz val="9"/>
            <color indexed="81"/>
            <rFont val="Tahoma"/>
            <family val="2"/>
          </rPr>
          <t xml:space="preserve">
Not used currently</t>
        </r>
      </text>
    </comment>
    <comment ref="CB2469" authorId="1" shapeId="0" xr:uid="{00000000-0006-0000-0600-0000DD000000}">
      <text>
        <r>
          <rPr>
            <b/>
            <sz val="9"/>
            <color indexed="81"/>
            <rFont val="Tahoma"/>
            <family val="2"/>
          </rPr>
          <t>Spangenberger, Jeffrey S.:</t>
        </r>
        <r>
          <rPr>
            <sz val="9"/>
            <color indexed="81"/>
            <rFont val="Tahoma"/>
            <family val="2"/>
          </rPr>
          <t xml:space="preserve">
Not used currently</t>
        </r>
      </text>
    </comment>
    <comment ref="DB2469" authorId="1" shapeId="0" xr:uid="{00000000-0006-0000-0600-0000DE000000}">
      <text>
        <r>
          <rPr>
            <b/>
            <sz val="9"/>
            <color indexed="81"/>
            <rFont val="Tahoma"/>
            <family val="2"/>
          </rPr>
          <t>Spangenberger, Jeffrey S.:</t>
        </r>
        <r>
          <rPr>
            <sz val="9"/>
            <color indexed="81"/>
            <rFont val="Tahoma"/>
            <family val="2"/>
          </rPr>
          <t xml:space="preserve">
Not used currently</t>
        </r>
      </text>
    </comment>
    <comment ref="EB2469" authorId="1" shapeId="0" xr:uid="{00000000-0006-0000-0600-0000DF000000}">
      <text>
        <r>
          <rPr>
            <b/>
            <sz val="9"/>
            <color indexed="81"/>
            <rFont val="Tahoma"/>
            <family val="2"/>
          </rPr>
          <t>Spangenberger, Jeffrey S.:</t>
        </r>
        <r>
          <rPr>
            <sz val="9"/>
            <color indexed="81"/>
            <rFont val="Tahoma"/>
            <family val="2"/>
          </rPr>
          <t xml:space="preserve">
Not used currently</t>
        </r>
      </text>
    </comment>
    <comment ref="BE2510" authorId="1" shapeId="0" xr:uid="{00000000-0006-0000-0600-0000E0000000}">
      <text>
        <r>
          <rPr>
            <b/>
            <sz val="9"/>
            <color indexed="81"/>
            <rFont val="Tahoma"/>
            <family val="2"/>
          </rPr>
          <t>Spangenberger, Jeffrey S.:</t>
        </r>
        <r>
          <rPr>
            <sz val="9"/>
            <color indexed="81"/>
            <rFont val="Tahoma"/>
            <family val="2"/>
          </rPr>
          <t xml:space="preserve">
At hrs per day and days per year entered above</t>
        </r>
      </text>
    </comment>
    <comment ref="CE2510" authorId="1" shapeId="0" xr:uid="{00000000-0006-0000-0600-0000E1000000}">
      <text>
        <r>
          <rPr>
            <b/>
            <sz val="9"/>
            <color indexed="81"/>
            <rFont val="Tahoma"/>
            <family val="2"/>
          </rPr>
          <t>Spangenberger, Jeffrey S.:</t>
        </r>
        <r>
          <rPr>
            <sz val="9"/>
            <color indexed="81"/>
            <rFont val="Tahoma"/>
            <family val="2"/>
          </rPr>
          <t xml:space="preserve">
At hrs per day and days per year entered above</t>
        </r>
      </text>
    </comment>
    <comment ref="DE2510" authorId="1" shapeId="0" xr:uid="{00000000-0006-0000-0600-0000E2000000}">
      <text>
        <r>
          <rPr>
            <b/>
            <sz val="9"/>
            <color indexed="81"/>
            <rFont val="Tahoma"/>
            <family val="2"/>
          </rPr>
          <t>Spangenberger, Jeffrey S.:</t>
        </r>
        <r>
          <rPr>
            <sz val="9"/>
            <color indexed="81"/>
            <rFont val="Tahoma"/>
            <family val="2"/>
          </rPr>
          <t xml:space="preserve">
At hrs per day and days per year entered above</t>
        </r>
      </text>
    </comment>
    <comment ref="EE2510" authorId="1" shapeId="0" xr:uid="{00000000-0006-0000-0600-0000E3000000}">
      <text>
        <r>
          <rPr>
            <b/>
            <sz val="9"/>
            <color indexed="81"/>
            <rFont val="Tahoma"/>
            <family val="2"/>
          </rPr>
          <t>Spangenberger, Jeffrey S.:</t>
        </r>
        <r>
          <rPr>
            <sz val="9"/>
            <color indexed="81"/>
            <rFont val="Tahoma"/>
            <family val="2"/>
          </rPr>
          <t xml:space="preserve">
At hrs per day and days per year entered above</t>
        </r>
      </text>
    </comment>
    <comment ref="BB2569" authorId="1" shapeId="0" xr:uid="{00000000-0006-0000-0600-0000E4000000}">
      <text>
        <r>
          <rPr>
            <b/>
            <sz val="9"/>
            <color indexed="81"/>
            <rFont val="Tahoma"/>
            <family val="2"/>
          </rPr>
          <t>Spangenberger, Jeffrey S.:</t>
        </r>
        <r>
          <rPr>
            <sz val="9"/>
            <color indexed="81"/>
            <rFont val="Tahoma"/>
            <family val="2"/>
          </rPr>
          <t xml:space="preserve">
Not used currently</t>
        </r>
      </text>
    </comment>
    <comment ref="CB2569" authorId="1" shapeId="0" xr:uid="{00000000-0006-0000-0600-0000E5000000}">
      <text>
        <r>
          <rPr>
            <b/>
            <sz val="9"/>
            <color indexed="81"/>
            <rFont val="Tahoma"/>
            <family val="2"/>
          </rPr>
          <t>Spangenberger, Jeffrey S.:</t>
        </r>
        <r>
          <rPr>
            <sz val="9"/>
            <color indexed="81"/>
            <rFont val="Tahoma"/>
            <family val="2"/>
          </rPr>
          <t xml:space="preserve">
Not used currently</t>
        </r>
      </text>
    </comment>
    <comment ref="DB2569" authorId="1" shapeId="0" xr:uid="{00000000-0006-0000-0600-0000E6000000}">
      <text>
        <r>
          <rPr>
            <b/>
            <sz val="9"/>
            <color indexed="81"/>
            <rFont val="Tahoma"/>
            <family val="2"/>
          </rPr>
          <t>Spangenberger, Jeffrey S.:</t>
        </r>
        <r>
          <rPr>
            <sz val="9"/>
            <color indexed="81"/>
            <rFont val="Tahoma"/>
            <family val="2"/>
          </rPr>
          <t xml:space="preserve">
Not used currently</t>
        </r>
      </text>
    </comment>
    <comment ref="EB2569" authorId="1" shapeId="0" xr:uid="{00000000-0006-0000-0600-0000E7000000}">
      <text>
        <r>
          <rPr>
            <b/>
            <sz val="9"/>
            <color indexed="81"/>
            <rFont val="Tahoma"/>
            <family val="2"/>
          </rPr>
          <t>Spangenberger, Jeffrey S.:</t>
        </r>
        <r>
          <rPr>
            <sz val="9"/>
            <color indexed="81"/>
            <rFont val="Tahoma"/>
            <family val="2"/>
          </rPr>
          <t xml:space="preserve">
Not used currently</t>
        </r>
      </text>
    </comment>
    <comment ref="BE2610" authorId="1" shapeId="0" xr:uid="{00000000-0006-0000-0600-0000E8000000}">
      <text>
        <r>
          <rPr>
            <b/>
            <sz val="9"/>
            <color indexed="81"/>
            <rFont val="Tahoma"/>
            <family val="2"/>
          </rPr>
          <t>Spangenberger, Jeffrey S.:</t>
        </r>
        <r>
          <rPr>
            <sz val="9"/>
            <color indexed="81"/>
            <rFont val="Tahoma"/>
            <family val="2"/>
          </rPr>
          <t xml:space="preserve">
At hrs per day and days per year entered above</t>
        </r>
      </text>
    </comment>
    <comment ref="CE2610" authorId="1" shapeId="0" xr:uid="{00000000-0006-0000-0600-0000E9000000}">
      <text>
        <r>
          <rPr>
            <b/>
            <sz val="9"/>
            <color indexed="81"/>
            <rFont val="Tahoma"/>
            <family val="2"/>
          </rPr>
          <t>Spangenberger, Jeffrey S.:</t>
        </r>
        <r>
          <rPr>
            <sz val="9"/>
            <color indexed="81"/>
            <rFont val="Tahoma"/>
            <family val="2"/>
          </rPr>
          <t xml:space="preserve">
At hrs per day and days per year entered above</t>
        </r>
      </text>
    </comment>
    <comment ref="DE2610" authorId="1" shapeId="0" xr:uid="{00000000-0006-0000-0600-0000EA000000}">
      <text>
        <r>
          <rPr>
            <b/>
            <sz val="9"/>
            <color indexed="81"/>
            <rFont val="Tahoma"/>
            <family val="2"/>
          </rPr>
          <t>Spangenberger, Jeffrey S.:</t>
        </r>
        <r>
          <rPr>
            <sz val="9"/>
            <color indexed="81"/>
            <rFont val="Tahoma"/>
            <family val="2"/>
          </rPr>
          <t xml:space="preserve">
At hrs per day and days per year entered above</t>
        </r>
      </text>
    </comment>
    <comment ref="EE2610" authorId="1" shapeId="0" xr:uid="{00000000-0006-0000-0600-0000EB000000}">
      <text>
        <r>
          <rPr>
            <b/>
            <sz val="9"/>
            <color indexed="81"/>
            <rFont val="Tahoma"/>
            <family val="2"/>
          </rPr>
          <t>Spangenberger, Jeffrey S.:</t>
        </r>
        <r>
          <rPr>
            <sz val="9"/>
            <color indexed="81"/>
            <rFont val="Tahoma"/>
            <family val="2"/>
          </rPr>
          <t xml:space="preserve">
At hrs per day and days per year entered above</t>
        </r>
      </text>
    </comment>
    <comment ref="BB2669" authorId="1" shapeId="0" xr:uid="{00000000-0006-0000-0600-0000EC000000}">
      <text>
        <r>
          <rPr>
            <b/>
            <sz val="9"/>
            <color indexed="81"/>
            <rFont val="Tahoma"/>
            <family val="2"/>
          </rPr>
          <t>Spangenberger, Jeffrey S.:</t>
        </r>
        <r>
          <rPr>
            <sz val="9"/>
            <color indexed="81"/>
            <rFont val="Tahoma"/>
            <family val="2"/>
          </rPr>
          <t xml:space="preserve">
Not used currently</t>
        </r>
      </text>
    </comment>
    <comment ref="CB2669" authorId="1" shapeId="0" xr:uid="{00000000-0006-0000-0600-0000ED000000}">
      <text>
        <r>
          <rPr>
            <b/>
            <sz val="9"/>
            <color indexed="81"/>
            <rFont val="Tahoma"/>
            <family val="2"/>
          </rPr>
          <t>Spangenberger, Jeffrey S.:</t>
        </r>
        <r>
          <rPr>
            <sz val="9"/>
            <color indexed="81"/>
            <rFont val="Tahoma"/>
            <family val="2"/>
          </rPr>
          <t xml:space="preserve">
Not used currently</t>
        </r>
      </text>
    </comment>
    <comment ref="DB2669" authorId="1" shapeId="0" xr:uid="{00000000-0006-0000-0600-0000EE000000}">
      <text>
        <r>
          <rPr>
            <b/>
            <sz val="9"/>
            <color indexed="81"/>
            <rFont val="Tahoma"/>
            <family val="2"/>
          </rPr>
          <t>Spangenberger, Jeffrey S.:</t>
        </r>
        <r>
          <rPr>
            <sz val="9"/>
            <color indexed="81"/>
            <rFont val="Tahoma"/>
            <family val="2"/>
          </rPr>
          <t xml:space="preserve">
Not used currently</t>
        </r>
      </text>
    </comment>
    <comment ref="EB2669" authorId="1" shapeId="0" xr:uid="{00000000-0006-0000-0600-0000EF000000}">
      <text>
        <r>
          <rPr>
            <b/>
            <sz val="9"/>
            <color indexed="81"/>
            <rFont val="Tahoma"/>
            <family val="2"/>
          </rPr>
          <t>Spangenberger, Jeffrey S.:</t>
        </r>
        <r>
          <rPr>
            <sz val="9"/>
            <color indexed="81"/>
            <rFont val="Tahoma"/>
            <family val="2"/>
          </rPr>
          <t xml:space="preserve">
Not used currently</t>
        </r>
      </text>
    </comment>
    <comment ref="BE2710" authorId="1" shapeId="0" xr:uid="{00000000-0006-0000-0600-0000F0000000}">
      <text>
        <r>
          <rPr>
            <b/>
            <sz val="9"/>
            <color indexed="81"/>
            <rFont val="Tahoma"/>
            <family val="2"/>
          </rPr>
          <t>Spangenberger, Jeffrey S.:</t>
        </r>
        <r>
          <rPr>
            <sz val="9"/>
            <color indexed="81"/>
            <rFont val="Tahoma"/>
            <family val="2"/>
          </rPr>
          <t xml:space="preserve">
At hrs per day and days per year entered above</t>
        </r>
      </text>
    </comment>
    <comment ref="CE2710" authorId="1" shapeId="0" xr:uid="{00000000-0006-0000-0600-0000F1000000}">
      <text>
        <r>
          <rPr>
            <b/>
            <sz val="9"/>
            <color indexed="81"/>
            <rFont val="Tahoma"/>
            <family val="2"/>
          </rPr>
          <t>Spangenberger, Jeffrey S.:</t>
        </r>
        <r>
          <rPr>
            <sz val="9"/>
            <color indexed="81"/>
            <rFont val="Tahoma"/>
            <family val="2"/>
          </rPr>
          <t xml:space="preserve">
At hrs per day and days per year entered above</t>
        </r>
      </text>
    </comment>
    <comment ref="DE2710" authorId="1" shapeId="0" xr:uid="{00000000-0006-0000-0600-0000F2000000}">
      <text>
        <r>
          <rPr>
            <b/>
            <sz val="9"/>
            <color indexed="81"/>
            <rFont val="Tahoma"/>
            <family val="2"/>
          </rPr>
          <t>Spangenberger, Jeffrey S.:</t>
        </r>
        <r>
          <rPr>
            <sz val="9"/>
            <color indexed="81"/>
            <rFont val="Tahoma"/>
            <family val="2"/>
          </rPr>
          <t xml:space="preserve">
At hrs per day and days per year entered above</t>
        </r>
      </text>
    </comment>
    <comment ref="EE2710" authorId="1" shapeId="0" xr:uid="{00000000-0006-0000-0600-0000F3000000}">
      <text>
        <r>
          <rPr>
            <b/>
            <sz val="9"/>
            <color indexed="81"/>
            <rFont val="Tahoma"/>
            <family val="2"/>
          </rPr>
          <t>Spangenberger, Jeffrey S.:</t>
        </r>
        <r>
          <rPr>
            <sz val="9"/>
            <color indexed="81"/>
            <rFont val="Tahoma"/>
            <family val="2"/>
          </rPr>
          <t xml:space="preserve">
At hrs per day and days per year entered above</t>
        </r>
      </text>
    </comment>
    <comment ref="BB2769" authorId="1" shapeId="0" xr:uid="{00000000-0006-0000-0600-0000F4000000}">
      <text>
        <r>
          <rPr>
            <b/>
            <sz val="9"/>
            <color indexed="81"/>
            <rFont val="Tahoma"/>
            <family val="2"/>
          </rPr>
          <t>Spangenberger, Jeffrey S.:</t>
        </r>
        <r>
          <rPr>
            <sz val="9"/>
            <color indexed="81"/>
            <rFont val="Tahoma"/>
            <family val="2"/>
          </rPr>
          <t xml:space="preserve">
Not used currently</t>
        </r>
      </text>
    </comment>
    <comment ref="CB2769" authorId="1" shapeId="0" xr:uid="{00000000-0006-0000-0600-0000F5000000}">
      <text>
        <r>
          <rPr>
            <b/>
            <sz val="9"/>
            <color indexed="81"/>
            <rFont val="Tahoma"/>
            <family val="2"/>
          </rPr>
          <t>Spangenberger, Jeffrey S.:</t>
        </r>
        <r>
          <rPr>
            <sz val="9"/>
            <color indexed="81"/>
            <rFont val="Tahoma"/>
            <family val="2"/>
          </rPr>
          <t xml:space="preserve">
Not used currently</t>
        </r>
      </text>
    </comment>
    <comment ref="DB2769" authorId="1" shapeId="0" xr:uid="{00000000-0006-0000-0600-0000F6000000}">
      <text>
        <r>
          <rPr>
            <b/>
            <sz val="9"/>
            <color indexed="81"/>
            <rFont val="Tahoma"/>
            <family val="2"/>
          </rPr>
          <t>Spangenberger, Jeffrey S.:</t>
        </r>
        <r>
          <rPr>
            <sz val="9"/>
            <color indexed="81"/>
            <rFont val="Tahoma"/>
            <family val="2"/>
          </rPr>
          <t xml:space="preserve">
Not used currently</t>
        </r>
      </text>
    </comment>
    <comment ref="EB2769" authorId="1" shapeId="0" xr:uid="{00000000-0006-0000-0600-0000F7000000}">
      <text>
        <r>
          <rPr>
            <b/>
            <sz val="9"/>
            <color indexed="81"/>
            <rFont val="Tahoma"/>
            <family val="2"/>
          </rPr>
          <t>Spangenberger, Jeffrey S.:</t>
        </r>
        <r>
          <rPr>
            <sz val="9"/>
            <color indexed="81"/>
            <rFont val="Tahoma"/>
            <family val="2"/>
          </rPr>
          <t xml:space="preserve">
Not used currently</t>
        </r>
      </text>
    </comment>
    <comment ref="BE2810" authorId="1" shapeId="0" xr:uid="{00000000-0006-0000-0600-0000F8000000}">
      <text>
        <r>
          <rPr>
            <b/>
            <sz val="9"/>
            <color indexed="81"/>
            <rFont val="Tahoma"/>
            <family val="2"/>
          </rPr>
          <t>Spangenberger, Jeffrey S.:</t>
        </r>
        <r>
          <rPr>
            <sz val="9"/>
            <color indexed="81"/>
            <rFont val="Tahoma"/>
            <family val="2"/>
          </rPr>
          <t xml:space="preserve">
At hrs per day and days per year entered above</t>
        </r>
      </text>
    </comment>
    <comment ref="CE2810" authorId="1" shapeId="0" xr:uid="{00000000-0006-0000-0600-0000F9000000}">
      <text>
        <r>
          <rPr>
            <b/>
            <sz val="9"/>
            <color indexed="81"/>
            <rFont val="Tahoma"/>
            <family val="2"/>
          </rPr>
          <t>Spangenberger, Jeffrey S.:</t>
        </r>
        <r>
          <rPr>
            <sz val="9"/>
            <color indexed="81"/>
            <rFont val="Tahoma"/>
            <family val="2"/>
          </rPr>
          <t xml:space="preserve">
At hrs per day and days per year entered above</t>
        </r>
      </text>
    </comment>
    <comment ref="DE2810" authorId="1" shapeId="0" xr:uid="{00000000-0006-0000-0600-0000FA000000}">
      <text>
        <r>
          <rPr>
            <b/>
            <sz val="9"/>
            <color indexed="81"/>
            <rFont val="Tahoma"/>
            <family val="2"/>
          </rPr>
          <t>Spangenberger, Jeffrey S.:</t>
        </r>
        <r>
          <rPr>
            <sz val="9"/>
            <color indexed="81"/>
            <rFont val="Tahoma"/>
            <family val="2"/>
          </rPr>
          <t xml:space="preserve">
At hrs per day and days per year entered above</t>
        </r>
      </text>
    </comment>
    <comment ref="EE2810" authorId="1" shapeId="0" xr:uid="{00000000-0006-0000-0600-0000FB000000}">
      <text>
        <r>
          <rPr>
            <b/>
            <sz val="9"/>
            <color indexed="81"/>
            <rFont val="Tahoma"/>
            <family val="2"/>
          </rPr>
          <t>Spangenberger, Jeffrey S.:</t>
        </r>
        <r>
          <rPr>
            <sz val="9"/>
            <color indexed="81"/>
            <rFont val="Tahoma"/>
            <family val="2"/>
          </rPr>
          <t xml:space="preserve">
At hrs per day and days per year entered above</t>
        </r>
      </text>
    </comment>
    <comment ref="BB2869" authorId="1" shapeId="0" xr:uid="{00000000-0006-0000-0600-0000FC000000}">
      <text>
        <r>
          <rPr>
            <b/>
            <sz val="9"/>
            <color indexed="81"/>
            <rFont val="Tahoma"/>
            <family val="2"/>
          </rPr>
          <t>Spangenberger, Jeffrey S.:</t>
        </r>
        <r>
          <rPr>
            <sz val="9"/>
            <color indexed="81"/>
            <rFont val="Tahoma"/>
            <family val="2"/>
          </rPr>
          <t xml:space="preserve">
Not used currently</t>
        </r>
      </text>
    </comment>
    <comment ref="CB2869" authorId="1" shapeId="0" xr:uid="{00000000-0006-0000-0600-0000FD000000}">
      <text>
        <r>
          <rPr>
            <b/>
            <sz val="9"/>
            <color indexed="81"/>
            <rFont val="Tahoma"/>
            <family val="2"/>
          </rPr>
          <t>Spangenberger, Jeffrey S.:</t>
        </r>
        <r>
          <rPr>
            <sz val="9"/>
            <color indexed="81"/>
            <rFont val="Tahoma"/>
            <family val="2"/>
          </rPr>
          <t xml:space="preserve">
Not used currently</t>
        </r>
      </text>
    </comment>
    <comment ref="DB2869" authorId="1" shapeId="0" xr:uid="{00000000-0006-0000-0600-0000FE000000}">
      <text>
        <r>
          <rPr>
            <b/>
            <sz val="9"/>
            <color indexed="81"/>
            <rFont val="Tahoma"/>
            <family val="2"/>
          </rPr>
          <t>Spangenberger, Jeffrey S.:</t>
        </r>
        <r>
          <rPr>
            <sz val="9"/>
            <color indexed="81"/>
            <rFont val="Tahoma"/>
            <family val="2"/>
          </rPr>
          <t xml:space="preserve">
Not used currently</t>
        </r>
      </text>
    </comment>
    <comment ref="EB2869" authorId="1" shapeId="0" xr:uid="{00000000-0006-0000-0600-0000FF000000}">
      <text>
        <r>
          <rPr>
            <b/>
            <sz val="9"/>
            <color indexed="81"/>
            <rFont val="Tahoma"/>
            <family val="2"/>
          </rPr>
          <t>Spangenberger, Jeffrey S.:</t>
        </r>
        <r>
          <rPr>
            <sz val="9"/>
            <color indexed="81"/>
            <rFont val="Tahoma"/>
            <family val="2"/>
          </rPr>
          <t xml:space="preserve">
Not used currently</t>
        </r>
      </text>
    </comment>
    <comment ref="BE2910" authorId="1" shapeId="0" xr:uid="{00000000-0006-0000-0600-000000010000}">
      <text>
        <r>
          <rPr>
            <b/>
            <sz val="9"/>
            <color indexed="81"/>
            <rFont val="Tahoma"/>
            <family val="2"/>
          </rPr>
          <t>Spangenberger, Jeffrey S.:</t>
        </r>
        <r>
          <rPr>
            <sz val="9"/>
            <color indexed="81"/>
            <rFont val="Tahoma"/>
            <family val="2"/>
          </rPr>
          <t xml:space="preserve">
At hrs per day and days per year entered above</t>
        </r>
      </text>
    </comment>
    <comment ref="CE2910" authorId="1" shapeId="0" xr:uid="{00000000-0006-0000-0600-000001010000}">
      <text>
        <r>
          <rPr>
            <b/>
            <sz val="9"/>
            <color indexed="81"/>
            <rFont val="Tahoma"/>
            <family val="2"/>
          </rPr>
          <t>Spangenberger, Jeffrey S.:</t>
        </r>
        <r>
          <rPr>
            <sz val="9"/>
            <color indexed="81"/>
            <rFont val="Tahoma"/>
            <family val="2"/>
          </rPr>
          <t xml:space="preserve">
At hrs per day and days per year entered above</t>
        </r>
      </text>
    </comment>
    <comment ref="DE2910" authorId="1" shapeId="0" xr:uid="{00000000-0006-0000-0600-000002010000}">
      <text>
        <r>
          <rPr>
            <b/>
            <sz val="9"/>
            <color indexed="81"/>
            <rFont val="Tahoma"/>
            <family val="2"/>
          </rPr>
          <t>Spangenberger, Jeffrey S.:</t>
        </r>
        <r>
          <rPr>
            <sz val="9"/>
            <color indexed="81"/>
            <rFont val="Tahoma"/>
            <family val="2"/>
          </rPr>
          <t xml:space="preserve">
At hrs per day and days per year entered above</t>
        </r>
      </text>
    </comment>
    <comment ref="EE2910" authorId="1" shapeId="0" xr:uid="{00000000-0006-0000-0600-000003010000}">
      <text>
        <r>
          <rPr>
            <b/>
            <sz val="9"/>
            <color indexed="81"/>
            <rFont val="Tahoma"/>
            <family val="2"/>
          </rPr>
          <t>Spangenberger, Jeffrey S.:</t>
        </r>
        <r>
          <rPr>
            <sz val="9"/>
            <color indexed="81"/>
            <rFont val="Tahoma"/>
            <family val="2"/>
          </rPr>
          <t xml:space="preserve">
At hrs per day and days per year entered above</t>
        </r>
      </text>
    </comment>
    <comment ref="BB2969" authorId="1" shapeId="0" xr:uid="{00000000-0006-0000-0600-000004010000}">
      <text>
        <r>
          <rPr>
            <b/>
            <sz val="9"/>
            <color indexed="81"/>
            <rFont val="Tahoma"/>
            <family val="2"/>
          </rPr>
          <t>Spangenberger, Jeffrey S.:</t>
        </r>
        <r>
          <rPr>
            <sz val="9"/>
            <color indexed="81"/>
            <rFont val="Tahoma"/>
            <family val="2"/>
          </rPr>
          <t xml:space="preserve">
Not used currently</t>
        </r>
      </text>
    </comment>
    <comment ref="CB2969" authorId="1" shapeId="0" xr:uid="{00000000-0006-0000-0600-000005010000}">
      <text>
        <r>
          <rPr>
            <b/>
            <sz val="9"/>
            <color indexed="81"/>
            <rFont val="Tahoma"/>
            <family val="2"/>
          </rPr>
          <t>Spangenberger, Jeffrey S.:</t>
        </r>
        <r>
          <rPr>
            <sz val="9"/>
            <color indexed="81"/>
            <rFont val="Tahoma"/>
            <family val="2"/>
          </rPr>
          <t xml:space="preserve">
Not used currently</t>
        </r>
      </text>
    </comment>
    <comment ref="DB2969" authorId="1" shapeId="0" xr:uid="{00000000-0006-0000-0600-000006010000}">
      <text>
        <r>
          <rPr>
            <b/>
            <sz val="9"/>
            <color indexed="81"/>
            <rFont val="Tahoma"/>
            <family val="2"/>
          </rPr>
          <t>Spangenberger, Jeffrey S.:</t>
        </r>
        <r>
          <rPr>
            <sz val="9"/>
            <color indexed="81"/>
            <rFont val="Tahoma"/>
            <family val="2"/>
          </rPr>
          <t xml:space="preserve">
Not used currently</t>
        </r>
      </text>
    </comment>
    <comment ref="EB2969" authorId="1" shapeId="0" xr:uid="{00000000-0006-0000-0600-000007010000}">
      <text>
        <r>
          <rPr>
            <b/>
            <sz val="9"/>
            <color indexed="81"/>
            <rFont val="Tahoma"/>
            <family val="2"/>
          </rPr>
          <t>Spangenberger, Jeffrey S.:</t>
        </r>
        <r>
          <rPr>
            <sz val="9"/>
            <color indexed="81"/>
            <rFont val="Tahoma"/>
            <family val="2"/>
          </rPr>
          <t xml:space="preserve">
Not used currently</t>
        </r>
      </text>
    </comment>
    <comment ref="BE3010" authorId="1" shapeId="0" xr:uid="{00000000-0006-0000-0600-000008010000}">
      <text>
        <r>
          <rPr>
            <b/>
            <sz val="9"/>
            <color indexed="81"/>
            <rFont val="Tahoma"/>
            <family val="2"/>
          </rPr>
          <t>Spangenberger, Jeffrey S.:</t>
        </r>
        <r>
          <rPr>
            <sz val="9"/>
            <color indexed="81"/>
            <rFont val="Tahoma"/>
            <family val="2"/>
          </rPr>
          <t xml:space="preserve">
At hrs per day and days per year entered above</t>
        </r>
      </text>
    </comment>
    <comment ref="CE3010" authorId="1" shapeId="0" xr:uid="{00000000-0006-0000-0600-000009010000}">
      <text>
        <r>
          <rPr>
            <b/>
            <sz val="9"/>
            <color indexed="81"/>
            <rFont val="Tahoma"/>
            <family val="2"/>
          </rPr>
          <t>Spangenberger, Jeffrey S.:</t>
        </r>
        <r>
          <rPr>
            <sz val="9"/>
            <color indexed="81"/>
            <rFont val="Tahoma"/>
            <family val="2"/>
          </rPr>
          <t xml:space="preserve">
At hrs per day and days per year entered above</t>
        </r>
      </text>
    </comment>
    <comment ref="DE3010" authorId="1" shapeId="0" xr:uid="{00000000-0006-0000-0600-00000A010000}">
      <text>
        <r>
          <rPr>
            <b/>
            <sz val="9"/>
            <color indexed="81"/>
            <rFont val="Tahoma"/>
            <family val="2"/>
          </rPr>
          <t>Spangenberger, Jeffrey S.:</t>
        </r>
        <r>
          <rPr>
            <sz val="9"/>
            <color indexed="81"/>
            <rFont val="Tahoma"/>
            <family val="2"/>
          </rPr>
          <t xml:space="preserve">
At hrs per day and days per year entered above</t>
        </r>
      </text>
    </comment>
    <comment ref="EE3010" authorId="1" shapeId="0" xr:uid="{00000000-0006-0000-0600-00000B010000}">
      <text>
        <r>
          <rPr>
            <b/>
            <sz val="9"/>
            <color indexed="81"/>
            <rFont val="Tahoma"/>
            <family val="2"/>
          </rPr>
          <t>Spangenberger, Jeffrey S.:</t>
        </r>
        <r>
          <rPr>
            <sz val="9"/>
            <color indexed="81"/>
            <rFont val="Tahoma"/>
            <family val="2"/>
          </rPr>
          <t xml:space="preserve">
At hrs per day and days per year entered above</t>
        </r>
      </text>
    </comment>
    <comment ref="BB3069" authorId="1" shapeId="0" xr:uid="{00000000-0006-0000-0600-00000C010000}">
      <text>
        <r>
          <rPr>
            <b/>
            <sz val="9"/>
            <color indexed="81"/>
            <rFont val="Tahoma"/>
            <family val="2"/>
          </rPr>
          <t>Spangenberger, Jeffrey S.:</t>
        </r>
        <r>
          <rPr>
            <sz val="9"/>
            <color indexed="81"/>
            <rFont val="Tahoma"/>
            <family val="2"/>
          </rPr>
          <t xml:space="preserve">
Not used currently</t>
        </r>
      </text>
    </comment>
    <comment ref="CB3069" authorId="1" shapeId="0" xr:uid="{00000000-0006-0000-0600-00000D010000}">
      <text>
        <r>
          <rPr>
            <b/>
            <sz val="9"/>
            <color indexed="81"/>
            <rFont val="Tahoma"/>
            <family val="2"/>
          </rPr>
          <t>Spangenberger, Jeffrey S.:</t>
        </r>
        <r>
          <rPr>
            <sz val="9"/>
            <color indexed="81"/>
            <rFont val="Tahoma"/>
            <family val="2"/>
          </rPr>
          <t xml:space="preserve">
Not used currently</t>
        </r>
      </text>
    </comment>
    <comment ref="DB3069" authorId="1" shapeId="0" xr:uid="{00000000-0006-0000-0600-00000E010000}">
      <text>
        <r>
          <rPr>
            <b/>
            <sz val="9"/>
            <color indexed="81"/>
            <rFont val="Tahoma"/>
            <family val="2"/>
          </rPr>
          <t>Spangenberger, Jeffrey S.:</t>
        </r>
        <r>
          <rPr>
            <sz val="9"/>
            <color indexed="81"/>
            <rFont val="Tahoma"/>
            <family val="2"/>
          </rPr>
          <t xml:space="preserve">
Not used currently</t>
        </r>
      </text>
    </comment>
    <comment ref="EB3069" authorId="1" shapeId="0" xr:uid="{00000000-0006-0000-0600-00000F010000}">
      <text>
        <r>
          <rPr>
            <b/>
            <sz val="9"/>
            <color indexed="81"/>
            <rFont val="Tahoma"/>
            <family val="2"/>
          </rPr>
          <t>Spangenberger, Jeffrey S.:</t>
        </r>
        <r>
          <rPr>
            <sz val="9"/>
            <color indexed="81"/>
            <rFont val="Tahoma"/>
            <family val="2"/>
          </rPr>
          <t xml:space="preserve">
Not used currently</t>
        </r>
      </text>
    </comment>
    <comment ref="BE3110" authorId="1" shapeId="0" xr:uid="{00000000-0006-0000-0600-000010010000}">
      <text>
        <r>
          <rPr>
            <b/>
            <sz val="9"/>
            <color indexed="81"/>
            <rFont val="Tahoma"/>
            <family val="2"/>
          </rPr>
          <t>Spangenberger, Jeffrey S.:</t>
        </r>
        <r>
          <rPr>
            <sz val="9"/>
            <color indexed="81"/>
            <rFont val="Tahoma"/>
            <family val="2"/>
          </rPr>
          <t xml:space="preserve">
At hrs per day and days per year entered above</t>
        </r>
      </text>
    </comment>
    <comment ref="CE3110" authorId="1" shapeId="0" xr:uid="{00000000-0006-0000-0600-000011010000}">
      <text>
        <r>
          <rPr>
            <b/>
            <sz val="9"/>
            <color indexed="81"/>
            <rFont val="Tahoma"/>
            <family val="2"/>
          </rPr>
          <t>Spangenberger, Jeffrey S.:</t>
        </r>
        <r>
          <rPr>
            <sz val="9"/>
            <color indexed="81"/>
            <rFont val="Tahoma"/>
            <family val="2"/>
          </rPr>
          <t xml:space="preserve">
At hrs per day and days per year entered above</t>
        </r>
      </text>
    </comment>
    <comment ref="DE3110" authorId="1" shapeId="0" xr:uid="{00000000-0006-0000-0600-000012010000}">
      <text>
        <r>
          <rPr>
            <b/>
            <sz val="9"/>
            <color indexed="81"/>
            <rFont val="Tahoma"/>
            <family val="2"/>
          </rPr>
          <t>Spangenberger, Jeffrey S.:</t>
        </r>
        <r>
          <rPr>
            <sz val="9"/>
            <color indexed="81"/>
            <rFont val="Tahoma"/>
            <family val="2"/>
          </rPr>
          <t xml:space="preserve">
At hrs per day and days per year entered above</t>
        </r>
      </text>
    </comment>
    <comment ref="EE3110" authorId="1" shapeId="0" xr:uid="{00000000-0006-0000-0600-000013010000}">
      <text>
        <r>
          <rPr>
            <b/>
            <sz val="9"/>
            <color indexed="81"/>
            <rFont val="Tahoma"/>
            <family val="2"/>
          </rPr>
          <t>Spangenberger, Jeffrey S.:</t>
        </r>
        <r>
          <rPr>
            <sz val="9"/>
            <color indexed="81"/>
            <rFont val="Tahoma"/>
            <family val="2"/>
          </rPr>
          <t xml:space="preserve">
At hrs per day and days per year entered above</t>
        </r>
      </text>
    </comment>
    <comment ref="BB3169" authorId="1" shapeId="0" xr:uid="{00000000-0006-0000-0600-000014010000}">
      <text>
        <r>
          <rPr>
            <b/>
            <sz val="9"/>
            <color indexed="81"/>
            <rFont val="Tahoma"/>
            <family val="2"/>
          </rPr>
          <t>Spangenberger, Jeffrey S.:</t>
        </r>
        <r>
          <rPr>
            <sz val="9"/>
            <color indexed="81"/>
            <rFont val="Tahoma"/>
            <family val="2"/>
          </rPr>
          <t xml:space="preserve">
Not used currently</t>
        </r>
      </text>
    </comment>
    <comment ref="CB3169" authorId="1" shapeId="0" xr:uid="{00000000-0006-0000-0600-000015010000}">
      <text>
        <r>
          <rPr>
            <b/>
            <sz val="9"/>
            <color indexed="81"/>
            <rFont val="Tahoma"/>
            <family val="2"/>
          </rPr>
          <t>Spangenberger, Jeffrey S.:</t>
        </r>
        <r>
          <rPr>
            <sz val="9"/>
            <color indexed="81"/>
            <rFont val="Tahoma"/>
            <family val="2"/>
          </rPr>
          <t xml:space="preserve">
Not used currently</t>
        </r>
      </text>
    </comment>
    <comment ref="DB3169" authorId="1" shapeId="0" xr:uid="{00000000-0006-0000-0600-000016010000}">
      <text>
        <r>
          <rPr>
            <b/>
            <sz val="9"/>
            <color indexed="81"/>
            <rFont val="Tahoma"/>
            <family val="2"/>
          </rPr>
          <t>Spangenberger, Jeffrey S.:</t>
        </r>
        <r>
          <rPr>
            <sz val="9"/>
            <color indexed="81"/>
            <rFont val="Tahoma"/>
            <family val="2"/>
          </rPr>
          <t xml:space="preserve">
Not used currently</t>
        </r>
      </text>
    </comment>
    <comment ref="EB3169" authorId="1" shapeId="0" xr:uid="{00000000-0006-0000-0600-000017010000}">
      <text>
        <r>
          <rPr>
            <b/>
            <sz val="9"/>
            <color indexed="81"/>
            <rFont val="Tahoma"/>
            <family val="2"/>
          </rPr>
          <t>Spangenberger, Jeffrey S.:</t>
        </r>
        <r>
          <rPr>
            <sz val="9"/>
            <color indexed="81"/>
            <rFont val="Tahoma"/>
            <family val="2"/>
          </rPr>
          <t xml:space="preserve">
Not used currently</t>
        </r>
      </text>
    </comment>
    <comment ref="BE3210" authorId="1" shapeId="0" xr:uid="{00000000-0006-0000-0600-000018010000}">
      <text>
        <r>
          <rPr>
            <b/>
            <sz val="9"/>
            <color indexed="81"/>
            <rFont val="Tahoma"/>
            <family val="2"/>
          </rPr>
          <t>Spangenberger, Jeffrey S.:</t>
        </r>
        <r>
          <rPr>
            <sz val="9"/>
            <color indexed="81"/>
            <rFont val="Tahoma"/>
            <family val="2"/>
          </rPr>
          <t xml:space="preserve">
At hrs per day and days per year entered above</t>
        </r>
      </text>
    </comment>
    <comment ref="CE3210" authorId="1" shapeId="0" xr:uid="{00000000-0006-0000-0600-000019010000}">
      <text>
        <r>
          <rPr>
            <b/>
            <sz val="9"/>
            <color indexed="81"/>
            <rFont val="Tahoma"/>
            <family val="2"/>
          </rPr>
          <t>Spangenberger, Jeffrey S.:</t>
        </r>
        <r>
          <rPr>
            <sz val="9"/>
            <color indexed="81"/>
            <rFont val="Tahoma"/>
            <family val="2"/>
          </rPr>
          <t xml:space="preserve">
At hrs per day and days per year entered above</t>
        </r>
      </text>
    </comment>
    <comment ref="DE3210" authorId="1" shapeId="0" xr:uid="{00000000-0006-0000-0600-00001A010000}">
      <text>
        <r>
          <rPr>
            <b/>
            <sz val="9"/>
            <color indexed="81"/>
            <rFont val="Tahoma"/>
            <family val="2"/>
          </rPr>
          <t>Spangenberger, Jeffrey S.:</t>
        </r>
        <r>
          <rPr>
            <sz val="9"/>
            <color indexed="81"/>
            <rFont val="Tahoma"/>
            <family val="2"/>
          </rPr>
          <t xml:space="preserve">
At hrs per day and days per year entered above</t>
        </r>
      </text>
    </comment>
    <comment ref="EE3210" authorId="1" shapeId="0" xr:uid="{00000000-0006-0000-0600-00001B010000}">
      <text>
        <r>
          <rPr>
            <b/>
            <sz val="9"/>
            <color indexed="81"/>
            <rFont val="Tahoma"/>
            <family val="2"/>
          </rPr>
          <t>Spangenberger, Jeffrey S.:</t>
        </r>
        <r>
          <rPr>
            <sz val="9"/>
            <color indexed="81"/>
            <rFont val="Tahoma"/>
            <family val="2"/>
          </rPr>
          <t xml:space="preserve">
At hrs per day and days per year entered above</t>
        </r>
      </text>
    </comment>
    <comment ref="BB3269" authorId="1" shapeId="0" xr:uid="{00000000-0006-0000-0600-00001C010000}">
      <text>
        <r>
          <rPr>
            <b/>
            <sz val="9"/>
            <color indexed="81"/>
            <rFont val="Tahoma"/>
            <family val="2"/>
          </rPr>
          <t>Spangenberger, Jeffrey S.:</t>
        </r>
        <r>
          <rPr>
            <sz val="9"/>
            <color indexed="81"/>
            <rFont val="Tahoma"/>
            <family val="2"/>
          </rPr>
          <t xml:space="preserve">
Not used currently</t>
        </r>
      </text>
    </comment>
    <comment ref="CB3269" authorId="1" shapeId="0" xr:uid="{00000000-0006-0000-0600-00001D010000}">
      <text>
        <r>
          <rPr>
            <b/>
            <sz val="9"/>
            <color indexed="81"/>
            <rFont val="Tahoma"/>
            <family val="2"/>
          </rPr>
          <t>Spangenberger, Jeffrey S.:</t>
        </r>
        <r>
          <rPr>
            <sz val="9"/>
            <color indexed="81"/>
            <rFont val="Tahoma"/>
            <family val="2"/>
          </rPr>
          <t xml:space="preserve">
Not used currently</t>
        </r>
      </text>
    </comment>
    <comment ref="DB3269" authorId="1" shapeId="0" xr:uid="{00000000-0006-0000-0600-00001E010000}">
      <text>
        <r>
          <rPr>
            <b/>
            <sz val="9"/>
            <color indexed="81"/>
            <rFont val="Tahoma"/>
            <family val="2"/>
          </rPr>
          <t>Spangenberger, Jeffrey S.:</t>
        </r>
        <r>
          <rPr>
            <sz val="9"/>
            <color indexed="81"/>
            <rFont val="Tahoma"/>
            <family val="2"/>
          </rPr>
          <t xml:space="preserve">
Not used currently</t>
        </r>
      </text>
    </comment>
    <comment ref="EB3269" authorId="1" shapeId="0" xr:uid="{00000000-0006-0000-0600-00001F010000}">
      <text>
        <r>
          <rPr>
            <b/>
            <sz val="9"/>
            <color indexed="81"/>
            <rFont val="Tahoma"/>
            <family val="2"/>
          </rPr>
          <t>Spangenberger, Jeffrey S.:</t>
        </r>
        <r>
          <rPr>
            <sz val="9"/>
            <color indexed="81"/>
            <rFont val="Tahoma"/>
            <family val="2"/>
          </rPr>
          <t xml:space="preserve">
Not used currently</t>
        </r>
      </text>
    </comment>
    <comment ref="BE3310" authorId="1" shapeId="0" xr:uid="{00000000-0006-0000-0600-000020010000}">
      <text>
        <r>
          <rPr>
            <b/>
            <sz val="9"/>
            <color indexed="81"/>
            <rFont val="Tahoma"/>
            <family val="2"/>
          </rPr>
          <t>Spangenberger, Jeffrey S.:</t>
        </r>
        <r>
          <rPr>
            <sz val="9"/>
            <color indexed="81"/>
            <rFont val="Tahoma"/>
            <family val="2"/>
          </rPr>
          <t xml:space="preserve">
At hrs per day and days per year entered above</t>
        </r>
      </text>
    </comment>
    <comment ref="CE3310" authorId="1" shapeId="0" xr:uid="{00000000-0006-0000-0600-000021010000}">
      <text>
        <r>
          <rPr>
            <b/>
            <sz val="9"/>
            <color indexed="81"/>
            <rFont val="Tahoma"/>
            <family val="2"/>
          </rPr>
          <t>Spangenberger, Jeffrey S.:</t>
        </r>
        <r>
          <rPr>
            <sz val="9"/>
            <color indexed="81"/>
            <rFont val="Tahoma"/>
            <family val="2"/>
          </rPr>
          <t xml:space="preserve">
At hrs per day and days per year entered above</t>
        </r>
      </text>
    </comment>
    <comment ref="DE3310" authorId="1" shapeId="0" xr:uid="{00000000-0006-0000-0600-000022010000}">
      <text>
        <r>
          <rPr>
            <b/>
            <sz val="9"/>
            <color indexed="81"/>
            <rFont val="Tahoma"/>
            <family val="2"/>
          </rPr>
          <t>Spangenberger, Jeffrey S.:</t>
        </r>
        <r>
          <rPr>
            <sz val="9"/>
            <color indexed="81"/>
            <rFont val="Tahoma"/>
            <family val="2"/>
          </rPr>
          <t xml:space="preserve">
At hrs per day and days per year entered above</t>
        </r>
      </text>
    </comment>
    <comment ref="EE3310" authorId="1" shapeId="0" xr:uid="{00000000-0006-0000-0600-000023010000}">
      <text>
        <r>
          <rPr>
            <b/>
            <sz val="9"/>
            <color indexed="81"/>
            <rFont val="Tahoma"/>
            <family val="2"/>
          </rPr>
          <t>Spangenberger, Jeffrey S.:</t>
        </r>
        <r>
          <rPr>
            <sz val="9"/>
            <color indexed="81"/>
            <rFont val="Tahoma"/>
            <family val="2"/>
          </rPr>
          <t xml:space="preserve">
At hrs per day and days per year entered above</t>
        </r>
      </text>
    </comment>
    <comment ref="BB3369" authorId="1" shapeId="0" xr:uid="{00000000-0006-0000-0600-000024010000}">
      <text>
        <r>
          <rPr>
            <b/>
            <sz val="9"/>
            <color indexed="81"/>
            <rFont val="Tahoma"/>
            <family val="2"/>
          </rPr>
          <t>Spangenberger, Jeffrey S.:</t>
        </r>
        <r>
          <rPr>
            <sz val="9"/>
            <color indexed="81"/>
            <rFont val="Tahoma"/>
            <family val="2"/>
          </rPr>
          <t xml:space="preserve">
Not used currently</t>
        </r>
      </text>
    </comment>
    <comment ref="CB3369" authorId="1" shapeId="0" xr:uid="{00000000-0006-0000-0600-000025010000}">
      <text>
        <r>
          <rPr>
            <b/>
            <sz val="9"/>
            <color indexed="81"/>
            <rFont val="Tahoma"/>
            <family val="2"/>
          </rPr>
          <t>Spangenberger, Jeffrey S.:</t>
        </r>
        <r>
          <rPr>
            <sz val="9"/>
            <color indexed="81"/>
            <rFont val="Tahoma"/>
            <family val="2"/>
          </rPr>
          <t xml:space="preserve">
Not used currently</t>
        </r>
      </text>
    </comment>
    <comment ref="DB3369" authorId="1" shapeId="0" xr:uid="{00000000-0006-0000-0600-000026010000}">
      <text>
        <r>
          <rPr>
            <b/>
            <sz val="9"/>
            <color indexed="81"/>
            <rFont val="Tahoma"/>
            <family val="2"/>
          </rPr>
          <t>Spangenberger, Jeffrey S.:</t>
        </r>
        <r>
          <rPr>
            <sz val="9"/>
            <color indexed="81"/>
            <rFont val="Tahoma"/>
            <family val="2"/>
          </rPr>
          <t xml:space="preserve">
Not used currently</t>
        </r>
      </text>
    </comment>
    <comment ref="EB3369" authorId="1" shapeId="0" xr:uid="{00000000-0006-0000-0600-000027010000}">
      <text>
        <r>
          <rPr>
            <b/>
            <sz val="9"/>
            <color indexed="81"/>
            <rFont val="Tahoma"/>
            <family val="2"/>
          </rPr>
          <t>Spangenberger, Jeffrey S.:</t>
        </r>
        <r>
          <rPr>
            <sz val="9"/>
            <color indexed="81"/>
            <rFont val="Tahoma"/>
            <family val="2"/>
          </rPr>
          <t xml:space="preserve">
Not used currently</t>
        </r>
      </text>
    </comment>
    <comment ref="BE3410" authorId="1" shapeId="0" xr:uid="{00000000-0006-0000-0600-000028010000}">
      <text>
        <r>
          <rPr>
            <b/>
            <sz val="9"/>
            <color indexed="81"/>
            <rFont val="Tahoma"/>
            <family val="2"/>
          </rPr>
          <t>Spangenberger, Jeffrey S.:</t>
        </r>
        <r>
          <rPr>
            <sz val="9"/>
            <color indexed="81"/>
            <rFont val="Tahoma"/>
            <family val="2"/>
          </rPr>
          <t xml:space="preserve">
At hrs per day and days per year entered above</t>
        </r>
      </text>
    </comment>
    <comment ref="CE3410" authorId="1" shapeId="0" xr:uid="{00000000-0006-0000-0600-000029010000}">
      <text>
        <r>
          <rPr>
            <b/>
            <sz val="9"/>
            <color indexed="81"/>
            <rFont val="Tahoma"/>
            <family val="2"/>
          </rPr>
          <t>Spangenberger, Jeffrey S.:</t>
        </r>
        <r>
          <rPr>
            <sz val="9"/>
            <color indexed="81"/>
            <rFont val="Tahoma"/>
            <family val="2"/>
          </rPr>
          <t xml:space="preserve">
At hrs per day and days per year entered above</t>
        </r>
      </text>
    </comment>
    <comment ref="DE3410" authorId="1" shapeId="0" xr:uid="{00000000-0006-0000-0600-00002A010000}">
      <text>
        <r>
          <rPr>
            <b/>
            <sz val="9"/>
            <color indexed="81"/>
            <rFont val="Tahoma"/>
            <family val="2"/>
          </rPr>
          <t>Spangenberger, Jeffrey S.:</t>
        </r>
        <r>
          <rPr>
            <sz val="9"/>
            <color indexed="81"/>
            <rFont val="Tahoma"/>
            <family val="2"/>
          </rPr>
          <t xml:space="preserve">
At hrs per day and days per year entered above</t>
        </r>
      </text>
    </comment>
    <comment ref="EE3410" authorId="1" shapeId="0" xr:uid="{00000000-0006-0000-0600-00002B010000}">
      <text>
        <r>
          <rPr>
            <b/>
            <sz val="9"/>
            <color indexed="81"/>
            <rFont val="Tahoma"/>
            <family val="2"/>
          </rPr>
          <t>Spangenberger, Jeffrey S.:</t>
        </r>
        <r>
          <rPr>
            <sz val="9"/>
            <color indexed="81"/>
            <rFont val="Tahoma"/>
            <family val="2"/>
          </rPr>
          <t xml:space="preserve">
At hrs per day and days per year entered above</t>
        </r>
      </text>
    </comment>
    <comment ref="BB3469" authorId="1" shapeId="0" xr:uid="{00000000-0006-0000-0600-00002C010000}">
      <text>
        <r>
          <rPr>
            <b/>
            <sz val="9"/>
            <color indexed="81"/>
            <rFont val="Tahoma"/>
            <family val="2"/>
          </rPr>
          <t>Spangenberger, Jeffrey S.:</t>
        </r>
        <r>
          <rPr>
            <sz val="9"/>
            <color indexed="81"/>
            <rFont val="Tahoma"/>
            <family val="2"/>
          </rPr>
          <t xml:space="preserve">
Not used currently</t>
        </r>
      </text>
    </comment>
    <comment ref="CB3469" authorId="1" shapeId="0" xr:uid="{00000000-0006-0000-0600-00002D010000}">
      <text>
        <r>
          <rPr>
            <b/>
            <sz val="9"/>
            <color indexed="81"/>
            <rFont val="Tahoma"/>
            <family val="2"/>
          </rPr>
          <t>Spangenberger, Jeffrey S.:</t>
        </r>
        <r>
          <rPr>
            <sz val="9"/>
            <color indexed="81"/>
            <rFont val="Tahoma"/>
            <family val="2"/>
          </rPr>
          <t xml:space="preserve">
Not used currently</t>
        </r>
      </text>
    </comment>
    <comment ref="DB3469" authorId="1" shapeId="0" xr:uid="{00000000-0006-0000-0600-00002E010000}">
      <text>
        <r>
          <rPr>
            <b/>
            <sz val="9"/>
            <color indexed="81"/>
            <rFont val="Tahoma"/>
            <family val="2"/>
          </rPr>
          <t>Spangenberger, Jeffrey S.:</t>
        </r>
        <r>
          <rPr>
            <sz val="9"/>
            <color indexed="81"/>
            <rFont val="Tahoma"/>
            <family val="2"/>
          </rPr>
          <t xml:space="preserve">
Not used currently</t>
        </r>
      </text>
    </comment>
    <comment ref="EB3469" authorId="1" shapeId="0" xr:uid="{00000000-0006-0000-0600-00002F010000}">
      <text>
        <r>
          <rPr>
            <b/>
            <sz val="9"/>
            <color indexed="81"/>
            <rFont val="Tahoma"/>
            <family val="2"/>
          </rPr>
          <t>Spangenberger, Jeffrey S.:</t>
        </r>
        <r>
          <rPr>
            <sz val="9"/>
            <color indexed="81"/>
            <rFont val="Tahoma"/>
            <family val="2"/>
          </rPr>
          <t xml:space="preserve">
Not used currently</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Dai, Qiang</author>
    <author>Ahmed, Shabbir</author>
  </authors>
  <commentList>
    <comment ref="B24" authorId="0" shapeId="0" xr:uid="{00000000-0006-0000-0700-000001000000}">
      <text>
        <r>
          <rPr>
            <b/>
            <sz val="9"/>
            <color indexed="81"/>
            <rFont val="Tahoma"/>
            <family val="2"/>
          </rPr>
          <t>Dai, Qiang:</t>
        </r>
        <r>
          <rPr>
            <sz val="9"/>
            <color indexed="81"/>
            <rFont val="Tahoma"/>
            <family val="2"/>
          </rPr>
          <t xml:space="preserve">
GREET values</t>
        </r>
      </text>
    </comment>
    <comment ref="B32" authorId="0" shapeId="0" xr:uid="{00000000-0006-0000-0700-000002000000}">
      <text>
        <r>
          <rPr>
            <b/>
            <sz val="9"/>
            <color indexed="81"/>
            <rFont val="Tahoma"/>
            <family val="2"/>
          </rPr>
          <t>Dai, Qiang:</t>
        </r>
        <r>
          <rPr>
            <sz val="9"/>
            <color indexed="81"/>
            <rFont val="Tahoma"/>
            <family val="2"/>
          </rPr>
          <t xml:space="preserve">
Co3O4</t>
        </r>
      </text>
    </comment>
    <comment ref="D52" authorId="0" shapeId="0" xr:uid="{DD20DADB-E815-482E-96E2-29156D073211}">
      <text>
        <r>
          <rPr>
            <b/>
            <sz val="9"/>
            <color rgb="FF000000"/>
            <rFont val="Tahoma"/>
            <family val="2"/>
          </rPr>
          <t>Dai, Qiang:</t>
        </r>
        <r>
          <rPr>
            <sz val="9"/>
            <color rgb="FF000000"/>
            <rFont val="Tahoma"/>
            <family val="2"/>
          </rPr>
          <t xml:space="preserve">
2018 price, Intratec</t>
        </r>
      </text>
    </comment>
    <comment ref="D53" authorId="0" shapeId="0" xr:uid="{C9B1C9EE-023A-435C-A389-D00AFC38FA9C}">
      <text>
        <r>
          <rPr>
            <b/>
            <sz val="9"/>
            <color rgb="FF000000"/>
            <rFont val="Tahoma"/>
            <family val="2"/>
          </rPr>
          <t>Dai, Qiang:</t>
        </r>
        <r>
          <rPr>
            <sz val="9"/>
            <color rgb="FF000000"/>
            <rFont val="Tahoma"/>
            <family val="2"/>
          </rPr>
          <t xml:space="preserve">
2018-2022 average, FOB gulf coast
https://pubs.usgs.gov/periodicals/mcs2023/mcs2023-nitrogen.pdf</t>
        </r>
      </text>
    </comment>
    <comment ref="D54" authorId="0" shapeId="0" xr:uid="{05ED1361-E880-4CE3-AAB8-9C536196D832}">
      <text>
        <r>
          <rPr>
            <b/>
            <sz val="9"/>
            <color rgb="FF000000"/>
            <rFont val="Tahoma"/>
            <family val="2"/>
          </rPr>
          <t>Dai, Qiang:</t>
        </r>
        <r>
          <rPr>
            <sz val="9"/>
            <color rgb="FF000000"/>
            <rFont val="Tahoma"/>
            <family val="2"/>
          </rPr>
          <t xml:space="preserve">
</t>
        </r>
        <r>
          <rPr>
            <sz val="9"/>
            <color rgb="FF000000"/>
            <rFont val="Tahoma"/>
            <family val="2"/>
          </rPr>
          <t>Assumed to be the same as Ammonia. Could be an overestimate</t>
        </r>
      </text>
    </comment>
    <comment ref="D55" authorId="0" shapeId="0" xr:uid="{A65513BD-D43C-45CF-8508-57944730B0B5}">
      <text>
        <r>
          <rPr>
            <b/>
            <sz val="9"/>
            <color rgb="FF000000"/>
            <rFont val="Tahoma"/>
            <family val="2"/>
          </rPr>
          <t>Dai, Qiang:</t>
        </r>
        <r>
          <rPr>
            <sz val="9"/>
            <color rgb="FF000000"/>
            <rFont val="Tahoma"/>
            <family val="2"/>
          </rPr>
          <t xml:space="preserve">
</t>
        </r>
        <r>
          <rPr>
            <sz val="9"/>
            <color rgb="FF000000"/>
            <rFont val="Tahoma"/>
            <family val="2"/>
          </rPr>
          <t>Assuming the cost of 1/3 mole Co3O4 is the same as the cost of 1 mole Co</t>
        </r>
      </text>
    </comment>
    <comment ref="D56" authorId="0" shapeId="0" xr:uid="{0DC8480F-8BAD-4347-8140-9622E2607D1A}">
      <text>
        <r>
          <rPr>
            <b/>
            <sz val="9"/>
            <color rgb="FF000000"/>
            <rFont val="Tahoma"/>
            <family val="2"/>
          </rPr>
          <t>Dai, Qiang:</t>
        </r>
        <r>
          <rPr>
            <sz val="9"/>
            <color rgb="FF000000"/>
            <rFont val="Tahoma"/>
            <family val="2"/>
          </rPr>
          <t xml:space="preserve">
</t>
        </r>
        <r>
          <rPr>
            <sz val="9"/>
            <color rgb="FF000000"/>
            <rFont val="Tahoma"/>
            <family val="2"/>
          </rPr>
          <t>Assuming the cost of 1 mole CoSO4 is the same as the cost of 1 mole Co</t>
        </r>
      </text>
    </comment>
    <comment ref="D57" authorId="0" shapeId="0" xr:uid="{B06C0B4F-D6F2-4661-958F-2B5084AC75DA}">
      <text>
        <r>
          <rPr>
            <b/>
            <sz val="9"/>
            <color rgb="FF000000"/>
            <rFont val="Tahoma"/>
            <family val="2"/>
          </rPr>
          <t>Dai, Qiang:</t>
        </r>
        <r>
          <rPr>
            <sz val="9"/>
            <color rgb="FF000000"/>
            <rFont val="Tahoma"/>
            <family val="2"/>
          </rPr>
          <t xml:space="preserve">
2018-2022 average, converted to 100% HCl from price for wet ton (35% HCl). ICIS, ChemAnalyst</t>
        </r>
      </text>
    </comment>
    <comment ref="D58" authorId="0" shapeId="0" xr:uid="{6FC15D8F-D940-457B-B8A4-48E5F146C158}">
      <text>
        <r>
          <rPr>
            <b/>
            <sz val="9"/>
            <color rgb="FF000000"/>
            <rFont val="Tahoma"/>
            <family val="2"/>
          </rPr>
          <t>Dai, Qiang:</t>
        </r>
        <r>
          <rPr>
            <sz val="9"/>
            <color rgb="FF000000"/>
            <rFont val="Tahoma"/>
            <family val="2"/>
          </rPr>
          <t xml:space="preserve">
2018-2022 average, converted to 100% H2O2 from price for 50% grade. Intratec, ChemAnalyst, IndexBox</t>
        </r>
      </text>
    </comment>
    <comment ref="D59" authorId="0" shapeId="0" xr:uid="{9A288166-108E-46A4-9393-B8FE01D6A67C}">
      <text>
        <r>
          <rPr>
            <b/>
            <sz val="9"/>
            <color rgb="FF000000"/>
            <rFont val="Tahoma"/>
            <family val="2"/>
          </rPr>
          <t>Dai, Qiang:</t>
        </r>
        <r>
          <rPr>
            <sz val="9"/>
            <color rgb="FF000000"/>
            <rFont val="Tahoma"/>
            <family val="2"/>
          </rPr>
          <t xml:space="preserve">
2022 bulk price. http://www.wichitafallstx.gov/DocumentCenter/View/38336/BID-TAB-2022-BULK-CHEMICALS</t>
        </r>
      </text>
    </comment>
    <comment ref="D60" authorId="0" shapeId="0" xr:uid="{19BBAD32-AB8B-4374-992A-0644F93D401B}">
      <text>
        <r>
          <rPr>
            <b/>
            <sz val="9"/>
            <color rgb="FF000000"/>
            <rFont val="Tahoma"/>
            <family val="2"/>
          </rPr>
          <t>Dai, Qiang:</t>
        </r>
        <r>
          <rPr>
            <sz val="9"/>
            <color rgb="FF000000"/>
            <rFont val="Tahoma"/>
            <family val="2"/>
          </rPr>
          <t xml:space="preserve">
2018-2022 average, quick lime. https://pubs.usgs.gov/periodicals/mcs2023/mcs2023-lime.pdf</t>
        </r>
      </text>
    </comment>
    <comment ref="D61" authorId="0" shapeId="0" xr:uid="{B856F9CE-5EB0-4AB2-A917-03DFDBD7B5DA}">
      <text>
        <r>
          <rPr>
            <b/>
            <sz val="9"/>
            <color rgb="FF000000"/>
            <rFont val="Tahoma"/>
            <family val="2"/>
          </rPr>
          <t>Dai, Qiang:</t>
        </r>
        <r>
          <rPr>
            <sz val="9"/>
            <color rgb="FF000000"/>
            <rFont val="Tahoma"/>
            <family val="2"/>
          </rPr>
          <t xml:space="preserve">
</t>
        </r>
        <r>
          <rPr>
            <sz val="9"/>
            <color rgb="FF000000"/>
            <rFont val="Tahoma"/>
            <family val="2"/>
          </rPr>
          <t>Use lime price as a proxy</t>
        </r>
      </text>
    </comment>
    <comment ref="D62" authorId="0" shapeId="0" xr:uid="{03AB3410-A4EA-4A70-90DA-87AF5A54D7D7}">
      <text>
        <r>
          <rPr>
            <b/>
            <sz val="9"/>
            <color rgb="FF000000"/>
            <rFont val="Tahoma"/>
            <family val="2"/>
          </rPr>
          <t>Dai, Qiang:</t>
        </r>
        <r>
          <rPr>
            <sz val="9"/>
            <color rgb="FF000000"/>
            <rFont val="Tahoma"/>
            <family val="2"/>
          </rPr>
          <t xml:space="preserve">
2018-2022 average. https://pubs.usgs.gov/periodicals/mcs2023/mcs2023-lithium.pdf</t>
        </r>
      </text>
    </comment>
    <comment ref="D63" authorId="0" shapeId="0" xr:uid="{870F95F4-6C76-46FE-B467-54290D4FC52E}">
      <text>
        <r>
          <rPr>
            <b/>
            <sz val="9"/>
            <color rgb="FF000000"/>
            <rFont val="Tahoma"/>
            <family val="2"/>
          </rPr>
          <t>Dai, Qiang:</t>
        </r>
        <r>
          <rPr>
            <sz val="9"/>
            <color rgb="FF000000"/>
            <rFont val="Tahoma"/>
            <family val="2"/>
          </rPr>
          <t xml:space="preserve">
Anhydrous. USGS Mineral Commodity Summaries 2019-2022</t>
        </r>
      </text>
    </comment>
    <comment ref="D64" authorId="0" shapeId="0" xr:uid="{311A4594-F9D8-4F2E-BE80-D3302643CCB2}">
      <text>
        <r>
          <rPr>
            <b/>
            <sz val="9"/>
            <color rgb="FF000000"/>
            <rFont val="Tahoma"/>
            <family val="2"/>
          </rPr>
          <t>Dai, Qiang:</t>
        </r>
        <r>
          <rPr>
            <sz val="9"/>
            <color rgb="FF000000"/>
            <rFont val="Tahoma"/>
            <family val="2"/>
          </rPr>
          <t xml:space="preserve">
</t>
        </r>
        <r>
          <rPr>
            <sz val="9"/>
            <color rgb="FF000000"/>
            <rFont val="Tahoma"/>
            <family val="2"/>
          </rPr>
          <t>Assuming the cost of 1 mole Mn2O3 is the same as the cost of 2 mole Mn in BatPac</t>
        </r>
      </text>
    </comment>
    <comment ref="D65" authorId="0" shapeId="0" xr:uid="{09B57D71-A92A-41C8-AE34-45380711B913}">
      <text>
        <r>
          <rPr>
            <b/>
            <sz val="9"/>
            <color rgb="FF000000"/>
            <rFont val="Tahoma"/>
            <family val="2"/>
          </rPr>
          <t>Dai, Qiang:</t>
        </r>
        <r>
          <rPr>
            <sz val="9"/>
            <color rgb="FF000000"/>
            <rFont val="Tahoma"/>
            <family val="2"/>
          </rPr>
          <t xml:space="preserve">
</t>
        </r>
        <r>
          <rPr>
            <sz val="9"/>
            <color rgb="FF000000"/>
            <rFont val="Tahoma"/>
            <family val="2"/>
          </rPr>
          <t>Assuming the cost of 1 mole MnSO4 is the same as the cost of 1 mole Mn in BatPac</t>
        </r>
      </text>
    </comment>
    <comment ref="D66" authorId="0" shapeId="0" xr:uid="{E37479B5-BCE6-4B3B-86E9-D65B26526191}">
      <text>
        <r>
          <rPr>
            <b/>
            <sz val="9"/>
            <color rgb="FF000000"/>
            <rFont val="Tahoma"/>
            <family val="2"/>
          </rPr>
          <t>Dai, Qiang:</t>
        </r>
        <r>
          <rPr>
            <sz val="9"/>
            <color rgb="FF000000"/>
            <rFont val="Tahoma"/>
            <family val="2"/>
          </rPr>
          <t xml:space="preserve">
</t>
        </r>
        <r>
          <rPr>
            <sz val="9"/>
            <color rgb="FF000000"/>
            <rFont val="Tahoma"/>
            <family val="2"/>
          </rPr>
          <t>Assuming the cost of 1 mole NiSO4 is the same as the cost of 1 mole Ni in BatPac</t>
        </r>
      </text>
    </comment>
    <comment ref="D67" authorId="0" shapeId="0" xr:uid="{022DA4A9-9CBB-40D0-A9F9-2CC1CEFAA3D8}">
      <text>
        <r>
          <rPr>
            <b/>
            <sz val="9"/>
            <color indexed="81"/>
            <rFont val="Tahoma"/>
            <family val="2"/>
          </rPr>
          <t>Dai, Qiang:</t>
        </r>
        <r>
          <rPr>
            <sz val="9"/>
            <color indexed="81"/>
            <rFont val="Tahoma"/>
            <family val="2"/>
          </rPr>
          <t xml:space="preserve">
http://www.chemicool.com/elements/oxygen.html</t>
        </r>
      </text>
    </comment>
    <comment ref="D68" authorId="0" shapeId="0" xr:uid="{016875EC-F08B-46CD-8079-C7E0EB54980C}">
      <text>
        <r>
          <rPr>
            <b/>
            <sz val="9"/>
            <color rgb="FF000000"/>
            <rFont val="Tahoma"/>
            <family val="2"/>
          </rPr>
          <t>Dai, Qiang:</t>
        </r>
        <r>
          <rPr>
            <sz val="9"/>
            <color rgb="FF000000"/>
            <rFont val="Tahoma"/>
            <family val="2"/>
          </rPr>
          <t xml:space="preserve">
2018-2022 average, converted to 100% H3PO4 from price for 85% grade. ICIS, ChemAnalyst</t>
        </r>
      </text>
    </comment>
    <comment ref="D69" authorId="0" shapeId="0" xr:uid="{23391A63-00EA-4CED-A9FC-225A885F5A0B}">
      <text>
        <r>
          <rPr>
            <b/>
            <sz val="9"/>
            <color rgb="FF000000"/>
            <rFont val="Tahoma"/>
            <family val="2"/>
          </rPr>
          <t>Dai, Qiang:</t>
        </r>
        <r>
          <rPr>
            <sz val="9"/>
            <color rgb="FF000000"/>
            <rFont val="Tahoma"/>
            <family val="2"/>
          </rPr>
          <t xml:space="preserve">
2018-2022 average. https://pubs.usgs.gov/periodicals/mcs2023/mcs2023-soda-ash.pdf</t>
        </r>
      </text>
    </comment>
    <comment ref="D70" authorId="0" shapeId="0" xr:uid="{9BD0F056-9EE8-4D10-98AE-FA7C1CFADFF7}">
      <text>
        <r>
          <rPr>
            <b/>
            <sz val="9"/>
            <color rgb="FF000000"/>
            <rFont val="Tahoma"/>
            <family val="2"/>
          </rPr>
          <t>Dai, Qiang:</t>
        </r>
        <r>
          <rPr>
            <sz val="9"/>
            <color rgb="FF000000"/>
            <rFont val="Tahoma"/>
            <family val="2"/>
          </rPr>
          <t xml:space="preserve">
2022 price. ChemAnalyst</t>
        </r>
      </text>
    </comment>
    <comment ref="D71" authorId="0" shapeId="0" xr:uid="{12428551-581A-4D29-82F9-9D2084D8C9AB}">
      <text>
        <r>
          <rPr>
            <b/>
            <sz val="9"/>
            <color rgb="FF000000"/>
            <rFont val="Tahoma"/>
            <family val="2"/>
          </rPr>
          <t>Dai, Qiang:</t>
        </r>
        <r>
          <rPr>
            <sz val="9"/>
            <color rgb="FF000000"/>
            <rFont val="Tahoma"/>
            <family val="2"/>
          </rPr>
          <t xml:space="preserve">
2018-2022 average. ICIS, Business Analytiq</t>
        </r>
      </text>
    </comment>
    <comment ref="D72" authorId="0" shapeId="0" xr:uid="{F011135E-8209-4FCF-B1FD-C4BCB3BB6C11}">
      <text>
        <r>
          <rPr>
            <b/>
            <sz val="9"/>
            <color rgb="FF000000"/>
            <rFont val="Tahoma"/>
            <family val="2"/>
          </rPr>
          <t>Dai, Qiang:</t>
        </r>
        <r>
          <rPr>
            <sz val="9"/>
            <color rgb="FF000000"/>
            <rFont val="Tahoma"/>
            <family val="2"/>
          </rPr>
          <t xml:space="preserve">
2018-2022 average, 100% H2SO4, US import price; USGS Minerals Year Book 2019 &amp; 2021, Mineral Industry Surveys Jan 2022</t>
        </r>
      </text>
    </comment>
    <comment ref="AC144" authorId="1" shapeId="0" xr:uid="{00000000-0006-0000-0700-000018000000}">
      <text>
        <r>
          <rPr>
            <b/>
            <sz val="9"/>
            <color indexed="81"/>
            <rFont val="Tahoma"/>
            <family val="2"/>
          </rPr>
          <t>2002$, http://www.mhhe.com/engcs/chemical/peters/data/ce.html</t>
        </r>
      </text>
    </comment>
    <comment ref="BC144" authorId="1" shapeId="0" xr:uid="{BA19AF2A-8660-064F-A2FF-C02A97F8D925}">
      <text>
        <r>
          <rPr>
            <b/>
            <sz val="9"/>
            <color indexed="81"/>
            <rFont val="Tahoma"/>
            <family val="2"/>
          </rPr>
          <t>2002$, http://www.mhhe.com/engcs/chemical/peters/data/ce.html</t>
        </r>
      </text>
    </comment>
    <comment ref="CC144" authorId="1" shapeId="0" xr:uid="{00000000-0006-0000-0700-000019000000}">
      <text>
        <r>
          <rPr>
            <b/>
            <sz val="9"/>
            <color indexed="81"/>
            <rFont val="Tahoma"/>
            <family val="2"/>
          </rPr>
          <t>2002$, http://www.mhhe.com/engcs/chemical/peters/data/ce.html</t>
        </r>
      </text>
    </comment>
    <comment ref="DC144" authorId="1" shapeId="0" xr:uid="{00000000-0006-0000-0700-00001A000000}">
      <text>
        <r>
          <rPr>
            <b/>
            <sz val="9"/>
            <color indexed="81"/>
            <rFont val="Tahoma"/>
            <family val="2"/>
          </rPr>
          <t>2002$, http://www.mhhe.com/engcs/chemical/peters/data/ce.html</t>
        </r>
      </text>
    </comment>
    <comment ref="EC144" authorId="1" shapeId="0" xr:uid="{00000000-0006-0000-0700-00001B000000}">
      <text>
        <r>
          <rPr>
            <b/>
            <sz val="9"/>
            <color indexed="81"/>
            <rFont val="Tahoma"/>
            <family val="2"/>
          </rPr>
          <t>2002$, http://www.mhhe.com/engcs/chemical/peters/data/ce.html</t>
        </r>
      </text>
    </comment>
    <comment ref="AC145" authorId="1" shapeId="0" xr:uid="{00000000-0006-0000-0700-00001C000000}">
      <text>
        <r>
          <rPr>
            <b/>
            <sz val="9"/>
            <color indexed="81"/>
            <rFont val="Tahoma"/>
            <family val="2"/>
          </rPr>
          <t>2017$</t>
        </r>
      </text>
    </comment>
    <comment ref="BC145" authorId="1" shapeId="0" xr:uid="{B1C80AB0-5520-A34E-A84C-44EBD58A8CA9}">
      <text>
        <r>
          <rPr>
            <b/>
            <sz val="9"/>
            <color indexed="81"/>
            <rFont val="Tahoma"/>
            <family val="2"/>
          </rPr>
          <t>2017$</t>
        </r>
      </text>
    </comment>
    <comment ref="CC145" authorId="1" shapeId="0" xr:uid="{00000000-0006-0000-0700-00001D000000}">
      <text>
        <r>
          <rPr>
            <b/>
            <sz val="9"/>
            <color indexed="81"/>
            <rFont val="Tahoma"/>
            <family val="2"/>
          </rPr>
          <t>2017$</t>
        </r>
      </text>
    </comment>
    <comment ref="DC145" authorId="1" shapeId="0" xr:uid="{00000000-0006-0000-0700-00001E000000}">
      <text>
        <r>
          <rPr>
            <b/>
            <sz val="9"/>
            <color indexed="81"/>
            <rFont val="Tahoma"/>
            <family val="2"/>
          </rPr>
          <t>2017$</t>
        </r>
      </text>
    </comment>
    <comment ref="EC145" authorId="1" shapeId="0" xr:uid="{00000000-0006-0000-0700-00001F000000}">
      <text>
        <r>
          <rPr>
            <b/>
            <sz val="9"/>
            <color indexed="81"/>
            <rFont val="Tahoma"/>
            <family val="2"/>
          </rPr>
          <t>2017$</t>
        </r>
      </text>
    </comment>
    <comment ref="AC146" authorId="1" shapeId="0" xr:uid="{00000000-0006-0000-0700-000020000000}">
      <text>
        <r>
          <rPr>
            <b/>
            <sz val="9"/>
            <color indexed="81"/>
            <rFont val="Tahoma"/>
            <family val="2"/>
          </rPr>
          <t>Ludwig's Applied Process Design …
4th ed, p.xxii.</t>
        </r>
      </text>
    </comment>
    <comment ref="BC146" authorId="1" shapeId="0" xr:uid="{0A040B2D-8502-4F41-B7F8-D88E92D499A3}">
      <text>
        <r>
          <rPr>
            <b/>
            <sz val="9"/>
            <color indexed="81"/>
            <rFont val="Tahoma"/>
            <family val="2"/>
          </rPr>
          <t>Ludwig's Applied Process Design …
4th ed, p.xxii.</t>
        </r>
      </text>
    </comment>
    <comment ref="CC146" authorId="1" shapeId="0" xr:uid="{00000000-0006-0000-0700-000021000000}">
      <text>
        <r>
          <rPr>
            <b/>
            <sz val="9"/>
            <color indexed="81"/>
            <rFont val="Tahoma"/>
            <family val="2"/>
          </rPr>
          <t>Ludwig's Applied Process Design …
4th ed, p.xxii.</t>
        </r>
      </text>
    </comment>
    <comment ref="DC146" authorId="1" shapeId="0" xr:uid="{00000000-0006-0000-0700-000022000000}">
      <text>
        <r>
          <rPr>
            <b/>
            <sz val="9"/>
            <color indexed="81"/>
            <rFont val="Tahoma"/>
            <family val="2"/>
          </rPr>
          <t>Ludwig's Applied Process Design …
4th ed, p.xxii.</t>
        </r>
      </text>
    </comment>
    <comment ref="EC146" authorId="1" shapeId="0" xr:uid="{00000000-0006-0000-0700-000023000000}">
      <text>
        <r>
          <rPr>
            <b/>
            <sz val="9"/>
            <color indexed="81"/>
            <rFont val="Tahoma"/>
            <family val="2"/>
          </rPr>
          <t>Ludwig's Applied Process Design …
4th ed, p.xxii.</t>
        </r>
      </text>
    </comment>
    <comment ref="AC160" authorId="1" shapeId="0" xr:uid="{00000000-0006-0000-0700-000024000000}">
      <text>
        <r>
          <rPr>
            <b/>
            <sz val="9"/>
            <color indexed="81"/>
            <rFont val="Tahoma"/>
            <family val="2"/>
          </rPr>
          <t>2002$, http://www.mhhe.com/engcs/chemical/peters/data/ce.html</t>
        </r>
      </text>
    </comment>
    <comment ref="BC160" authorId="1" shapeId="0" xr:uid="{1CB5FDF8-35CF-9048-8F24-470970CAF333}">
      <text>
        <r>
          <rPr>
            <b/>
            <sz val="9"/>
            <color indexed="81"/>
            <rFont val="Tahoma"/>
            <family val="2"/>
          </rPr>
          <t>2002$, http://www.mhhe.com/engcs/chemical/peters/data/ce.html</t>
        </r>
      </text>
    </comment>
    <comment ref="CC160" authorId="1" shapeId="0" xr:uid="{00000000-0006-0000-0700-000025000000}">
      <text>
        <r>
          <rPr>
            <b/>
            <sz val="9"/>
            <color indexed="81"/>
            <rFont val="Tahoma"/>
            <family val="2"/>
          </rPr>
          <t>2002$, http://www.mhhe.com/engcs/chemical/peters/data/ce.html</t>
        </r>
      </text>
    </comment>
    <comment ref="DC160" authorId="1" shapeId="0" xr:uid="{00000000-0006-0000-0700-000026000000}">
      <text>
        <r>
          <rPr>
            <b/>
            <sz val="9"/>
            <color indexed="81"/>
            <rFont val="Tahoma"/>
            <family val="2"/>
          </rPr>
          <t>2002$, http://www.mhhe.com/engcs/chemical/peters/data/ce.html</t>
        </r>
      </text>
    </comment>
    <comment ref="EC160" authorId="1" shapeId="0" xr:uid="{00000000-0006-0000-0700-000027000000}">
      <text>
        <r>
          <rPr>
            <b/>
            <sz val="9"/>
            <color indexed="81"/>
            <rFont val="Tahoma"/>
            <family val="2"/>
          </rPr>
          <t>2002$, http://www.mhhe.com/engcs/chemical/peters/data/ce.html</t>
        </r>
      </text>
    </comment>
    <comment ref="AC161" authorId="1" shapeId="0" xr:uid="{00000000-0006-0000-0700-000028000000}">
      <text>
        <r>
          <rPr>
            <b/>
            <sz val="9"/>
            <color indexed="81"/>
            <rFont val="Tahoma"/>
            <family val="2"/>
          </rPr>
          <t>2017$</t>
        </r>
      </text>
    </comment>
    <comment ref="BC161" authorId="1" shapeId="0" xr:uid="{A31B57F8-3E70-804D-A204-AF12E3F359DF}">
      <text>
        <r>
          <rPr>
            <b/>
            <sz val="9"/>
            <color indexed="81"/>
            <rFont val="Tahoma"/>
            <family val="2"/>
          </rPr>
          <t>2017$</t>
        </r>
      </text>
    </comment>
    <comment ref="CC161" authorId="1" shapeId="0" xr:uid="{00000000-0006-0000-0700-000029000000}">
      <text>
        <r>
          <rPr>
            <b/>
            <sz val="9"/>
            <color indexed="81"/>
            <rFont val="Tahoma"/>
            <family val="2"/>
          </rPr>
          <t>2017$</t>
        </r>
      </text>
    </comment>
    <comment ref="DC161" authorId="1" shapeId="0" xr:uid="{00000000-0006-0000-0700-00002A000000}">
      <text>
        <r>
          <rPr>
            <b/>
            <sz val="9"/>
            <color indexed="81"/>
            <rFont val="Tahoma"/>
            <family val="2"/>
          </rPr>
          <t>2017$</t>
        </r>
      </text>
    </comment>
    <comment ref="EC161" authorId="1" shapeId="0" xr:uid="{00000000-0006-0000-0700-00002B000000}">
      <text>
        <r>
          <rPr>
            <b/>
            <sz val="9"/>
            <color indexed="81"/>
            <rFont val="Tahoma"/>
            <family val="2"/>
          </rPr>
          <t>2017$</t>
        </r>
      </text>
    </comment>
    <comment ref="AC162" authorId="1" shapeId="0" xr:uid="{00000000-0006-0000-0700-00002C000000}">
      <text>
        <r>
          <rPr>
            <b/>
            <sz val="9"/>
            <color indexed="81"/>
            <rFont val="Tahoma"/>
            <family val="2"/>
          </rPr>
          <t>Ludwig's Applied Process Design …
4th ed, p.xxii.</t>
        </r>
      </text>
    </comment>
    <comment ref="BC162" authorId="1" shapeId="0" xr:uid="{4D10C8F8-982B-8444-B6A8-15FB63575D1B}">
      <text>
        <r>
          <rPr>
            <b/>
            <sz val="9"/>
            <color rgb="FF000000"/>
            <rFont val="Tahoma"/>
            <family val="2"/>
          </rPr>
          <t xml:space="preserve">Ludwig's Applied Process Design …
</t>
        </r>
        <r>
          <rPr>
            <b/>
            <sz val="9"/>
            <color rgb="FF000000"/>
            <rFont val="Tahoma"/>
            <family val="2"/>
          </rPr>
          <t>4th ed, p.xxii.</t>
        </r>
      </text>
    </comment>
    <comment ref="CC162" authorId="1" shapeId="0" xr:uid="{00000000-0006-0000-0700-00002D000000}">
      <text>
        <r>
          <rPr>
            <b/>
            <sz val="9"/>
            <color indexed="81"/>
            <rFont val="Tahoma"/>
            <family val="2"/>
          </rPr>
          <t>Ludwig's Applied Process Design …
4th ed, p.xxii.</t>
        </r>
      </text>
    </comment>
    <comment ref="DC162" authorId="1" shapeId="0" xr:uid="{00000000-0006-0000-0700-00002E000000}">
      <text>
        <r>
          <rPr>
            <b/>
            <sz val="9"/>
            <color indexed="81"/>
            <rFont val="Tahoma"/>
            <family val="2"/>
          </rPr>
          <t>Ludwig's Applied Process Design …
4th ed, p.xxii.</t>
        </r>
      </text>
    </comment>
    <comment ref="EC162" authorId="1" shapeId="0" xr:uid="{00000000-0006-0000-0700-00002F000000}">
      <text>
        <r>
          <rPr>
            <b/>
            <sz val="9"/>
            <color indexed="81"/>
            <rFont val="Tahoma"/>
            <family val="2"/>
          </rPr>
          <t>Ludwig's Applied Process Design …
4th ed, p.xxii.</t>
        </r>
      </text>
    </comment>
    <comment ref="AA182" authorId="1" shapeId="0" xr:uid="{00000000-0006-0000-0700-000030000000}">
      <text>
        <r>
          <rPr>
            <b/>
            <sz val="9"/>
            <color indexed="81"/>
            <rFont val="Tahoma"/>
            <family val="2"/>
          </rPr>
          <t>Andrew van Bommel and J.R. Dahn, Chem. Mater. 2009, 21, 1500-1503</t>
        </r>
      </text>
    </comment>
    <comment ref="BA182" authorId="1" shapeId="0" xr:uid="{04A852DA-DB2C-FD40-98B9-A96009EAE640}">
      <text>
        <r>
          <rPr>
            <b/>
            <sz val="9"/>
            <color indexed="81"/>
            <rFont val="Tahoma"/>
            <family val="2"/>
          </rPr>
          <t>Andrew van Bommel and J.R. Dahn, Chem. Mater. 2009, 21, 1500-1503</t>
        </r>
      </text>
    </comment>
    <comment ref="CA182" authorId="1" shapeId="0" xr:uid="{00000000-0006-0000-0700-000031000000}">
      <text>
        <r>
          <rPr>
            <b/>
            <sz val="9"/>
            <color indexed="81"/>
            <rFont val="Tahoma"/>
            <family val="2"/>
          </rPr>
          <t>Andrew van Bommel and J.R. Dahn, Chem. Mater. 2009, 21, 1500-1503</t>
        </r>
      </text>
    </comment>
    <comment ref="DA182" authorId="1" shapeId="0" xr:uid="{00000000-0006-0000-0700-000032000000}">
      <text>
        <r>
          <rPr>
            <b/>
            <sz val="9"/>
            <color indexed="81"/>
            <rFont val="Tahoma"/>
            <family val="2"/>
          </rPr>
          <t>Andrew van Bommel and J.R. Dahn, Chem. Mater. 2009, 21, 1500-1503</t>
        </r>
      </text>
    </comment>
    <comment ref="EA182" authorId="1" shapeId="0" xr:uid="{00000000-0006-0000-0700-000033000000}">
      <text>
        <r>
          <rPr>
            <b/>
            <sz val="9"/>
            <color indexed="81"/>
            <rFont val="Tahoma"/>
            <family val="2"/>
          </rPr>
          <t>Andrew van Bommel and J.R. Dahn, Chem. Mater. 2009, 21, 1500-1503</t>
        </r>
      </text>
    </comment>
    <comment ref="FA182" authorId="1" shapeId="0" xr:uid="{00000000-0006-0000-0700-000034000000}">
      <text>
        <r>
          <rPr>
            <b/>
            <sz val="9"/>
            <color indexed="81"/>
            <rFont val="Tahoma"/>
            <family val="2"/>
          </rPr>
          <t>Andrew van Bommel and J.R. Dahn, Chem. Mater. 2009, 21, 1500-1503</t>
        </r>
      </text>
    </comment>
    <comment ref="AC208" authorId="1" shapeId="0" xr:uid="{00000000-0006-0000-0700-000035000000}">
      <text>
        <r>
          <rPr>
            <b/>
            <sz val="9"/>
            <color indexed="81"/>
            <rFont val="Tahoma"/>
            <family val="2"/>
          </rPr>
          <t>2002$, http://www.mhhe.com/engcs/chemical/peters/data/ce.html</t>
        </r>
      </text>
    </comment>
    <comment ref="BC208" authorId="1" shapeId="0" xr:uid="{EF50B123-F58A-0F46-AABF-F090F973E5A4}">
      <text>
        <r>
          <rPr>
            <b/>
            <sz val="9"/>
            <color indexed="81"/>
            <rFont val="Tahoma"/>
            <family val="2"/>
          </rPr>
          <t>2002$, http://www.mhhe.com/engcs/chemical/peters/data/ce.html</t>
        </r>
      </text>
    </comment>
    <comment ref="CC208" authorId="1" shapeId="0" xr:uid="{00000000-0006-0000-0700-000036000000}">
      <text>
        <r>
          <rPr>
            <b/>
            <sz val="9"/>
            <color indexed="81"/>
            <rFont val="Tahoma"/>
            <family val="2"/>
          </rPr>
          <t>2002$, http://www.mhhe.com/engcs/chemical/peters/data/ce.html</t>
        </r>
      </text>
    </comment>
    <comment ref="DC208" authorId="1" shapeId="0" xr:uid="{00000000-0006-0000-0700-000037000000}">
      <text>
        <r>
          <rPr>
            <b/>
            <sz val="9"/>
            <color indexed="81"/>
            <rFont val="Tahoma"/>
            <family val="2"/>
          </rPr>
          <t>2002$, http://www.mhhe.com/engcs/chemical/peters/data/ce.html</t>
        </r>
      </text>
    </comment>
    <comment ref="EC208" authorId="1" shapeId="0" xr:uid="{00000000-0006-0000-0700-000038000000}">
      <text>
        <r>
          <rPr>
            <b/>
            <sz val="9"/>
            <color indexed="81"/>
            <rFont val="Tahoma"/>
            <family val="2"/>
          </rPr>
          <t>2002$, http://www.mhhe.com/engcs/chemical/peters/data/ce.html</t>
        </r>
      </text>
    </comment>
    <comment ref="AC209" authorId="1" shapeId="0" xr:uid="{00000000-0006-0000-0700-000039000000}">
      <text>
        <r>
          <rPr>
            <b/>
            <sz val="9"/>
            <color indexed="81"/>
            <rFont val="Tahoma"/>
            <family val="2"/>
          </rPr>
          <t>2017$</t>
        </r>
      </text>
    </comment>
    <comment ref="BC209" authorId="1" shapeId="0" xr:uid="{81063FF2-B54B-AA41-BB95-F0BEC230E802}">
      <text>
        <r>
          <rPr>
            <b/>
            <sz val="9"/>
            <color indexed="81"/>
            <rFont val="Tahoma"/>
            <family val="2"/>
          </rPr>
          <t>2017$</t>
        </r>
      </text>
    </comment>
    <comment ref="CC209" authorId="1" shapeId="0" xr:uid="{00000000-0006-0000-0700-00003A000000}">
      <text>
        <r>
          <rPr>
            <b/>
            <sz val="9"/>
            <color indexed="81"/>
            <rFont val="Tahoma"/>
            <family val="2"/>
          </rPr>
          <t>2017$</t>
        </r>
      </text>
    </comment>
    <comment ref="DC209" authorId="1" shapeId="0" xr:uid="{00000000-0006-0000-0700-00003B000000}">
      <text>
        <r>
          <rPr>
            <b/>
            <sz val="9"/>
            <color indexed="81"/>
            <rFont val="Tahoma"/>
            <family val="2"/>
          </rPr>
          <t>2017$</t>
        </r>
      </text>
    </comment>
    <comment ref="EC209" authorId="1" shapeId="0" xr:uid="{00000000-0006-0000-0700-00003C000000}">
      <text>
        <r>
          <rPr>
            <b/>
            <sz val="9"/>
            <color indexed="81"/>
            <rFont val="Tahoma"/>
            <family val="2"/>
          </rPr>
          <t>2017$</t>
        </r>
      </text>
    </comment>
    <comment ref="AC210" authorId="1" shapeId="0" xr:uid="{00000000-0006-0000-0700-00003D000000}">
      <text>
        <r>
          <rPr>
            <b/>
            <sz val="9"/>
            <color indexed="81"/>
            <rFont val="Tahoma"/>
            <family val="2"/>
          </rPr>
          <t xml:space="preserve">Ludwig's Applied Process Design …
4th ed, p.xxii.
</t>
        </r>
      </text>
    </comment>
    <comment ref="BC210" authorId="1" shapeId="0" xr:uid="{BDB26FA5-306E-B049-A500-BA44B77C3697}">
      <text>
        <r>
          <rPr>
            <b/>
            <sz val="9"/>
            <color indexed="81"/>
            <rFont val="Tahoma"/>
            <family val="2"/>
          </rPr>
          <t xml:space="preserve">Ludwig's Applied Process Design …
4th ed, p.xxii.
</t>
        </r>
      </text>
    </comment>
    <comment ref="CC210" authorId="1" shapeId="0" xr:uid="{00000000-0006-0000-0700-00003E000000}">
      <text>
        <r>
          <rPr>
            <b/>
            <sz val="9"/>
            <color indexed="81"/>
            <rFont val="Tahoma"/>
            <family val="2"/>
          </rPr>
          <t xml:space="preserve">Ludwig's Applied Process Design …
4th ed, p.xxii.
</t>
        </r>
      </text>
    </comment>
    <comment ref="DC210" authorId="1" shapeId="0" xr:uid="{00000000-0006-0000-0700-00003F000000}">
      <text>
        <r>
          <rPr>
            <b/>
            <sz val="9"/>
            <color indexed="81"/>
            <rFont val="Tahoma"/>
            <family val="2"/>
          </rPr>
          <t xml:space="preserve">Ludwig's Applied Process Design …
4th ed, p.xxii.
</t>
        </r>
      </text>
    </comment>
    <comment ref="EC210" authorId="1" shapeId="0" xr:uid="{00000000-0006-0000-0700-000040000000}">
      <text>
        <r>
          <rPr>
            <b/>
            <sz val="9"/>
            <color indexed="81"/>
            <rFont val="Tahoma"/>
            <family val="2"/>
          </rPr>
          <t xml:space="preserve">Ludwig's Applied Process Design …
4th ed, p.xxii.
</t>
        </r>
      </text>
    </comment>
    <comment ref="AC227" authorId="1" shapeId="0" xr:uid="{00000000-0006-0000-0700-000041000000}">
      <text>
        <r>
          <rPr>
            <b/>
            <sz val="9"/>
            <color indexed="81"/>
            <rFont val="Tahoma"/>
            <family val="2"/>
          </rPr>
          <t>Should match reactor set temperature</t>
        </r>
      </text>
    </comment>
    <comment ref="BC227" authorId="1" shapeId="0" xr:uid="{995BFA66-11FD-1840-9927-32CDE49A6CAC}">
      <text>
        <r>
          <rPr>
            <b/>
            <sz val="9"/>
            <color indexed="81"/>
            <rFont val="Tahoma"/>
            <family val="2"/>
          </rPr>
          <t>Should match reactor set temperature</t>
        </r>
      </text>
    </comment>
    <comment ref="CC227" authorId="1" shapeId="0" xr:uid="{00000000-0006-0000-0700-000042000000}">
      <text>
        <r>
          <rPr>
            <b/>
            <sz val="9"/>
            <color indexed="81"/>
            <rFont val="Tahoma"/>
            <family val="2"/>
          </rPr>
          <t>Should match reactor set temperature</t>
        </r>
      </text>
    </comment>
    <comment ref="DC227" authorId="1" shapeId="0" xr:uid="{00000000-0006-0000-0700-000043000000}">
      <text>
        <r>
          <rPr>
            <b/>
            <sz val="9"/>
            <color indexed="81"/>
            <rFont val="Tahoma"/>
            <family val="2"/>
          </rPr>
          <t>Should match reactor set temperature</t>
        </r>
      </text>
    </comment>
    <comment ref="EC227" authorId="1" shapeId="0" xr:uid="{00000000-0006-0000-0700-000044000000}">
      <text>
        <r>
          <rPr>
            <b/>
            <sz val="9"/>
            <color indexed="81"/>
            <rFont val="Tahoma"/>
            <family val="2"/>
          </rPr>
          <t>Should match reactor set temperature</t>
        </r>
      </text>
    </comment>
    <comment ref="AC228" authorId="1" shapeId="0" xr:uid="{00000000-0006-0000-0700-000045000000}">
      <text>
        <r>
          <rPr>
            <b/>
            <sz val="9"/>
            <color indexed="81"/>
            <rFont val="Tahoma"/>
            <family val="2"/>
          </rPr>
          <t>Should be zeroed by adjusting Feed T (Row 114)</t>
        </r>
      </text>
    </comment>
    <comment ref="BC228" authorId="1" shapeId="0" xr:uid="{F45333BB-2372-C54B-8D2C-6C05F260EF84}">
      <text>
        <r>
          <rPr>
            <b/>
            <sz val="9"/>
            <color indexed="81"/>
            <rFont val="Tahoma"/>
            <family val="2"/>
          </rPr>
          <t>Should be zeroed by adjusting Feed T (Row 114)</t>
        </r>
      </text>
    </comment>
    <comment ref="CC228" authorId="1" shapeId="0" xr:uid="{00000000-0006-0000-0700-000046000000}">
      <text>
        <r>
          <rPr>
            <b/>
            <sz val="9"/>
            <color indexed="81"/>
            <rFont val="Tahoma"/>
            <family val="2"/>
          </rPr>
          <t>Should be zeroed by adjusting Feed T (Row 114)</t>
        </r>
      </text>
    </comment>
    <comment ref="DC228" authorId="1" shapeId="0" xr:uid="{00000000-0006-0000-0700-000047000000}">
      <text>
        <r>
          <rPr>
            <b/>
            <sz val="9"/>
            <color indexed="81"/>
            <rFont val="Tahoma"/>
            <family val="2"/>
          </rPr>
          <t>Should be zeroed by adjusting Feed T (Row 114)</t>
        </r>
      </text>
    </comment>
    <comment ref="EC228" authorId="1" shapeId="0" xr:uid="{00000000-0006-0000-0700-000048000000}">
      <text>
        <r>
          <rPr>
            <b/>
            <sz val="9"/>
            <color indexed="81"/>
            <rFont val="Tahoma"/>
            <family val="2"/>
          </rPr>
          <t>Should be zeroed by adjusting Feed T (Row 114)</t>
        </r>
      </text>
    </comment>
    <comment ref="AC262" authorId="1" shapeId="0" xr:uid="{00000000-0006-0000-0700-000049000000}">
      <text>
        <r>
          <rPr>
            <b/>
            <sz val="9"/>
            <color indexed="81"/>
            <rFont val="Tahoma"/>
            <family val="2"/>
          </rPr>
          <t>2002$, http://www.mhhe.com/engcs/chemical/peters/data/ce.html</t>
        </r>
      </text>
    </comment>
    <comment ref="BC262" authorId="1" shapeId="0" xr:uid="{1BC61D92-6A89-294B-8C6C-D7A756A3803C}">
      <text>
        <r>
          <rPr>
            <b/>
            <sz val="9"/>
            <color indexed="81"/>
            <rFont val="Tahoma"/>
            <family val="2"/>
          </rPr>
          <t>2002$, http://www.mhhe.com/engcs/chemical/peters/data/ce.html</t>
        </r>
      </text>
    </comment>
    <comment ref="CC262" authorId="1" shapeId="0" xr:uid="{00000000-0006-0000-0700-00004A000000}">
      <text>
        <r>
          <rPr>
            <b/>
            <sz val="9"/>
            <color indexed="81"/>
            <rFont val="Tahoma"/>
            <family val="2"/>
          </rPr>
          <t>2002$, http://www.mhhe.com/engcs/chemical/peters/data/ce.html</t>
        </r>
      </text>
    </comment>
    <comment ref="DC262" authorId="1" shapeId="0" xr:uid="{00000000-0006-0000-0700-00004B000000}">
      <text>
        <r>
          <rPr>
            <b/>
            <sz val="9"/>
            <color indexed="81"/>
            <rFont val="Tahoma"/>
            <family val="2"/>
          </rPr>
          <t>2002$, http://www.mhhe.com/engcs/chemical/peters/data/ce.html</t>
        </r>
      </text>
    </comment>
    <comment ref="EC262" authorId="1" shapeId="0" xr:uid="{00000000-0006-0000-0700-00004C000000}">
      <text>
        <r>
          <rPr>
            <b/>
            <sz val="9"/>
            <color indexed="81"/>
            <rFont val="Tahoma"/>
            <family val="2"/>
          </rPr>
          <t>2002$, http://www.mhhe.com/engcs/chemical/peters/data/ce.html</t>
        </r>
      </text>
    </comment>
    <comment ref="AC263" authorId="1" shapeId="0" xr:uid="{00000000-0006-0000-0700-00004D000000}">
      <text>
        <r>
          <rPr>
            <b/>
            <sz val="9"/>
            <color indexed="81"/>
            <rFont val="Tahoma"/>
            <family val="2"/>
          </rPr>
          <t>2017$</t>
        </r>
      </text>
    </comment>
    <comment ref="BC263" authorId="1" shapeId="0" xr:uid="{FAD97E5A-0B27-C84C-9D62-783312AF1C8F}">
      <text>
        <r>
          <rPr>
            <b/>
            <sz val="9"/>
            <color indexed="81"/>
            <rFont val="Tahoma"/>
            <family val="2"/>
          </rPr>
          <t>2017$</t>
        </r>
      </text>
    </comment>
    <comment ref="CC263" authorId="1" shapeId="0" xr:uid="{00000000-0006-0000-0700-00004E000000}">
      <text>
        <r>
          <rPr>
            <b/>
            <sz val="9"/>
            <color indexed="81"/>
            <rFont val="Tahoma"/>
            <family val="2"/>
          </rPr>
          <t>2017$</t>
        </r>
      </text>
    </comment>
    <comment ref="DC263" authorId="1" shapeId="0" xr:uid="{00000000-0006-0000-0700-00004F000000}">
      <text>
        <r>
          <rPr>
            <b/>
            <sz val="9"/>
            <color indexed="81"/>
            <rFont val="Tahoma"/>
            <family val="2"/>
          </rPr>
          <t>2017$</t>
        </r>
      </text>
    </comment>
    <comment ref="EC263" authorId="1" shapeId="0" xr:uid="{00000000-0006-0000-0700-000050000000}">
      <text>
        <r>
          <rPr>
            <b/>
            <sz val="9"/>
            <color indexed="81"/>
            <rFont val="Tahoma"/>
            <family val="2"/>
          </rPr>
          <t>2017$</t>
        </r>
      </text>
    </comment>
    <comment ref="AC265" authorId="1" shapeId="0" xr:uid="{00000000-0006-0000-0700-000051000000}">
      <text>
        <r>
          <rPr>
            <b/>
            <sz val="9"/>
            <color indexed="81"/>
            <rFont val="Tahoma"/>
            <family val="2"/>
          </rPr>
          <t>Ludwig's Applied Process ….., p.xxiii
DP=5 bar
Effic.=0.9</t>
        </r>
      </text>
    </comment>
    <comment ref="BC265" authorId="1" shapeId="0" xr:uid="{FA3F1EAC-8D97-1B4A-BA72-A9A470311FA8}">
      <text>
        <r>
          <rPr>
            <b/>
            <sz val="9"/>
            <color indexed="81"/>
            <rFont val="Tahoma"/>
            <family val="2"/>
          </rPr>
          <t>Ludwig's Applied Process ….., p.xxiii
DP=5 bar
Effic.=0.9</t>
        </r>
      </text>
    </comment>
    <comment ref="CC265" authorId="1" shapeId="0" xr:uid="{00000000-0006-0000-0700-000052000000}">
      <text>
        <r>
          <rPr>
            <b/>
            <sz val="9"/>
            <color indexed="81"/>
            <rFont val="Tahoma"/>
            <family val="2"/>
          </rPr>
          <t>Ludwig's Applied Process ….., p.xxiii
DP=5 bar
Effic.=0.9</t>
        </r>
      </text>
    </comment>
    <comment ref="DC265" authorId="1" shapeId="0" xr:uid="{00000000-0006-0000-0700-000053000000}">
      <text>
        <r>
          <rPr>
            <b/>
            <sz val="9"/>
            <color indexed="81"/>
            <rFont val="Tahoma"/>
            <family val="2"/>
          </rPr>
          <t>Ludwig's Applied Process ….., p.xxiii
DP=5 bar
Effic.=0.9</t>
        </r>
      </text>
    </comment>
    <comment ref="EC265" authorId="1" shapeId="0" xr:uid="{00000000-0006-0000-0700-000054000000}">
      <text>
        <r>
          <rPr>
            <b/>
            <sz val="9"/>
            <color indexed="81"/>
            <rFont val="Tahoma"/>
            <family val="2"/>
          </rPr>
          <t>Ludwig's Applied Process ….., p.xxiii
DP=5 bar
Effic.=0.9</t>
        </r>
      </text>
    </comment>
    <comment ref="AC266" authorId="1" shapeId="0" xr:uid="{00000000-0006-0000-0700-000055000000}">
      <text>
        <r>
          <rPr>
            <b/>
            <sz val="9"/>
            <color indexed="81"/>
            <rFont val="Tahoma"/>
            <family val="2"/>
          </rPr>
          <t>2002$</t>
        </r>
      </text>
    </comment>
    <comment ref="BC266" authorId="1" shapeId="0" xr:uid="{F59226DE-D70F-9541-A268-9B8B7437EB92}">
      <text>
        <r>
          <rPr>
            <b/>
            <sz val="9"/>
            <color indexed="81"/>
            <rFont val="Tahoma"/>
            <family val="2"/>
          </rPr>
          <t>2002$</t>
        </r>
      </text>
    </comment>
    <comment ref="CC266" authorId="1" shapeId="0" xr:uid="{00000000-0006-0000-0700-000056000000}">
      <text>
        <r>
          <rPr>
            <b/>
            <sz val="9"/>
            <color indexed="81"/>
            <rFont val="Tahoma"/>
            <family val="2"/>
          </rPr>
          <t>2002$</t>
        </r>
      </text>
    </comment>
    <comment ref="DC266" authorId="1" shapeId="0" xr:uid="{00000000-0006-0000-0700-000057000000}">
      <text>
        <r>
          <rPr>
            <b/>
            <sz val="9"/>
            <color indexed="81"/>
            <rFont val="Tahoma"/>
            <family val="2"/>
          </rPr>
          <t>2002$</t>
        </r>
      </text>
    </comment>
    <comment ref="EC266" authorId="1" shapeId="0" xr:uid="{00000000-0006-0000-0700-000058000000}">
      <text>
        <r>
          <rPr>
            <b/>
            <sz val="9"/>
            <color indexed="81"/>
            <rFont val="Tahoma"/>
            <family val="2"/>
          </rPr>
          <t>2002$</t>
        </r>
      </text>
    </comment>
    <comment ref="AC267" authorId="1" shapeId="0" xr:uid="{00000000-0006-0000-0700-000059000000}">
      <text>
        <r>
          <rPr>
            <b/>
            <sz val="9"/>
            <color indexed="81"/>
            <rFont val="Tahoma"/>
            <family val="2"/>
          </rPr>
          <t>2017$</t>
        </r>
      </text>
    </comment>
    <comment ref="BC267" authorId="1" shapeId="0" xr:uid="{53A4BB63-DB43-014E-B6DB-003C37C2C428}">
      <text>
        <r>
          <rPr>
            <b/>
            <sz val="9"/>
            <color indexed="81"/>
            <rFont val="Tahoma"/>
            <family val="2"/>
          </rPr>
          <t>2017$</t>
        </r>
      </text>
    </comment>
    <comment ref="CC267" authorId="1" shapeId="0" xr:uid="{00000000-0006-0000-0700-00005A000000}">
      <text>
        <r>
          <rPr>
            <b/>
            <sz val="9"/>
            <color indexed="81"/>
            <rFont val="Tahoma"/>
            <family val="2"/>
          </rPr>
          <t>2017$</t>
        </r>
      </text>
    </comment>
    <comment ref="DC267" authorId="1" shapeId="0" xr:uid="{00000000-0006-0000-0700-00005B000000}">
      <text>
        <r>
          <rPr>
            <b/>
            <sz val="9"/>
            <color indexed="81"/>
            <rFont val="Tahoma"/>
            <family val="2"/>
          </rPr>
          <t>2017$</t>
        </r>
      </text>
    </comment>
    <comment ref="EC267" authorId="1" shapeId="0" xr:uid="{00000000-0006-0000-0700-00005C000000}">
      <text>
        <r>
          <rPr>
            <b/>
            <sz val="9"/>
            <color indexed="81"/>
            <rFont val="Tahoma"/>
            <family val="2"/>
          </rPr>
          <t>2017$</t>
        </r>
      </text>
    </comment>
    <comment ref="AC279" authorId="1" shapeId="0" xr:uid="{00000000-0006-0000-0700-00005D000000}">
      <text>
        <r>
          <rPr>
            <b/>
            <sz val="9"/>
            <color indexed="81"/>
            <rFont val="Tahoma"/>
            <family val="2"/>
          </rPr>
          <t>2002$, http://www.mhhe.com/engcs/chemical/peters/data/ce.html</t>
        </r>
      </text>
    </comment>
    <comment ref="BC279" authorId="1" shapeId="0" xr:uid="{478D908B-5B37-E641-A684-37885B7D2BD8}">
      <text>
        <r>
          <rPr>
            <b/>
            <sz val="9"/>
            <color indexed="81"/>
            <rFont val="Tahoma"/>
            <family val="2"/>
          </rPr>
          <t>2002$, http://www.mhhe.com/engcs/chemical/peters/data/ce.html</t>
        </r>
      </text>
    </comment>
    <comment ref="CC279" authorId="1" shapeId="0" xr:uid="{00000000-0006-0000-0700-00005E000000}">
      <text>
        <r>
          <rPr>
            <b/>
            <sz val="9"/>
            <color indexed="81"/>
            <rFont val="Tahoma"/>
            <family val="2"/>
          </rPr>
          <t>2002$, http://www.mhhe.com/engcs/chemical/peters/data/ce.html</t>
        </r>
      </text>
    </comment>
    <comment ref="DC279" authorId="1" shapeId="0" xr:uid="{00000000-0006-0000-0700-00005F000000}">
      <text>
        <r>
          <rPr>
            <b/>
            <sz val="9"/>
            <color indexed="81"/>
            <rFont val="Tahoma"/>
            <family val="2"/>
          </rPr>
          <t>2002$, http://www.mhhe.com/engcs/chemical/peters/data/ce.html</t>
        </r>
      </text>
    </comment>
    <comment ref="EC279" authorId="1" shapeId="0" xr:uid="{00000000-0006-0000-0700-000060000000}">
      <text>
        <r>
          <rPr>
            <b/>
            <sz val="9"/>
            <color indexed="81"/>
            <rFont val="Tahoma"/>
            <family val="2"/>
          </rPr>
          <t>2002$, http://www.mhhe.com/engcs/chemical/peters/data/ce.html</t>
        </r>
      </text>
    </comment>
    <comment ref="AC280" authorId="1" shapeId="0" xr:uid="{00000000-0006-0000-0700-000061000000}">
      <text>
        <r>
          <rPr>
            <b/>
            <sz val="9"/>
            <color indexed="81"/>
            <rFont val="Tahoma"/>
            <family val="2"/>
          </rPr>
          <t>2017$</t>
        </r>
      </text>
    </comment>
    <comment ref="BC280" authorId="1" shapeId="0" xr:uid="{91B24435-49B2-7349-AE95-B1C4A6B3BDF2}">
      <text>
        <r>
          <rPr>
            <b/>
            <sz val="9"/>
            <color indexed="81"/>
            <rFont val="Tahoma"/>
            <family val="2"/>
          </rPr>
          <t>2017$</t>
        </r>
      </text>
    </comment>
    <comment ref="CC280" authorId="1" shapeId="0" xr:uid="{00000000-0006-0000-0700-000062000000}">
      <text>
        <r>
          <rPr>
            <b/>
            <sz val="9"/>
            <color indexed="81"/>
            <rFont val="Tahoma"/>
            <family val="2"/>
          </rPr>
          <t>2017$</t>
        </r>
      </text>
    </comment>
    <comment ref="DC280" authorId="1" shapeId="0" xr:uid="{00000000-0006-0000-0700-000063000000}">
      <text>
        <r>
          <rPr>
            <b/>
            <sz val="9"/>
            <color indexed="81"/>
            <rFont val="Tahoma"/>
            <family val="2"/>
          </rPr>
          <t>2017$</t>
        </r>
      </text>
    </comment>
    <comment ref="EC280" authorId="1" shapeId="0" xr:uid="{00000000-0006-0000-0700-000064000000}">
      <text>
        <r>
          <rPr>
            <b/>
            <sz val="9"/>
            <color indexed="81"/>
            <rFont val="Tahoma"/>
            <family val="2"/>
          </rPr>
          <t>2017$</t>
        </r>
      </text>
    </comment>
    <comment ref="AA281" authorId="1" shapeId="0" xr:uid="{00000000-0006-0000-0700-000065000000}">
      <text>
        <r>
          <rPr>
            <b/>
            <sz val="9"/>
            <color indexed="81"/>
            <rFont val="Tahoma"/>
            <family val="2"/>
          </rPr>
          <t>http://www.mhhe.com/engcs/chemical/peters/data/ce.html</t>
        </r>
      </text>
    </comment>
    <comment ref="BA281" authorId="1" shapeId="0" xr:uid="{BBD38A56-4FE7-0E44-9558-5FB50C647611}">
      <text>
        <r>
          <rPr>
            <b/>
            <sz val="9"/>
            <color indexed="81"/>
            <rFont val="Tahoma"/>
            <family val="2"/>
          </rPr>
          <t>http://www.mhhe.com/engcs/chemical/peters/data/ce.html</t>
        </r>
      </text>
    </comment>
    <comment ref="CA281" authorId="1" shapeId="0" xr:uid="{00000000-0006-0000-0700-000066000000}">
      <text>
        <r>
          <rPr>
            <b/>
            <sz val="9"/>
            <color indexed="81"/>
            <rFont val="Tahoma"/>
            <family val="2"/>
          </rPr>
          <t>http://www.mhhe.com/engcs/chemical/peters/data/ce.html</t>
        </r>
      </text>
    </comment>
    <comment ref="DA281" authorId="1" shapeId="0" xr:uid="{00000000-0006-0000-0700-000067000000}">
      <text>
        <r>
          <rPr>
            <b/>
            <sz val="9"/>
            <color indexed="81"/>
            <rFont val="Tahoma"/>
            <family val="2"/>
          </rPr>
          <t>http://www.mhhe.com/engcs/chemical/peters/data/ce.html</t>
        </r>
      </text>
    </comment>
    <comment ref="EA281" authorId="1" shapeId="0" xr:uid="{00000000-0006-0000-0700-000068000000}">
      <text>
        <r>
          <rPr>
            <b/>
            <sz val="9"/>
            <color indexed="81"/>
            <rFont val="Tahoma"/>
            <family val="2"/>
          </rPr>
          <t>http://www.mhhe.com/engcs/chemical/peters/data/ce.html</t>
        </r>
      </text>
    </comment>
    <comment ref="FA281" authorId="1" shapeId="0" xr:uid="{00000000-0006-0000-0700-000069000000}">
      <text>
        <r>
          <rPr>
            <b/>
            <sz val="9"/>
            <color indexed="81"/>
            <rFont val="Tahoma"/>
            <family val="2"/>
          </rPr>
          <t>http://www.mhhe.com/engcs/chemical/peters/data/ce.html</t>
        </r>
      </text>
    </comment>
    <comment ref="AC282" authorId="1" shapeId="0" xr:uid="{00000000-0006-0000-0700-00006A000000}">
      <text>
        <r>
          <rPr>
            <b/>
            <sz val="9"/>
            <color indexed="81"/>
            <rFont val="Tahoma"/>
            <family val="2"/>
          </rPr>
          <t>2017$</t>
        </r>
      </text>
    </comment>
    <comment ref="BC282" authorId="1" shapeId="0" xr:uid="{EE9026CC-E51A-2C40-B5E2-BCC465DD8D3F}">
      <text>
        <r>
          <rPr>
            <b/>
            <sz val="9"/>
            <color indexed="81"/>
            <rFont val="Tahoma"/>
            <family val="2"/>
          </rPr>
          <t>2017$</t>
        </r>
      </text>
    </comment>
    <comment ref="CC282" authorId="1" shapeId="0" xr:uid="{00000000-0006-0000-0700-00006B000000}">
      <text>
        <r>
          <rPr>
            <b/>
            <sz val="9"/>
            <color indexed="81"/>
            <rFont val="Tahoma"/>
            <family val="2"/>
          </rPr>
          <t>2017$</t>
        </r>
      </text>
    </comment>
    <comment ref="DC282" authorId="1" shapeId="0" xr:uid="{00000000-0006-0000-0700-00006C000000}">
      <text>
        <r>
          <rPr>
            <b/>
            <sz val="9"/>
            <color indexed="81"/>
            <rFont val="Tahoma"/>
            <family val="2"/>
          </rPr>
          <t>2017$</t>
        </r>
      </text>
    </comment>
    <comment ref="EC282" authorId="1" shapeId="0" xr:uid="{00000000-0006-0000-0700-00006D000000}">
      <text>
        <r>
          <rPr>
            <b/>
            <sz val="9"/>
            <color indexed="81"/>
            <rFont val="Tahoma"/>
            <family val="2"/>
          </rPr>
          <t>2017$</t>
        </r>
      </text>
    </comment>
    <comment ref="AC291" authorId="1" shapeId="0" xr:uid="{00000000-0006-0000-0700-00006E000000}">
      <text>
        <r>
          <rPr>
            <b/>
            <sz val="9"/>
            <color indexed="81"/>
            <rFont val="Tahoma"/>
            <family val="2"/>
          </rPr>
          <t>Peters, Timmerhaus, West, Plant Design and Economics for Chemical Engineers, 5th Ed., 2003, p.581, Table 12-18, Ball Mill</t>
        </r>
      </text>
    </comment>
    <comment ref="BC291" authorId="1" shapeId="0" xr:uid="{4C9D7E88-2AD4-464B-B284-F5FF8A17C16C}">
      <text>
        <r>
          <rPr>
            <b/>
            <sz val="9"/>
            <color indexed="81"/>
            <rFont val="Tahoma"/>
            <family val="2"/>
          </rPr>
          <t>Peters, Timmerhaus, West, Plant Design and Economics for Chemical Engineers, 5th Ed., 2003, p.581, Table 12-18, Ball Mill</t>
        </r>
      </text>
    </comment>
    <comment ref="CC291" authorId="1" shapeId="0" xr:uid="{00000000-0006-0000-0700-00006F000000}">
      <text>
        <r>
          <rPr>
            <b/>
            <sz val="9"/>
            <color indexed="81"/>
            <rFont val="Tahoma"/>
            <family val="2"/>
          </rPr>
          <t>Peters, Timmerhaus, West, Plant Design and Economics for Chemical Engineers, 5th Ed., 2003, p.581, Table 12-18, Ball Mill</t>
        </r>
      </text>
    </comment>
    <comment ref="DC291" authorId="1" shapeId="0" xr:uid="{00000000-0006-0000-0700-000070000000}">
      <text>
        <r>
          <rPr>
            <b/>
            <sz val="9"/>
            <color indexed="81"/>
            <rFont val="Tahoma"/>
            <family val="2"/>
          </rPr>
          <t>Peters, Timmerhaus, West, Plant Design and Economics for Chemical Engineers, 5th Ed., 2003, p.581, Table 12-18, Ball Mill</t>
        </r>
      </text>
    </comment>
    <comment ref="EC291" authorId="1" shapeId="0" xr:uid="{00000000-0006-0000-0700-000071000000}">
      <text>
        <r>
          <rPr>
            <b/>
            <sz val="9"/>
            <color indexed="81"/>
            <rFont val="Tahoma"/>
            <family val="2"/>
          </rPr>
          <t>Peters, Timmerhaus, West, Plant Design and Economics for Chemical Engineers, 5th Ed., 2003, p.581, Table 12-18, Ball Mill</t>
        </r>
      </text>
    </comment>
    <comment ref="FC291" authorId="1" shapeId="0" xr:uid="{00000000-0006-0000-0700-000072000000}">
      <text>
        <r>
          <rPr>
            <b/>
            <sz val="9"/>
            <color indexed="81"/>
            <rFont val="Tahoma"/>
            <family val="2"/>
          </rPr>
          <t>Peters, Timmerhaus, West, Plant Design and Economics for Chemical Engineers, 5th Ed., 2003, p.581, Table 12-18, Ball Mill</t>
        </r>
      </text>
    </comment>
    <comment ref="AC292" authorId="1" shapeId="0" xr:uid="{00000000-0006-0000-0700-000073000000}">
      <text>
        <r>
          <rPr>
            <b/>
            <sz val="9"/>
            <color indexed="81"/>
            <rFont val="Tahoma"/>
            <family val="2"/>
          </rPr>
          <t>Rosario and Hall, The Journal of Southern African Institute of Mining and Metallurgy, Vol.10, 117-123, 2010</t>
        </r>
      </text>
    </comment>
    <comment ref="BC292" authorId="1" shapeId="0" xr:uid="{B0103E92-853F-E54C-85F9-B120E8B41551}">
      <text>
        <r>
          <rPr>
            <b/>
            <sz val="9"/>
            <color indexed="81"/>
            <rFont val="Tahoma"/>
            <family val="2"/>
          </rPr>
          <t>Rosario and Hall, The Journal of Southern African Institute of Mining and Metallurgy, Vol.10, 117-123, 2010</t>
        </r>
      </text>
    </comment>
    <comment ref="CC292" authorId="1" shapeId="0" xr:uid="{00000000-0006-0000-0700-000074000000}">
      <text>
        <r>
          <rPr>
            <b/>
            <sz val="9"/>
            <color indexed="81"/>
            <rFont val="Tahoma"/>
            <family val="2"/>
          </rPr>
          <t>Rosario and Hall, The Journal of Southern African Institute of Mining and Metallurgy, Vol.10, 117-123, 2010</t>
        </r>
      </text>
    </comment>
    <comment ref="DC292" authorId="1" shapeId="0" xr:uid="{00000000-0006-0000-0700-000075000000}">
      <text>
        <r>
          <rPr>
            <b/>
            <sz val="9"/>
            <color indexed="81"/>
            <rFont val="Tahoma"/>
            <family val="2"/>
          </rPr>
          <t>Rosario and Hall, The Journal of Southern African Institute of Mining and Metallurgy, Vol.10, 117-123, 2010</t>
        </r>
      </text>
    </comment>
    <comment ref="EC292" authorId="1" shapeId="0" xr:uid="{00000000-0006-0000-0700-000076000000}">
      <text>
        <r>
          <rPr>
            <b/>
            <sz val="9"/>
            <color indexed="81"/>
            <rFont val="Tahoma"/>
            <family val="2"/>
          </rPr>
          <t>Rosario and Hall, The Journal of Southern African Institute of Mining and Metallurgy, Vol.10, 117-123, 2010</t>
        </r>
      </text>
    </comment>
    <comment ref="FC292" authorId="1" shapeId="0" xr:uid="{00000000-0006-0000-0700-000077000000}">
      <text>
        <r>
          <rPr>
            <b/>
            <sz val="9"/>
            <color indexed="81"/>
            <rFont val="Tahoma"/>
            <family val="2"/>
          </rPr>
          <t>Rosario and Hall, The Journal of Southern African Institute of Mining and Metallurgy, Vol.10, 117-123, 2010</t>
        </r>
      </text>
    </comment>
    <comment ref="AC293" authorId="1" shapeId="0" xr:uid="{00000000-0006-0000-0700-000078000000}">
      <text>
        <r>
          <rPr>
            <b/>
            <sz val="9"/>
            <color indexed="81"/>
            <rFont val="Tahoma"/>
            <family val="2"/>
          </rPr>
          <t>2002$, http://www.mhhe.com/engcs/chemical/peters/data/ce.html</t>
        </r>
      </text>
    </comment>
    <comment ref="BC293" authorId="1" shapeId="0" xr:uid="{3CF7F8E0-206F-0849-A74F-AA51AE2C4E51}">
      <text>
        <r>
          <rPr>
            <b/>
            <sz val="9"/>
            <color indexed="81"/>
            <rFont val="Tahoma"/>
            <family val="2"/>
          </rPr>
          <t>2002$, http://www.mhhe.com/engcs/chemical/peters/data/ce.html</t>
        </r>
      </text>
    </comment>
    <comment ref="CC293" authorId="1" shapeId="0" xr:uid="{00000000-0006-0000-0700-000079000000}">
      <text>
        <r>
          <rPr>
            <b/>
            <sz val="9"/>
            <color indexed="81"/>
            <rFont val="Tahoma"/>
            <family val="2"/>
          </rPr>
          <t>2002$, http://www.mhhe.com/engcs/chemical/peters/data/ce.html</t>
        </r>
      </text>
    </comment>
    <comment ref="DC293" authorId="1" shapeId="0" xr:uid="{00000000-0006-0000-0700-00007A000000}">
      <text>
        <r>
          <rPr>
            <b/>
            <sz val="9"/>
            <color indexed="81"/>
            <rFont val="Tahoma"/>
            <family val="2"/>
          </rPr>
          <t>2002$, http://www.mhhe.com/engcs/chemical/peters/data/ce.html</t>
        </r>
      </text>
    </comment>
    <comment ref="EC293" authorId="1" shapeId="0" xr:uid="{00000000-0006-0000-0700-00007B000000}">
      <text>
        <r>
          <rPr>
            <b/>
            <sz val="9"/>
            <color indexed="81"/>
            <rFont val="Tahoma"/>
            <family val="2"/>
          </rPr>
          <t>2002$, http://www.mhhe.com/engcs/chemical/peters/data/ce.html</t>
        </r>
      </text>
    </comment>
    <comment ref="FC293" authorId="1" shapeId="0" xr:uid="{00000000-0006-0000-0700-00007C000000}">
      <text>
        <r>
          <rPr>
            <b/>
            <sz val="9"/>
            <color indexed="81"/>
            <rFont val="Tahoma"/>
            <family val="2"/>
          </rPr>
          <t>2002$, http://www.mhhe.com/engcs/chemical/peters/data/ce.html</t>
        </r>
      </text>
    </comment>
    <comment ref="AC294" authorId="1" shapeId="0" xr:uid="{00000000-0006-0000-0700-00007D000000}">
      <text>
        <r>
          <rPr>
            <b/>
            <sz val="9"/>
            <color indexed="81"/>
            <rFont val="Tahoma"/>
            <family val="2"/>
          </rPr>
          <t>2017$</t>
        </r>
      </text>
    </comment>
    <comment ref="BC294" authorId="1" shapeId="0" xr:uid="{B81649AE-EAFF-6742-A6E5-5A20DD3ADF2D}">
      <text>
        <r>
          <rPr>
            <b/>
            <sz val="9"/>
            <color indexed="81"/>
            <rFont val="Tahoma"/>
            <family val="2"/>
          </rPr>
          <t>2017$</t>
        </r>
      </text>
    </comment>
    <comment ref="CC294" authorId="1" shapeId="0" xr:uid="{00000000-0006-0000-0700-00007E000000}">
      <text>
        <r>
          <rPr>
            <b/>
            <sz val="9"/>
            <color indexed="81"/>
            <rFont val="Tahoma"/>
            <family val="2"/>
          </rPr>
          <t>2017$</t>
        </r>
      </text>
    </comment>
    <comment ref="DC294" authorId="1" shapeId="0" xr:uid="{00000000-0006-0000-0700-00007F000000}">
      <text>
        <r>
          <rPr>
            <b/>
            <sz val="9"/>
            <color indexed="81"/>
            <rFont val="Tahoma"/>
            <family val="2"/>
          </rPr>
          <t>2017$</t>
        </r>
      </text>
    </comment>
    <comment ref="EC294" authorId="1" shapeId="0" xr:uid="{00000000-0006-0000-0700-000080000000}">
      <text>
        <r>
          <rPr>
            <b/>
            <sz val="9"/>
            <color indexed="81"/>
            <rFont val="Tahoma"/>
            <family val="2"/>
          </rPr>
          <t>2017$</t>
        </r>
      </text>
    </comment>
    <comment ref="FC294" authorId="1" shapeId="0" xr:uid="{00000000-0006-0000-0700-000081000000}">
      <text>
        <r>
          <rPr>
            <b/>
            <sz val="9"/>
            <color indexed="81"/>
            <rFont val="Tahoma"/>
            <family val="2"/>
          </rPr>
          <t>2017$</t>
        </r>
      </text>
    </comment>
    <comment ref="AC304" authorId="1" shapeId="0" xr:uid="{00000000-0006-0000-0700-000082000000}">
      <text>
        <r>
          <rPr>
            <b/>
            <sz val="9"/>
            <color indexed="81"/>
            <rFont val="Tahoma"/>
            <family val="2"/>
          </rPr>
          <t>Perry's Handbook, 8th ed., p.21-39, e.g., power for paddle mixer</t>
        </r>
      </text>
    </comment>
    <comment ref="BC304" authorId="1" shapeId="0" xr:uid="{93DF0C97-1B03-0E44-B472-55692C924736}">
      <text>
        <r>
          <rPr>
            <b/>
            <sz val="9"/>
            <color indexed="81"/>
            <rFont val="Tahoma"/>
            <family val="2"/>
          </rPr>
          <t>Perry's Handbook, 8th ed., p.21-39, e.g., power for paddle mixer</t>
        </r>
      </text>
    </comment>
    <comment ref="CC304" authorId="1" shapeId="0" xr:uid="{00000000-0006-0000-0700-000083000000}">
      <text>
        <r>
          <rPr>
            <b/>
            <sz val="9"/>
            <color indexed="81"/>
            <rFont val="Tahoma"/>
            <family val="2"/>
          </rPr>
          <t>Perry's Handbook, 8th ed., p.21-39, e.g., power for paddle mixer</t>
        </r>
      </text>
    </comment>
    <comment ref="DC304" authorId="1" shapeId="0" xr:uid="{00000000-0006-0000-0700-000084000000}">
      <text>
        <r>
          <rPr>
            <b/>
            <sz val="9"/>
            <color indexed="81"/>
            <rFont val="Tahoma"/>
            <family val="2"/>
          </rPr>
          <t>Perry's Handbook, 8th ed., p.21-39, e.g., power for paddle mixer</t>
        </r>
      </text>
    </comment>
    <comment ref="EC304" authorId="1" shapeId="0" xr:uid="{00000000-0006-0000-0700-000085000000}">
      <text>
        <r>
          <rPr>
            <b/>
            <sz val="9"/>
            <color indexed="81"/>
            <rFont val="Tahoma"/>
            <family val="2"/>
          </rPr>
          <t>Perry's Handbook, 8th ed., p.21-39, e.g., power for paddle mixer</t>
        </r>
      </text>
    </comment>
    <comment ref="FC304" authorId="1" shapeId="0" xr:uid="{00000000-0006-0000-0700-000086000000}">
      <text>
        <r>
          <rPr>
            <b/>
            <sz val="9"/>
            <color indexed="81"/>
            <rFont val="Tahoma"/>
            <family val="2"/>
          </rPr>
          <t>Perry's Handbook, 8th ed., p.21-39, e.g., power for paddle mixer</t>
        </r>
      </text>
    </comment>
    <comment ref="AC306" authorId="1" shapeId="0" xr:uid="{00000000-0006-0000-0700-000087000000}">
      <text>
        <r>
          <rPr>
            <b/>
            <sz val="9"/>
            <color indexed="81"/>
            <rFont val="Tahoma"/>
            <family val="2"/>
          </rPr>
          <t>2002$, http://www.mhhe.com/engcs/chemical/peters/data/ce.html</t>
        </r>
      </text>
    </comment>
    <comment ref="BC306" authorId="1" shapeId="0" xr:uid="{600B0A0C-AA06-2349-9424-2F57080D906D}">
      <text>
        <r>
          <rPr>
            <b/>
            <sz val="9"/>
            <color indexed="81"/>
            <rFont val="Tahoma"/>
            <family val="2"/>
          </rPr>
          <t>2002$, http://www.mhhe.com/engcs/chemical/peters/data/ce.html</t>
        </r>
      </text>
    </comment>
    <comment ref="CC306" authorId="1" shapeId="0" xr:uid="{00000000-0006-0000-0700-000088000000}">
      <text>
        <r>
          <rPr>
            <b/>
            <sz val="9"/>
            <color indexed="81"/>
            <rFont val="Tahoma"/>
            <family val="2"/>
          </rPr>
          <t>2002$, http://www.mhhe.com/engcs/chemical/peters/data/ce.html</t>
        </r>
      </text>
    </comment>
    <comment ref="DC306" authorId="1" shapeId="0" xr:uid="{00000000-0006-0000-0700-000089000000}">
      <text>
        <r>
          <rPr>
            <b/>
            <sz val="9"/>
            <color indexed="81"/>
            <rFont val="Tahoma"/>
            <family val="2"/>
          </rPr>
          <t>2002$, http://www.mhhe.com/engcs/chemical/peters/data/ce.html</t>
        </r>
      </text>
    </comment>
    <comment ref="EC306" authorId="1" shapeId="0" xr:uid="{00000000-0006-0000-0700-00008A000000}">
      <text>
        <r>
          <rPr>
            <b/>
            <sz val="9"/>
            <color indexed="81"/>
            <rFont val="Tahoma"/>
            <family val="2"/>
          </rPr>
          <t>2002$, http://www.mhhe.com/engcs/chemical/peters/data/ce.html</t>
        </r>
      </text>
    </comment>
    <comment ref="FC306" authorId="1" shapeId="0" xr:uid="{00000000-0006-0000-0700-00008B000000}">
      <text>
        <r>
          <rPr>
            <b/>
            <sz val="9"/>
            <color indexed="81"/>
            <rFont val="Tahoma"/>
            <family val="2"/>
          </rPr>
          <t>2002$, http://www.mhhe.com/engcs/chemical/peters/data/ce.html</t>
        </r>
      </text>
    </comment>
    <comment ref="AC307" authorId="1" shapeId="0" xr:uid="{00000000-0006-0000-0700-00008C000000}">
      <text>
        <r>
          <rPr>
            <b/>
            <sz val="9"/>
            <color indexed="81"/>
            <rFont val="Tahoma"/>
            <family val="2"/>
          </rPr>
          <t>2017$</t>
        </r>
      </text>
    </comment>
    <comment ref="BC307" authorId="1" shapeId="0" xr:uid="{C6395CCF-242F-1042-A019-40B44CFAD2F0}">
      <text>
        <r>
          <rPr>
            <b/>
            <sz val="9"/>
            <color indexed="81"/>
            <rFont val="Tahoma"/>
            <family val="2"/>
          </rPr>
          <t>2017$</t>
        </r>
      </text>
    </comment>
    <comment ref="CC307" authorId="1" shapeId="0" xr:uid="{00000000-0006-0000-0700-00008D000000}">
      <text>
        <r>
          <rPr>
            <b/>
            <sz val="9"/>
            <color indexed="81"/>
            <rFont val="Tahoma"/>
            <family val="2"/>
          </rPr>
          <t>2017$</t>
        </r>
      </text>
    </comment>
    <comment ref="DC307" authorId="1" shapeId="0" xr:uid="{00000000-0006-0000-0700-00008E000000}">
      <text>
        <r>
          <rPr>
            <b/>
            <sz val="9"/>
            <color indexed="81"/>
            <rFont val="Tahoma"/>
            <family val="2"/>
          </rPr>
          <t>2017$</t>
        </r>
      </text>
    </comment>
    <comment ref="EC307" authorId="1" shapeId="0" xr:uid="{00000000-0006-0000-0700-00008F000000}">
      <text>
        <r>
          <rPr>
            <b/>
            <sz val="9"/>
            <color indexed="81"/>
            <rFont val="Tahoma"/>
            <family val="2"/>
          </rPr>
          <t>2017$</t>
        </r>
      </text>
    </comment>
    <comment ref="FC307" authorId="1" shapeId="0" xr:uid="{00000000-0006-0000-0700-000090000000}">
      <text>
        <r>
          <rPr>
            <b/>
            <sz val="9"/>
            <color indexed="81"/>
            <rFont val="Tahoma"/>
            <family val="2"/>
          </rPr>
          <t>2017$</t>
        </r>
      </text>
    </comment>
    <comment ref="AA331" authorId="1" shapeId="0" xr:uid="{00000000-0006-0000-0700-000091000000}">
      <text>
        <r>
          <rPr>
            <b/>
            <sz val="9"/>
            <color indexed="81"/>
            <rFont val="Tahoma"/>
            <family val="2"/>
          </rPr>
          <t>http://cccbdb.nist.gov/hf0k.asp</t>
        </r>
      </text>
    </comment>
    <comment ref="AC331" authorId="1" shapeId="0" xr:uid="{00000000-0006-0000-0700-000092000000}">
      <text>
        <r>
          <rPr>
            <b/>
            <sz val="9"/>
            <color indexed="81"/>
            <rFont val="Tahoma"/>
            <family val="2"/>
          </rPr>
          <t>http://cccbdb.nist.gov/hf0k.asp</t>
        </r>
      </text>
    </comment>
    <comment ref="BA331" authorId="1" shapeId="0" xr:uid="{99236022-3DA8-8643-A9F3-B2DC1A661603}">
      <text>
        <r>
          <rPr>
            <b/>
            <sz val="9"/>
            <color indexed="81"/>
            <rFont val="Tahoma"/>
            <family val="2"/>
          </rPr>
          <t>http://cccbdb.nist.gov/hf0k.asp</t>
        </r>
      </text>
    </comment>
    <comment ref="BC331" authorId="1" shapeId="0" xr:uid="{B50C2D9E-117D-6741-9F2C-BF58ACE99D00}">
      <text>
        <r>
          <rPr>
            <b/>
            <sz val="9"/>
            <color indexed="81"/>
            <rFont val="Tahoma"/>
            <family val="2"/>
          </rPr>
          <t>http://cccbdb.nist.gov/hf0k.asp</t>
        </r>
      </text>
    </comment>
    <comment ref="CA331" authorId="1" shapeId="0" xr:uid="{00000000-0006-0000-0700-000093000000}">
      <text>
        <r>
          <rPr>
            <b/>
            <sz val="9"/>
            <color indexed="81"/>
            <rFont val="Tahoma"/>
            <family val="2"/>
          </rPr>
          <t>http://cccbdb.nist.gov/hf0k.asp</t>
        </r>
      </text>
    </comment>
    <comment ref="CC331" authorId="1" shapeId="0" xr:uid="{00000000-0006-0000-0700-000094000000}">
      <text>
        <r>
          <rPr>
            <b/>
            <sz val="9"/>
            <color indexed="81"/>
            <rFont val="Tahoma"/>
            <family val="2"/>
          </rPr>
          <t>http://cccbdb.nist.gov/hf0k.asp</t>
        </r>
      </text>
    </comment>
    <comment ref="DA331" authorId="1" shapeId="0" xr:uid="{00000000-0006-0000-0700-000095000000}">
      <text>
        <r>
          <rPr>
            <b/>
            <sz val="9"/>
            <color indexed="81"/>
            <rFont val="Tahoma"/>
            <family val="2"/>
          </rPr>
          <t>http://cccbdb.nist.gov/hf0k.asp</t>
        </r>
      </text>
    </comment>
    <comment ref="DC331" authorId="1" shapeId="0" xr:uid="{00000000-0006-0000-0700-000096000000}">
      <text>
        <r>
          <rPr>
            <b/>
            <sz val="9"/>
            <color indexed="81"/>
            <rFont val="Tahoma"/>
            <family val="2"/>
          </rPr>
          <t>http://cccbdb.nist.gov/hf0k.asp</t>
        </r>
      </text>
    </comment>
    <comment ref="EA331" authorId="1" shapeId="0" xr:uid="{00000000-0006-0000-0700-000097000000}">
      <text>
        <r>
          <rPr>
            <b/>
            <sz val="9"/>
            <color indexed="81"/>
            <rFont val="Tahoma"/>
            <family val="2"/>
          </rPr>
          <t>http://cccbdb.nist.gov/hf0k.asp</t>
        </r>
      </text>
    </comment>
    <comment ref="EC331" authorId="1" shapeId="0" xr:uid="{00000000-0006-0000-0700-000098000000}">
      <text>
        <r>
          <rPr>
            <b/>
            <sz val="9"/>
            <color indexed="81"/>
            <rFont val="Tahoma"/>
            <family val="2"/>
          </rPr>
          <t>http://cccbdb.nist.gov/hf0k.asp</t>
        </r>
      </text>
    </comment>
    <comment ref="FC331" authorId="1" shapeId="0" xr:uid="{00000000-0006-0000-0700-000099000000}">
      <text>
        <r>
          <rPr>
            <b/>
            <sz val="9"/>
            <color indexed="81"/>
            <rFont val="Tahoma"/>
            <family val="2"/>
          </rPr>
          <t>http://cccbdb.nist.gov/hf0k.asp</t>
        </r>
      </text>
    </comment>
    <comment ref="AA332" authorId="1" shapeId="0" xr:uid="{00000000-0006-0000-0700-00009A000000}">
      <text>
        <r>
          <rPr>
            <b/>
            <sz val="9"/>
            <color indexed="81"/>
            <rFont val="Tahoma"/>
            <family val="2"/>
          </rPr>
          <t>Heat of Reaction using value from M.Wang, A.Navrotsky, Solid State Ionics 166 (2004) 167-173</t>
        </r>
      </text>
    </comment>
    <comment ref="BA332" authorId="1" shapeId="0" xr:uid="{DAD81A18-E7A0-B64C-B088-FFF9270FFDC8}">
      <text>
        <r>
          <rPr>
            <b/>
            <sz val="9"/>
            <color indexed="81"/>
            <rFont val="Tahoma"/>
            <family val="2"/>
          </rPr>
          <t>Heat of Reaction using value from M.Wang, A.Navrotsky, Solid State Ionics 166 (2004) 167-173</t>
        </r>
      </text>
    </comment>
    <comment ref="CA332" authorId="1" shapeId="0" xr:uid="{00000000-0006-0000-0700-00009B000000}">
      <text>
        <r>
          <rPr>
            <b/>
            <sz val="9"/>
            <color indexed="81"/>
            <rFont val="Tahoma"/>
            <family val="2"/>
          </rPr>
          <t>Heat of Reaction using value from M.Wang, A.Navrotsky, Solid State Ionics 166 (2004) 167-173</t>
        </r>
      </text>
    </comment>
    <comment ref="DA332" authorId="1" shapeId="0" xr:uid="{00000000-0006-0000-0700-00009C000000}">
      <text>
        <r>
          <rPr>
            <b/>
            <sz val="9"/>
            <color indexed="81"/>
            <rFont val="Tahoma"/>
            <family val="2"/>
          </rPr>
          <t>Heat of Reaction using value from M.Wang, A.Navrotsky, Solid State Ionics 166 (2004) 167-173</t>
        </r>
      </text>
    </comment>
    <comment ref="EA332" authorId="1" shapeId="0" xr:uid="{00000000-0006-0000-0700-00009D000000}">
      <text>
        <r>
          <rPr>
            <b/>
            <sz val="9"/>
            <color indexed="81"/>
            <rFont val="Tahoma"/>
            <family val="2"/>
          </rPr>
          <t>Heat of Reaction using value from M.Wang, A.Navrotsky, Solid State Ionics 166 (2004) 167-173</t>
        </r>
      </text>
    </comment>
    <comment ref="AC354" authorId="1" shapeId="0" xr:uid="{00000000-0006-0000-0700-00009E000000}">
      <text>
        <r>
          <rPr>
            <b/>
            <sz val="9"/>
            <color indexed="81"/>
            <rFont val="Tahoma"/>
            <family val="2"/>
          </rPr>
          <t>Ludwig's Applied Process ….., p.xxiii
DP=5 bar
Effic.=0.9</t>
        </r>
      </text>
    </comment>
    <comment ref="BC354" authorId="1" shapeId="0" xr:uid="{39E0A117-1C6C-F148-8C7E-7CEF8A27A183}">
      <text>
        <r>
          <rPr>
            <b/>
            <sz val="9"/>
            <color indexed="81"/>
            <rFont val="Tahoma"/>
            <family val="2"/>
          </rPr>
          <t>Ludwig's Applied Process ….., p.xxiii
DP=5 bar
Effic.=0.9</t>
        </r>
      </text>
    </comment>
    <comment ref="CC354" authorId="1" shapeId="0" xr:uid="{00000000-0006-0000-0700-00009F000000}">
      <text>
        <r>
          <rPr>
            <b/>
            <sz val="9"/>
            <color indexed="81"/>
            <rFont val="Tahoma"/>
            <family val="2"/>
          </rPr>
          <t>Ludwig's Applied Process ….., p.xxiii
DP=5 bar
Effic.=0.9</t>
        </r>
      </text>
    </comment>
    <comment ref="DC354" authorId="1" shapeId="0" xr:uid="{00000000-0006-0000-0700-0000A0000000}">
      <text>
        <r>
          <rPr>
            <b/>
            <sz val="9"/>
            <color indexed="81"/>
            <rFont val="Tahoma"/>
            <family val="2"/>
          </rPr>
          <t>Ludwig's Applied Process ….., p.xxiii
DP=5 bar
Effic.=0.9</t>
        </r>
      </text>
    </comment>
    <comment ref="EC354" authorId="1" shapeId="0" xr:uid="{00000000-0006-0000-0700-0000A1000000}">
      <text>
        <r>
          <rPr>
            <b/>
            <sz val="9"/>
            <color indexed="81"/>
            <rFont val="Tahoma"/>
            <family val="2"/>
          </rPr>
          <t>Ludwig's Applied Process ….., p.xxiii
DP=5 bar
Effic.=0.9</t>
        </r>
      </text>
    </comment>
    <comment ref="FC354" authorId="1" shapeId="0" xr:uid="{00000000-0006-0000-0700-0000A2000000}">
      <text>
        <r>
          <rPr>
            <b/>
            <sz val="9"/>
            <color indexed="81"/>
            <rFont val="Tahoma"/>
            <family val="2"/>
          </rPr>
          <t>Ludwig's Applied Process ….., p.xxiii
DP=5 bar
Effic.=0.9</t>
        </r>
      </text>
    </comment>
    <comment ref="AC356" authorId="1" shapeId="0" xr:uid="{00000000-0006-0000-0700-0000A3000000}">
      <text>
        <r>
          <rPr>
            <b/>
            <sz val="9"/>
            <color indexed="81"/>
            <rFont val="Tahoma"/>
            <family val="2"/>
          </rPr>
          <t>2002$, http://www.mhhe.com/engcs/chemical/peters/data/ce.html</t>
        </r>
      </text>
    </comment>
    <comment ref="BC356" authorId="1" shapeId="0" xr:uid="{708A6D37-7B71-6947-9F92-EE027CC06B0E}">
      <text>
        <r>
          <rPr>
            <b/>
            <sz val="9"/>
            <color indexed="81"/>
            <rFont val="Tahoma"/>
            <family val="2"/>
          </rPr>
          <t>2002$, http://www.mhhe.com/engcs/chemical/peters/data/ce.html</t>
        </r>
      </text>
    </comment>
    <comment ref="CC356" authorId="1" shapeId="0" xr:uid="{00000000-0006-0000-0700-0000A4000000}">
      <text>
        <r>
          <rPr>
            <b/>
            <sz val="9"/>
            <color indexed="81"/>
            <rFont val="Tahoma"/>
            <family val="2"/>
          </rPr>
          <t>2002$, http://www.mhhe.com/engcs/chemical/peters/data/ce.html</t>
        </r>
      </text>
    </comment>
    <comment ref="DC356" authorId="1" shapeId="0" xr:uid="{00000000-0006-0000-0700-0000A5000000}">
      <text>
        <r>
          <rPr>
            <b/>
            <sz val="9"/>
            <color indexed="81"/>
            <rFont val="Tahoma"/>
            <family val="2"/>
          </rPr>
          <t>2002$, http://www.mhhe.com/engcs/chemical/peters/data/ce.html</t>
        </r>
      </text>
    </comment>
    <comment ref="EC356" authorId="1" shapeId="0" xr:uid="{00000000-0006-0000-0700-0000A6000000}">
      <text>
        <r>
          <rPr>
            <b/>
            <sz val="9"/>
            <color indexed="81"/>
            <rFont val="Tahoma"/>
            <family val="2"/>
          </rPr>
          <t>2002$, http://www.mhhe.com/engcs/chemical/peters/data/ce.html</t>
        </r>
      </text>
    </comment>
    <comment ref="FC356" authorId="1" shapeId="0" xr:uid="{00000000-0006-0000-0700-0000A7000000}">
      <text>
        <r>
          <rPr>
            <b/>
            <sz val="9"/>
            <color indexed="81"/>
            <rFont val="Tahoma"/>
            <family val="2"/>
          </rPr>
          <t>2002$, http://www.mhhe.com/engcs/chemical/peters/data/ce.html</t>
        </r>
      </text>
    </comment>
    <comment ref="AC357" authorId="1" shapeId="0" xr:uid="{00000000-0006-0000-0700-0000A8000000}">
      <text>
        <r>
          <rPr>
            <b/>
            <sz val="9"/>
            <color indexed="81"/>
            <rFont val="Tahoma"/>
            <family val="2"/>
          </rPr>
          <t>2017$</t>
        </r>
      </text>
    </comment>
    <comment ref="BC357" authorId="1" shapeId="0" xr:uid="{D0BDFFBF-9164-064B-96FD-E7FC61B31FCB}">
      <text>
        <r>
          <rPr>
            <b/>
            <sz val="9"/>
            <color indexed="81"/>
            <rFont val="Tahoma"/>
            <family val="2"/>
          </rPr>
          <t>2017$</t>
        </r>
      </text>
    </comment>
    <comment ref="CC357" authorId="1" shapeId="0" xr:uid="{00000000-0006-0000-0700-0000A9000000}">
      <text>
        <r>
          <rPr>
            <b/>
            <sz val="9"/>
            <color indexed="81"/>
            <rFont val="Tahoma"/>
            <family val="2"/>
          </rPr>
          <t>2017$</t>
        </r>
      </text>
    </comment>
    <comment ref="DC357" authorId="1" shapeId="0" xr:uid="{00000000-0006-0000-0700-0000AA000000}">
      <text>
        <r>
          <rPr>
            <b/>
            <sz val="9"/>
            <color indexed="81"/>
            <rFont val="Tahoma"/>
            <family val="2"/>
          </rPr>
          <t>2017$</t>
        </r>
      </text>
    </comment>
    <comment ref="EC357" authorId="1" shapeId="0" xr:uid="{00000000-0006-0000-0700-0000AB000000}">
      <text>
        <r>
          <rPr>
            <b/>
            <sz val="9"/>
            <color indexed="81"/>
            <rFont val="Tahoma"/>
            <family val="2"/>
          </rPr>
          <t>2017$</t>
        </r>
      </text>
    </comment>
    <comment ref="FC357" authorId="1" shapeId="0" xr:uid="{00000000-0006-0000-0700-0000AC000000}">
      <text>
        <r>
          <rPr>
            <b/>
            <sz val="9"/>
            <color indexed="81"/>
            <rFont val="Tahoma"/>
            <family val="2"/>
          </rPr>
          <t>2013$</t>
        </r>
      </text>
    </comment>
    <comment ref="AC395" authorId="1" shapeId="0" xr:uid="{00000000-0006-0000-0700-0000AD000000}">
      <text>
        <r>
          <rPr>
            <b/>
            <sz val="9"/>
            <color indexed="81"/>
            <rFont val="Tahoma"/>
            <family val="2"/>
          </rPr>
          <t>http://minerals.usgs.gov/minerals/pubs/commodity/soda_ash/mcs-2012-sodaa.pdf</t>
        </r>
      </text>
    </comment>
    <comment ref="BC395" authorId="1" shapeId="0" xr:uid="{956024D8-3228-104C-AAF3-47B80AA1F562}">
      <text>
        <r>
          <rPr>
            <b/>
            <sz val="9"/>
            <color indexed="81"/>
            <rFont val="Tahoma"/>
            <family val="2"/>
          </rPr>
          <t>http://minerals.usgs.gov/minerals/pubs/commodity/soda_ash/mcs-2012-sodaa.pdf</t>
        </r>
      </text>
    </comment>
    <comment ref="CC395" authorId="1" shapeId="0" xr:uid="{00000000-0006-0000-0700-0000AE000000}">
      <text>
        <r>
          <rPr>
            <b/>
            <sz val="9"/>
            <color indexed="81"/>
            <rFont val="Tahoma"/>
            <family val="2"/>
          </rPr>
          <t>http://minerals.usgs.gov/minerals/pubs/commodity/soda_ash/mcs-2012-sodaa.pdf</t>
        </r>
      </text>
    </comment>
    <comment ref="DC395" authorId="1" shapeId="0" xr:uid="{00000000-0006-0000-0700-0000AF000000}">
      <text>
        <r>
          <rPr>
            <b/>
            <sz val="9"/>
            <color indexed="81"/>
            <rFont val="Tahoma"/>
            <family val="2"/>
          </rPr>
          <t>http://minerals.usgs.gov/minerals/pubs/commodity/soda_ash/mcs-2012-sodaa.pdf</t>
        </r>
      </text>
    </comment>
    <comment ref="EC395" authorId="1" shapeId="0" xr:uid="{00000000-0006-0000-0700-0000B0000000}">
      <text>
        <r>
          <rPr>
            <b/>
            <sz val="9"/>
            <color indexed="81"/>
            <rFont val="Tahoma"/>
            <family val="2"/>
          </rPr>
          <t>http://minerals.usgs.gov/minerals/pubs/commodity/soda_ash/mcs-2012-sodaa.pdf</t>
        </r>
      </text>
    </comment>
    <comment ref="FC395" authorId="1" shapeId="0" xr:uid="{00000000-0006-0000-0700-0000B1000000}">
      <text>
        <r>
          <rPr>
            <b/>
            <sz val="9"/>
            <color indexed="81"/>
            <rFont val="Tahoma"/>
            <family val="2"/>
          </rPr>
          <t>http://minerals.usgs.gov/minerals/pubs/commodity/soda_ash/mcs-2012-sodaa.pdf</t>
        </r>
      </text>
    </comment>
    <comment ref="AC396" authorId="1" shapeId="0" xr:uid="{00000000-0006-0000-0700-0000B2000000}">
      <text>
        <r>
          <rPr>
            <b/>
            <sz val="9"/>
            <color indexed="81"/>
            <rFont val="Tahoma"/>
            <family val="2"/>
          </rPr>
          <t>made-in-china . com</t>
        </r>
      </text>
    </comment>
    <comment ref="BC396" authorId="1" shapeId="0" xr:uid="{67C9A5A4-500C-624B-B75B-A8E9654EE14E}">
      <text>
        <r>
          <rPr>
            <b/>
            <sz val="9"/>
            <color indexed="81"/>
            <rFont val="Tahoma"/>
            <family val="2"/>
          </rPr>
          <t>made-in-china . com</t>
        </r>
      </text>
    </comment>
    <comment ref="CC396" authorId="1" shapeId="0" xr:uid="{00000000-0006-0000-0700-0000B3000000}">
      <text>
        <r>
          <rPr>
            <b/>
            <sz val="9"/>
            <color indexed="81"/>
            <rFont val="Tahoma"/>
            <family val="2"/>
          </rPr>
          <t>made-in-china . com</t>
        </r>
      </text>
    </comment>
    <comment ref="DC396" authorId="1" shapeId="0" xr:uid="{00000000-0006-0000-0700-0000B4000000}">
      <text>
        <r>
          <rPr>
            <b/>
            <sz val="9"/>
            <color indexed="81"/>
            <rFont val="Tahoma"/>
            <family val="2"/>
          </rPr>
          <t>made-in-china . com</t>
        </r>
      </text>
    </comment>
    <comment ref="EC396" authorId="1" shapeId="0" xr:uid="{00000000-0006-0000-0700-0000B5000000}">
      <text>
        <r>
          <rPr>
            <b/>
            <sz val="9"/>
            <color indexed="81"/>
            <rFont val="Tahoma"/>
            <family val="2"/>
          </rPr>
          <t>made-in-china . com</t>
        </r>
      </text>
    </comment>
    <comment ref="FC396" authorId="1" shapeId="0" xr:uid="{00000000-0006-0000-0700-0000B6000000}">
      <text>
        <r>
          <rPr>
            <b/>
            <sz val="9"/>
            <color indexed="81"/>
            <rFont val="Tahoma"/>
            <family val="2"/>
          </rPr>
          <t>made-in-china . com</t>
        </r>
      </text>
    </comment>
    <comment ref="AA436" authorId="1" shapeId="0" xr:uid="{00000000-0006-0000-0700-0000B7000000}">
      <text>
        <r>
          <rPr>
            <b/>
            <sz val="9"/>
            <color indexed="81"/>
            <rFont val="Tahoma"/>
            <family val="2"/>
          </rPr>
          <t>Peters &amp; Timmerhaus, 5th Ed, p.264</t>
        </r>
      </text>
    </comment>
    <comment ref="AB436" authorId="1" shapeId="0" xr:uid="{00000000-0006-0000-0700-0000B8000000}">
      <text>
        <r>
          <rPr>
            <b/>
            <sz val="9"/>
            <color indexed="81"/>
            <rFont val="Tahoma"/>
            <family val="2"/>
          </rPr>
          <t>Peters &amp; Timmerhaus, 5th Ed, p.264</t>
        </r>
      </text>
    </comment>
    <comment ref="BA436" authorId="1" shapeId="0" xr:uid="{795D618B-0DD7-734E-B704-F10B89CA3F60}">
      <text>
        <r>
          <rPr>
            <b/>
            <sz val="9"/>
            <color indexed="81"/>
            <rFont val="Tahoma"/>
            <family val="2"/>
          </rPr>
          <t>Peters &amp; Timmerhaus, 5th Ed, p.264</t>
        </r>
      </text>
    </comment>
    <comment ref="BB436" authorId="1" shapeId="0" xr:uid="{42D4B418-76D3-D24A-B055-D6A06B98C18A}">
      <text>
        <r>
          <rPr>
            <b/>
            <sz val="9"/>
            <color indexed="81"/>
            <rFont val="Tahoma"/>
            <family val="2"/>
          </rPr>
          <t>Peters &amp; Timmerhaus, 5th Ed, p.264</t>
        </r>
      </text>
    </comment>
    <comment ref="CA436" authorId="1" shapeId="0" xr:uid="{00000000-0006-0000-0700-0000B9000000}">
      <text>
        <r>
          <rPr>
            <b/>
            <sz val="9"/>
            <color indexed="81"/>
            <rFont val="Tahoma"/>
            <family val="2"/>
          </rPr>
          <t>Peters &amp; Timmerhaus, 5th Ed, p.264</t>
        </r>
      </text>
    </comment>
    <comment ref="CB436" authorId="1" shapeId="0" xr:uid="{00000000-0006-0000-0700-0000BA000000}">
      <text>
        <r>
          <rPr>
            <b/>
            <sz val="9"/>
            <color indexed="81"/>
            <rFont val="Tahoma"/>
            <family val="2"/>
          </rPr>
          <t>Peters &amp; Timmerhaus, 5th Ed, p.264</t>
        </r>
      </text>
    </comment>
    <comment ref="DA436" authorId="1" shapeId="0" xr:uid="{00000000-0006-0000-0700-0000BB000000}">
      <text>
        <r>
          <rPr>
            <b/>
            <sz val="9"/>
            <color indexed="81"/>
            <rFont val="Tahoma"/>
            <family val="2"/>
          </rPr>
          <t>Peters &amp; Timmerhaus, 5th Ed, p.264</t>
        </r>
      </text>
    </comment>
    <comment ref="DB436" authorId="1" shapeId="0" xr:uid="{00000000-0006-0000-0700-0000BC000000}">
      <text>
        <r>
          <rPr>
            <b/>
            <sz val="9"/>
            <color indexed="81"/>
            <rFont val="Tahoma"/>
            <family val="2"/>
          </rPr>
          <t>Peters &amp; Timmerhaus, 5th Ed, p.264</t>
        </r>
      </text>
    </comment>
    <comment ref="EA436" authorId="1" shapeId="0" xr:uid="{00000000-0006-0000-0700-0000BD000000}">
      <text>
        <r>
          <rPr>
            <b/>
            <sz val="9"/>
            <color indexed="81"/>
            <rFont val="Tahoma"/>
            <family val="2"/>
          </rPr>
          <t>Peters &amp; Timmerhaus, 5th Ed, p.264</t>
        </r>
      </text>
    </comment>
    <comment ref="EB436" authorId="1" shapeId="0" xr:uid="{00000000-0006-0000-0700-0000BE000000}">
      <text>
        <r>
          <rPr>
            <b/>
            <sz val="9"/>
            <color indexed="81"/>
            <rFont val="Tahoma"/>
            <family val="2"/>
          </rPr>
          <t>Peters &amp; Timmerhaus, 5th Ed, p.264</t>
        </r>
      </text>
    </comment>
    <comment ref="FA436" authorId="1" shapeId="0" xr:uid="{00000000-0006-0000-0700-0000BF000000}">
      <text>
        <r>
          <rPr>
            <b/>
            <sz val="9"/>
            <color indexed="81"/>
            <rFont val="Tahoma"/>
            <family val="2"/>
          </rPr>
          <t>Peters &amp; Timmerhaus, 5th Ed, p.264</t>
        </r>
      </text>
    </comment>
    <comment ref="FB436" authorId="1" shapeId="0" xr:uid="{00000000-0006-0000-0700-0000C0000000}">
      <text>
        <r>
          <rPr>
            <b/>
            <sz val="9"/>
            <color indexed="81"/>
            <rFont val="Tahoma"/>
            <family val="2"/>
          </rPr>
          <t>Peters &amp; Timmerhaus, 5th Ed, p.264</t>
        </r>
      </text>
    </comment>
    <comment ref="AB439" authorId="1" shapeId="0" xr:uid="{00000000-0006-0000-0700-0000C1000000}">
      <text>
        <r>
          <rPr>
            <b/>
            <sz val="9"/>
            <color indexed="81"/>
            <rFont val="Tahoma"/>
            <family val="2"/>
          </rPr>
          <t>Peters &amp; Timmerhaus, 5th Ed, p.264</t>
        </r>
      </text>
    </comment>
    <comment ref="BB439" authorId="1" shapeId="0" xr:uid="{BF11844D-0CC8-F64A-A7F8-C951EE15C4ED}">
      <text>
        <r>
          <rPr>
            <b/>
            <sz val="9"/>
            <color indexed="81"/>
            <rFont val="Tahoma"/>
            <family val="2"/>
          </rPr>
          <t>Peters &amp; Timmerhaus, 5th Ed, p.264</t>
        </r>
      </text>
    </comment>
    <comment ref="CB439" authorId="1" shapeId="0" xr:uid="{00000000-0006-0000-0700-0000C2000000}">
      <text>
        <r>
          <rPr>
            <b/>
            <sz val="9"/>
            <color indexed="81"/>
            <rFont val="Tahoma"/>
            <family val="2"/>
          </rPr>
          <t>Peters &amp; Timmerhaus, 5th Ed, p.264</t>
        </r>
      </text>
    </comment>
    <comment ref="DB439" authorId="1" shapeId="0" xr:uid="{00000000-0006-0000-0700-0000C3000000}">
      <text>
        <r>
          <rPr>
            <b/>
            <sz val="9"/>
            <color indexed="81"/>
            <rFont val="Tahoma"/>
            <family val="2"/>
          </rPr>
          <t>Peters &amp; Timmerhaus, 5th Ed, p.264</t>
        </r>
      </text>
    </comment>
    <comment ref="EB439" authorId="1" shapeId="0" xr:uid="{00000000-0006-0000-0700-0000C4000000}">
      <text>
        <r>
          <rPr>
            <b/>
            <sz val="9"/>
            <color indexed="81"/>
            <rFont val="Tahoma"/>
            <family val="2"/>
          </rPr>
          <t>Peters &amp; Timmerhaus, 5th Ed, p.264</t>
        </r>
      </text>
    </comment>
    <comment ref="FB439" authorId="1" shapeId="0" xr:uid="{00000000-0006-0000-0700-0000C5000000}">
      <text>
        <r>
          <rPr>
            <b/>
            <sz val="9"/>
            <color indexed="81"/>
            <rFont val="Tahoma"/>
            <family val="2"/>
          </rPr>
          <t>Peters &amp; Timmerhaus, 5th Ed, p.264</t>
        </r>
      </text>
    </comment>
    <comment ref="AB450" authorId="1" shapeId="0" xr:uid="{00000000-0006-0000-0700-0000C6000000}">
      <text>
        <r>
          <rPr>
            <b/>
            <sz val="9"/>
            <color indexed="81"/>
            <rFont val="Tahoma"/>
            <family val="2"/>
          </rPr>
          <t>Peters &amp; Timmerhaus, 5th Ed, p.263</t>
        </r>
      </text>
    </comment>
    <comment ref="BB450" authorId="1" shapeId="0" xr:uid="{0F768930-0F98-5F4B-A4A5-6C1FD51EBB5B}">
      <text>
        <r>
          <rPr>
            <b/>
            <sz val="9"/>
            <color indexed="81"/>
            <rFont val="Tahoma"/>
            <family val="2"/>
          </rPr>
          <t>Peters &amp; Timmerhaus, 5th Ed, p.263</t>
        </r>
      </text>
    </comment>
    <comment ref="CB450" authorId="1" shapeId="0" xr:uid="{00000000-0006-0000-0700-0000C7000000}">
      <text>
        <r>
          <rPr>
            <b/>
            <sz val="9"/>
            <color indexed="81"/>
            <rFont val="Tahoma"/>
            <family val="2"/>
          </rPr>
          <t>Peters &amp; Timmerhaus, 5th Ed, p.263</t>
        </r>
      </text>
    </comment>
    <comment ref="DB450" authorId="1" shapeId="0" xr:uid="{00000000-0006-0000-0700-0000C8000000}">
      <text>
        <r>
          <rPr>
            <b/>
            <sz val="9"/>
            <color indexed="81"/>
            <rFont val="Tahoma"/>
            <family val="2"/>
          </rPr>
          <t>Peters &amp; Timmerhaus, 5th Ed, p.263</t>
        </r>
      </text>
    </comment>
    <comment ref="EB450" authorId="1" shapeId="0" xr:uid="{00000000-0006-0000-0700-0000C9000000}">
      <text>
        <r>
          <rPr>
            <b/>
            <sz val="9"/>
            <color indexed="81"/>
            <rFont val="Tahoma"/>
            <family val="2"/>
          </rPr>
          <t>Peters &amp; Timmerhaus, 5th Ed, p.263</t>
        </r>
      </text>
    </comment>
    <comment ref="FB450" authorId="1" shapeId="0" xr:uid="{00000000-0006-0000-0700-0000CA000000}">
      <text>
        <r>
          <rPr>
            <b/>
            <sz val="9"/>
            <color indexed="81"/>
            <rFont val="Tahoma"/>
            <family val="2"/>
          </rPr>
          <t>Peters &amp; Timmerhaus, 5th Ed, p.263</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Dai, Qiang</author>
  </authors>
  <commentList>
    <comment ref="AD16" authorId="0" shapeId="0" xr:uid="{CC38D5B7-8DBF-4F1C-9E97-B82BE77B3D5B}">
      <text>
        <r>
          <rPr>
            <b/>
            <sz val="9"/>
            <color rgb="FF000000"/>
            <rFont val="Tahoma"/>
            <family val="2"/>
          </rPr>
          <t>Dai, Qiang:</t>
        </r>
        <r>
          <rPr>
            <sz val="9"/>
            <color rgb="FF000000"/>
            <rFont val="Tahoma"/>
            <family val="2"/>
          </rPr>
          <t xml:space="preserve">
Based on BatPaC 5.0 2022-07-22 EV Battery 1, except for LCO</t>
        </r>
      </text>
    </comment>
    <comment ref="AD18" authorId="0" shapeId="0" xr:uid="{C15F2FAD-0196-4B2F-B5E1-CAA7AEFEAABB}">
      <text>
        <r>
          <rPr>
            <b/>
            <sz val="9"/>
            <color rgb="FF000000"/>
            <rFont val="Tahoma"/>
            <family val="2"/>
          </rPr>
          <t>Dai, Qiang:</t>
        </r>
        <r>
          <rPr>
            <sz val="9"/>
            <color rgb="FF000000"/>
            <rFont val="Tahoma"/>
            <family val="2"/>
          </rPr>
          <t xml:space="preserve">
0.2125 kWh usable</t>
        </r>
      </text>
    </comment>
    <comment ref="AE18" authorId="0" shapeId="0" xr:uid="{E170CA6E-4189-4425-A1E5-59CE4D47D463}">
      <text>
        <r>
          <rPr>
            <b/>
            <sz val="9"/>
            <color rgb="FF000000"/>
            <rFont val="Tahoma"/>
            <family val="2"/>
          </rPr>
          <t>Dai, Qiang:</t>
        </r>
        <r>
          <rPr>
            <sz val="9"/>
            <color rgb="FF000000"/>
            <rFont val="Tahoma"/>
            <family val="2"/>
          </rPr>
          <t xml:space="preserve">
0.2125 kWh usable</t>
        </r>
      </text>
    </comment>
    <comment ref="AF18" authorId="0" shapeId="0" xr:uid="{6908302C-4D19-4B0C-8843-91D6434B2C02}">
      <text>
        <r>
          <rPr>
            <b/>
            <sz val="9"/>
            <color rgb="FF000000"/>
            <rFont val="Tahoma"/>
            <family val="2"/>
          </rPr>
          <t>Dai, Qiang:</t>
        </r>
        <r>
          <rPr>
            <sz val="9"/>
            <color rgb="FF000000"/>
            <rFont val="Tahoma"/>
            <family val="2"/>
          </rPr>
          <t xml:space="preserve">
0.2125 kWh usable</t>
        </r>
      </text>
    </comment>
    <comment ref="AG18" authorId="0" shapeId="0" xr:uid="{D02E5680-E373-4CEA-A24E-AEAFEE678654}">
      <text>
        <r>
          <rPr>
            <b/>
            <sz val="9"/>
            <color rgb="FF000000"/>
            <rFont val="Tahoma"/>
            <family val="2"/>
          </rPr>
          <t>Dai, Qiang:</t>
        </r>
        <r>
          <rPr>
            <sz val="9"/>
            <color rgb="FF000000"/>
            <rFont val="Tahoma"/>
            <family val="2"/>
          </rPr>
          <t xml:space="preserve">
0.2125 kWh usable</t>
        </r>
      </text>
    </comment>
    <comment ref="AH18" authorId="0" shapeId="0" xr:uid="{CE56BAF3-FB63-46DD-B395-4E6A85884554}">
      <text>
        <r>
          <rPr>
            <b/>
            <sz val="9"/>
            <color rgb="FF000000"/>
            <rFont val="Tahoma"/>
            <family val="2"/>
          </rPr>
          <t>Dai, Qiang:</t>
        </r>
        <r>
          <rPr>
            <sz val="9"/>
            <color rgb="FF000000"/>
            <rFont val="Tahoma"/>
            <family val="2"/>
          </rPr>
          <t xml:space="preserve">
0.2125 kWh usable</t>
        </r>
      </text>
    </comment>
    <comment ref="AI18" authorId="0" shapeId="0" xr:uid="{D97F9331-0845-49F3-8DCD-EE113781DDE1}">
      <text>
        <r>
          <rPr>
            <b/>
            <sz val="9"/>
            <color rgb="FF000000"/>
            <rFont val="Tahoma"/>
            <family val="2"/>
          </rPr>
          <t>Dai, Qiang:</t>
        </r>
        <r>
          <rPr>
            <sz val="9"/>
            <color rgb="FF000000"/>
            <rFont val="Tahoma"/>
            <family val="2"/>
          </rPr>
          <t xml:space="preserve">
0.2125 kWh usable</t>
        </r>
      </text>
    </comment>
    <comment ref="AJ18" authorId="0" shapeId="0" xr:uid="{D305EDE5-315E-4636-A1EB-B0153BAB1B34}">
      <text>
        <r>
          <rPr>
            <b/>
            <sz val="9"/>
            <color rgb="FF000000"/>
            <rFont val="Tahoma"/>
            <family val="2"/>
          </rPr>
          <t>Dai, Qiang:</t>
        </r>
        <r>
          <rPr>
            <sz val="9"/>
            <color rgb="FF000000"/>
            <rFont val="Tahoma"/>
            <family val="2"/>
          </rPr>
          <t xml:space="preserve">
0.2125 kWh usable</t>
        </r>
      </text>
    </comment>
    <comment ref="AK18" authorId="0" shapeId="0" xr:uid="{69BA20D8-618A-4B23-B5AF-1CDFD2199386}">
      <text>
        <r>
          <rPr>
            <b/>
            <sz val="9"/>
            <color rgb="FF000000"/>
            <rFont val="Tahoma"/>
            <family val="2"/>
          </rPr>
          <t>Dai, Qiang:</t>
        </r>
        <r>
          <rPr>
            <sz val="9"/>
            <color rgb="FF000000"/>
            <rFont val="Tahoma"/>
            <family val="2"/>
          </rPr>
          <t xml:space="preserve">
0.2125 kWh usable</t>
        </r>
      </text>
    </comment>
    <comment ref="AD21" authorId="0" shapeId="0" xr:uid="{26B32203-7016-4624-9E86-C9F82AEB44BE}">
      <text>
        <r>
          <rPr>
            <b/>
            <sz val="9"/>
            <color rgb="FF000000"/>
            <rFont val="Tahoma"/>
            <family val="2"/>
          </rPr>
          <t>Dai, Qiang:</t>
        </r>
        <r>
          <rPr>
            <sz val="9"/>
            <color rgb="FF000000"/>
            <rFont val="Tahoma"/>
            <family val="2"/>
          </rPr>
          <t xml:space="preserve">
Based on BatPaC 5.0 2022-07-22 EV Battery 1, except for LCO</t>
        </r>
      </text>
    </comment>
    <comment ref="AD38" authorId="0" shapeId="0" xr:uid="{7FFC87C8-2206-4C12-B49F-E8488F1A03B2}">
      <text>
        <r>
          <rPr>
            <b/>
            <sz val="9"/>
            <color rgb="FF000000"/>
            <rFont val="Tahoma"/>
            <family val="2"/>
          </rPr>
          <t>Dai, Qiang:</t>
        </r>
        <r>
          <rPr>
            <sz val="9"/>
            <color rgb="FF000000"/>
            <rFont val="Tahoma"/>
            <family val="2"/>
          </rPr>
          <t xml:space="preserve">
</t>
        </r>
        <r>
          <rPr>
            <sz val="9"/>
            <color rgb="FF000000"/>
            <rFont val="Tahoma"/>
            <family val="2"/>
          </rPr>
          <t>GREET 2022</t>
        </r>
      </text>
    </comment>
    <comment ref="AD46" authorId="0" shapeId="0" xr:uid="{639D3F5E-C756-4582-8A4E-81B3CFA47E68}">
      <text>
        <r>
          <rPr>
            <b/>
            <sz val="9"/>
            <color rgb="FF000000"/>
            <rFont val="Tahoma"/>
            <family val="2"/>
          </rPr>
          <t>Dai, Qiang:</t>
        </r>
        <r>
          <rPr>
            <sz val="9"/>
            <color rgb="FF000000"/>
            <rFont val="Tahoma"/>
            <family val="2"/>
          </rPr>
          <t xml:space="preserve">
</t>
        </r>
        <r>
          <rPr>
            <sz val="9"/>
            <color rgb="FF000000"/>
            <rFont val="Tahoma"/>
            <family val="2"/>
          </rPr>
          <t xml:space="preserve">Based on BatPaC 5.0 2022-07-22
</t>
        </r>
      </text>
    </comment>
    <comment ref="AD47" authorId="0" shapeId="0" xr:uid="{00000000-0006-0000-0800-00000C000000}">
      <text>
        <r>
          <rPr>
            <b/>
            <sz val="9"/>
            <color indexed="81"/>
            <rFont val="Tahoma"/>
            <family val="2"/>
          </rPr>
          <t>Dai, Qiang:</t>
        </r>
        <r>
          <rPr>
            <sz val="9"/>
            <color indexed="81"/>
            <rFont val="Tahoma"/>
            <family val="2"/>
          </rPr>
          <t xml:space="preserve">
5% cell rejected</t>
        </r>
      </text>
    </comment>
    <comment ref="AD49" authorId="0" shapeId="0" xr:uid="{36D4C66D-BE85-41F1-80A1-ED894D8E91A5}">
      <text>
        <r>
          <rPr>
            <b/>
            <sz val="9"/>
            <color rgb="FF000000"/>
            <rFont val="Tahoma"/>
            <family val="2"/>
          </rPr>
          <t>Dai, Qiang:</t>
        </r>
        <r>
          <rPr>
            <sz val="9"/>
            <color rgb="FF000000"/>
            <rFont val="Tahoma"/>
            <family val="2"/>
          </rPr>
          <t xml:space="preserve">
Based on BatPaC 5.0 2022-07-22
</t>
        </r>
      </text>
    </comment>
    <comment ref="AE58" authorId="0" shapeId="0" xr:uid="{00000000-0006-0000-0800-00000E000000}">
      <text>
        <r>
          <rPr>
            <b/>
            <sz val="9"/>
            <color rgb="FF000000"/>
            <rFont val="Tahoma"/>
            <family val="2"/>
          </rPr>
          <t>Dai, Qiang:</t>
        </r>
        <r>
          <rPr>
            <sz val="9"/>
            <color rgb="FF000000"/>
            <rFont val="Tahoma"/>
            <family val="2"/>
          </rPr>
          <t xml:space="preserve">
</t>
        </r>
        <r>
          <rPr>
            <sz val="9"/>
            <color rgb="FF000000"/>
            <rFont val="Tahoma"/>
            <family val="2"/>
          </rPr>
          <t>BatPaC</t>
        </r>
      </text>
    </comment>
    <comment ref="AH58" authorId="0" shapeId="0" xr:uid="{00000000-0006-0000-0800-00000F000000}">
      <text>
        <r>
          <rPr>
            <b/>
            <sz val="9"/>
            <color rgb="FF000000"/>
            <rFont val="Tahoma"/>
            <family val="2"/>
          </rPr>
          <t>Dai, Qiang:</t>
        </r>
        <r>
          <rPr>
            <sz val="9"/>
            <color rgb="FF000000"/>
            <rFont val="Tahoma"/>
            <family val="2"/>
          </rPr>
          <t xml:space="preserve">
</t>
        </r>
        <r>
          <rPr>
            <sz val="9"/>
            <color rgb="FF000000"/>
            <rFont val="Tahoma"/>
            <family val="2"/>
          </rPr>
          <t>BatPaC, for NMP only</t>
        </r>
      </text>
    </comment>
    <comment ref="AN94" authorId="0" shapeId="0" xr:uid="{00000000-0006-0000-0800-000011000000}">
      <text>
        <r>
          <rPr>
            <b/>
            <sz val="9"/>
            <color rgb="FF000000"/>
            <rFont val="Tahoma"/>
            <family val="2"/>
          </rPr>
          <t>Dai, Qiang:</t>
        </r>
        <r>
          <rPr>
            <sz val="9"/>
            <color rgb="FF000000"/>
            <rFont val="Tahoma"/>
            <family val="2"/>
          </rPr>
          <t xml:space="preserve">
</t>
        </r>
        <r>
          <rPr>
            <sz val="9"/>
            <color rgb="FF000000"/>
            <rFont val="Tahoma"/>
            <family val="2"/>
          </rPr>
          <t>Assuming PE makes up 1/5 of the separator by wt</t>
        </r>
      </text>
    </comment>
    <comment ref="AP94" authorId="0" shapeId="0" xr:uid="{00000000-0006-0000-0800-000012000000}">
      <text>
        <r>
          <rPr>
            <b/>
            <sz val="9"/>
            <color rgb="FF000000"/>
            <rFont val="Tahoma"/>
            <family val="2"/>
          </rPr>
          <t>Dai, Qiang:</t>
        </r>
        <r>
          <rPr>
            <sz val="9"/>
            <color rgb="FF000000"/>
            <rFont val="Tahoma"/>
            <family val="2"/>
          </rPr>
          <t xml:space="preserve">
</t>
        </r>
        <r>
          <rPr>
            <sz val="9"/>
            <color rgb="FF000000"/>
            <rFont val="Tahoma"/>
            <family val="2"/>
          </rPr>
          <t>Positive terminal assembly, negative terminal assembly, and cell container</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Dai, Qiang</author>
    <author>Qiang Dai</author>
  </authors>
  <commentList>
    <comment ref="B39" authorId="0" shapeId="0" xr:uid="{00000000-0006-0000-0900-000001000000}">
      <text>
        <r>
          <rPr>
            <b/>
            <sz val="9"/>
            <color rgb="FF000000"/>
            <rFont val="Tahoma"/>
            <family val="2"/>
          </rPr>
          <t>Dai, Qiang:</t>
        </r>
        <r>
          <rPr>
            <sz val="9"/>
            <color rgb="FF000000"/>
            <rFont val="Tahoma"/>
            <family val="2"/>
          </rPr>
          <t xml:space="preserve">
</t>
        </r>
        <r>
          <rPr>
            <sz val="9"/>
            <color rgb="FF000000"/>
            <rFont val="Tahoma"/>
            <family val="2"/>
          </rPr>
          <t>Material inputs are based on stoichiometric calculations for industrial matreial production processes as described in Ullmann's Encyclopedia of Industrial Chemistry</t>
        </r>
      </text>
    </comment>
    <comment ref="C40" authorId="1" shapeId="0" xr:uid="{237E48C9-9F28-9D41-8267-943CA00C5117}">
      <text>
        <r>
          <rPr>
            <b/>
            <sz val="10"/>
            <color rgb="FF000000"/>
            <rFont val="Tahoma"/>
            <family val="2"/>
          </rPr>
          <t>Qiang Dai:</t>
        </r>
        <r>
          <rPr>
            <sz val="10"/>
            <color rgb="FF000000"/>
            <rFont val="Tahoma"/>
            <family val="2"/>
          </rPr>
          <t xml:space="preserve">
</t>
        </r>
        <r>
          <rPr>
            <sz val="10"/>
            <color rgb="FF000000"/>
            <rFont val="Tahoma"/>
            <family val="2"/>
          </rPr>
          <t xml:space="preserve">Based on LiOH production from Li2CO3 in GREET
</t>
        </r>
        <r>
          <rPr>
            <sz val="10"/>
            <color rgb="FF000000"/>
            <rFont val="Tahoma"/>
            <family val="2"/>
          </rPr>
          <t>2019</t>
        </r>
      </text>
    </comment>
    <comment ref="I40" authorId="0" shapeId="0" xr:uid="{00000000-0006-0000-0900-000002000000}">
      <text>
        <r>
          <rPr>
            <b/>
            <sz val="9"/>
            <color indexed="81"/>
            <rFont val="Tahoma"/>
            <family val="2"/>
          </rPr>
          <t>Dai, Qiang:</t>
        </r>
        <r>
          <rPr>
            <sz val="9"/>
            <color indexed="81"/>
            <rFont val="Tahoma"/>
            <family val="2"/>
          </rPr>
          <t xml:space="preserve">
Li+ + 1/2 Ca(OH)2 --&gt; LiOH + 1/2Ca2+</t>
        </r>
      </text>
    </comment>
    <comment ref="E44" authorId="0" shapeId="0" xr:uid="{00000000-0006-0000-0900-000004000000}">
      <text>
        <r>
          <rPr>
            <b/>
            <sz val="9"/>
            <color rgb="FF000000"/>
            <rFont val="Tahoma"/>
            <family val="2"/>
          </rPr>
          <t>Dai, Qiang:</t>
        </r>
        <r>
          <rPr>
            <sz val="9"/>
            <color rgb="FF000000"/>
            <rFont val="Tahoma"/>
            <family val="2"/>
          </rPr>
          <t xml:space="preserve">
</t>
        </r>
        <r>
          <rPr>
            <sz val="9"/>
            <color rgb="FF000000"/>
            <rFont val="Tahoma"/>
            <family val="2"/>
          </rPr>
          <t>GREET value for battery-grade Co3O4 production from battery-grade CoSO4</t>
        </r>
      </text>
    </comment>
    <comment ref="E45" authorId="0" shapeId="0" xr:uid="{00000000-0006-0000-0900-000005000000}">
      <text>
        <r>
          <rPr>
            <b/>
            <sz val="9"/>
            <color indexed="81"/>
            <rFont val="Tahoma"/>
            <family val="2"/>
          </rPr>
          <t>Dai, Qiang:</t>
        </r>
        <r>
          <rPr>
            <sz val="9"/>
            <color indexed="81"/>
            <rFont val="Tahoma"/>
            <family val="2"/>
          </rPr>
          <t xml:space="preserve">
GREET value for battery-grade Co3O4 production from battery-grade CoSO4</t>
        </r>
      </text>
    </comment>
    <comment ref="E46" authorId="0" shapeId="0" xr:uid="{00000000-0006-0000-0900-000006000000}">
      <text>
        <r>
          <rPr>
            <b/>
            <sz val="9"/>
            <color indexed="81"/>
            <rFont val="Tahoma"/>
            <family val="2"/>
          </rPr>
          <t>Dai, Qiang:</t>
        </r>
        <r>
          <rPr>
            <sz val="9"/>
            <color indexed="81"/>
            <rFont val="Tahoma"/>
            <family val="2"/>
          </rPr>
          <t xml:space="preserve">
GREET value for battery-grade Co3O4 production from battery-grade CoSO4</t>
        </r>
      </text>
    </comment>
    <comment ref="D48" authorId="0" shapeId="0" xr:uid="{00000000-0006-0000-0900-000008000000}">
      <text>
        <r>
          <rPr>
            <b/>
            <sz val="9"/>
            <color indexed="81"/>
            <rFont val="Tahoma"/>
            <family val="2"/>
          </rPr>
          <t>Dai, Qiang:</t>
        </r>
        <r>
          <rPr>
            <sz val="9"/>
            <color indexed="81"/>
            <rFont val="Tahoma"/>
            <family val="2"/>
          </rPr>
          <t xml:space="preserve">
Assuming negligible energy consumption for process</t>
        </r>
      </text>
    </comment>
    <comment ref="E48" authorId="0" shapeId="0" xr:uid="{00000000-0006-0000-0900-000009000000}">
      <text>
        <r>
          <rPr>
            <b/>
            <sz val="9"/>
            <color indexed="81"/>
            <rFont val="Tahoma"/>
            <family val="2"/>
          </rPr>
          <t>Dai, Qiang:</t>
        </r>
        <r>
          <rPr>
            <sz val="9"/>
            <color indexed="81"/>
            <rFont val="Tahoma"/>
            <family val="2"/>
          </rPr>
          <t xml:space="preserve">
GREET value for battery-grade Co3O4 production from battery-grade CoSO4</t>
        </r>
      </text>
    </comment>
    <comment ref="F48" authorId="0" shapeId="0" xr:uid="{00000000-0006-0000-0900-00000A000000}">
      <text>
        <r>
          <rPr>
            <b/>
            <sz val="9"/>
            <color rgb="FF000000"/>
            <rFont val="Tahoma"/>
            <family val="2"/>
          </rPr>
          <t>Dai, Qiang:</t>
        </r>
        <r>
          <rPr>
            <sz val="9"/>
            <color rgb="FF000000"/>
            <rFont val="Tahoma"/>
            <family val="2"/>
          </rPr>
          <t xml:space="preserve">
</t>
        </r>
        <r>
          <rPr>
            <sz val="9"/>
            <color rgb="FF000000"/>
            <rFont val="Tahoma"/>
            <family val="2"/>
          </rPr>
          <t>Assuming negligible energy consumption for process</t>
        </r>
      </text>
    </comment>
    <comment ref="D49" authorId="0" shapeId="0" xr:uid="{00000000-0006-0000-0900-00000C000000}">
      <text>
        <r>
          <rPr>
            <b/>
            <sz val="9"/>
            <color indexed="81"/>
            <rFont val="Tahoma"/>
            <family val="2"/>
          </rPr>
          <t>Dai, Qiang:</t>
        </r>
        <r>
          <rPr>
            <sz val="9"/>
            <color indexed="81"/>
            <rFont val="Tahoma"/>
            <family val="2"/>
          </rPr>
          <t xml:space="preserve">
Assuming negligible energy consumption for process</t>
        </r>
      </text>
    </comment>
    <comment ref="E49" authorId="0" shapeId="0" xr:uid="{00000000-0006-0000-0900-00000D000000}">
      <text>
        <r>
          <rPr>
            <b/>
            <sz val="9"/>
            <color rgb="FF000000"/>
            <rFont val="Tahoma"/>
            <family val="2"/>
          </rPr>
          <t>Dai, Qiang:</t>
        </r>
        <r>
          <rPr>
            <sz val="9"/>
            <color rgb="FF000000"/>
            <rFont val="Tahoma"/>
            <family val="2"/>
          </rPr>
          <t xml:space="preserve">
</t>
        </r>
        <r>
          <rPr>
            <sz val="9"/>
            <color rgb="FF000000"/>
            <rFont val="Tahoma"/>
            <family val="2"/>
          </rPr>
          <t>GREET value for battery-grade Co3O4 production from battery-grade CoSO4</t>
        </r>
      </text>
    </comment>
    <comment ref="F49" authorId="0" shapeId="0" xr:uid="{00000000-0006-0000-0900-00000E000000}">
      <text>
        <r>
          <rPr>
            <b/>
            <sz val="9"/>
            <color rgb="FF000000"/>
            <rFont val="Tahoma"/>
            <family val="2"/>
          </rPr>
          <t>Dai, Qiang:</t>
        </r>
        <r>
          <rPr>
            <sz val="9"/>
            <color rgb="FF000000"/>
            <rFont val="Tahoma"/>
            <family val="2"/>
          </rPr>
          <t xml:space="preserve">
</t>
        </r>
        <r>
          <rPr>
            <sz val="9"/>
            <color rgb="FF000000"/>
            <rFont val="Tahoma"/>
            <family val="2"/>
          </rPr>
          <t>GREET value</t>
        </r>
      </text>
    </comment>
    <comment ref="D137" authorId="0" shapeId="0" xr:uid="{34926FC1-43BD-4DDE-9422-6C867AE9B74A}">
      <text>
        <r>
          <rPr>
            <b/>
            <sz val="9"/>
            <color rgb="FF000000"/>
            <rFont val="Tahoma"/>
            <family val="2"/>
          </rPr>
          <t>Dai, Qiang:</t>
        </r>
        <r>
          <rPr>
            <sz val="9"/>
            <color rgb="FF000000"/>
            <rFont val="Tahoma"/>
            <family val="2"/>
          </rPr>
          <t xml:space="preserve">
</t>
        </r>
        <r>
          <rPr>
            <sz val="9"/>
            <color rgb="FF000000"/>
            <rFont val="Tahoma"/>
            <family val="2"/>
          </rPr>
          <t>2018 price, Intratec</t>
        </r>
      </text>
    </comment>
    <comment ref="D138" authorId="0" shapeId="0" xr:uid="{6C8FC9E3-3F03-4F64-9165-56EA5F2BCAF7}">
      <text>
        <r>
          <rPr>
            <b/>
            <sz val="9"/>
            <color rgb="FF000000"/>
            <rFont val="Tahoma"/>
            <family val="2"/>
          </rPr>
          <t>Dai, Qiang:</t>
        </r>
        <r>
          <rPr>
            <sz val="9"/>
            <color rgb="FF000000"/>
            <rFont val="Tahoma"/>
            <family val="2"/>
          </rPr>
          <t xml:space="preserve">
</t>
        </r>
        <r>
          <rPr>
            <sz val="9"/>
            <color rgb="FF000000"/>
            <rFont val="Tahoma"/>
            <family val="2"/>
          </rPr>
          <t xml:space="preserve">2018-2022 average, FOB gulf coast
</t>
        </r>
        <r>
          <rPr>
            <sz val="9"/>
            <color rgb="FF000000"/>
            <rFont val="Tahoma"/>
            <family val="2"/>
          </rPr>
          <t>https://pubs.usgs.gov/periodicals/mcs2023/mcs2023-nitrogen.pdf</t>
        </r>
      </text>
    </comment>
    <comment ref="D139" authorId="0" shapeId="0" xr:uid="{AE0D73A8-1431-405F-B7A8-4357D06ECA11}">
      <text>
        <r>
          <rPr>
            <b/>
            <sz val="9"/>
            <color rgb="FF000000"/>
            <rFont val="Tahoma"/>
            <family val="2"/>
          </rPr>
          <t>Dai, Qiang:</t>
        </r>
        <r>
          <rPr>
            <sz val="9"/>
            <color rgb="FF000000"/>
            <rFont val="Tahoma"/>
            <family val="2"/>
          </rPr>
          <t xml:space="preserve">
</t>
        </r>
        <r>
          <rPr>
            <sz val="9"/>
            <color rgb="FF000000"/>
            <rFont val="Tahoma"/>
            <family val="2"/>
          </rPr>
          <t>Assumed to be the same as Ammonia. Could be an overestimate</t>
        </r>
      </text>
    </comment>
    <comment ref="D140" authorId="0" shapeId="0" xr:uid="{4384B108-5C41-4848-AF2B-A20B54088A2A}">
      <text>
        <r>
          <rPr>
            <b/>
            <sz val="9"/>
            <color rgb="FF000000"/>
            <rFont val="Tahoma"/>
            <family val="2"/>
          </rPr>
          <t>Dai, Qiang:</t>
        </r>
        <r>
          <rPr>
            <sz val="9"/>
            <color rgb="FF000000"/>
            <rFont val="Tahoma"/>
            <family val="2"/>
          </rPr>
          <t xml:space="preserve">
</t>
        </r>
        <r>
          <rPr>
            <sz val="9"/>
            <color rgb="FF000000"/>
            <rFont val="Tahoma"/>
            <family val="2"/>
          </rPr>
          <t>Assumed to be the same as Ammonia. Could be an overestimate</t>
        </r>
      </text>
    </comment>
    <comment ref="D141" authorId="0" shapeId="0" xr:uid="{F3C05AB4-1E17-4FC3-81EF-4304FEC52DEC}">
      <text>
        <r>
          <rPr>
            <b/>
            <sz val="9"/>
            <color rgb="FF000000"/>
            <rFont val="Tahoma"/>
            <family val="2"/>
          </rPr>
          <t>Dai, Qiang:</t>
        </r>
        <r>
          <rPr>
            <sz val="9"/>
            <color rgb="FF000000"/>
            <rFont val="Tahoma"/>
            <family val="2"/>
          </rPr>
          <t xml:space="preserve">
</t>
        </r>
        <r>
          <rPr>
            <sz val="9"/>
            <color rgb="FF000000"/>
            <rFont val="Tahoma"/>
            <family val="2"/>
          </rPr>
          <t>Assuming the cost of 1/3 mole Co3O4 is the same as the cost of 1 mole Co</t>
        </r>
      </text>
    </comment>
    <comment ref="D142" authorId="0" shapeId="0" xr:uid="{1DF79A53-DCA1-40C2-A882-210FDA92971E}">
      <text>
        <r>
          <rPr>
            <b/>
            <sz val="9"/>
            <color rgb="FF000000"/>
            <rFont val="Tahoma"/>
            <family val="2"/>
          </rPr>
          <t>Dai, Qiang:</t>
        </r>
        <r>
          <rPr>
            <sz val="9"/>
            <color rgb="FF000000"/>
            <rFont val="Tahoma"/>
            <family val="2"/>
          </rPr>
          <t xml:space="preserve">
</t>
        </r>
        <r>
          <rPr>
            <sz val="9"/>
            <color rgb="FF000000"/>
            <rFont val="Tahoma"/>
            <family val="2"/>
          </rPr>
          <t>Assuming the cost of 1 mole CoSO4 is the same as the cost of 1 mole Co</t>
        </r>
      </text>
    </comment>
    <comment ref="D143" authorId="0" shapeId="0" xr:uid="{6C79FDEA-33D1-4840-AACE-2FDCF7E9600A}">
      <text>
        <r>
          <rPr>
            <b/>
            <sz val="9"/>
            <color rgb="FF000000"/>
            <rFont val="Tahoma"/>
            <family val="2"/>
          </rPr>
          <t>Dai, Qiang:</t>
        </r>
        <r>
          <rPr>
            <sz val="9"/>
            <color rgb="FF000000"/>
            <rFont val="Tahoma"/>
            <family val="2"/>
          </rPr>
          <t xml:space="preserve">
2018-2022 average, converted to 100% HCl from price for wet ton (35% HCl). ICIS, ChemAnalyst</t>
        </r>
      </text>
    </comment>
    <comment ref="D144" authorId="0" shapeId="0" xr:uid="{D670ED99-63E2-4727-9F09-05F024FAC9E6}">
      <text>
        <r>
          <rPr>
            <b/>
            <sz val="9"/>
            <color rgb="FF000000"/>
            <rFont val="Tahoma"/>
            <family val="2"/>
          </rPr>
          <t>Dai, Qiang:</t>
        </r>
        <r>
          <rPr>
            <sz val="9"/>
            <color rgb="FF000000"/>
            <rFont val="Tahoma"/>
            <family val="2"/>
          </rPr>
          <t xml:space="preserve">
2018-2022 average, converted to 100% H2O2 from price for 50% grade. Intratec, ChemAnalyst, IndexBox</t>
        </r>
      </text>
    </comment>
    <comment ref="D145" authorId="0" shapeId="0" xr:uid="{64A7186A-A6B2-437C-A4B4-B28E9ECA9248}">
      <text>
        <r>
          <rPr>
            <b/>
            <sz val="9"/>
            <color rgb="FF000000"/>
            <rFont val="Tahoma"/>
            <family val="2"/>
          </rPr>
          <t>Dai, Qiang:</t>
        </r>
        <r>
          <rPr>
            <sz val="9"/>
            <color rgb="FF000000"/>
            <rFont val="Tahoma"/>
            <family val="2"/>
          </rPr>
          <t xml:space="preserve">
2022 bulk price. http://www.wichitafallstx.gov/DocumentCenter/View/38336/BID-TAB-2022-BULK-CHEMICALS</t>
        </r>
      </text>
    </comment>
    <comment ref="D146" authorId="0" shapeId="0" xr:uid="{73E9D528-9FDD-4A78-A800-30F0B90640C6}">
      <text>
        <r>
          <rPr>
            <b/>
            <sz val="9"/>
            <color rgb="FF000000"/>
            <rFont val="Tahoma"/>
            <family val="2"/>
          </rPr>
          <t>Dai, Qiang:</t>
        </r>
        <r>
          <rPr>
            <sz val="9"/>
            <color rgb="FF000000"/>
            <rFont val="Tahoma"/>
            <family val="2"/>
          </rPr>
          <t xml:space="preserve">
2018-2022 average, quick lime. https://pubs.usgs.gov/periodicals/mcs2023/mcs2023-lime.pdf</t>
        </r>
      </text>
    </comment>
    <comment ref="D147" authorId="0" shapeId="0" xr:uid="{438CE1C8-AF9C-433C-AD1E-5C4E1B4CB57E}">
      <text>
        <r>
          <rPr>
            <b/>
            <sz val="9"/>
            <color rgb="FF000000"/>
            <rFont val="Tahoma"/>
            <family val="2"/>
          </rPr>
          <t>Dai, Qiang:</t>
        </r>
        <r>
          <rPr>
            <sz val="9"/>
            <color rgb="FF000000"/>
            <rFont val="Tahoma"/>
            <family val="2"/>
          </rPr>
          <t xml:space="preserve">
</t>
        </r>
        <r>
          <rPr>
            <sz val="9"/>
            <color rgb="FF000000"/>
            <rFont val="Tahoma"/>
            <family val="2"/>
          </rPr>
          <t>Use lime price as a proxy</t>
        </r>
      </text>
    </comment>
    <comment ref="D148" authorId="0" shapeId="0" xr:uid="{4AA5F2C9-C1FA-4130-A7CA-3620D0280C1D}">
      <text>
        <r>
          <rPr>
            <b/>
            <sz val="9"/>
            <color rgb="FF000000"/>
            <rFont val="Tahoma"/>
            <family val="2"/>
          </rPr>
          <t>Dai, Qiang:</t>
        </r>
        <r>
          <rPr>
            <sz val="9"/>
            <color rgb="FF000000"/>
            <rFont val="Tahoma"/>
            <family val="2"/>
          </rPr>
          <t xml:space="preserve">
2018-2022 average. https://pubs.usgs.gov/periodicals/mcs2023/mcs2023-lithium.pdf</t>
        </r>
      </text>
    </comment>
    <comment ref="D149" authorId="0" shapeId="0" xr:uid="{D8478880-BDEC-4B6F-9EB7-1C5711BE299D}">
      <text>
        <r>
          <rPr>
            <b/>
            <sz val="9"/>
            <color rgb="FF000000"/>
            <rFont val="Tahoma"/>
            <family val="2"/>
          </rPr>
          <t>Dai, Qiang:</t>
        </r>
        <r>
          <rPr>
            <sz val="9"/>
            <color rgb="FF000000"/>
            <rFont val="Tahoma"/>
            <family val="2"/>
          </rPr>
          <t xml:space="preserve">
</t>
        </r>
        <r>
          <rPr>
            <sz val="9"/>
            <color rgb="FF000000"/>
            <rFont val="Tahoma"/>
            <family val="2"/>
          </rPr>
          <t>Anhydrous. USGS Mineral Commodity Summaries 2019-2022</t>
        </r>
      </text>
    </comment>
    <comment ref="B150" authorId="0" shapeId="0" xr:uid="{00000000-0006-0000-0900-00001D000000}">
      <text>
        <r>
          <rPr>
            <b/>
            <sz val="9"/>
            <color indexed="81"/>
            <rFont val="Tahoma"/>
            <family val="2"/>
          </rPr>
          <t>Dai, Qiang:</t>
        </r>
        <r>
          <rPr>
            <sz val="9"/>
            <color indexed="81"/>
            <rFont val="Tahoma"/>
            <family val="2"/>
          </rPr>
          <t xml:space="preserve">
Mn2O3</t>
        </r>
      </text>
    </comment>
    <comment ref="D150" authorId="0" shapeId="0" xr:uid="{3070349B-01E7-49AE-9779-6EF548336E27}">
      <text>
        <r>
          <rPr>
            <b/>
            <sz val="9"/>
            <color rgb="FF000000"/>
            <rFont val="Tahoma"/>
            <family val="2"/>
          </rPr>
          <t>Dai, Qiang:</t>
        </r>
        <r>
          <rPr>
            <sz val="9"/>
            <color rgb="FF000000"/>
            <rFont val="Tahoma"/>
            <family val="2"/>
          </rPr>
          <t xml:space="preserve">
</t>
        </r>
        <r>
          <rPr>
            <sz val="9"/>
            <color rgb="FF000000"/>
            <rFont val="Tahoma"/>
            <family val="2"/>
          </rPr>
          <t>Assuming the cost of 1 mole Mn2O3 is the same as the cost of 2 mole Mn in BatPac</t>
        </r>
      </text>
    </comment>
    <comment ref="D151" authorId="0" shapeId="0" xr:uid="{943662D1-6333-4970-A1A5-8089B6A4C276}">
      <text>
        <r>
          <rPr>
            <b/>
            <sz val="9"/>
            <color rgb="FF000000"/>
            <rFont val="Tahoma"/>
            <family val="2"/>
          </rPr>
          <t>Dai, Qiang:</t>
        </r>
        <r>
          <rPr>
            <sz val="9"/>
            <color rgb="FF000000"/>
            <rFont val="Tahoma"/>
            <family val="2"/>
          </rPr>
          <t xml:space="preserve">
</t>
        </r>
        <r>
          <rPr>
            <sz val="9"/>
            <color rgb="FF000000"/>
            <rFont val="Tahoma"/>
            <family val="2"/>
          </rPr>
          <t>Assuming the cost of 1 mole MnSO4 is the same as the cost of 1 mole Mn in BatPac</t>
        </r>
      </text>
    </comment>
    <comment ref="D152" authorId="0" shapeId="0" xr:uid="{ABD55861-D1A7-4AD6-B9B2-B0E69FE25A8B}">
      <text>
        <r>
          <rPr>
            <b/>
            <sz val="9"/>
            <color rgb="FF000000"/>
            <rFont val="Tahoma"/>
            <family val="2"/>
          </rPr>
          <t>Dai, Qiang:</t>
        </r>
        <r>
          <rPr>
            <sz val="9"/>
            <color rgb="FF000000"/>
            <rFont val="Tahoma"/>
            <family val="2"/>
          </rPr>
          <t xml:space="preserve">
</t>
        </r>
        <r>
          <rPr>
            <sz val="9"/>
            <color rgb="FF000000"/>
            <rFont val="Tahoma"/>
            <family val="2"/>
          </rPr>
          <t>Assuming the cost of 1 mole NiSO4 is the same as the cost of 1 mole Ni in BatPac</t>
        </r>
      </text>
    </comment>
    <comment ref="D153" authorId="0" shapeId="0" xr:uid="{19078C08-2DF2-4F0C-9F7F-13C912496C5E}">
      <text>
        <r>
          <rPr>
            <b/>
            <sz val="9"/>
            <color indexed="81"/>
            <rFont val="Tahoma"/>
            <family val="2"/>
          </rPr>
          <t>Dai, Qiang:</t>
        </r>
        <r>
          <rPr>
            <sz val="9"/>
            <color indexed="81"/>
            <rFont val="Tahoma"/>
            <family val="2"/>
          </rPr>
          <t xml:space="preserve">
http://www.chemicool.com/elements/oxygen.html</t>
        </r>
      </text>
    </comment>
    <comment ref="D154" authorId="0" shapeId="0" xr:uid="{59DBE69E-EC3A-4C7C-9173-25881308FE56}">
      <text>
        <r>
          <rPr>
            <b/>
            <sz val="9"/>
            <color rgb="FF000000"/>
            <rFont val="Tahoma"/>
            <family val="2"/>
          </rPr>
          <t>Dai, Qiang:</t>
        </r>
        <r>
          <rPr>
            <sz val="9"/>
            <color rgb="FF000000"/>
            <rFont val="Tahoma"/>
            <family val="2"/>
          </rPr>
          <t xml:space="preserve">
2018-2022 average, converted to 100% H3PO4 from price for 85% grade. ICIS, ChemAnalyst</t>
        </r>
      </text>
    </comment>
    <comment ref="D155" authorId="0" shapeId="0" xr:uid="{EF10B32C-AC01-4E08-828A-254373328B56}">
      <text>
        <r>
          <rPr>
            <b/>
            <sz val="9"/>
            <color rgb="FF000000"/>
            <rFont val="Tahoma"/>
            <family val="2"/>
          </rPr>
          <t>Dai, Qiang:</t>
        </r>
        <r>
          <rPr>
            <sz val="9"/>
            <color rgb="FF000000"/>
            <rFont val="Tahoma"/>
            <family val="2"/>
          </rPr>
          <t xml:space="preserve">
2022 price. ChemAnalyst</t>
        </r>
      </text>
    </comment>
    <comment ref="D156" authorId="0" shapeId="0" xr:uid="{86AA1105-97BF-4B3B-92F6-A4DD760FE016}">
      <text>
        <r>
          <rPr>
            <b/>
            <sz val="9"/>
            <color rgb="FF000000"/>
            <rFont val="Tahoma"/>
            <family val="2"/>
          </rPr>
          <t>Dai, Qiang:</t>
        </r>
        <r>
          <rPr>
            <sz val="9"/>
            <color rgb="FF000000"/>
            <rFont val="Tahoma"/>
            <family val="2"/>
          </rPr>
          <t xml:space="preserve">
2018-2022 average. ICIS, Business Analytiq</t>
        </r>
      </text>
    </comment>
    <comment ref="D157" authorId="0" shapeId="0" xr:uid="{97B1DBA5-7641-4351-A06D-C260AC6B9723}">
      <text>
        <r>
          <rPr>
            <b/>
            <sz val="9"/>
            <color rgb="FF000000"/>
            <rFont val="Tahoma"/>
            <family val="2"/>
          </rPr>
          <t>Dai, Qiang:</t>
        </r>
        <r>
          <rPr>
            <sz val="9"/>
            <color rgb="FF000000"/>
            <rFont val="Tahoma"/>
            <family val="2"/>
          </rPr>
          <t xml:space="preserve">
</t>
        </r>
        <r>
          <rPr>
            <sz val="9"/>
            <color rgb="FF000000"/>
            <rFont val="Tahoma"/>
            <family val="2"/>
          </rPr>
          <t>2018-2022 average, 100% H2SO4, US import price; USGS Minerals Year Book 2019 &amp; 2021, Mineral Industry Surveys Jan 2022</t>
        </r>
      </text>
    </comment>
    <comment ref="D161" authorId="0" shapeId="0" xr:uid="{DD175712-530A-4EFC-866F-BF868BD3D30C}">
      <text>
        <r>
          <rPr>
            <b/>
            <sz val="9"/>
            <color rgb="FF000000"/>
            <rFont val="Tahoma"/>
            <family val="2"/>
          </rPr>
          <t>Dai, Qiang:</t>
        </r>
        <r>
          <rPr>
            <sz val="9"/>
            <color rgb="FF000000"/>
            <rFont val="Tahoma"/>
            <family val="2"/>
          </rPr>
          <t xml:space="preserve">
</t>
        </r>
        <r>
          <rPr>
            <sz val="9"/>
            <color rgb="FF000000"/>
            <rFont val="Tahoma"/>
            <family val="2"/>
          </rPr>
          <t>$7.90/1000ft3 industrial price in 2022, national average, EIA</t>
        </r>
      </text>
    </comment>
    <comment ref="D162" authorId="0" shapeId="0" xr:uid="{D495DFE2-77A0-4BC0-B031-ED88978E6D34}">
      <text>
        <r>
          <rPr>
            <b/>
            <sz val="9"/>
            <color rgb="FF000000"/>
            <rFont val="Tahoma"/>
            <family val="2"/>
          </rPr>
          <t>Dai, Qiang:</t>
        </r>
        <r>
          <rPr>
            <sz val="9"/>
            <color rgb="FF000000"/>
            <rFont val="Tahoma"/>
            <family val="2"/>
          </rPr>
          <t xml:space="preserve">
</t>
        </r>
        <r>
          <rPr>
            <sz val="9"/>
            <color rgb="FF000000"/>
            <rFont val="Tahoma"/>
            <family val="2"/>
          </rPr>
          <t>2022 national average, EIA</t>
        </r>
      </text>
    </comment>
    <comment ref="D163" authorId="1" shapeId="0" xr:uid="{D5EC3C1B-0BEB-48E9-8DC7-1DEA3381D498}">
      <text>
        <r>
          <rPr>
            <b/>
            <sz val="10"/>
            <color rgb="FF000000"/>
            <rFont val="Tahoma"/>
            <family val="2"/>
          </rPr>
          <t xml:space="preserve">Qiang Dai:
</t>
        </r>
        <r>
          <rPr>
            <sz val="10"/>
            <color rgb="FF000000"/>
            <rFont val="Tahoma"/>
            <family val="2"/>
          </rPr>
          <t>2021 national average, EPA WaterSense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Spangenberger, Jeffrey S.</author>
    <author>Dai, Qiang</author>
    <author>Qiang Dai</author>
  </authors>
  <commentList>
    <comment ref="BD12" authorId="0" shapeId="0" xr:uid="{00000000-0006-0000-0A00-000001000000}">
      <text>
        <r>
          <rPr>
            <b/>
            <sz val="9"/>
            <color indexed="81"/>
            <rFont val="Tahoma"/>
            <family val="2"/>
          </rPr>
          <t>Spangenberger, Jeffrey S.:</t>
        </r>
        <r>
          <rPr>
            <sz val="9"/>
            <color indexed="81"/>
            <rFont val="Tahoma"/>
            <family val="2"/>
          </rPr>
          <t xml:space="preserve">
At hrs per day and days per year entered above</t>
        </r>
      </text>
    </comment>
    <comment ref="CD12" authorId="0" shapeId="0" xr:uid="{00000000-0006-0000-0A00-000002000000}">
      <text>
        <r>
          <rPr>
            <b/>
            <sz val="9"/>
            <color indexed="81"/>
            <rFont val="Tahoma"/>
            <family val="2"/>
          </rPr>
          <t>Spangenberger, Jeffrey S.:</t>
        </r>
        <r>
          <rPr>
            <sz val="9"/>
            <color indexed="81"/>
            <rFont val="Tahoma"/>
            <family val="2"/>
          </rPr>
          <t xml:space="preserve">
At hrs per day and days per year entered above</t>
        </r>
      </text>
    </comment>
    <comment ref="DD12" authorId="0" shapeId="0" xr:uid="{00000000-0006-0000-0A00-000003000000}">
      <text>
        <r>
          <rPr>
            <b/>
            <sz val="9"/>
            <color indexed="81"/>
            <rFont val="Tahoma"/>
            <family val="2"/>
          </rPr>
          <t>Spangenberger, Jeffrey S.:</t>
        </r>
        <r>
          <rPr>
            <sz val="9"/>
            <color indexed="81"/>
            <rFont val="Tahoma"/>
            <family val="2"/>
          </rPr>
          <t xml:space="preserve">
At hrs per day and days per year entered above</t>
        </r>
      </text>
    </comment>
    <comment ref="ED12" authorId="0" shapeId="0" xr:uid="{00000000-0006-0000-0A00-000004000000}">
      <text>
        <r>
          <rPr>
            <b/>
            <sz val="9"/>
            <color indexed="81"/>
            <rFont val="Tahoma"/>
            <family val="2"/>
          </rPr>
          <t>Spangenberger, Jeffrey S.:</t>
        </r>
        <r>
          <rPr>
            <sz val="9"/>
            <color indexed="81"/>
            <rFont val="Tahoma"/>
            <family val="2"/>
          </rPr>
          <t xml:space="preserve">
At hrs per day and days per year entered above</t>
        </r>
      </text>
    </comment>
    <comment ref="FD12" authorId="0" shapeId="0" xr:uid="{00000000-0006-0000-0A00-000005000000}">
      <text>
        <r>
          <rPr>
            <b/>
            <sz val="9"/>
            <color indexed="81"/>
            <rFont val="Tahoma"/>
            <family val="2"/>
          </rPr>
          <t>Spangenberger, Jeffrey S.:</t>
        </r>
        <r>
          <rPr>
            <sz val="9"/>
            <color indexed="81"/>
            <rFont val="Tahoma"/>
            <family val="2"/>
          </rPr>
          <t xml:space="preserve">
At hrs per day and days per year entered above</t>
        </r>
      </text>
    </comment>
    <comment ref="GD12" authorId="0" shapeId="0" xr:uid="{00000000-0006-0000-0A00-000006000000}">
      <text>
        <r>
          <rPr>
            <b/>
            <sz val="9"/>
            <color indexed="81"/>
            <rFont val="Tahoma"/>
            <family val="2"/>
          </rPr>
          <t>Spangenberger, Jeffrey S.:</t>
        </r>
        <r>
          <rPr>
            <sz val="9"/>
            <color indexed="81"/>
            <rFont val="Tahoma"/>
            <family val="2"/>
          </rPr>
          <t xml:space="preserve">
At hrs per day and days per year entered above</t>
        </r>
      </text>
    </comment>
    <comment ref="HD12" authorId="0" shapeId="0" xr:uid="{00000000-0006-0000-0A00-000007000000}">
      <text>
        <r>
          <rPr>
            <b/>
            <sz val="9"/>
            <color indexed="81"/>
            <rFont val="Tahoma"/>
            <family val="2"/>
          </rPr>
          <t>Spangenberger, Jeffrey S.:</t>
        </r>
        <r>
          <rPr>
            <sz val="9"/>
            <color indexed="81"/>
            <rFont val="Tahoma"/>
            <family val="2"/>
          </rPr>
          <t xml:space="preserve">
At hrs per day and days per year entered above</t>
        </r>
      </text>
    </comment>
    <comment ref="ID12" authorId="0" shapeId="0" xr:uid="{00000000-0006-0000-0A00-000008000000}">
      <text>
        <r>
          <rPr>
            <b/>
            <sz val="9"/>
            <color indexed="81"/>
            <rFont val="Tahoma"/>
            <family val="2"/>
          </rPr>
          <t>Spangenberger, Jeffrey S.:</t>
        </r>
        <r>
          <rPr>
            <sz val="9"/>
            <color indexed="81"/>
            <rFont val="Tahoma"/>
            <family val="2"/>
          </rPr>
          <t xml:space="preserve">
At hrs per day and days per year entered above</t>
        </r>
      </text>
    </comment>
    <comment ref="JD12" authorId="0" shapeId="0" xr:uid="{00000000-0006-0000-0A00-000009000000}">
      <text>
        <r>
          <rPr>
            <b/>
            <sz val="9"/>
            <color indexed="81"/>
            <rFont val="Tahoma"/>
            <family val="2"/>
          </rPr>
          <t>Spangenberger, Jeffrey S.:</t>
        </r>
        <r>
          <rPr>
            <sz val="9"/>
            <color indexed="81"/>
            <rFont val="Tahoma"/>
            <family val="2"/>
          </rPr>
          <t xml:space="preserve">
At hrs per day and days per year entered above</t>
        </r>
      </text>
    </comment>
    <comment ref="KD12" authorId="0" shapeId="0" xr:uid="{00000000-0006-0000-0A00-00000A000000}">
      <text>
        <r>
          <rPr>
            <b/>
            <sz val="9"/>
            <color indexed="81"/>
            <rFont val="Tahoma"/>
            <family val="2"/>
          </rPr>
          <t>Spangenberger, Jeffrey S.:</t>
        </r>
        <r>
          <rPr>
            <sz val="9"/>
            <color indexed="81"/>
            <rFont val="Tahoma"/>
            <family val="2"/>
          </rPr>
          <t xml:space="preserve">
At hrs per day and days per year entered above</t>
        </r>
      </text>
    </comment>
    <comment ref="LD12" authorId="0" shapeId="0" xr:uid="{00000000-0006-0000-0A00-00000B000000}">
      <text>
        <r>
          <rPr>
            <b/>
            <sz val="9"/>
            <color indexed="81"/>
            <rFont val="Tahoma"/>
            <family val="2"/>
          </rPr>
          <t>Spangenberger, Jeffrey S.:</t>
        </r>
        <r>
          <rPr>
            <sz val="9"/>
            <color indexed="81"/>
            <rFont val="Tahoma"/>
            <family val="2"/>
          </rPr>
          <t xml:space="preserve">
At hrs per day and days per year entered above</t>
        </r>
      </text>
    </comment>
    <comment ref="MD12" authorId="0" shapeId="0" xr:uid="{00000000-0006-0000-0A00-00000C000000}">
      <text>
        <r>
          <rPr>
            <b/>
            <sz val="9"/>
            <color indexed="81"/>
            <rFont val="Tahoma"/>
            <family val="2"/>
          </rPr>
          <t>Spangenberger, Jeffrey S.:</t>
        </r>
        <r>
          <rPr>
            <sz val="9"/>
            <color indexed="81"/>
            <rFont val="Tahoma"/>
            <family val="2"/>
          </rPr>
          <t xml:space="preserve">
At hrs per day and days per year entered above</t>
        </r>
      </text>
    </comment>
    <comment ref="ND12" authorId="0" shapeId="0" xr:uid="{00000000-0006-0000-0A00-00000D000000}">
      <text>
        <r>
          <rPr>
            <b/>
            <sz val="9"/>
            <color indexed="81"/>
            <rFont val="Tahoma"/>
            <family val="2"/>
          </rPr>
          <t>Spangenberger, Jeffrey S.:</t>
        </r>
        <r>
          <rPr>
            <sz val="9"/>
            <color indexed="81"/>
            <rFont val="Tahoma"/>
            <family val="2"/>
          </rPr>
          <t xml:space="preserve">
At hrs per day and days per year entered above</t>
        </r>
      </text>
    </comment>
    <comment ref="OD12" authorId="0" shapeId="0" xr:uid="{00000000-0006-0000-0A00-00000E000000}">
      <text>
        <r>
          <rPr>
            <b/>
            <sz val="9"/>
            <color indexed="81"/>
            <rFont val="Tahoma"/>
            <family val="2"/>
          </rPr>
          <t>Spangenberger, Jeffrey S.:</t>
        </r>
        <r>
          <rPr>
            <sz val="9"/>
            <color indexed="81"/>
            <rFont val="Tahoma"/>
            <family val="2"/>
          </rPr>
          <t xml:space="preserve">
At hrs per day and days per year entered above</t>
        </r>
      </text>
    </comment>
    <comment ref="PD12" authorId="0" shapeId="0" xr:uid="{00000000-0006-0000-0A00-00000F000000}">
      <text>
        <r>
          <rPr>
            <b/>
            <sz val="9"/>
            <color indexed="81"/>
            <rFont val="Tahoma"/>
            <family val="2"/>
          </rPr>
          <t>Spangenberger, Jeffrey S.:</t>
        </r>
        <r>
          <rPr>
            <sz val="9"/>
            <color indexed="81"/>
            <rFont val="Tahoma"/>
            <family val="2"/>
          </rPr>
          <t xml:space="preserve">
At hrs per day and days per year entered above</t>
        </r>
      </text>
    </comment>
    <comment ref="QD12" authorId="0" shapeId="0" xr:uid="{00000000-0006-0000-0A00-000010000000}">
      <text>
        <r>
          <rPr>
            <b/>
            <sz val="9"/>
            <color indexed="81"/>
            <rFont val="Tahoma"/>
            <family val="2"/>
          </rPr>
          <t>Spangenberger, Jeffrey S.:</t>
        </r>
        <r>
          <rPr>
            <sz val="9"/>
            <color indexed="81"/>
            <rFont val="Tahoma"/>
            <family val="2"/>
          </rPr>
          <t xml:space="preserve">
At hrs per day and days per year entered above</t>
        </r>
      </text>
    </comment>
    <comment ref="RD12" authorId="0" shapeId="0" xr:uid="{00000000-0006-0000-0A00-000011000000}">
      <text>
        <r>
          <rPr>
            <b/>
            <sz val="9"/>
            <color indexed="81"/>
            <rFont val="Tahoma"/>
            <family val="2"/>
          </rPr>
          <t>Spangenberger, Jeffrey S.:</t>
        </r>
        <r>
          <rPr>
            <sz val="9"/>
            <color indexed="81"/>
            <rFont val="Tahoma"/>
            <family val="2"/>
          </rPr>
          <t xml:space="preserve">
At hrs per day and days per year entered above</t>
        </r>
      </text>
    </comment>
    <comment ref="SD12" authorId="0" shapeId="0" xr:uid="{00000000-0006-0000-0A00-000012000000}">
      <text>
        <r>
          <rPr>
            <b/>
            <sz val="9"/>
            <color indexed="81"/>
            <rFont val="Tahoma"/>
            <family val="2"/>
          </rPr>
          <t>Spangenberger, Jeffrey S.:</t>
        </r>
        <r>
          <rPr>
            <sz val="9"/>
            <color indexed="81"/>
            <rFont val="Tahoma"/>
            <family val="2"/>
          </rPr>
          <t xml:space="preserve">
At hrs per day and days per year entered above</t>
        </r>
      </text>
    </comment>
    <comment ref="TD12" authorId="0" shapeId="0" xr:uid="{00000000-0006-0000-0A00-000013000000}">
      <text>
        <r>
          <rPr>
            <b/>
            <sz val="9"/>
            <color indexed="81"/>
            <rFont val="Tahoma"/>
            <family val="2"/>
          </rPr>
          <t>Spangenberger, Jeffrey S.:</t>
        </r>
        <r>
          <rPr>
            <sz val="9"/>
            <color indexed="81"/>
            <rFont val="Tahoma"/>
            <family val="2"/>
          </rPr>
          <t xml:space="preserve">
At hrs per day and days per year entered above</t>
        </r>
      </text>
    </comment>
    <comment ref="UD12" authorId="0" shapeId="0" xr:uid="{00000000-0006-0000-0A00-000014000000}">
      <text>
        <r>
          <rPr>
            <b/>
            <sz val="9"/>
            <color indexed="81"/>
            <rFont val="Tahoma"/>
            <family val="2"/>
          </rPr>
          <t>Spangenberger, Jeffrey S.:</t>
        </r>
        <r>
          <rPr>
            <sz val="9"/>
            <color indexed="81"/>
            <rFont val="Tahoma"/>
            <family val="2"/>
          </rPr>
          <t xml:space="preserve">
At hrs per day and days per year entered above</t>
        </r>
      </text>
    </comment>
    <comment ref="VD12" authorId="0" shapeId="0" xr:uid="{00000000-0006-0000-0A00-000015000000}">
      <text>
        <r>
          <rPr>
            <b/>
            <sz val="9"/>
            <color indexed="81"/>
            <rFont val="Tahoma"/>
            <family val="2"/>
          </rPr>
          <t>Spangenberger, Jeffrey S.:</t>
        </r>
        <r>
          <rPr>
            <sz val="9"/>
            <color indexed="81"/>
            <rFont val="Tahoma"/>
            <family val="2"/>
          </rPr>
          <t xml:space="preserve">
At hrs per day and days per year entered above</t>
        </r>
      </text>
    </comment>
    <comment ref="WD12" authorId="0" shapeId="0" xr:uid="{00000000-0006-0000-0A00-000016000000}">
      <text>
        <r>
          <rPr>
            <b/>
            <sz val="9"/>
            <color indexed="81"/>
            <rFont val="Tahoma"/>
            <family val="2"/>
          </rPr>
          <t>Spangenberger, Jeffrey S.:</t>
        </r>
        <r>
          <rPr>
            <sz val="9"/>
            <color indexed="81"/>
            <rFont val="Tahoma"/>
            <family val="2"/>
          </rPr>
          <t xml:space="preserve">
At hrs per day and days per year entered above</t>
        </r>
      </text>
    </comment>
    <comment ref="XD12" authorId="0" shapeId="0" xr:uid="{00000000-0006-0000-0A00-000017000000}">
      <text>
        <r>
          <rPr>
            <b/>
            <sz val="9"/>
            <color indexed="81"/>
            <rFont val="Tahoma"/>
            <family val="2"/>
          </rPr>
          <t>Spangenberger, Jeffrey S.:</t>
        </r>
        <r>
          <rPr>
            <sz val="9"/>
            <color indexed="81"/>
            <rFont val="Tahoma"/>
            <family val="2"/>
          </rPr>
          <t xml:space="preserve">
At hrs per day and days per year entered above</t>
        </r>
      </text>
    </comment>
    <comment ref="YD12" authorId="0" shapeId="0" xr:uid="{00000000-0006-0000-0A00-000018000000}">
      <text>
        <r>
          <rPr>
            <b/>
            <sz val="9"/>
            <color indexed="81"/>
            <rFont val="Tahoma"/>
            <family val="2"/>
          </rPr>
          <t>Spangenberger, Jeffrey S.:</t>
        </r>
        <r>
          <rPr>
            <sz val="9"/>
            <color indexed="81"/>
            <rFont val="Tahoma"/>
            <family val="2"/>
          </rPr>
          <t xml:space="preserve">
At hrs per day and days per year entered above</t>
        </r>
      </text>
    </comment>
    <comment ref="ZD12" authorId="0" shapeId="0" xr:uid="{00000000-0006-0000-0A00-000019000000}">
      <text>
        <r>
          <rPr>
            <b/>
            <sz val="9"/>
            <color indexed="81"/>
            <rFont val="Tahoma"/>
            <family val="2"/>
          </rPr>
          <t>Spangenberger, Jeffrey S.:</t>
        </r>
        <r>
          <rPr>
            <sz val="9"/>
            <color indexed="81"/>
            <rFont val="Tahoma"/>
            <family val="2"/>
          </rPr>
          <t xml:space="preserve">
At hrs per day and days per year entered above</t>
        </r>
      </text>
    </comment>
    <comment ref="AAD12" authorId="0" shapeId="0" xr:uid="{00000000-0006-0000-0A00-00001A000000}">
      <text>
        <r>
          <rPr>
            <b/>
            <sz val="9"/>
            <color indexed="81"/>
            <rFont val="Tahoma"/>
            <family val="2"/>
          </rPr>
          <t>Spangenberger, Jeffrey S.:</t>
        </r>
        <r>
          <rPr>
            <sz val="9"/>
            <color indexed="81"/>
            <rFont val="Tahoma"/>
            <family val="2"/>
          </rPr>
          <t xml:space="preserve">
At hrs per day and days per year entered above</t>
        </r>
      </text>
    </comment>
    <comment ref="ABD12" authorId="0" shapeId="0" xr:uid="{00000000-0006-0000-0A00-00001B000000}">
      <text>
        <r>
          <rPr>
            <b/>
            <sz val="9"/>
            <color indexed="81"/>
            <rFont val="Tahoma"/>
            <family val="2"/>
          </rPr>
          <t>Spangenberger, Jeffrey S.:</t>
        </r>
        <r>
          <rPr>
            <sz val="9"/>
            <color indexed="81"/>
            <rFont val="Tahoma"/>
            <family val="2"/>
          </rPr>
          <t xml:space="preserve">
At hrs per day and days per year entered above</t>
        </r>
      </text>
    </comment>
    <comment ref="ACD12" authorId="0" shapeId="0" xr:uid="{00000000-0006-0000-0A00-00001C000000}">
      <text>
        <r>
          <rPr>
            <b/>
            <sz val="9"/>
            <color indexed="81"/>
            <rFont val="Tahoma"/>
            <family val="2"/>
          </rPr>
          <t>Spangenberger, Jeffrey S.:</t>
        </r>
        <r>
          <rPr>
            <sz val="9"/>
            <color indexed="81"/>
            <rFont val="Tahoma"/>
            <family val="2"/>
          </rPr>
          <t xml:space="preserve">
At hrs per day and days per year entered above</t>
        </r>
      </text>
    </comment>
    <comment ref="ADD12" authorId="0" shapeId="0" xr:uid="{00000000-0006-0000-0A00-00001D000000}">
      <text>
        <r>
          <rPr>
            <b/>
            <sz val="9"/>
            <color indexed="81"/>
            <rFont val="Tahoma"/>
            <family val="2"/>
          </rPr>
          <t>Spangenberger, Jeffrey S.:</t>
        </r>
        <r>
          <rPr>
            <sz val="9"/>
            <color indexed="81"/>
            <rFont val="Tahoma"/>
            <family val="2"/>
          </rPr>
          <t xml:space="preserve">
At hrs per day and days per year entered above</t>
        </r>
      </text>
    </comment>
    <comment ref="AED12" authorId="0" shapeId="0" xr:uid="{00000000-0006-0000-0A00-00001E000000}">
      <text>
        <r>
          <rPr>
            <b/>
            <sz val="9"/>
            <color indexed="81"/>
            <rFont val="Tahoma"/>
            <family val="2"/>
          </rPr>
          <t>Spangenberger, Jeffrey S.:</t>
        </r>
        <r>
          <rPr>
            <sz val="9"/>
            <color indexed="81"/>
            <rFont val="Tahoma"/>
            <family val="2"/>
          </rPr>
          <t xml:space="preserve">
At hrs per day and days per year entered above</t>
        </r>
      </text>
    </comment>
    <comment ref="AFD12" authorId="0" shapeId="0" xr:uid="{00000000-0006-0000-0A00-00001F000000}">
      <text>
        <r>
          <rPr>
            <b/>
            <sz val="9"/>
            <color indexed="81"/>
            <rFont val="Tahoma"/>
            <family val="2"/>
          </rPr>
          <t>Spangenberger, Jeffrey S.:</t>
        </r>
        <r>
          <rPr>
            <sz val="9"/>
            <color indexed="81"/>
            <rFont val="Tahoma"/>
            <family val="2"/>
          </rPr>
          <t xml:space="preserve">
At hrs per day and days per year entered above</t>
        </r>
      </text>
    </comment>
    <comment ref="AGD12" authorId="0" shapeId="0" xr:uid="{00000000-0006-0000-0A00-000020000000}">
      <text>
        <r>
          <rPr>
            <b/>
            <sz val="9"/>
            <color indexed="81"/>
            <rFont val="Tahoma"/>
            <family val="2"/>
          </rPr>
          <t>Spangenberger, Jeffrey S.:</t>
        </r>
        <r>
          <rPr>
            <sz val="9"/>
            <color indexed="81"/>
            <rFont val="Tahoma"/>
            <family val="2"/>
          </rPr>
          <t xml:space="preserve">
At hrs per day and days per year entered above</t>
        </r>
      </text>
    </comment>
    <comment ref="AHD12" authorId="0" shapeId="0" xr:uid="{00000000-0006-0000-0A00-000021000000}">
      <text>
        <r>
          <rPr>
            <b/>
            <sz val="9"/>
            <color indexed="81"/>
            <rFont val="Tahoma"/>
            <family val="2"/>
          </rPr>
          <t>Spangenberger, Jeffrey S.:</t>
        </r>
        <r>
          <rPr>
            <sz val="9"/>
            <color indexed="81"/>
            <rFont val="Tahoma"/>
            <family val="2"/>
          </rPr>
          <t xml:space="preserve">
At hrs per day and days per year entered above</t>
        </r>
      </text>
    </comment>
    <comment ref="AID12" authorId="0" shapeId="0" xr:uid="{00000000-0006-0000-0A00-000022000000}">
      <text>
        <r>
          <rPr>
            <b/>
            <sz val="9"/>
            <color indexed="81"/>
            <rFont val="Tahoma"/>
            <family val="2"/>
          </rPr>
          <t>Spangenberger, Jeffrey S.:</t>
        </r>
        <r>
          <rPr>
            <sz val="9"/>
            <color indexed="81"/>
            <rFont val="Tahoma"/>
            <family val="2"/>
          </rPr>
          <t xml:space="preserve">
At hrs per day and days per year entered above</t>
        </r>
      </text>
    </comment>
    <comment ref="AJD12" authorId="0" shapeId="0" xr:uid="{00000000-0006-0000-0A00-000023000000}">
      <text>
        <r>
          <rPr>
            <b/>
            <sz val="9"/>
            <color indexed="81"/>
            <rFont val="Tahoma"/>
            <family val="2"/>
          </rPr>
          <t>Spangenberger, Jeffrey S.:</t>
        </r>
        <r>
          <rPr>
            <sz val="9"/>
            <color indexed="81"/>
            <rFont val="Tahoma"/>
            <family val="2"/>
          </rPr>
          <t xml:space="preserve">
At hrs per day and days per year entered above</t>
        </r>
      </text>
    </comment>
    <comment ref="AKD12" authorId="0" shapeId="0" xr:uid="{00000000-0006-0000-0A00-000024000000}">
      <text>
        <r>
          <rPr>
            <b/>
            <sz val="9"/>
            <color indexed="81"/>
            <rFont val="Tahoma"/>
            <family val="2"/>
          </rPr>
          <t>Spangenberger, Jeffrey S.:</t>
        </r>
        <r>
          <rPr>
            <sz val="9"/>
            <color indexed="81"/>
            <rFont val="Tahoma"/>
            <family val="2"/>
          </rPr>
          <t xml:space="preserve">
At hrs per day and days per year entered above</t>
        </r>
      </text>
    </comment>
    <comment ref="ALD12" authorId="0" shapeId="0" xr:uid="{00000000-0006-0000-0A00-000025000000}">
      <text>
        <r>
          <rPr>
            <b/>
            <sz val="9"/>
            <color indexed="81"/>
            <rFont val="Tahoma"/>
            <family val="2"/>
          </rPr>
          <t>Spangenberger, Jeffrey S.:</t>
        </r>
        <r>
          <rPr>
            <sz val="9"/>
            <color indexed="81"/>
            <rFont val="Tahoma"/>
            <family val="2"/>
          </rPr>
          <t xml:space="preserve">
At hrs per day and days per year entered above</t>
        </r>
      </text>
    </comment>
    <comment ref="AMD12" authorId="0" shapeId="0" xr:uid="{00000000-0006-0000-0A00-000026000000}">
      <text>
        <r>
          <rPr>
            <b/>
            <sz val="9"/>
            <color indexed="81"/>
            <rFont val="Tahoma"/>
            <family val="2"/>
          </rPr>
          <t>Spangenberger, Jeffrey S.:</t>
        </r>
        <r>
          <rPr>
            <sz val="9"/>
            <color indexed="81"/>
            <rFont val="Tahoma"/>
            <family val="2"/>
          </rPr>
          <t xml:space="preserve">
At hrs per day and days per year entered above</t>
        </r>
      </text>
    </comment>
    <comment ref="AND12" authorId="0" shapeId="0" xr:uid="{00000000-0006-0000-0A00-000027000000}">
      <text>
        <r>
          <rPr>
            <b/>
            <sz val="9"/>
            <color indexed="81"/>
            <rFont val="Tahoma"/>
            <family val="2"/>
          </rPr>
          <t>Spangenberger, Jeffrey S.:</t>
        </r>
        <r>
          <rPr>
            <sz val="9"/>
            <color indexed="81"/>
            <rFont val="Tahoma"/>
            <family val="2"/>
          </rPr>
          <t xml:space="preserve">
At hrs per day and days per year entered above</t>
        </r>
      </text>
    </comment>
    <comment ref="AOD12" authorId="0" shapeId="0" xr:uid="{00000000-0006-0000-0A00-000028000000}">
      <text>
        <r>
          <rPr>
            <b/>
            <sz val="9"/>
            <color indexed="81"/>
            <rFont val="Tahoma"/>
            <family val="2"/>
          </rPr>
          <t>Spangenberger, Jeffrey S.:</t>
        </r>
        <r>
          <rPr>
            <sz val="9"/>
            <color indexed="81"/>
            <rFont val="Tahoma"/>
            <family val="2"/>
          </rPr>
          <t xml:space="preserve">
At hrs per day and days per year entered above</t>
        </r>
      </text>
    </comment>
    <comment ref="APD12" authorId="0" shapeId="0" xr:uid="{00000000-0006-0000-0A00-000029000000}">
      <text>
        <r>
          <rPr>
            <b/>
            <sz val="9"/>
            <color indexed="81"/>
            <rFont val="Tahoma"/>
            <family val="2"/>
          </rPr>
          <t>Spangenberger, Jeffrey S.:</t>
        </r>
        <r>
          <rPr>
            <sz val="9"/>
            <color indexed="81"/>
            <rFont val="Tahoma"/>
            <family val="2"/>
          </rPr>
          <t xml:space="preserve">
At hrs per day and days per year entered above</t>
        </r>
      </text>
    </comment>
    <comment ref="AQD12" authorId="0" shapeId="0" xr:uid="{00000000-0006-0000-0A00-00002A000000}">
      <text>
        <r>
          <rPr>
            <b/>
            <sz val="9"/>
            <color indexed="81"/>
            <rFont val="Tahoma"/>
            <family val="2"/>
          </rPr>
          <t>Spangenberger, Jeffrey S.:</t>
        </r>
        <r>
          <rPr>
            <sz val="9"/>
            <color indexed="81"/>
            <rFont val="Tahoma"/>
            <family val="2"/>
          </rPr>
          <t xml:space="preserve">
At hrs per day and days per year entered above</t>
        </r>
      </text>
    </comment>
    <comment ref="ARD12" authorId="0" shapeId="0" xr:uid="{00000000-0006-0000-0A00-00002B000000}">
      <text>
        <r>
          <rPr>
            <b/>
            <sz val="9"/>
            <color indexed="81"/>
            <rFont val="Tahoma"/>
            <family val="2"/>
          </rPr>
          <t>Spangenberger, Jeffrey S.:</t>
        </r>
        <r>
          <rPr>
            <sz val="9"/>
            <color indexed="81"/>
            <rFont val="Tahoma"/>
            <family val="2"/>
          </rPr>
          <t xml:space="preserve">
At hrs per day and days per year entered above</t>
        </r>
      </text>
    </comment>
    <comment ref="ASD12" authorId="0" shapeId="0" xr:uid="{00000000-0006-0000-0A00-00002C000000}">
      <text>
        <r>
          <rPr>
            <b/>
            <sz val="9"/>
            <color indexed="81"/>
            <rFont val="Tahoma"/>
            <family val="2"/>
          </rPr>
          <t>Spangenberger, Jeffrey S.:</t>
        </r>
        <r>
          <rPr>
            <sz val="9"/>
            <color indexed="81"/>
            <rFont val="Tahoma"/>
            <family val="2"/>
          </rPr>
          <t xml:space="preserve">
At hrs per day and days per year entered above</t>
        </r>
      </text>
    </comment>
    <comment ref="ATD12" authorId="0" shapeId="0" xr:uid="{00000000-0006-0000-0A00-00002D000000}">
      <text>
        <r>
          <rPr>
            <b/>
            <sz val="9"/>
            <color indexed="81"/>
            <rFont val="Tahoma"/>
            <family val="2"/>
          </rPr>
          <t>Spangenberger, Jeffrey S.:</t>
        </r>
        <r>
          <rPr>
            <sz val="9"/>
            <color indexed="81"/>
            <rFont val="Tahoma"/>
            <family val="2"/>
          </rPr>
          <t xml:space="preserve">
At hrs per day and days per year entered above</t>
        </r>
      </text>
    </comment>
    <comment ref="AUD12" authorId="0" shapeId="0" xr:uid="{00000000-0006-0000-0A00-00002E000000}">
      <text>
        <r>
          <rPr>
            <b/>
            <sz val="9"/>
            <color indexed="81"/>
            <rFont val="Tahoma"/>
            <family val="2"/>
          </rPr>
          <t>Spangenberger, Jeffrey S.:</t>
        </r>
        <r>
          <rPr>
            <sz val="9"/>
            <color indexed="81"/>
            <rFont val="Tahoma"/>
            <family val="2"/>
          </rPr>
          <t xml:space="preserve">
At hrs per day and days per year entered above</t>
        </r>
      </text>
    </comment>
    <comment ref="AVD12" authorId="0" shapeId="0" xr:uid="{00000000-0006-0000-0A00-00002F000000}">
      <text>
        <r>
          <rPr>
            <b/>
            <sz val="9"/>
            <color indexed="81"/>
            <rFont val="Tahoma"/>
            <family val="2"/>
          </rPr>
          <t>Spangenberger, Jeffrey S.:</t>
        </r>
        <r>
          <rPr>
            <sz val="9"/>
            <color indexed="81"/>
            <rFont val="Tahoma"/>
            <family val="2"/>
          </rPr>
          <t xml:space="preserve">
At hrs per day and days per year entered above</t>
        </r>
      </text>
    </comment>
    <comment ref="AWD12" authorId="0" shapeId="0" xr:uid="{00000000-0006-0000-0A00-000030000000}">
      <text>
        <r>
          <rPr>
            <b/>
            <sz val="9"/>
            <color indexed="81"/>
            <rFont val="Tahoma"/>
            <family val="2"/>
          </rPr>
          <t>Spangenberger, Jeffrey S.:</t>
        </r>
        <r>
          <rPr>
            <sz val="9"/>
            <color indexed="81"/>
            <rFont val="Tahoma"/>
            <family val="2"/>
          </rPr>
          <t xml:space="preserve">
At hrs per day and days per year entered above</t>
        </r>
      </text>
    </comment>
    <comment ref="AXD12" authorId="0" shapeId="0" xr:uid="{00000000-0006-0000-0A00-000031000000}">
      <text>
        <r>
          <rPr>
            <b/>
            <sz val="9"/>
            <color indexed="81"/>
            <rFont val="Tahoma"/>
            <family val="2"/>
          </rPr>
          <t>Spangenberger, Jeffrey S.:</t>
        </r>
        <r>
          <rPr>
            <sz val="9"/>
            <color indexed="81"/>
            <rFont val="Tahoma"/>
            <family val="2"/>
          </rPr>
          <t xml:space="preserve">
At hrs per day and days per year entered above</t>
        </r>
      </text>
    </comment>
    <comment ref="AYD12" authorId="0" shapeId="0" xr:uid="{00000000-0006-0000-0A00-000032000000}">
      <text>
        <r>
          <rPr>
            <b/>
            <sz val="9"/>
            <color indexed="81"/>
            <rFont val="Tahoma"/>
            <family val="2"/>
          </rPr>
          <t>Spangenberger, Jeffrey S.:</t>
        </r>
        <r>
          <rPr>
            <sz val="9"/>
            <color indexed="81"/>
            <rFont val="Tahoma"/>
            <family val="2"/>
          </rPr>
          <t xml:space="preserve">
At hrs per day and days per year entered above</t>
        </r>
      </text>
    </comment>
    <comment ref="AZD12" authorId="0" shapeId="0" xr:uid="{00000000-0006-0000-0A00-000033000000}">
      <text>
        <r>
          <rPr>
            <b/>
            <sz val="9"/>
            <color indexed="81"/>
            <rFont val="Tahoma"/>
            <family val="2"/>
          </rPr>
          <t>Spangenberger, Jeffrey S.:</t>
        </r>
        <r>
          <rPr>
            <sz val="9"/>
            <color indexed="81"/>
            <rFont val="Tahoma"/>
            <family val="2"/>
          </rPr>
          <t xml:space="preserve">
At hrs per day and days per year entered above</t>
        </r>
      </text>
    </comment>
    <comment ref="BAD12" authorId="0" shapeId="0" xr:uid="{00000000-0006-0000-0A00-000034000000}">
      <text>
        <r>
          <rPr>
            <b/>
            <sz val="9"/>
            <color indexed="81"/>
            <rFont val="Tahoma"/>
            <family val="2"/>
          </rPr>
          <t>Spangenberger, Jeffrey S.:</t>
        </r>
        <r>
          <rPr>
            <sz val="9"/>
            <color indexed="81"/>
            <rFont val="Tahoma"/>
            <family val="2"/>
          </rPr>
          <t xml:space="preserve">
At hrs per day and days per year entered above</t>
        </r>
      </text>
    </comment>
    <comment ref="BBD12" authorId="0" shapeId="0" xr:uid="{00000000-0006-0000-0A00-000035000000}">
      <text>
        <r>
          <rPr>
            <b/>
            <sz val="9"/>
            <color indexed="81"/>
            <rFont val="Tahoma"/>
            <family val="2"/>
          </rPr>
          <t>Spangenberger, Jeffrey S.:</t>
        </r>
        <r>
          <rPr>
            <sz val="9"/>
            <color indexed="81"/>
            <rFont val="Tahoma"/>
            <family val="2"/>
          </rPr>
          <t xml:space="preserve">
At hrs per day and days per year entered above</t>
        </r>
      </text>
    </comment>
    <comment ref="BCD12" authorId="0" shapeId="0" xr:uid="{00000000-0006-0000-0A00-000036000000}">
      <text>
        <r>
          <rPr>
            <b/>
            <sz val="9"/>
            <color indexed="81"/>
            <rFont val="Tahoma"/>
            <family val="2"/>
          </rPr>
          <t>Spangenberger, Jeffrey S.:</t>
        </r>
        <r>
          <rPr>
            <sz val="9"/>
            <color indexed="81"/>
            <rFont val="Tahoma"/>
            <family val="2"/>
          </rPr>
          <t xml:space="preserve">
At hrs per day and days per year entered above</t>
        </r>
      </text>
    </comment>
    <comment ref="BDD12" authorId="0" shapeId="0" xr:uid="{00000000-0006-0000-0A00-000037000000}">
      <text>
        <r>
          <rPr>
            <b/>
            <sz val="9"/>
            <color indexed="81"/>
            <rFont val="Tahoma"/>
            <family val="2"/>
          </rPr>
          <t>Spangenberger, Jeffrey S.:</t>
        </r>
        <r>
          <rPr>
            <sz val="9"/>
            <color indexed="81"/>
            <rFont val="Tahoma"/>
            <family val="2"/>
          </rPr>
          <t xml:space="preserve">
At hrs per day and days per year entered above</t>
        </r>
      </text>
    </comment>
    <comment ref="BED12" authorId="0" shapeId="0" xr:uid="{00000000-0006-0000-0A00-000038000000}">
      <text>
        <r>
          <rPr>
            <b/>
            <sz val="9"/>
            <color indexed="81"/>
            <rFont val="Tahoma"/>
            <family val="2"/>
          </rPr>
          <t>Spangenberger, Jeffrey S.:</t>
        </r>
        <r>
          <rPr>
            <sz val="9"/>
            <color indexed="81"/>
            <rFont val="Tahoma"/>
            <family val="2"/>
          </rPr>
          <t xml:space="preserve">
At hrs per day and days per year entered above</t>
        </r>
      </text>
    </comment>
    <comment ref="BFD12" authorId="0" shapeId="0" xr:uid="{00000000-0006-0000-0A00-000039000000}">
      <text>
        <r>
          <rPr>
            <b/>
            <sz val="9"/>
            <color indexed="81"/>
            <rFont val="Tahoma"/>
            <family val="2"/>
          </rPr>
          <t>Spangenberger, Jeffrey S.:</t>
        </r>
        <r>
          <rPr>
            <sz val="9"/>
            <color indexed="81"/>
            <rFont val="Tahoma"/>
            <family val="2"/>
          </rPr>
          <t xml:space="preserve">
At hrs per day and days per year entered above</t>
        </r>
      </text>
    </comment>
    <comment ref="BGD12" authorId="0" shapeId="0" xr:uid="{00000000-0006-0000-0A00-00003A000000}">
      <text>
        <r>
          <rPr>
            <b/>
            <sz val="9"/>
            <color indexed="81"/>
            <rFont val="Tahoma"/>
            <family val="2"/>
          </rPr>
          <t>Spangenberger, Jeffrey S.:</t>
        </r>
        <r>
          <rPr>
            <sz val="9"/>
            <color indexed="81"/>
            <rFont val="Tahoma"/>
            <family val="2"/>
          </rPr>
          <t xml:space="preserve">
At hrs per day and days per year entered above</t>
        </r>
      </text>
    </comment>
    <comment ref="BHD12" authorId="0" shapeId="0" xr:uid="{00000000-0006-0000-0A00-00003B000000}">
      <text>
        <r>
          <rPr>
            <b/>
            <sz val="9"/>
            <color indexed="81"/>
            <rFont val="Tahoma"/>
            <family val="2"/>
          </rPr>
          <t>Spangenberger, Jeffrey S.:</t>
        </r>
        <r>
          <rPr>
            <sz val="9"/>
            <color indexed="81"/>
            <rFont val="Tahoma"/>
            <family val="2"/>
          </rPr>
          <t xml:space="preserve">
At hrs per day and days per year entered above</t>
        </r>
      </text>
    </comment>
    <comment ref="BID12" authorId="0" shapeId="0" xr:uid="{00000000-0006-0000-0A00-00003C000000}">
      <text>
        <r>
          <rPr>
            <b/>
            <sz val="9"/>
            <color indexed="81"/>
            <rFont val="Tahoma"/>
            <family val="2"/>
          </rPr>
          <t>Spangenberger, Jeffrey S.:</t>
        </r>
        <r>
          <rPr>
            <sz val="9"/>
            <color indexed="81"/>
            <rFont val="Tahoma"/>
            <family val="2"/>
          </rPr>
          <t xml:space="preserve">
At hrs per day and days per year entered above</t>
        </r>
      </text>
    </comment>
    <comment ref="BJD12" authorId="0" shapeId="0" xr:uid="{00000000-0006-0000-0A00-00003D000000}">
      <text>
        <r>
          <rPr>
            <b/>
            <sz val="9"/>
            <color indexed="81"/>
            <rFont val="Tahoma"/>
            <family val="2"/>
          </rPr>
          <t>Spangenberger, Jeffrey S.:</t>
        </r>
        <r>
          <rPr>
            <sz val="9"/>
            <color indexed="81"/>
            <rFont val="Tahoma"/>
            <family val="2"/>
          </rPr>
          <t xml:space="preserve">
At hrs per day and days per year entered above</t>
        </r>
      </text>
    </comment>
    <comment ref="BKD12" authorId="0" shapeId="0" xr:uid="{00000000-0006-0000-0A00-00003E000000}">
      <text>
        <r>
          <rPr>
            <b/>
            <sz val="9"/>
            <color indexed="81"/>
            <rFont val="Tahoma"/>
            <family val="2"/>
          </rPr>
          <t>Spangenberger, Jeffrey S.:</t>
        </r>
        <r>
          <rPr>
            <sz val="9"/>
            <color indexed="81"/>
            <rFont val="Tahoma"/>
            <family val="2"/>
          </rPr>
          <t xml:space="preserve">
At hrs per day and days per year entered above</t>
        </r>
      </text>
    </comment>
    <comment ref="BLD12" authorId="0" shapeId="0" xr:uid="{00000000-0006-0000-0A00-00003F000000}">
      <text>
        <r>
          <rPr>
            <b/>
            <sz val="9"/>
            <color indexed="81"/>
            <rFont val="Tahoma"/>
            <family val="2"/>
          </rPr>
          <t>Spangenberger, Jeffrey S.:</t>
        </r>
        <r>
          <rPr>
            <sz val="9"/>
            <color indexed="81"/>
            <rFont val="Tahoma"/>
            <family val="2"/>
          </rPr>
          <t xml:space="preserve">
At hrs per day and days per year entered above</t>
        </r>
      </text>
    </comment>
    <comment ref="BMD12" authorId="0" shapeId="0" xr:uid="{00000000-0006-0000-0A00-000040000000}">
      <text>
        <r>
          <rPr>
            <b/>
            <sz val="9"/>
            <color indexed="81"/>
            <rFont val="Tahoma"/>
            <family val="2"/>
          </rPr>
          <t>Spangenberger, Jeffrey S.:</t>
        </r>
        <r>
          <rPr>
            <sz val="9"/>
            <color indexed="81"/>
            <rFont val="Tahoma"/>
            <family val="2"/>
          </rPr>
          <t xml:space="preserve">
At hrs per day and days per year entered above</t>
        </r>
      </text>
    </comment>
    <comment ref="BND12" authorId="0" shapeId="0" xr:uid="{00000000-0006-0000-0A00-000041000000}">
      <text>
        <r>
          <rPr>
            <b/>
            <sz val="9"/>
            <color indexed="81"/>
            <rFont val="Tahoma"/>
            <family val="2"/>
          </rPr>
          <t>Spangenberger, Jeffrey S.:</t>
        </r>
        <r>
          <rPr>
            <sz val="9"/>
            <color indexed="81"/>
            <rFont val="Tahoma"/>
            <family val="2"/>
          </rPr>
          <t xml:space="preserve">
At hrs per day and days per year entered above</t>
        </r>
      </text>
    </comment>
    <comment ref="BOD12" authorId="0" shapeId="0" xr:uid="{00000000-0006-0000-0A00-000042000000}">
      <text>
        <r>
          <rPr>
            <b/>
            <sz val="9"/>
            <color indexed="81"/>
            <rFont val="Tahoma"/>
            <family val="2"/>
          </rPr>
          <t>Spangenberger, Jeffrey S.:</t>
        </r>
        <r>
          <rPr>
            <sz val="9"/>
            <color indexed="81"/>
            <rFont val="Tahoma"/>
            <family val="2"/>
          </rPr>
          <t xml:space="preserve">
At hrs per day and days per year entered above</t>
        </r>
      </text>
    </comment>
    <comment ref="BPD12" authorId="0" shapeId="0" xr:uid="{00000000-0006-0000-0A00-000043000000}">
      <text>
        <r>
          <rPr>
            <b/>
            <sz val="9"/>
            <color indexed="81"/>
            <rFont val="Tahoma"/>
            <family val="2"/>
          </rPr>
          <t>Spangenberger, Jeffrey S.:</t>
        </r>
        <r>
          <rPr>
            <sz val="9"/>
            <color indexed="81"/>
            <rFont val="Tahoma"/>
            <family val="2"/>
          </rPr>
          <t xml:space="preserve">
At hrs per day and days per year entered above</t>
        </r>
      </text>
    </comment>
    <comment ref="BQD12" authorId="0" shapeId="0" xr:uid="{00000000-0006-0000-0A00-000044000000}">
      <text>
        <r>
          <rPr>
            <b/>
            <sz val="9"/>
            <color indexed="81"/>
            <rFont val="Tahoma"/>
            <family val="2"/>
          </rPr>
          <t>Spangenberger, Jeffrey S.:</t>
        </r>
        <r>
          <rPr>
            <sz val="9"/>
            <color indexed="81"/>
            <rFont val="Tahoma"/>
            <family val="2"/>
          </rPr>
          <t xml:space="preserve">
At hrs per day and days per year entered above</t>
        </r>
      </text>
    </comment>
    <comment ref="BRD12" authorId="0" shapeId="0" xr:uid="{00000000-0006-0000-0A00-000045000000}">
      <text>
        <r>
          <rPr>
            <b/>
            <sz val="9"/>
            <color indexed="81"/>
            <rFont val="Tahoma"/>
            <family val="2"/>
          </rPr>
          <t>Spangenberger, Jeffrey S.:</t>
        </r>
        <r>
          <rPr>
            <sz val="9"/>
            <color indexed="81"/>
            <rFont val="Tahoma"/>
            <family val="2"/>
          </rPr>
          <t xml:space="preserve">
At hrs per day and days per year entered above</t>
        </r>
      </text>
    </comment>
    <comment ref="IA108" authorId="1" shapeId="0" xr:uid="{00000000-0006-0000-0A00-000046000000}">
      <text>
        <r>
          <rPr>
            <b/>
            <sz val="9"/>
            <color indexed="81"/>
            <rFont val="Tahoma"/>
            <family val="2"/>
          </rPr>
          <t>Dai, Qiang:</t>
        </r>
        <r>
          <rPr>
            <sz val="9"/>
            <color indexed="81"/>
            <rFont val="Tahoma"/>
            <family val="2"/>
          </rPr>
          <t xml:space="preserve">
Couper et al 2005</t>
        </r>
      </text>
    </comment>
    <comment ref="VA108" authorId="1" shapeId="0" xr:uid="{00000000-0006-0000-0A00-000047000000}">
      <text>
        <r>
          <rPr>
            <b/>
            <sz val="9"/>
            <color indexed="81"/>
            <rFont val="Tahoma"/>
            <family val="2"/>
          </rPr>
          <t>Dai, Qiang:</t>
        </r>
        <r>
          <rPr>
            <sz val="9"/>
            <color indexed="81"/>
            <rFont val="Tahoma"/>
            <family val="2"/>
          </rPr>
          <t xml:space="preserve">
Couper et al 2005</t>
        </r>
      </text>
    </comment>
    <comment ref="AJA108" authorId="1" shapeId="0" xr:uid="{00000000-0006-0000-0A00-000048000000}">
      <text>
        <r>
          <rPr>
            <b/>
            <sz val="9"/>
            <color indexed="81"/>
            <rFont val="Tahoma"/>
            <family val="2"/>
          </rPr>
          <t>Dai, Qiang:</t>
        </r>
        <r>
          <rPr>
            <sz val="9"/>
            <color indexed="81"/>
            <rFont val="Tahoma"/>
            <family val="2"/>
          </rPr>
          <t xml:space="preserve">
Couper et al 2005</t>
        </r>
      </text>
    </comment>
    <comment ref="BAB108" authorId="1" shapeId="0" xr:uid="{00000000-0006-0000-0A00-000049000000}">
      <text>
        <r>
          <rPr>
            <b/>
            <sz val="9"/>
            <color indexed="81"/>
            <rFont val="Tahoma"/>
            <family val="2"/>
          </rPr>
          <t>Dai, Qiang:</t>
        </r>
        <r>
          <rPr>
            <sz val="9"/>
            <color indexed="81"/>
            <rFont val="Tahoma"/>
            <family val="2"/>
          </rPr>
          <t xml:space="preserve">
Assume a solid loading of 0.1kg/L</t>
        </r>
      </text>
    </comment>
    <comment ref="BAC108" authorId="1" shapeId="0" xr:uid="{00000000-0006-0000-0A00-00004A000000}">
      <text>
        <r>
          <rPr>
            <b/>
            <sz val="9"/>
            <color indexed="81"/>
            <rFont val="Tahoma"/>
            <family val="2"/>
          </rPr>
          <t>Dai, Qiang:</t>
        </r>
        <r>
          <rPr>
            <sz val="9"/>
            <color indexed="81"/>
            <rFont val="Tahoma"/>
            <family val="2"/>
          </rPr>
          <t xml:space="preserve">
Peters et al 2003, cast iron, 1035 kPa</t>
        </r>
      </text>
    </comment>
    <comment ref="BCB108" authorId="1" shapeId="0" xr:uid="{00000000-0006-0000-0A00-00004B000000}">
      <text>
        <r>
          <rPr>
            <b/>
            <sz val="9"/>
            <color indexed="81"/>
            <rFont val="Tahoma"/>
            <family val="2"/>
          </rPr>
          <t>Dai, Qiang:</t>
        </r>
        <r>
          <rPr>
            <sz val="9"/>
            <color indexed="81"/>
            <rFont val="Tahoma"/>
            <family val="2"/>
          </rPr>
          <t xml:space="preserve">
Couper et al 2005</t>
        </r>
      </text>
    </comment>
    <comment ref="MB109" authorId="1" shapeId="0" xr:uid="{00000000-0006-0000-0A00-00004C000000}">
      <text>
        <r>
          <rPr>
            <b/>
            <sz val="9"/>
            <color indexed="81"/>
            <rFont val="Tahoma"/>
            <family val="2"/>
          </rPr>
          <t>Dai, Qiang:</t>
        </r>
        <r>
          <rPr>
            <sz val="9"/>
            <color indexed="81"/>
            <rFont val="Tahoma"/>
            <family val="2"/>
          </rPr>
          <t xml:space="preserve">
Assuming a heat requirement of 20 mmbtu/tonne feed material (for cathode production from precursors)</t>
        </r>
      </text>
    </comment>
    <comment ref="AGB109" authorId="1" shapeId="0" xr:uid="{00000000-0006-0000-0A00-00004D000000}">
      <text>
        <r>
          <rPr>
            <b/>
            <sz val="9"/>
            <color indexed="81"/>
            <rFont val="Tahoma"/>
            <family val="2"/>
          </rPr>
          <t>Dai, Qiang:</t>
        </r>
        <r>
          <rPr>
            <sz val="9"/>
            <color indexed="81"/>
            <rFont val="Tahoma"/>
            <family val="2"/>
          </rPr>
          <t xml:space="preserve">
Assuming a loading rate of 1kg/gal.hr</t>
        </r>
      </text>
    </comment>
    <comment ref="AIB109" authorId="1" shapeId="0" xr:uid="{00000000-0006-0000-0A00-00004E000000}">
      <text>
        <r>
          <rPr>
            <b/>
            <sz val="9"/>
            <color indexed="81"/>
            <rFont val="Tahoma"/>
            <family val="2"/>
          </rPr>
          <t>Dai, Qiang:</t>
        </r>
        <r>
          <rPr>
            <sz val="9"/>
            <color indexed="81"/>
            <rFont val="Tahoma"/>
            <family val="2"/>
          </rPr>
          <t xml:space="preserve">
Assuming a loading rate of 1kg/m3.s</t>
        </r>
      </text>
    </comment>
    <comment ref="AQB109" authorId="1" shapeId="0" xr:uid="{F870D002-C005-4C4A-B589-927FD3CCFC3D}">
      <text>
        <r>
          <rPr>
            <b/>
            <sz val="9"/>
            <color indexed="81"/>
            <rFont val="Tahoma"/>
            <family val="2"/>
          </rPr>
          <t>Dai, Qiang:</t>
        </r>
        <r>
          <rPr>
            <sz val="9"/>
            <color indexed="81"/>
            <rFont val="Tahoma"/>
            <family val="2"/>
          </rPr>
          <t xml:space="preserve">
Assuming a heat requirement of 2 mmbtu/tonne feed material (for cathode production from precursors)</t>
        </r>
      </text>
    </comment>
    <comment ref="ATB109" authorId="2" shapeId="0" xr:uid="{00000000-0006-0000-0A00-00004F000000}">
      <text>
        <r>
          <rPr>
            <b/>
            <sz val="10"/>
            <color rgb="FF000000"/>
            <rFont val="Tahoma"/>
            <family val="2"/>
          </rPr>
          <t>Qiang Dai:</t>
        </r>
        <r>
          <rPr>
            <sz val="10"/>
            <color rgb="FF000000"/>
            <rFont val="Tahoma"/>
            <family val="2"/>
          </rPr>
          <t xml:space="preserve">
</t>
        </r>
        <r>
          <rPr>
            <sz val="10"/>
            <color rgb="FF000000"/>
            <rFont val="Tahoma"/>
            <family val="2"/>
          </rPr>
          <t>Assumed loading rate: 1kg/gallon.hr</t>
        </r>
      </text>
    </comment>
    <comment ref="AXB109" authorId="2" shapeId="0" xr:uid="{00000000-0006-0000-0A00-000050000000}">
      <text>
        <r>
          <rPr>
            <b/>
            <sz val="10"/>
            <color rgb="FF000000"/>
            <rFont val="Tahoma"/>
            <family val="2"/>
          </rPr>
          <t>Qiang Dai:</t>
        </r>
        <r>
          <rPr>
            <sz val="10"/>
            <color rgb="FF000000"/>
            <rFont val="Tahoma"/>
            <family val="2"/>
          </rPr>
          <t xml:space="preserve">
Assumed heat load = 20MMBTU/tonne
</t>
        </r>
      </text>
    </comment>
    <comment ref="BIB109" authorId="2" shapeId="0" xr:uid="{00000000-0006-0000-0A00-000051000000}">
      <text>
        <r>
          <rPr>
            <b/>
            <sz val="10"/>
            <color rgb="FF000000"/>
            <rFont val="Tahoma"/>
            <family val="2"/>
          </rPr>
          <t>Qiang Dai:</t>
        </r>
        <r>
          <rPr>
            <sz val="10"/>
            <color rgb="FF000000"/>
            <rFont val="Tahoma"/>
            <family val="2"/>
          </rPr>
          <t xml:space="preserve">
Assumed heat load: 20 MMBTU/tonne</t>
        </r>
      </text>
    </comment>
    <comment ref="KA111" authorId="1" shapeId="0" xr:uid="{00000000-0006-0000-0A00-000052000000}">
      <text>
        <r>
          <rPr>
            <b/>
            <sz val="9"/>
            <color indexed="81"/>
            <rFont val="Tahoma"/>
            <family val="2"/>
          </rPr>
          <t>Dai, Qiang:</t>
        </r>
        <r>
          <rPr>
            <sz val="9"/>
            <color indexed="81"/>
            <rFont val="Tahoma"/>
            <family val="2"/>
          </rPr>
          <t xml:space="preserve">
Assuming a bulk density of 3 tonne/m3 for batteries</t>
        </r>
      </text>
    </comment>
    <comment ref="C172" authorId="2" shapeId="0" xr:uid="{A687E99E-793A-4C44-BF88-3C3B870039A5}">
      <text>
        <r>
          <rPr>
            <b/>
            <sz val="10"/>
            <color rgb="FF000000"/>
            <rFont val="Tahoma"/>
            <family val="2"/>
          </rPr>
          <t>Qiang Dai:</t>
        </r>
        <r>
          <rPr>
            <sz val="10"/>
            <color rgb="FF000000"/>
            <rFont val="Tahoma"/>
            <family val="2"/>
          </rPr>
          <t xml:space="preserve">
</t>
        </r>
        <r>
          <rPr>
            <sz val="10"/>
            <color rgb="FF000000"/>
            <rFont val="Tahoma"/>
            <family val="2"/>
          </rPr>
          <t>m^3/hr</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Dai, Qiang</author>
  </authors>
  <commentList>
    <comment ref="C4" authorId="0" shapeId="0" xr:uid="{00000000-0006-0000-0B00-000001000000}">
      <text>
        <r>
          <rPr>
            <b/>
            <sz val="9"/>
            <color rgb="FF000000"/>
            <rFont val="Tahoma"/>
            <family val="2"/>
          </rPr>
          <t>Dai, Qiang:</t>
        </r>
        <r>
          <rPr>
            <sz val="9"/>
            <color rgb="FF000000"/>
            <rFont val="Tahoma"/>
            <family val="2"/>
          </rPr>
          <t xml:space="preserve">
London Metal Exchange 2018-2022 average price cash</t>
        </r>
      </text>
    </comment>
    <comment ref="C5" authorId="0" shapeId="0" xr:uid="{00000000-0006-0000-0B00-000002000000}">
      <text>
        <r>
          <rPr>
            <b/>
            <sz val="9"/>
            <color rgb="FF000000"/>
            <rFont val="Tahoma"/>
            <family val="2"/>
          </rPr>
          <t>Dai, Qiang:</t>
        </r>
        <r>
          <rPr>
            <sz val="9"/>
            <color rgb="FF000000"/>
            <rFont val="Tahoma"/>
            <family val="2"/>
          </rPr>
          <t xml:space="preserve">
London Metal Exchange 2018-2022 average price cash</t>
        </r>
      </text>
    </comment>
    <comment ref="C6" authorId="0" shapeId="0" xr:uid="{00000000-0006-0000-0B00-000003000000}">
      <text>
        <r>
          <rPr>
            <b/>
            <sz val="9"/>
            <color rgb="FF000000"/>
            <rFont val="Tahoma"/>
            <family val="2"/>
          </rPr>
          <t>Dai, Qiang:</t>
        </r>
        <r>
          <rPr>
            <sz val="9"/>
            <color rgb="FF000000"/>
            <rFont val="Tahoma"/>
            <family val="2"/>
          </rPr>
          <t xml:space="preserve">
USGS 2017-2021 average metal price</t>
        </r>
      </text>
    </comment>
    <comment ref="C10" authorId="0" shapeId="0" xr:uid="{00000000-0006-0000-0B00-000004000000}">
      <text>
        <r>
          <rPr>
            <b/>
            <sz val="9"/>
            <color rgb="FF000000"/>
            <rFont val="Tahoma"/>
            <family val="2"/>
          </rPr>
          <t>Dai, Qiang:</t>
        </r>
        <r>
          <rPr>
            <sz val="9"/>
            <color rgb="FF000000"/>
            <rFont val="Tahoma"/>
            <family val="2"/>
          </rPr>
          <t xml:space="preserve">
2018-2022 average, FOB gulf coast
https://pubs.usgs.gov/periodicals/mcs2023/mcs2023-nitrogen.pdf</t>
        </r>
      </text>
    </comment>
    <comment ref="C11" authorId="0" shapeId="0" xr:uid="{00000000-0006-0000-0B00-000005000000}">
      <text>
        <r>
          <rPr>
            <b/>
            <sz val="9"/>
            <color rgb="FF000000"/>
            <rFont val="Tahoma"/>
            <family val="2"/>
          </rPr>
          <t>Dai, Qiang:</t>
        </r>
        <r>
          <rPr>
            <sz val="9"/>
            <color rgb="FF000000"/>
            <rFont val="Tahoma"/>
            <family val="2"/>
          </rPr>
          <t xml:space="preserve">
</t>
        </r>
        <r>
          <rPr>
            <sz val="9"/>
            <color rgb="FF000000"/>
            <rFont val="Tahoma"/>
            <family val="2"/>
          </rPr>
          <t>Assumed to be the same as Ammonia. Could be an overestimate</t>
        </r>
      </text>
    </comment>
    <comment ref="C12" authorId="0" shapeId="0" xr:uid="{00000000-0006-0000-0B00-000006000000}">
      <text>
        <r>
          <rPr>
            <b/>
            <sz val="9"/>
            <color rgb="FF000000"/>
            <rFont val="Tahoma"/>
            <family val="2"/>
          </rPr>
          <t>Dai, Qiang:</t>
        </r>
        <r>
          <rPr>
            <sz val="9"/>
            <color rgb="FF000000"/>
            <rFont val="Tahoma"/>
            <family val="2"/>
          </rPr>
          <t xml:space="preserve">
</t>
        </r>
        <r>
          <rPr>
            <sz val="9"/>
            <color rgb="FF000000"/>
            <rFont val="Tahoma"/>
            <family val="2"/>
          </rPr>
          <t>Assumed to be the same as Ammonia. Could be an overestimate</t>
        </r>
      </text>
    </comment>
    <comment ref="C13" authorId="0" shapeId="0" xr:uid="{00000000-0006-0000-0B00-000007000000}">
      <text>
        <r>
          <rPr>
            <b/>
            <sz val="9"/>
            <color rgb="FF000000"/>
            <rFont val="Tahoma"/>
            <family val="2"/>
          </rPr>
          <t>Dai, Qiang:</t>
        </r>
        <r>
          <rPr>
            <sz val="9"/>
            <color rgb="FF000000"/>
            <rFont val="Tahoma"/>
            <family val="2"/>
          </rPr>
          <t xml:space="preserve">
Bulk liquid price in 2022, http://www.wichitafallstx.gov/DocumentCenter/View/38336/BID-TAB-2022-BULK-CHEMICALS</t>
        </r>
      </text>
    </comment>
    <comment ref="C14" authorId="0" shapeId="0" xr:uid="{00000000-0006-0000-0B00-000008000000}">
      <text>
        <r>
          <rPr>
            <b/>
            <sz val="9"/>
            <color rgb="FF000000"/>
            <rFont val="Tahoma"/>
            <family val="2"/>
          </rPr>
          <t>Dai, Qiang:</t>
        </r>
        <r>
          <rPr>
            <sz val="9"/>
            <color rgb="FF000000"/>
            <rFont val="Tahoma"/>
            <family val="2"/>
          </rPr>
          <t xml:space="preserve">
2018-2022 average, anhydrous. Intratec, ChemAnalyst, Procurement Resource</t>
        </r>
      </text>
    </comment>
    <comment ref="C15" authorId="0" shapeId="0" xr:uid="{00000000-0006-0000-0B00-000009000000}">
      <text>
        <r>
          <rPr>
            <b/>
            <sz val="9"/>
            <color rgb="FF000000"/>
            <rFont val="Tahoma"/>
            <family val="2"/>
          </rPr>
          <t>Dai, Qiang:</t>
        </r>
        <r>
          <rPr>
            <sz val="9"/>
            <color rgb="FF000000"/>
            <rFont val="Tahoma"/>
            <family val="2"/>
          </rPr>
          <t xml:space="preserve">
2022 U.S. average,
https://www.eia.gov/coal/production/quarterly/pdf/t25p01p1.pdf</t>
        </r>
      </text>
    </comment>
    <comment ref="C16" authorId="0" shapeId="0" xr:uid="{00000000-0006-0000-0B00-00000A000000}">
      <text>
        <r>
          <rPr>
            <b/>
            <sz val="9"/>
            <color rgb="FF000000"/>
            <rFont val="Tahoma"/>
            <family val="2"/>
          </rPr>
          <t>Dai, Qiang:</t>
        </r>
        <r>
          <rPr>
            <sz val="9"/>
            <color rgb="FF000000"/>
            <rFont val="Tahoma"/>
            <family val="2"/>
          </rPr>
          <t xml:space="preserve">
2018-2022 average, converted to 100% HCl from price for wet ton (35% HCl). ICIS, ChemAnalyst</t>
        </r>
      </text>
    </comment>
    <comment ref="C17" authorId="0" shapeId="0" xr:uid="{00000000-0006-0000-0B00-00000B000000}">
      <text>
        <r>
          <rPr>
            <b/>
            <sz val="9"/>
            <color rgb="FF000000"/>
            <rFont val="Tahoma"/>
            <family val="2"/>
          </rPr>
          <t>Dai, Qiang:</t>
        </r>
        <r>
          <rPr>
            <sz val="9"/>
            <color rgb="FF000000"/>
            <rFont val="Tahoma"/>
            <family val="2"/>
          </rPr>
          <t xml:space="preserve">
2018-2022 average, converted to 100% H2O2 from price for 50% grade. Intratec, ChemAnalyst, IndexBox</t>
        </r>
      </text>
    </comment>
    <comment ref="C18" authorId="0" shapeId="0" xr:uid="{00000000-0006-0000-0B00-00000C000000}">
      <text>
        <r>
          <rPr>
            <b/>
            <sz val="9"/>
            <color rgb="FF000000"/>
            <rFont val="Tahoma"/>
            <family val="2"/>
          </rPr>
          <t>Dai, Qiang:</t>
        </r>
        <r>
          <rPr>
            <sz val="9"/>
            <color rgb="FF000000"/>
            <rFont val="Tahoma"/>
            <family val="2"/>
          </rPr>
          <t xml:space="preserve">
2018-2022 average, quick lime. https://pubs.usgs.gov/periodicals/mcs2023/mcs2023-lime.pdf</t>
        </r>
      </text>
    </comment>
    <comment ref="C19" authorId="0" shapeId="0" xr:uid="{00000000-0006-0000-0B00-00000D000000}">
      <text>
        <r>
          <rPr>
            <b/>
            <sz val="9"/>
            <color rgb="FF000000"/>
            <rFont val="Tahoma"/>
            <family val="2"/>
          </rPr>
          <t>Dai, Qiang:</t>
        </r>
        <r>
          <rPr>
            <sz val="9"/>
            <color rgb="FF000000"/>
            <rFont val="Tahoma"/>
            <family val="2"/>
          </rPr>
          <t xml:space="preserve">
</t>
        </r>
        <r>
          <rPr>
            <sz val="9"/>
            <color rgb="FF000000"/>
            <rFont val="Tahoma"/>
            <family val="2"/>
          </rPr>
          <t>Use lime price as a proxy</t>
        </r>
      </text>
    </comment>
    <comment ref="C20" authorId="0" shapeId="0" xr:uid="{00000000-0006-0000-0B00-00000E000000}">
      <text>
        <r>
          <rPr>
            <b/>
            <sz val="9"/>
            <color rgb="FF000000"/>
            <rFont val="Tahoma"/>
            <family val="2"/>
          </rPr>
          <t>Dai, Qiang:</t>
        </r>
        <r>
          <rPr>
            <sz val="9"/>
            <color rgb="FF000000"/>
            <rFont val="Tahoma"/>
            <family val="2"/>
          </rPr>
          <t xml:space="preserve">
2018-2022 average. https://pubs.usgs.gov/periodicals/mcs2023/mcs2023-lithium.pdf</t>
        </r>
      </text>
    </comment>
    <comment ref="C21" authorId="0" shapeId="0" xr:uid="{00000000-0006-0000-0B00-00000F000000}">
      <text>
        <r>
          <rPr>
            <b/>
            <sz val="9"/>
            <color rgb="FF000000"/>
            <rFont val="Tahoma"/>
            <family val="2"/>
          </rPr>
          <t>Dai, Qiang:</t>
        </r>
        <r>
          <rPr>
            <sz val="9"/>
            <color rgb="FF000000"/>
            <rFont val="Tahoma"/>
            <family val="2"/>
          </rPr>
          <t xml:space="preserve">
Anhydrous. USGS Mineral Commodity Summaries 2019-2022</t>
        </r>
      </text>
    </comment>
    <comment ref="C22" authorId="0" shapeId="0" xr:uid="{DCC6795D-7DDD-44A3-88A0-3C9EE0F885DA}">
      <text>
        <r>
          <rPr>
            <b/>
            <sz val="9"/>
            <color rgb="FF000000"/>
            <rFont val="Tahoma"/>
            <family val="2"/>
          </rPr>
          <t>Dai, Qiang:</t>
        </r>
        <r>
          <rPr>
            <sz val="9"/>
            <color rgb="FF000000"/>
            <rFont val="Tahoma"/>
            <family val="2"/>
          </rPr>
          <t xml:space="preserve">
https://puritygas.ca/knowledge-center/how-much-should-you-be-paying-for-nitrogen-gas/</t>
        </r>
      </text>
    </comment>
    <comment ref="C23" authorId="0" shapeId="0" xr:uid="{00000000-0006-0000-0B00-000010000000}">
      <text>
        <r>
          <rPr>
            <b/>
            <sz val="9"/>
            <color rgb="FF000000"/>
            <rFont val="Tahoma"/>
            <family val="2"/>
          </rPr>
          <t>Dai, Qiang:</t>
        </r>
        <r>
          <rPr>
            <sz val="9"/>
            <color rgb="FF000000"/>
            <rFont val="Tahoma"/>
            <family val="2"/>
          </rPr>
          <t xml:space="preserve">
</t>
        </r>
        <r>
          <rPr>
            <sz val="9"/>
            <color rgb="FF000000"/>
            <rFont val="Tahoma"/>
            <family val="2"/>
          </rPr>
          <t>BatPaC</t>
        </r>
      </text>
    </comment>
    <comment ref="C24" authorId="0" shapeId="0" xr:uid="{00000000-0006-0000-0B00-000011000000}">
      <text>
        <r>
          <rPr>
            <b/>
            <sz val="9"/>
            <color rgb="FF000000"/>
            <rFont val="Tahoma"/>
            <family val="2"/>
          </rPr>
          <t>Dai, Qiang:</t>
        </r>
        <r>
          <rPr>
            <sz val="9"/>
            <color rgb="FF000000"/>
            <rFont val="Tahoma"/>
            <family val="2"/>
          </rPr>
          <t xml:space="preserve">
</t>
        </r>
        <r>
          <rPr>
            <sz val="9"/>
            <color rgb="FF000000"/>
            <rFont val="Tahoma"/>
            <family val="2"/>
          </rPr>
          <t>http://www.chemicool.com/elements/oxygen.html</t>
        </r>
      </text>
    </comment>
    <comment ref="C25" authorId="0" shapeId="0" xr:uid="{00000000-0006-0000-0B00-000012000000}">
      <text>
        <r>
          <rPr>
            <b/>
            <sz val="9"/>
            <color rgb="FF000000"/>
            <rFont val="Tahoma"/>
            <family val="2"/>
          </rPr>
          <t>Dai, Qiang:</t>
        </r>
        <r>
          <rPr>
            <sz val="9"/>
            <color rgb="FF000000"/>
            <rFont val="Tahoma"/>
            <family val="2"/>
          </rPr>
          <t xml:space="preserve">
2018-2022 average, converted to 100% H3PO4 from price for 85% grade. ICIS, ChemAnalyst</t>
        </r>
      </text>
    </comment>
    <comment ref="C26" authorId="0" shapeId="0" xr:uid="{00000000-0006-0000-0B00-000013000000}">
      <text>
        <r>
          <rPr>
            <b/>
            <sz val="9"/>
            <color rgb="FF000000"/>
            <rFont val="Tahoma"/>
            <family val="2"/>
          </rPr>
          <t>Dai, Qiang:</t>
        </r>
        <r>
          <rPr>
            <sz val="9"/>
            <color rgb="FF000000"/>
            <rFont val="Tahoma"/>
            <family val="2"/>
          </rPr>
          <t xml:space="preserve">
2018-2022 average. https://pubs.usgs.gov/periodicals/mcs2023/mcs2023-sand-industrial.pdf</t>
        </r>
      </text>
    </comment>
    <comment ref="C27" authorId="0" shapeId="0" xr:uid="{00000000-0006-0000-0B00-000014000000}">
      <text>
        <r>
          <rPr>
            <b/>
            <sz val="9"/>
            <color rgb="FF000000"/>
            <rFont val="Tahoma"/>
            <family val="2"/>
          </rPr>
          <t>Dai, Qiang:</t>
        </r>
        <r>
          <rPr>
            <sz val="9"/>
            <color rgb="FF000000"/>
            <rFont val="Tahoma"/>
            <family val="2"/>
          </rPr>
          <t xml:space="preserve">
</t>
        </r>
        <r>
          <rPr>
            <sz val="9"/>
            <color rgb="FF000000"/>
            <rFont val="Tahoma"/>
            <family val="2"/>
          </rPr>
          <t>Guess</t>
        </r>
      </text>
    </comment>
    <comment ref="C28" authorId="0" shapeId="0" xr:uid="{00000000-0006-0000-0B00-000015000000}">
      <text>
        <r>
          <rPr>
            <b/>
            <sz val="9"/>
            <color rgb="FF000000"/>
            <rFont val="Tahoma"/>
            <family val="2"/>
          </rPr>
          <t>Dai, Qiang:</t>
        </r>
        <r>
          <rPr>
            <sz val="9"/>
            <color rgb="FF000000"/>
            <rFont val="Tahoma"/>
            <family val="2"/>
          </rPr>
          <t xml:space="preserve">
</t>
        </r>
        <r>
          <rPr>
            <sz val="9"/>
            <color rgb="FF000000"/>
            <rFont val="Tahoma"/>
            <family val="2"/>
          </rPr>
          <t>Guess</t>
        </r>
      </text>
    </comment>
    <comment ref="C29" authorId="0" shapeId="0" xr:uid="{52AFDCEE-6B82-434E-AC90-65200C9E5F44}">
      <text>
        <r>
          <rPr>
            <b/>
            <sz val="9"/>
            <color rgb="FF000000"/>
            <rFont val="Tahoma"/>
            <family val="2"/>
          </rPr>
          <t>Dai, Qiang:</t>
        </r>
        <r>
          <rPr>
            <sz val="9"/>
            <color rgb="FF000000"/>
            <rFont val="Tahoma"/>
            <family val="2"/>
          </rPr>
          <t xml:space="preserve">
2018-2022 average. https://pubs.usgs.gov/periodicals/mcs2023/mcs2023-soda-ash.pdf</t>
        </r>
      </text>
    </comment>
    <comment ref="C30" authorId="0" shapeId="0" xr:uid="{00000000-0006-0000-0B00-000017000000}">
      <text>
        <r>
          <rPr>
            <b/>
            <sz val="9"/>
            <color rgb="FF000000"/>
            <rFont val="Tahoma"/>
            <family val="2"/>
          </rPr>
          <t>Dai, Qiang:</t>
        </r>
        <r>
          <rPr>
            <sz val="9"/>
            <color rgb="FF000000"/>
            <rFont val="Tahoma"/>
            <family val="2"/>
          </rPr>
          <t xml:space="preserve">
2018-2022 average. ICIS, Business Analytiq</t>
        </r>
      </text>
    </comment>
    <comment ref="C31" authorId="0" shapeId="0" xr:uid="{2CDE4C2A-47A1-8747-8204-D20F7163CF99}">
      <text>
        <r>
          <rPr>
            <b/>
            <sz val="9"/>
            <color rgb="FF000000"/>
            <rFont val="Tahoma"/>
            <family val="2"/>
          </rPr>
          <t>Dai, Qiang:</t>
        </r>
        <r>
          <rPr>
            <sz val="9"/>
            <color rgb="FF000000"/>
            <rFont val="Tahoma"/>
            <family val="2"/>
          </rPr>
          <t xml:space="preserve">
2018-2022 average, 100% H2SO4, US import price; USGS Minerals Year Book 2019 &amp; 2021, Mineral Industry Surveys Jan 2022</t>
        </r>
      </text>
    </comment>
    <comment ref="Z31" authorId="0" shapeId="0" xr:uid="{00000000-0006-0000-0B00-000019000000}">
      <text>
        <r>
          <rPr>
            <b/>
            <sz val="9"/>
            <color indexed="81"/>
            <rFont val="Tahoma"/>
            <family val="2"/>
          </rPr>
          <t>Dai, Qiang:</t>
        </r>
        <r>
          <rPr>
            <sz val="9"/>
            <color indexed="81"/>
            <rFont val="Tahoma"/>
            <family val="2"/>
          </rPr>
          <t xml:space="preserve">
Waste product of steel making</t>
        </r>
      </text>
    </comment>
    <comment ref="C36" authorId="0" shapeId="0" xr:uid="{00000000-0006-0000-0B00-00001A000000}">
      <text>
        <r>
          <rPr>
            <b/>
            <sz val="9"/>
            <color rgb="FF000000"/>
            <rFont val="Tahoma"/>
            <family val="2"/>
          </rPr>
          <t>Dai, Qiang:</t>
        </r>
        <r>
          <rPr>
            <sz val="9"/>
            <color rgb="FF000000"/>
            <rFont val="Tahoma"/>
            <family val="2"/>
          </rPr>
          <t xml:space="preserve">
2018 price, Intratec</t>
        </r>
      </text>
    </comment>
    <comment ref="C37" authorId="0" shapeId="0" xr:uid="{A25DC76E-54C1-4538-BCC2-46697B080666}">
      <text>
        <r>
          <rPr>
            <b/>
            <sz val="9"/>
            <color rgb="FF000000"/>
            <rFont val="Tahoma"/>
            <family val="2"/>
          </rPr>
          <t>Dai, Qiang:</t>
        </r>
        <r>
          <rPr>
            <sz val="9"/>
            <color rgb="FF000000"/>
            <rFont val="Tahoma"/>
            <family val="2"/>
          </rPr>
          <t xml:space="preserve">
2018-2022 average, FOB gulf coast
https://pubs.usgs.gov/periodicals/mcs2023/mcs2023-nitrogen.pdf</t>
        </r>
      </text>
    </comment>
    <comment ref="C38" authorId="0" shapeId="0" xr:uid="{856AB525-3E57-47AC-A1EC-69516C0943F5}">
      <text>
        <r>
          <rPr>
            <b/>
            <sz val="9"/>
            <color rgb="FF000000"/>
            <rFont val="Tahoma"/>
            <family val="2"/>
          </rPr>
          <t>Dai, Qiang:</t>
        </r>
        <r>
          <rPr>
            <sz val="9"/>
            <color rgb="FF000000"/>
            <rFont val="Tahoma"/>
            <family val="2"/>
          </rPr>
          <t xml:space="preserve">
</t>
        </r>
        <r>
          <rPr>
            <sz val="9"/>
            <color rgb="FF000000"/>
            <rFont val="Tahoma"/>
            <family val="2"/>
          </rPr>
          <t>Assumed to be the same as Ammonia. Could be an overestimate</t>
        </r>
      </text>
    </comment>
    <comment ref="C39" authorId="0" shapeId="0" xr:uid="{C7F2DE03-D17D-4427-AB57-76D9373C70CC}">
      <text>
        <r>
          <rPr>
            <b/>
            <sz val="9"/>
            <color rgb="FF000000"/>
            <rFont val="Tahoma"/>
            <family val="2"/>
          </rPr>
          <t>Dai, Qiang:</t>
        </r>
        <r>
          <rPr>
            <sz val="9"/>
            <color rgb="FF000000"/>
            <rFont val="Tahoma"/>
            <family val="2"/>
          </rPr>
          <t xml:space="preserve">
</t>
        </r>
        <r>
          <rPr>
            <sz val="9"/>
            <color rgb="FF000000"/>
            <rFont val="Tahoma"/>
            <family val="2"/>
          </rPr>
          <t>Assumed to be the same as Ammonia. Could be an overestimate</t>
        </r>
      </text>
    </comment>
    <comment ref="C40" authorId="0" shapeId="0" xr:uid="{00000000-0006-0000-0B00-00001E000000}">
      <text>
        <r>
          <rPr>
            <b/>
            <sz val="9"/>
            <color rgb="FF000000"/>
            <rFont val="Tahoma"/>
            <family val="2"/>
          </rPr>
          <t>Dai, Qiang:</t>
        </r>
        <r>
          <rPr>
            <sz val="9"/>
            <color rgb="FF000000"/>
            <rFont val="Tahoma"/>
            <family val="2"/>
          </rPr>
          <t xml:space="preserve">
</t>
        </r>
        <r>
          <rPr>
            <sz val="9"/>
            <color rgb="FF000000"/>
            <rFont val="Tahoma"/>
            <family val="2"/>
          </rPr>
          <t>Assuming the cost of 1/3 mole Co3O4 is the same as the cost of 1 mole Co</t>
        </r>
      </text>
    </comment>
    <comment ref="C41" authorId="0" shapeId="0" xr:uid="{00000000-0006-0000-0B00-00001F000000}">
      <text>
        <r>
          <rPr>
            <b/>
            <sz val="9"/>
            <color rgb="FF000000"/>
            <rFont val="Tahoma"/>
            <family val="2"/>
          </rPr>
          <t>Dai, Qiang:</t>
        </r>
        <r>
          <rPr>
            <sz val="9"/>
            <color rgb="FF000000"/>
            <rFont val="Tahoma"/>
            <family val="2"/>
          </rPr>
          <t xml:space="preserve">
</t>
        </r>
        <r>
          <rPr>
            <sz val="9"/>
            <color rgb="FF000000"/>
            <rFont val="Tahoma"/>
            <family val="2"/>
          </rPr>
          <t>Assuming the cost of 1 mole CoSO4 is the same as the cost of 1 mole Co</t>
        </r>
      </text>
    </comment>
    <comment ref="C42" authorId="0" shapeId="0" xr:uid="{CDC8CC74-1553-4FB2-9AC0-ECC08EFE60DA}">
      <text>
        <r>
          <rPr>
            <b/>
            <sz val="9"/>
            <color rgb="FF000000"/>
            <rFont val="Tahoma"/>
            <family val="2"/>
          </rPr>
          <t>Dai, Qiang:</t>
        </r>
        <r>
          <rPr>
            <sz val="9"/>
            <color rgb="FF000000"/>
            <rFont val="Tahoma"/>
            <family val="2"/>
          </rPr>
          <t xml:space="preserve">
2018-2022 average, converted to 100% HCl from price for wet ton (35% HCl). ICIS, ChemAnalyst</t>
        </r>
      </text>
    </comment>
    <comment ref="C43" authorId="0" shapeId="0" xr:uid="{35FAE565-E08E-4008-BB5B-FBDC00BE5BDE}">
      <text>
        <r>
          <rPr>
            <b/>
            <sz val="9"/>
            <color rgb="FF000000"/>
            <rFont val="Tahoma"/>
            <family val="2"/>
          </rPr>
          <t>Dai, Qiang:</t>
        </r>
        <r>
          <rPr>
            <sz val="9"/>
            <color rgb="FF000000"/>
            <rFont val="Tahoma"/>
            <family val="2"/>
          </rPr>
          <t xml:space="preserve">
2018-2022 average, converted to 100% H2O2 from price for 50% grade. Intratec, ChemAnalyst, IndexBox</t>
        </r>
      </text>
    </comment>
    <comment ref="C44" authorId="0" shapeId="0" xr:uid="{00000000-0006-0000-0B00-000022000000}">
      <text>
        <r>
          <rPr>
            <b/>
            <sz val="9"/>
            <color rgb="FF000000"/>
            <rFont val="Tahoma"/>
            <family val="2"/>
          </rPr>
          <t>Dai, Qiang:</t>
        </r>
        <r>
          <rPr>
            <sz val="9"/>
            <color rgb="FF000000"/>
            <rFont val="Tahoma"/>
            <family val="2"/>
          </rPr>
          <t xml:space="preserve">
2022 bulk price. http://www.wichitafallstx.gov/DocumentCenter/View/38336/BID-TAB-2022-BULK-CHEMICALS</t>
        </r>
      </text>
    </comment>
    <comment ref="C45" authorId="0" shapeId="0" xr:uid="{B6641209-36D0-4B18-A40C-9D4D3D8E0E92}">
      <text>
        <r>
          <rPr>
            <b/>
            <sz val="9"/>
            <color rgb="FF000000"/>
            <rFont val="Tahoma"/>
            <family val="2"/>
          </rPr>
          <t>Dai, Qiang:</t>
        </r>
        <r>
          <rPr>
            <sz val="9"/>
            <color rgb="FF000000"/>
            <rFont val="Tahoma"/>
            <family val="2"/>
          </rPr>
          <t xml:space="preserve">
2018-2022 average, quick lime. https://pubs.usgs.gov/periodicals/mcs2023/mcs2023-lime.pdf</t>
        </r>
      </text>
    </comment>
    <comment ref="C46" authorId="0" shapeId="0" xr:uid="{DA3A4697-14BB-4972-9CE4-05EDB470191F}">
      <text>
        <r>
          <rPr>
            <b/>
            <sz val="9"/>
            <color rgb="FF000000"/>
            <rFont val="Tahoma"/>
            <family val="2"/>
          </rPr>
          <t>Dai, Qiang:</t>
        </r>
        <r>
          <rPr>
            <sz val="9"/>
            <color rgb="FF000000"/>
            <rFont val="Tahoma"/>
            <family val="2"/>
          </rPr>
          <t xml:space="preserve">
</t>
        </r>
        <r>
          <rPr>
            <sz val="9"/>
            <color rgb="FF000000"/>
            <rFont val="Tahoma"/>
            <family val="2"/>
          </rPr>
          <t>Use lime price as a proxy</t>
        </r>
      </text>
    </comment>
    <comment ref="C47" authorId="0" shapeId="0" xr:uid="{C4F4C96C-6B0A-41BF-A775-EB85D2E0D4BE}">
      <text>
        <r>
          <rPr>
            <b/>
            <sz val="9"/>
            <color rgb="FF000000"/>
            <rFont val="Tahoma"/>
            <family val="2"/>
          </rPr>
          <t>Dai, Qiang:</t>
        </r>
        <r>
          <rPr>
            <sz val="9"/>
            <color rgb="FF000000"/>
            <rFont val="Tahoma"/>
            <family val="2"/>
          </rPr>
          <t xml:space="preserve">
2018-2022 average. https://pubs.usgs.gov/periodicals/mcs2023/mcs2023-lithium.pdf</t>
        </r>
      </text>
    </comment>
    <comment ref="C48" authorId="0" shapeId="0" xr:uid="{63584DBA-6A19-49AA-B58E-727A2DE00B2B}">
      <text>
        <r>
          <rPr>
            <b/>
            <sz val="9"/>
            <color rgb="FF000000"/>
            <rFont val="Tahoma"/>
            <family val="2"/>
          </rPr>
          <t>Dai, Qiang:</t>
        </r>
        <r>
          <rPr>
            <sz val="9"/>
            <color rgb="FF000000"/>
            <rFont val="Tahoma"/>
            <family val="2"/>
          </rPr>
          <t xml:space="preserve">
Anhydrous. USGS Mineral Commodity Summaries 2019-2022</t>
        </r>
      </text>
    </comment>
    <comment ref="A49" authorId="0" shapeId="0" xr:uid="{00000000-0006-0000-0B00-000027000000}">
      <text>
        <r>
          <rPr>
            <b/>
            <sz val="9"/>
            <color rgb="FF000000"/>
            <rFont val="Tahoma"/>
            <family val="2"/>
          </rPr>
          <t>Dai, Qiang:</t>
        </r>
        <r>
          <rPr>
            <sz val="9"/>
            <color rgb="FF000000"/>
            <rFont val="Tahoma"/>
            <family val="2"/>
          </rPr>
          <t xml:space="preserve">
</t>
        </r>
        <r>
          <rPr>
            <sz val="9"/>
            <color rgb="FF000000"/>
            <rFont val="Tahoma"/>
            <family val="2"/>
          </rPr>
          <t>Mn2O3</t>
        </r>
      </text>
    </comment>
    <comment ref="C49" authorId="0" shapeId="0" xr:uid="{00000000-0006-0000-0B00-000028000000}">
      <text>
        <r>
          <rPr>
            <b/>
            <sz val="9"/>
            <color rgb="FF000000"/>
            <rFont val="Tahoma"/>
            <family val="2"/>
          </rPr>
          <t>Dai, Qiang:</t>
        </r>
        <r>
          <rPr>
            <sz val="9"/>
            <color rgb="FF000000"/>
            <rFont val="Tahoma"/>
            <family val="2"/>
          </rPr>
          <t xml:space="preserve">
</t>
        </r>
        <r>
          <rPr>
            <sz val="9"/>
            <color rgb="FF000000"/>
            <rFont val="Tahoma"/>
            <family val="2"/>
          </rPr>
          <t>Assuming the cost of 1 mole Mn2O3 is the same as the cost of 2 mole Mn in BatPac</t>
        </r>
      </text>
    </comment>
    <comment ref="C50" authorId="0" shapeId="0" xr:uid="{00000000-0006-0000-0B00-000029000000}">
      <text>
        <r>
          <rPr>
            <b/>
            <sz val="9"/>
            <color rgb="FF000000"/>
            <rFont val="Tahoma"/>
            <family val="2"/>
          </rPr>
          <t>Dai, Qiang:</t>
        </r>
        <r>
          <rPr>
            <sz val="9"/>
            <color rgb="FF000000"/>
            <rFont val="Tahoma"/>
            <family val="2"/>
          </rPr>
          <t xml:space="preserve">
</t>
        </r>
        <r>
          <rPr>
            <sz val="9"/>
            <color rgb="FF000000"/>
            <rFont val="Tahoma"/>
            <family val="2"/>
          </rPr>
          <t>Assuming the cost of 1 mole MnSO4 is the same as the cost of 1 mole Mn in BatPac</t>
        </r>
      </text>
    </comment>
    <comment ref="C51" authorId="0" shapeId="0" xr:uid="{00000000-0006-0000-0B00-00002A000000}">
      <text>
        <r>
          <rPr>
            <b/>
            <sz val="9"/>
            <color rgb="FF000000"/>
            <rFont val="Tahoma"/>
            <family val="2"/>
          </rPr>
          <t>Dai, Qiang:</t>
        </r>
        <r>
          <rPr>
            <sz val="9"/>
            <color rgb="FF000000"/>
            <rFont val="Tahoma"/>
            <family val="2"/>
          </rPr>
          <t xml:space="preserve">
</t>
        </r>
        <r>
          <rPr>
            <sz val="9"/>
            <color rgb="FF000000"/>
            <rFont val="Tahoma"/>
            <family val="2"/>
          </rPr>
          <t>Assuming the cost of 1 mole NiSO4 is the same as the cost of 1 mole Ni in BatPac</t>
        </r>
      </text>
    </comment>
    <comment ref="C52" authorId="0" shapeId="0" xr:uid="{00000000-0006-0000-0B00-00002B000000}">
      <text>
        <r>
          <rPr>
            <b/>
            <sz val="9"/>
            <color indexed="81"/>
            <rFont val="Tahoma"/>
            <family val="2"/>
          </rPr>
          <t>Dai, Qiang:</t>
        </r>
        <r>
          <rPr>
            <sz val="9"/>
            <color indexed="81"/>
            <rFont val="Tahoma"/>
            <family val="2"/>
          </rPr>
          <t xml:space="preserve">
http://www.chemicool.com/elements/oxygen.html</t>
        </r>
      </text>
    </comment>
    <comment ref="C53" authorId="0" shapeId="0" xr:uid="{54D4F405-B73E-4153-805A-90BF4C7B162F}">
      <text>
        <r>
          <rPr>
            <b/>
            <sz val="9"/>
            <color rgb="FF000000"/>
            <rFont val="Tahoma"/>
            <family val="2"/>
          </rPr>
          <t>Dai, Qiang:</t>
        </r>
        <r>
          <rPr>
            <sz val="9"/>
            <color rgb="FF000000"/>
            <rFont val="Tahoma"/>
            <family val="2"/>
          </rPr>
          <t xml:space="preserve">
2018-2022 average, converted to 100% H3PO4 from price for 85% grade. ICIS, ChemAnalyst</t>
        </r>
      </text>
    </comment>
    <comment ref="C54" authorId="0" shapeId="0" xr:uid="{C4D0097D-068E-0447-B6D6-08600BC820F5}">
      <text>
        <r>
          <rPr>
            <b/>
            <sz val="9"/>
            <color rgb="FF000000"/>
            <rFont val="Tahoma"/>
            <family val="2"/>
          </rPr>
          <t>Dai, Qiang:</t>
        </r>
        <r>
          <rPr>
            <sz val="9"/>
            <color rgb="FF000000"/>
            <rFont val="Tahoma"/>
            <family val="2"/>
          </rPr>
          <t xml:space="preserve">
2022 price. ChemAnalyst</t>
        </r>
      </text>
    </comment>
    <comment ref="C55" authorId="0" shapeId="0" xr:uid="{CF3DBC46-B361-48E5-9891-F578CA99B0AD}">
      <text>
        <r>
          <rPr>
            <b/>
            <sz val="9"/>
            <color rgb="FF000000"/>
            <rFont val="Tahoma"/>
            <family val="2"/>
          </rPr>
          <t>Dai, Qiang:</t>
        </r>
        <r>
          <rPr>
            <sz val="9"/>
            <color rgb="FF000000"/>
            <rFont val="Tahoma"/>
            <family val="2"/>
          </rPr>
          <t xml:space="preserve">
2018-2022 average. ICIS, Business Analytiq</t>
        </r>
      </text>
    </comment>
    <comment ref="C56" authorId="0" shapeId="0" xr:uid="{00BA4130-B6C0-4D28-AEC7-819E49E6673B}">
      <text>
        <r>
          <rPr>
            <b/>
            <sz val="9"/>
            <color rgb="FF000000"/>
            <rFont val="Tahoma"/>
            <family val="2"/>
          </rPr>
          <t>Dai, Qiang:</t>
        </r>
        <r>
          <rPr>
            <sz val="9"/>
            <color rgb="FF000000"/>
            <rFont val="Tahoma"/>
            <family val="2"/>
          </rPr>
          <t xml:space="preserve">
2018-2022 average, 100% H2SO4, US import price; USGS Minerals Year Book 2019 &amp; 2021, Mineral Industry Surveys Jan 2022</t>
        </r>
      </text>
    </comment>
    <comment ref="C60" authorId="0" shapeId="0" xr:uid="{5F590F99-41DB-4292-AFE8-9E18843E1B2A}">
      <text>
        <r>
          <rPr>
            <b/>
            <sz val="9"/>
            <color rgb="FF000000"/>
            <rFont val="Tahoma"/>
            <family val="2"/>
          </rPr>
          <t>Dai, Qiang:</t>
        </r>
        <r>
          <rPr>
            <sz val="9"/>
            <color rgb="FF000000"/>
            <rFont val="Tahoma"/>
            <family val="2"/>
          </rPr>
          <t xml:space="preserve">
2018 price, Intratec</t>
        </r>
      </text>
    </comment>
    <comment ref="C61" authorId="0" shapeId="0" xr:uid="{EAF697D7-864D-498C-8A87-32322C09DB0F}">
      <text>
        <r>
          <rPr>
            <b/>
            <sz val="9"/>
            <color rgb="FF000000"/>
            <rFont val="Tahoma"/>
            <family val="2"/>
          </rPr>
          <t>Dai, Qiang:</t>
        </r>
        <r>
          <rPr>
            <sz val="9"/>
            <color rgb="FF000000"/>
            <rFont val="Tahoma"/>
            <family val="2"/>
          </rPr>
          <t xml:space="preserve">
2018-2022 average, FOB gulf coast
https://pubs.usgs.gov/periodicals/mcs2023/mcs2023-nitrogen.pdf</t>
        </r>
      </text>
    </comment>
    <comment ref="C62" authorId="0" shapeId="0" xr:uid="{513E5880-68E2-47B3-B15A-5FCF2AAC7487}">
      <text>
        <r>
          <rPr>
            <b/>
            <sz val="9"/>
            <color rgb="FF000000"/>
            <rFont val="Tahoma"/>
            <family val="2"/>
          </rPr>
          <t>Dai, Qiang:</t>
        </r>
        <r>
          <rPr>
            <sz val="9"/>
            <color rgb="FF000000"/>
            <rFont val="Tahoma"/>
            <family val="2"/>
          </rPr>
          <t xml:space="preserve">
</t>
        </r>
        <r>
          <rPr>
            <sz val="9"/>
            <color rgb="FF000000"/>
            <rFont val="Tahoma"/>
            <family val="2"/>
          </rPr>
          <t>Assumed to be the same as Ammonia. Could be an overestimate</t>
        </r>
      </text>
    </comment>
    <comment ref="C63" authorId="0" shapeId="0" xr:uid="{8C55CB6F-3098-492E-8516-43FA2C57A16C}">
      <text>
        <r>
          <rPr>
            <b/>
            <sz val="9"/>
            <color rgb="FF000000"/>
            <rFont val="Tahoma"/>
            <family val="2"/>
          </rPr>
          <t>Dai, Qiang:</t>
        </r>
        <r>
          <rPr>
            <sz val="9"/>
            <color rgb="FF000000"/>
            <rFont val="Tahoma"/>
            <family val="2"/>
          </rPr>
          <t xml:space="preserve">
</t>
        </r>
        <r>
          <rPr>
            <sz val="9"/>
            <color rgb="FF000000"/>
            <rFont val="Tahoma"/>
            <family val="2"/>
          </rPr>
          <t>Assuming the cost of 1/3 mole Co3O4 is the same as the cost of 1 mole Co</t>
        </r>
      </text>
    </comment>
    <comment ref="C64" authorId="0" shapeId="0" xr:uid="{CB555FEC-55CA-463F-A723-A07ADB760B5A}">
      <text>
        <r>
          <rPr>
            <b/>
            <sz val="9"/>
            <color rgb="FF000000"/>
            <rFont val="Tahoma"/>
            <family val="2"/>
          </rPr>
          <t>Dai, Qiang:</t>
        </r>
        <r>
          <rPr>
            <sz val="9"/>
            <color rgb="FF000000"/>
            <rFont val="Tahoma"/>
            <family val="2"/>
          </rPr>
          <t xml:space="preserve">
</t>
        </r>
        <r>
          <rPr>
            <sz val="9"/>
            <color rgb="FF000000"/>
            <rFont val="Tahoma"/>
            <family val="2"/>
          </rPr>
          <t>Assuming the cost of 1 mole CoSO4 is the same as the cost of 1 mole Co</t>
        </r>
      </text>
    </comment>
    <comment ref="C65" authorId="0" shapeId="0" xr:uid="{9508F9A2-8926-46CA-9DC4-BE2BBCE4998A}">
      <text>
        <r>
          <rPr>
            <b/>
            <sz val="9"/>
            <color rgb="FF000000"/>
            <rFont val="Tahoma"/>
            <family val="2"/>
          </rPr>
          <t>Dai, Qiang:</t>
        </r>
        <r>
          <rPr>
            <sz val="9"/>
            <color rgb="FF000000"/>
            <rFont val="Tahoma"/>
            <family val="2"/>
          </rPr>
          <t xml:space="preserve">
2018-2022 average, converted to 100% HCl from price for wet ton (35% HCl). ICIS, ChemAnalyst</t>
        </r>
      </text>
    </comment>
    <comment ref="C66" authorId="0" shapeId="0" xr:uid="{29A564B3-C96B-4261-AB00-44704964F14B}">
      <text>
        <r>
          <rPr>
            <b/>
            <sz val="9"/>
            <color rgb="FF000000"/>
            <rFont val="Tahoma"/>
            <family val="2"/>
          </rPr>
          <t>Dai, Qiang:</t>
        </r>
        <r>
          <rPr>
            <sz val="9"/>
            <color rgb="FF000000"/>
            <rFont val="Tahoma"/>
            <family val="2"/>
          </rPr>
          <t xml:space="preserve">
2018-2022 average, converted to 100% H2O2 from price for 50% grade. Intratec, ChemAnalyst, IndexBox</t>
        </r>
      </text>
    </comment>
    <comment ref="C67" authorId="0" shapeId="0" xr:uid="{2AB300A5-6FE7-41F4-B00A-A69EAFEF93EB}">
      <text>
        <r>
          <rPr>
            <b/>
            <sz val="9"/>
            <color rgb="FF000000"/>
            <rFont val="Tahoma"/>
            <family val="2"/>
          </rPr>
          <t>Dai, Qiang:</t>
        </r>
        <r>
          <rPr>
            <sz val="9"/>
            <color rgb="FF000000"/>
            <rFont val="Tahoma"/>
            <family val="2"/>
          </rPr>
          <t xml:space="preserve">
2022 bulk price. http://www.wichitafallstx.gov/DocumentCenter/View/38336/BID-TAB-2022-BULK-CHEMICALS</t>
        </r>
      </text>
    </comment>
    <comment ref="C68" authorId="0" shapeId="0" xr:uid="{68769A84-5492-44CE-AB08-480B10B09F57}">
      <text>
        <r>
          <rPr>
            <b/>
            <sz val="9"/>
            <color rgb="FF000000"/>
            <rFont val="Tahoma"/>
            <family val="2"/>
          </rPr>
          <t>Dai, Qiang:</t>
        </r>
        <r>
          <rPr>
            <sz val="9"/>
            <color rgb="FF000000"/>
            <rFont val="Tahoma"/>
            <family val="2"/>
          </rPr>
          <t xml:space="preserve">
2018-2022 average, quick lime. https://pubs.usgs.gov/periodicals/mcs2023/mcs2023-lime.pdf</t>
        </r>
      </text>
    </comment>
    <comment ref="C69" authorId="0" shapeId="0" xr:uid="{96EB3FEC-F5A9-43D0-BA97-850B8A4E4BA8}">
      <text>
        <r>
          <rPr>
            <b/>
            <sz val="9"/>
            <color rgb="FF000000"/>
            <rFont val="Tahoma"/>
            <family val="2"/>
          </rPr>
          <t>Dai, Qiang:</t>
        </r>
        <r>
          <rPr>
            <sz val="9"/>
            <color rgb="FF000000"/>
            <rFont val="Tahoma"/>
            <family val="2"/>
          </rPr>
          <t xml:space="preserve">
</t>
        </r>
        <r>
          <rPr>
            <sz val="9"/>
            <color rgb="FF000000"/>
            <rFont val="Tahoma"/>
            <family val="2"/>
          </rPr>
          <t>Use lime price as a proxy</t>
        </r>
      </text>
    </comment>
    <comment ref="C70" authorId="0" shapeId="0" xr:uid="{C7E6DE31-82EB-4117-959D-6F7D91286CCC}">
      <text>
        <r>
          <rPr>
            <b/>
            <sz val="9"/>
            <color rgb="FF000000"/>
            <rFont val="Tahoma"/>
            <family val="2"/>
          </rPr>
          <t>Dai, Qiang:</t>
        </r>
        <r>
          <rPr>
            <sz val="9"/>
            <color rgb="FF000000"/>
            <rFont val="Tahoma"/>
            <family val="2"/>
          </rPr>
          <t xml:space="preserve">
2018-2022 average. https://pubs.usgs.gov/periodicals/mcs2023/mcs2023-lithium.pdf</t>
        </r>
      </text>
    </comment>
    <comment ref="C71" authorId="0" shapeId="0" xr:uid="{E57FEBF4-3DE3-4507-BF40-A0C4D04929BB}">
      <text>
        <r>
          <rPr>
            <b/>
            <sz val="9"/>
            <color rgb="FF000000"/>
            <rFont val="Tahoma"/>
            <family val="2"/>
          </rPr>
          <t>Dai, Qiang:</t>
        </r>
        <r>
          <rPr>
            <sz val="9"/>
            <color rgb="FF000000"/>
            <rFont val="Tahoma"/>
            <family val="2"/>
          </rPr>
          <t xml:space="preserve">
Anhydrous. USGS Mineral Commodity Summaries 2019-2022</t>
        </r>
      </text>
    </comment>
    <comment ref="C72" authorId="0" shapeId="0" xr:uid="{309BDBF4-3900-4DD4-AE79-323D4996C9E7}">
      <text>
        <r>
          <rPr>
            <b/>
            <sz val="9"/>
            <color rgb="FF000000"/>
            <rFont val="Tahoma"/>
            <family val="2"/>
          </rPr>
          <t>Dai, Qiang:</t>
        </r>
        <r>
          <rPr>
            <sz val="9"/>
            <color rgb="FF000000"/>
            <rFont val="Tahoma"/>
            <family val="2"/>
          </rPr>
          <t xml:space="preserve">
</t>
        </r>
        <r>
          <rPr>
            <sz val="9"/>
            <color rgb="FF000000"/>
            <rFont val="Tahoma"/>
            <family val="2"/>
          </rPr>
          <t>Assuming the cost of 1 mole Mn2O3 is the same as the cost of 2 mole Mn in BatPac</t>
        </r>
      </text>
    </comment>
    <comment ref="C73" authorId="0" shapeId="0" xr:uid="{612C0F80-DC59-4C19-AF3C-9A504F760D3C}">
      <text>
        <r>
          <rPr>
            <b/>
            <sz val="9"/>
            <color rgb="FF000000"/>
            <rFont val="Tahoma"/>
            <family val="2"/>
          </rPr>
          <t>Dai, Qiang:</t>
        </r>
        <r>
          <rPr>
            <sz val="9"/>
            <color rgb="FF000000"/>
            <rFont val="Tahoma"/>
            <family val="2"/>
          </rPr>
          <t xml:space="preserve">
</t>
        </r>
        <r>
          <rPr>
            <sz val="9"/>
            <color rgb="FF000000"/>
            <rFont val="Tahoma"/>
            <family val="2"/>
          </rPr>
          <t>Assuming the cost of 1 mole MnSO4 is the same as the cost of 1 mole Mn in BatPac</t>
        </r>
      </text>
    </comment>
    <comment ref="C74" authorId="0" shapeId="0" xr:uid="{72C81784-2006-434F-B32B-3436687006B0}">
      <text>
        <r>
          <rPr>
            <b/>
            <sz val="9"/>
            <color rgb="FF000000"/>
            <rFont val="Tahoma"/>
            <family val="2"/>
          </rPr>
          <t>Dai, Qiang:</t>
        </r>
        <r>
          <rPr>
            <sz val="9"/>
            <color rgb="FF000000"/>
            <rFont val="Tahoma"/>
            <family val="2"/>
          </rPr>
          <t xml:space="preserve">
</t>
        </r>
        <r>
          <rPr>
            <sz val="9"/>
            <color rgb="FF000000"/>
            <rFont val="Tahoma"/>
            <family val="2"/>
          </rPr>
          <t>Assuming the cost of 1 mole NiSO4 is the same as the cost of 1 mole Ni in BatPac</t>
        </r>
      </text>
    </comment>
    <comment ref="C75" authorId="0" shapeId="0" xr:uid="{00000000-0006-0000-0B00-00003F000000}">
      <text>
        <r>
          <rPr>
            <b/>
            <sz val="9"/>
            <color indexed="81"/>
            <rFont val="Tahoma"/>
            <family val="2"/>
          </rPr>
          <t>Dai, Qiang:</t>
        </r>
        <r>
          <rPr>
            <sz val="9"/>
            <color indexed="81"/>
            <rFont val="Tahoma"/>
            <family val="2"/>
          </rPr>
          <t xml:space="preserve">
http://www.chemicool.com/elements/oxygen.html</t>
        </r>
      </text>
    </comment>
    <comment ref="C76" authorId="0" shapeId="0" xr:uid="{599CBBCD-BBDF-4576-924D-C107BBA07A05}">
      <text>
        <r>
          <rPr>
            <b/>
            <sz val="9"/>
            <color rgb="FF000000"/>
            <rFont val="Tahoma"/>
            <family val="2"/>
          </rPr>
          <t>Dai, Qiang:</t>
        </r>
        <r>
          <rPr>
            <sz val="9"/>
            <color rgb="FF000000"/>
            <rFont val="Tahoma"/>
            <family val="2"/>
          </rPr>
          <t xml:space="preserve">
2018-2022 average, converted to 100% H3PO4 from price for 85% grade. ICIS, ChemAnalyst</t>
        </r>
      </text>
    </comment>
    <comment ref="C77" authorId="0" shapeId="0" xr:uid="{461F450D-A1D6-455F-BF26-4805FC5D6863}">
      <text>
        <r>
          <rPr>
            <b/>
            <sz val="9"/>
            <color rgb="FF000000"/>
            <rFont val="Tahoma"/>
            <family val="2"/>
          </rPr>
          <t>Dai, Qiang:</t>
        </r>
        <r>
          <rPr>
            <sz val="9"/>
            <color rgb="FF000000"/>
            <rFont val="Tahoma"/>
            <family val="2"/>
          </rPr>
          <t xml:space="preserve">
2018-2022 average. https://pubs.usgs.gov/periodicals/mcs2023/mcs2023-soda-ash.pdf</t>
        </r>
      </text>
    </comment>
    <comment ref="C78" authorId="0" shapeId="0" xr:uid="{A69DB51A-8BA9-4398-B779-B69C3B1D4220}">
      <text>
        <r>
          <rPr>
            <b/>
            <sz val="9"/>
            <color rgb="FF000000"/>
            <rFont val="Tahoma"/>
            <family val="2"/>
          </rPr>
          <t>Dai, Qiang:</t>
        </r>
        <r>
          <rPr>
            <sz val="9"/>
            <color rgb="FF000000"/>
            <rFont val="Tahoma"/>
            <family val="2"/>
          </rPr>
          <t xml:space="preserve">
2022 price. ChemAnalyst</t>
        </r>
      </text>
    </comment>
    <comment ref="C79" authorId="0" shapeId="0" xr:uid="{B2966970-6572-4857-97D8-5FFCA1462877}">
      <text>
        <r>
          <rPr>
            <b/>
            <sz val="9"/>
            <color rgb="FF000000"/>
            <rFont val="Tahoma"/>
            <family val="2"/>
          </rPr>
          <t>Dai, Qiang:</t>
        </r>
        <r>
          <rPr>
            <sz val="9"/>
            <color rgb="FF000000"/>
            <rFont val="Tahoma"/>
            <family val="2"/>
          </rPr>
          <t xml:space="preserve">
2018-2022 average. ICIS, Business Analytiq</t>
        </r>
      </text>
    </comment>
    <comment ref="C80" authorId="0" shapeId="0" xr:uid="{1433C639-9226-4CE1-856D-AE1AFE747DCC}">
      <text>
        <r>
          <rPr>
            <b/>
            <sz val="9"/>
            <color rgb="FF000000"/>
            <rFont val="Tahoma"/>
            <family val="2"/>
          </rPr>
          <t>Dai, Qiang:</t>
        </r>
        <r>
          <rPr>
            <sz val="9"/>
            <color rgb="FF000000"/>
            <rFont val="Tahoma"/>
            <family val="2"/>
          </rPr>
          <t xml:space="preserve">
2018-2022 average, 100% H2SO4, US import price; USGS Minerals Year Book 2019 &amp; 2021, Mineral Industry Surveys Jan 2022</t>
        </r>
      </text>
    </comment>
    <comment ref="C84" authorId="0" shapeId="0" xr:uid="{00000000-0006-0000-0B00-000045000000}">
      <text>
        <r>
          <rPr>
            <b/>
            <sz val="9"/>
            <color rgb="FF000000"/>
            <rFont val="Tahoma"/>
            <family val="2"/>
          </rPr>
          <t>Dai, Qiang:</t>
        </r>
        <r>
          <rPr>
            <sz val="9"/>
            <color rgb="FF000000"/>
            <rFont val="Tahoma"/>
            <family val="2"/>
          </rPr>
          <t xml:space="preserve">
</t>
        </r>
        <r>
          <rPr>
            <sz val="9"/>
            <color rgb="FF000000"/>
            <rFont val="Tahoma"/>
            <family val="2"/>
          </rPr>
          <t>2018-2022 average, clean dry turnings. USGS Minerals Year Book 2019 &amp; 2020, Mineral Industry Surveys Dec 2022</t>
        </r>
      </text>
    </comment>
    <comment ref="C85" authorId="0" shapeId="0" xr:uid="{00000000-0006-0000-0B00-000046000000}">
      <text>
        <r>
          <rPr>
            <b/>
            <sz val="9"/>
            <color rgb="FF000000"/>
            <rFont val="Tahoma"/>
            <family val="2"/>
          </rPr>
          <t>Dai, Qiang:</t>
        </r>
        <r>
          <rPr>
            <sz val="9"/>
            <color rgb="FF000000"/>
            <rFont val="Tahoma"/>
            <family val="2"/>
          </rPr>
          <t xml:space="preserve">
</t>
        </r>
        <r>
          <rPr>
            <sz val="9"/>
            <color rgb="FF000000"/>
            <rFont val="Tahoma"/>
            <family val="2"/>
          </rPr>
          <t xml:space="preserve">2018-2022 average, No.1 Scrap price.
</t>
        </r>
        <r>
          <rPr>
            <sz val="9"/>
            <color rgb="FF000000"/>
            <rFont val="Tahoma"/>
            <family val="2"/>
          </rPr>
          <t>USGS Minerals Year Book 2018 &amp; 2019, Mineral Industry Surveys Dec 2021 &amp; Dec 2022</t>
        </r>
      </text>
    </comment>
    <comment ref="C86" authorId="0" shapeId="0" xr:uid="{00000000-0006-0000-0B00-000047000000}">
      <text>
        <r>
          <rPr>
            <b/>
            <sz val="9"/>
            <color rgb="FF000000"/>
            <rFont val="Tahoma"/>
            <family val="2"/>
          </rPr>
          <t>Dai, Qiang:</t>
        </r>
        <r>
          <rPr>
            <sz val="9"/>
            <color rgb="FF000000"/>
            <rFont val="Tahoma"/>
            <family val="2"/>
          </rPr>
          <t xml:space="preserve">
</t>
        </r>
        <r>
          <rPr>
            <sz val="9"/>
            <color rgb="FF000000"/>
            <rFont val="Tahoma"/>
            <family val="2"/>
          </rPr>
          <t>2018-2022 average, No.1 heavy melting composite price. https://pubs.usgs.gov/periodicals/mcs2023/mcs2023-iron-steel-scrap.pdf</t>
        </r>
      </text>
    </comment>
    <comment ref="C87" authorId="0" shapeId="0" xr:uid="{00000000-0006-0000-0B00-000048000000}">
      <text>
        <r>
          <rPr>
            <b/>
            <sz val="9"/>
            <color rgb="FF000000"/>
            <rFont val="Tahoma"/>
            <family val="2"/>
          </rPr>
          <t xml:space="preserve">Dai, Qiang:
</t>
        </r>
        <r>
          <rPr>
            <sz val="9"/>
            <color rgb="FF000000"/>
            <rFont val="Tahoma"/>
            <family val="2"/>
          </rPr>
          <t>PE clean film price.</t>
        </r>
        <r>
          <rPr>
            <b/>
            <sz val="9"/>
            <color rgb="FF000000"/>
            <rFont val="Tahoma"/>
            <family val="2"/>
          </rPr>
          <t xml:space="preserve">
</t>
        </r>
        <r>
          <rPr>
            <sz val="9"/>
            <color rgb="FF000000"/>
            <rFont val="Tahoma"/>
            <family val="2"/>
          </rPr>
          <t>https://www.plasticsmarkets.org/view/commoditypricing</t>
        </r>
      </text>
    </comment>
    <comment ref="C93" authorId="0" shapeId="0" xr:uid="{4546EA1E-1606-4497-B8B6-311C4EB33750}">
      <text>
        <r>
          <rPr>
            <b/>
            <sz val="9"/>
            <color rgb="FF000000"/>
            <rFont val="Tahoma"/>
            <family val="2"/>
          </rPr>
          <t>Dai, Qiang:</t>
        </r>
        <r>
          <rPr>
            <sz val="9"/>
            <color rgb="FF000000"/>
            <rFont val="Tahoma"/>
            <family val="2"/>
          </rPr>
          <t xml:space="preserve">
Assumed to be 50% of battery-grade Li2CO3 cost</t>
        </r>
      </text>
    </comment>
    <comment ref="C101" authorId="0" shapeId="0" xr:uid="{00000000-0006-0000-0B00-000049000000}">
      <text>
        <r>
          <rPr>
            <b/>
            <sz val="9"/>
            <color rgb="FF000000"/>
            <rFont val="Tahoma"/>
            <family val="2"/>
          </rPr>
          <t xml:space="preserve">Dai, Qiang:
</t>
        </r>
        <r>
          <rPr>
            <sz val="9"/>
            <color rgb="FF000000"/>
            <rFont val="Tahoma"/>
            <family val="2"/>
          </rPr>
          <t>https://www.recycle.net/cgi-bin/exview.cgi?wscg=01-080303</t>
        </r>
      </text>
    </comment>
    <comment ref="C102" authorId="0" shapeId="0" xr:uid="{09A3192C-957D-454B-A178-3A0C7B206055}">
      <text>
        <r>
          <rPr>
            <b/>
            <sz val="9"/>
            <color indexed="81"/>
            <rFont val="Tahoma"/>
            <family val="2"/>
          </rPr>
          <t>Dai, Qiang:</t>
        </r>
        <r>
          <rPr>
            <sz val="9"/>
            <color indexed="81"/>
            <rFont val="Tahoma"/>
            <family val="2"/>
          </rPr>
          <t xml:space="preserve">
2018-2022 average. LME cash price for Grade A copper. USGS 2023 mineral commodity summary</t>
        </r>
      </text>
    </comment>
    <comment ref="E241" authorId="0" shapeId="0" xr:uid="{00000000-0006-0000-0B00-00004A000000}">
      <text>
        <r>
          <rPr>
            <b/>
            <sz val="9"/>
            <color indexed="81"/>
            <rFont val="Tahoma"/>
            <family val="2"/>
          </rPr>
          <t>Dai, Qiang:</t>
        </r>
        <r>
          <rPr>
            <sz val="9"/>
            <color indexed="81"/>
            <rFont val="Tahoma"/>
            <family val="2"/>
          </rPr>
          <t xml:space="preserve">
https://www.sciencedirect.com/science/article/pii/002196148290012X</t>
        </r>
      </text>
    </comment>
    <comment ref="F241" authorId="0" shapeId="0" xr:uid="{00000000-0006-0000-0B00-00004B000000}">
      <text>
        <r>
          <rPr>
            <b/>
            <sz val="9"/>
            <color indexed="81"/>
            <rFont val="Tahoma"/>
            <family val="2"/>
          </rPr>
          <t>Dai, Qiang:</t>
        </r>
        <r>
          <rPr>
            <sz val="9"/>
            <color indexed="81"/>
            <rFont val="Tahoma"/>
            <family val="2"/>
          </rPr>
          <t xml:space="preserve">
https://materialsproject.org/materials/mp-18748/</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Qiang Dai</author>
    <author>Dai, Qiang</author>
  </authors>
  <commentList>
    <comment ref="C16" authorId="0" shapeId="0" xr:uid="{48CD7C56-7836-8F42-BB1A-1F80481D196D}">
      <text>
        <r>
          <rPr>
            <b/>
            <sz val="10"/>
            <color rgb="FF000000"/>
            <rFont val="Tahoma"/>
            <family val="2"/>
          </rPr>
          <t>Qiang Dai:</t>
        </r>
        <r>
          <rPr>
            <sz val="10"/>
            <color rgb="FF000000"/>
            <rFont val="Tahoma"/>
            <family val="2"/>
          </rPr>
          <t xml:space="preserve">
2020 average:
https://www.bts.gov/content/average-freight-revenue-ton-mile</t>
        </r>
      </text>
    </comment>
    <comment ref="H16" authorId="1" shapeId="0" xr:uid="{0B334868-3D09-488D-ACE5-63D952BDFE19}">
      <text>
        <r>
          <rPr>
            <b/>
            <sz val="9"/>
            <color indexed="81"/>
            <rFont val="Tahoma"/>
            <family val="2"/>
          </rPr>
          <t>Dai, Qiang:</t>
        </r>
        <r>
          <rPr>
            <sz val="9"/>
            <color indexed="81"/>
            <rFont val="Tahoma"/>
            <family val="2"/>
          </rPr>
          <t xml:space="preserve">
2020 average:
https://www.bts.gov/content/average-freight-revenue-ton-mile</t>
        </r>
      </text>
    </comment>
    <comment ref="M16" authorId="1" shapeId="0" xr:uid="{46E5605E-3E86-44C4-9A9E-5F8F5A364D6F}">
      <text>
        <r>
          <rPr>
            <b/>
            <sz val="9"/>
            <color indexed="81"/>
            <rFont val="Tahoma"/>
            <family val="2"/>
          </rPr>
          <t>Dai, Qiang:</t>
        </r>
        <r>
          <rPr>
            <sz val="9"/>
            <color indexed="81"/>
            <rFont val="Tahoma"/>
            <family val="2"/>
          </rPr>
          <t xml:space="preserve">
Assumed to be the same as barge</t>
        </r>
      </text>
    </comment>
    <comment ref="C23" authorId="0" shapeId="0" xr:uid="{24D84D7E-2960-DE41-8766-101C61533BAE}">
      <text>
        <r>
          <rPr>
            <b/>
            <sz val="10"/>
            <color rgb="FF000000"/>
            <rFont val="Tahoma"/>
            <family val="2"/>
          </rPr>
          <t>Qiang Dai:</t>
        </r>
        <r>
          <rPr>
            <sz val="10"/>
            <color rgb="FF000000"/>
            <rFont val="Tahoma"/>
            <family val="2"/>
          </rPr>
          <t xml:space="preserve">
Including additional driver compensation, permits and special licenses, and  insurance preminum for hazmat</t>
        </r>
      </text>
    </comment>
    <comment ref="H23" authorId="0" shapeId="0" xr:uid="{7D9FCF63-B8C9-41C5-835A-52C4FA62423A}">
      <text>
        <r>
          <rPr>
            <b/>
            <sz val="10"/>
            <color rgb="FF000000"/>
            <rFont val="Tahoma"/>
            <family val="2"/>
          </rPr>
          <t>Qiang Dai:</t>
        </r>
        <r>
          <rPr>
            <sz val="10"/>
            <color rgb="FF000000"/>
            <rFont val="Tahoma"/>
            <family val="2"/>
          </rPr>
          <t xml:space="preserve">
Including additional driver compensation, permits and special licenses, and  insurance preminum for hazmat</t>
        </r>
      </text>
    </comment>
    <comment ref="M23" authorId="0" shapeId="0" xr:uid="{460B9010-5992-8245-BB70-CFFE5EB583D8}">
      <text>
        <r>
          <rPr>
            <b/>
            <sz val="10"/>
            <color rgb="FF000000"/>
            <rFont val="Tahoma"/>
            <family val="2"/>
          </rPr>
          <t>Qiang Dai:</t>
        </r>
        <r>
          <rPr>
            <sz val="10"/>
            <color rgb="FF000000"/>
            <rFont val="Tahoma"/>
            <family val="2"/>
          </rPr>
          <t xml:space="preserve">
2021 national average based on 2022 ATRI Trucking Operational Cost Report</t>
        </r>
      </text>
    </comment>
    <comment ref="R23" authorId="0" shapeId="0" xr:uid="{BF94CA7A-72AF-4EE6-B8E3-644FB868DC5B}">
      <text>
        <r>
          <rPr>
            <b/>
            <sz val="10"/>
            <color rgb="FF000000"/>
            <rFont val="Tahoma"/>
            <family val="2"/>
          </rPr>
          <t>Qiang Dai:</t>
        </r>
        <r>
          <rPr>
            <sz val="10"/>
            <color rgb="FF000000"/>
            <rFont val="Tahoma"/>
            <family val="2"/>
          </rPr>
          <t xml:space="preserve">
2021 national average based on 2022 ATRI Trucking Operational Cost Report</t>
        </r>
      </text>
    </comment>
    <comment ref="D32" authorId="1" shapeId="0" xr:uid="{B90CECB1-2274-4925-B015-7ED46F28352B}">
      <text>
        <r>
          <rPr>
            <b/>
            <sz val="9"/>
            <color indexed="81"/>
            <rFont val="Tahoma"/>
            <family val="2"/>
          </rPr>
          <t>Dai, Qiang:</t>
        </r>
        <r>
          <rPr>
            <sz val="9"/>
            <color indexed="81"/>
            <rFont val="Tahoma"/>
            <family val="2"/>
          </rPr>
          <t xml:space="preserve">
2022 mean hourly wage for chemical plant and system operators, May 2022 National Occupational Employment and Wage Estimates</t>
        </r>
      </text>
    </comment>
    <comment ref="E32" authorId="1" shapeId="0" xr:uid="{D7C910F4-C039-4C7F-ADCE-51596ABC7D07}">
      <text>
        <r>
          <rPr>
            <b/>
            <sz val="9"/>
            <color indexed="81"/>
            <rFont val="Tahoma"/>
            <family val="2"/>
          </rPr>
          <t>Dai, Qiang:</t>
        </r>
        <r>
          <rPr>
            <sz val="9"/>
            <color indexed="81"/>
            <rFont val="Tahoma"/>
            <family val="2"/>
          </rPr>
          <t xml:space="preserve">
May 2022 State Occupational Employment and Wage Estimates</t>
        </r>
      </text>
    </comment>
    <comment ref="D33" authorId="1" shapeId="0" xr:uid="{00000000-0006-0000-0C00-000004000000}">
      <text>
        <r>
          <rPr>
            <b/>
            <sz val="9"/>
            <color rgb="FF000000"/>
            <rFont val="Tahoma"/>
            <family val="2"/>
          </rPr>
          <t>Dai, Qiang:</t>
        </r>
        <r>
          <rPr>
            <sz val="9"/>
            <color rgb="FF000000"/>
            <rFont val="Tahoma"/>
            <family val="2"/>
          </rPr>
          <t xml:space="preserve">
2022 national average, EIA</t>
        </r>
      </text>
    </comment>
    <comment ref="E33" authorId="1" shapeId="0" xr:uid="{00000000-0006-0000-0C00-000005000000}">
      <text>
        <r>
          <rPr>
            <b/>
            <sz val="9"/>
            <color rgb="FF000000"/>
            <rFont val="Tahoma"/>
            <family val="34"/>
          </rPr>
          <t>Dai, Qiang:</t>
        </r>
        <r>
          <rPr>
            <sz val="9"/>
            <color rgb="FF000000"/>
            <rFont val="Tahoma"/>
            <family val="34"/>
          </rPr>
          <t xml:space="preserve">
2022 CA average, EIA
</t>
        </r>
      </text>
    </comment>
    <comment ref="D34" authorId="1" shapeId="0" xr:uid="{00000000-0006-0000-0C00-000006000000}">
      <text>
        <r>
          <rPr>
            <b/>
            <sz val="9"/>
            <color rgb="FF000000"/>
            <rFont val="Tahoma"/>
            <family val="2"/>
          </rPr>
          <t>Dai, Qiang:</t>
        </r>
        <r>
          <rPr>
            <sz val="9"/>
            <color rgb="FF000000"/>
            <rFont val="Tahoma"/>
            <family val="2"/>
          </rPr>
          <t xml:space="preserve">
$7.90/1000ft3 industrial price in 2022, national average, EIA</t>
        </r>
      </text>
    </comment>
    <comment ref="E34" authorId="1" shapeId="0" xr:uid="{00000000-0006-0000-0C00-000007000000}">
      <text>
        <r>
          <rPr>
            <b/>
            <sz val="9"/>
            <color rgb="FF000000"/>
            <rFont val="Tahoma"/>
            <family val="2"/>
          </rPr>
          <t>Dai, Qiang:</t>
        </r>
        <r>
          <rPr>
            <sz val="9"/>
            <color rgb="FF000000"/>
            <rFont val="Tahoma"/>
            <family val="2"/>
          </rPr>
          <t xml:space="preserve">
$13.78/1000ft3 industrial price in 2022, CA average, EIA
</t>
        </r>
      </text>
    </comment>
    <comment ref="D35" authorId="0" shapeId="0" xr:uid="{5898FB97-62EC-E24B-8A7F-2503990889C5}">
      <text>
        <r>
          <rPr>
            <b/>
            <sz val="10"/>
            <color rgb="FF000000"/>
            <rFont val="Tahoma"/>
            <family val="2"/>
          </rPr>
          <t xml:space="preserve">Qiang Dai:
</t>
        </r>
        <r>
          <rPr>
            <sz val="10"/>
            <color rgb="FF000000"/>
            <rFont val="Tahoma"/>
            <family val="2"/>
          </rPr>
          <t>2021 national average, EPA WaterSense</t>
        </r>
      </text>
    </comment>
    <comment ref="E35" authorId="0" shapeId="0" xr:uid="{E742F817-80C0-F74A-BFD5-BB11E81F7484}">
      <text>
        <r>
          <rPr>
            <b/>
            <sz val="10"/>
            <color rgb="FF000000"/>
            <rFont val="Tahoma"/>
            <family val="2"/>
          </rPr>
          <t xml:space="preserve">Qiang Dai:
</t>
        </r>
        <r>
          <rPr>
            <sz val="10"/>
            <color rgb="FF000000"/>
            <rFont val="Tahoma"/>
            <family val="2"/>
          </rPr>
          <t>No reliable source found. Assumed to be twice the national average</t>
        </r>
      </text>
    </comment>
    <comment ref="D36" authorId="0" shapeId="0" xr:uid="{25D0D369-5D9F-FB46-A79F-8CCCA53D5EE1}">
      <text>
        <r>
          <rPr>
            <b/>
            <sz val="10"/>
            <color rgb="FF000000"/>
            <rFont val="Tahoma"/>
            <family val="2"/>
          </rPr>
          <t>Qiang Dai:</t>
        </r>
        <r>
          <rPr>
            <sz val="10"/>
            <color rgb="FF000000"/>
            <rFont val="Tahoma"/>
            <family val="2"/>
          </rPr>
          <t xml:space="preserve">
</t>
        </r>
        <r>
          <rPr>
            <sz val="10"/>
            <color rgb="FF000000"/>
            <rFont val="Tahoma"/>
            <family val="34"/>
          </rPr>
          <t xml:space="preserve">2021 national average, EPA WaterSense
</t>
        </r>
      </text>
    </comment>
    <comment ref="E36" authorId="0" shapeId="0" xr:uid="{20F3E7C4-5BEA-4292-B1B6-47F6399EC375}">
      <text>
        <r>
          <rPr>
            <b/>
            <sz val="10"/>
            <color rgb="FF000000"/>
            <rFont val="Tahoma"/>
            <family val="2"/>
          </rPr>
          <t xml:space="preserve">Qiang Dai:
</t>
        </r>
        <r>
          <rPr>
            <sz val="10"/>
            <color rgb="FF000000"/>
            <rFont val="Tahoma"/>
            <family val="2"/>
          </rPr>
          <t>No reliable source found. Assumed to be twice the national average</t>
        </r>
      </text>
    </comment>
    <comment ref="D37" authorId="0" shapeId="0" xr:uid="{169B5505-E256-3742-A45C-B53E3EC49129}">
      <text>
        <r>
          <rPr>
            <b/>
            <sz val="10"/>
            <color rgb="FF000000"/>
            <rFont val="Tahoma"/>
            <family val="2"/>
          </rPr>
          <t>Qiang Dai:</t>
        </r>
        <r>
          <rPr>
            <sz val="10"/>
            <color rgb="FF000000"/>
            <rFont val="Tahoma"/>
            <family val="2"/>
          </rPr>
          <t xml:space="preserve">
2021 national average, EREF MSW landfill tipping fee analysis</t>
        </r>
      </text>
    </comment>
    <comment ref="E37" authorId="0" shapeId="0" xr:uid="{CF3AC864-14EA-F04A-BBF4-B2082753E9C3}">
      <text>
        <r>
          <rPr>
            <b/>
            <sz val="10"/>
            <color rgb="FF000000"/>
            <rFont val="Tahoma"/>
            <family val="2"/>
          </rPr>
          <t>Qiang Dai:</t>
        </r>
        <r>
          <rPr>
            <sz val="10"/>
            <color rgb="FF000000"/>
            <rFont val="Tahoma"/>
            <family val="2"/>
          </rPr>
          <t xml:space="preserve">
2021 CA average, EREF MSW landfill tipping fee analysis</t>
        </r>
      </text>
    </comment>
    <comment ref="D43" authorId="1" shapeId="0" xr:uid="{CD0B5C39-56CE-40DA-A828-51F50011F189}">
      <text>
        <r>
          <rPr>
            <b/>
            <sz val="9"/>
            <color indexed="81"/>
            <rFont val="Tahoma"/>
            <family val="2"/>
          </rPr>
          <t>Dai, Qiang:</t>
        </r>
        <r>
          <rPr>
            <sz val="9"/>
            <color indexed="81"/>
            <rFont val="Tahoma"/>
            <family val="2"/>
          </rPr>
          <t xml:space="preserve">
2022 mean hourly wage for chemical plant and system operators, May 2022 National Occupational Employment and Wage Estimates</t>
        </r>
      </text>
    </comment>
    <comment ref="E43" authorId="1" shapeId="0" xr:uid="{C70FC0A5-E8D2-49EE-A04F-3510C8FC5933}">
      <text>
        <r>
          <rPr>
            <b/>
            <sz val="9"/>
            <color indexed="81"/>
            <rFont val="Tahoma"/>
            <family val="2"/>
          </rPr>
          <t>Dai, Qiang:</t>
        </r>
        <r>
          <rPr>
            <sz val="9"/>
            <color indexed="81"/>
            <rFont val="Tahoma"/>
            <family val="2"/>
          </rPr>
          <t xml:space="preserve">
May 2022 State Occupational Employment and Wage Estimates</t>
        </r>
      </text>
    </comment>
    <comment ref="D44" authorId="1" shapeId="0" xr:uid="{6DC946B7-F79F-46F1-9701-AE8FD9645447}">
      <text>
        <r>
          <rPr>
            <b/>
            <sz val="9"/>
            <color rgb="FF000000"/>
            <rFont val="Tahoma"/>
            <family val="2"/>
          </rPr>
          <t>Dai, Qiang:</t>
        </r>
        <r>
          <rPr>
            <sz val="9"/>
            <color rgb="FF000000"/>
            <rFont val="Tahoma"/>
            <family val="2"/>
          </rPr>
          <t xml:space="preserve">
2022 national average, EIA</t>
        </r>
      </text>
    </comment>
    <comment ref="E44" authorId="1" shapeId="0" xr:uid="{EC33E639-49B0-4270-B5C0-09077B1D951F}">
      <text>
        <r>
          <rPr>
            <b/>
            <sz val="9"/>
            <color rgb="FF000000"/>
            <rFont val="Tahoma"/>
            <family val="34"/>
          </rPr>
          <t>Dai, Qiang:</t>
        </r>
        <r>
          <rPr>
            <sz val="9"/>
            <color rgb="FF000000"/>
            <rFont val="Tahoma"/>
            <family val="34"/>
          </rPr>
          <t xml:space="preserve">
2022 CA average, EIA
</t>
        </r>
      </text>
    </comment>
    <comment ref="D45" authorId="1" shapeId="0" xr:uid="{16851B55-9FC3-4C95-BDCD-FA47DD5A1C20}">
      <text>
        <r>
          <rPr>
            <b/>
            <sz val="9"/>
            <color rgb="FF000000"/>
            <rFont val="Tahoma"/>
            <family val="2"/>
          </rPr>
          <t>Dai, Qiang:</t>
        </r>
        <r>
          <rPr>
            <sz val="9"/>
            <color rgb="FF000000"/>
            <rFont val="Tahoma"/>
            <family val="2"/>
          </rPr>
          <t xml:space="preserve">
$7.90/1000ft3 industrial price in 2022, national average, EIA</t>
        </r>
      </text>
    </comment>
    <comment ref="E45" authorId="1" shapeId="0" xr:uid="{C9253A32-8DFD-42C7-8560-1A1EDBB8FEDE}">
      <text>
        <r>
          <rPr>
            <b/>
            <sz val="9"/>
            <color rgb="FF000000"/>
            <rFont val="Tahoma"/>
            <family val="2"/>
          </rPr>
          <t>Dai, Qiang:</t>
        </r>
        <r>
          <rPr>
            <sz val="9"/>
            <color rgb="FF000000"/>
            <rFont val="Tahoma"/>
            <family val="2"/>
          </rPr>
          <t xml:space="preserve">
$13.78/1000ft3 industrial price in 2022, CA average, EIA
</t>
        </r>
      </text>
    </comment>
    <comment ref="D46" authorId="0" shapeId="0" xr:uid="{5B51D4E8-64DD-45A0-A097-32A7F166DD4C}">
      <text>
        <r>
          <rPr>
            <b/>
            <sz val="10"/>
            <color rgb="FF000000"/>
            <rFont val="Tahoma"/>
            <family val="2"/>
          </rPr>
          <t xml:space="preserve">Qiang Dai:
</t>
        </r>
        <r>
          <rPr>
            <sz val="10"/>
            <color rgb="FF000000"/>
            <rFont val="Tahoma"/>
            <family val="2"/>
          </rPr>
          <t>2021 national average, EPA WaterSense</t>
        </r>
      </text>
    </comment>
    <comment ref="E46" authorId="0" shapeId="0" xr:uid="{8788BC01-49B3-4552-BA3C-B2444CB16A96}">
      <text>
        <r>
          <rPr>
            <b/>
            <sz val="10"/>
            <color rgb="FF000000"/>
            <rFont val="Tahoma"/>
            <family val="2"/>
          </rPr>
          <t xml:space="preserve">Qiang Dai:
</t>
        </r>
        <r>
          <rPr>
            <sz val="10"/>
            <color rgb="FF000000"/>
            <rFont val="Tahoma"/>
            <family val="2"/>
          </rPr>
          <t>No reliable source found. Assumed to be twice the national average</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Dai, Qiang</author>
  </authors>
  <commentList>
    <comment ref="G5" authorId="0" shapeId="0" xr:uid="{00000000-0006-0000-0D00-000001000000}">
      <text>
        <r>
          <rPr>
            <b/>
            <sz val="9"/>
            <color rgb="FF000000"/>
            <rFont val="Tahoma"/>
            <family val="2"/>
          </rPr>
          <t>Dai, Qiang:</t>
        </r>
        <r>
          <rPr>
            <sz val="9"/>
            <color rgb="FF000000"/>
            <rFont val="Tahoma"/>
            <family val="2"/>
          </rPr>
          <t xml:space="preserve">
</t>
        </r>
        <r>
          <rPr>
            <sz val="9"/>
            <color rgb="FF000000"/>
            <rFont val="Tahoma"/>
            <family val="2"/>
          </rPr>
          <t>Converted from $/m2 in BatPaC</t>
        </r>
      </text>
    </comment>
    <comment ref="H5" authorId="0" shapeId="0" xr:uid="{00000000-0006-0000-0D00-000002000000}">
      <text>
        <r>
          <rPr>
            <b/>
            <sz val="9"/>
            <color rgb="FF000000"/>
            <rFont val="Tahoma"/>
            <family val="2"/>
          </rPr>
          <t>Dai, Qiang:</t>
        </r>
        <r>
          <rPr>
            <sz val="9"/>
            <color rgb="FF000000"/>
            <rFont val="Tahoma"/>
            <family val="2"/>
          </rPr>
          <t xml:space="preserve">
</t>
        </r>
        <r>
          <rPr>
            <sz val="9"/>
            <color rgb="FF000000"/>
            <rFont val="Tahoma"/>
            <family val="2"/>
          </rPr>
          <t>Converted from $/m2 in BatPaC</t>
        </r>
      </text>
    </comment>
    <comment ref="I5" authorId="0" shapeId="0" xr:uid="{00000000-0006-0000-0D00-000003000000}">
      <text>
        <r>
          <rPr>
            <b/>
            <sz val="9"/>
            <color rgb="FF000000"/>
            <rFont val="Tahoma"/>
            <family val="2"/>
          </rPr>
          <t>Dai, Qiang:</t>
        </r>
        <r>
          <rPr>
            <sz val="9"/>
            <color rgb="FF000000"/>
            <rFont val="Tahoma"/>
            <family val="2"/>
          </rPr>
          <t xml:space="preserve">
</t>
        </r>
        <r>
          <rPr>
            <sz val="9"/>
            <color rgb="FF000000"/>
            <rFont val="Tahoma"/>
            <family val="2"/>
          </rPr>
          <t>Converted from $/m2 in BatPaC</t>
        </r>
      </text>
    </comment>
    <comment ref="J5" authorId="0" shapeId="0" xr:uid="{00000000-0006-0000-0D00-000004000000}">
      <text>
        <r>
          <rPr>
            <b/>
            <sz val="9"/>
            <color rgb="FF000000"/>
            <rFont val="Tahoma"/>
            <family val="2"/>
          </rPr>
          <t>Dai, Qiang:</t>
        </r>
        <r>
          <rPr>
            <sz val="9"/>
            <color rgb="FF000000"/>
            <rFont val="Tahoma"/>
            <family val="2"/>
          </rPr>
          <t xml:space="preserve">
</t>
        </r>
        <r>
          <rPr>
            <sz val="9"/>
            <color rgb="FF000000"/>
            <rFont val="Tahoma"/>
            <family val="2"/>
          </rPr>
          <t>Converted from $/L in BatPaC</t>
        </r>
      </text>
    </comment>
    <comment ref="L5" authorId="0" shapeId="0" xr:uid="{00000000-0006-0000-0D00-000005000000}">
      <text>
        <r>
          <rPr>
            <b/>
            <sz val="9"/>
            <color rgb="FF000000"/>
            <rFont val="Tahoma"/>
            <family val="2"/>
          </rPr>
          <t>Dai, Qiang:</t>
        </r>
        <r>
          <rPr>
            <sz val="9"/>
            <color rgb="FF000000"/>
            <rFont val="Tahoma"/>
            <family val="2"/>
          </rPr>
          <t xml:space="preserve">
</t>
        </r>
        <r>
          <rPr>
            <sz val="9"/>
            <color rgb="FF000000"/>
            <rFont val="Tahoma"/>
            <family val="2"/>
          </rPr>
          <t>Composed of Al/PP/PET</t>
        </r>
      </text>
    </comment>
    <comment ref="L24" authorId="0" shapeId="0" xr:uid="{ECBA2E53-EAC3-446D-86FB-A188B76415B9}">
      <text>
        <r>
          <rPr>
            <b/>
            <sz val="9"/>
            <color rgb="FF000000"/>
            <rFont val="Tahoma"/>
            <family val="2"/>
          </rPr>
          <t>Dai, Qiang:</t>
        </r>
        <r>
          <rPr>
            <sz val="9"/>
            <color rgb="FF000000"/>
            <rFont val="Tahoma"/>
            <family val="2"/>
          </rPr>
          <t xml:space="preserve">
</t>
        </r>
        <r>
          <rPr>
            <sz val="9"/>
            <color rgb="FF000000"/>
            <rFont val="Tahoma"/>
            <family val="2"/>
          </rPr>
          <t>Plus (per cell) cost only</t>
        </r>
      </text>
    </comment>
    <comment ref="M24" authorId="0" shapeId="0" xr:uid="{1126138B-E5D5-48C5-9DDE-2197467C9228}">
      <text>
        <r>
          <rPr>
            <b/>
            <sz val="9"/>
            <color indexed="81"/>
            <rFont val="Tahoma"/>
            <family val="2"/>
          </rPr>
          <t>Dai, Qiang:</t>
        </r>
        <r>
          <rPr>
            <sz val="9"/>
            <color indexed="81"/>
            <rFont val="Tahoma"/>
            <family val="2"/>
          </rPr>
          <t xml:space="preserve">
Dai, Qiang:
Plus (per cell) cost only</t>
        </r>
      </text>
    </comment>
    <comment ref="N24" authorId="0" shapeId="0" xr:uid="{4FA9795A-FF1C-43C1-861F-53C4778CF0AC}">
      <text>
        <r>
          <rPr>
            <b/>
            <sz val="9"/>
            <color indexed="81"/>
            <rFont val="Tahoma"/>
            <family val="2"/>
          </rPr>
          <t>Dai, Qiang:</t>
        </r>
        <r>
          <rPr>
            <sz val="9"/>
            <color indexed="81"/>
            <rFont val="Tahoma"/>
            <family val="2"/>
          </rPr>
          <t xml:space="preserve">
Dai, Qiang:
Plus (per cell) cost only</t>
        </r>
      </text>
    </comment>
    <comment ref="O24" authorId="0" shapeId="0" xr:uid="{966D97B8-1D7C-410C-AC78-216B56061940}">
      <text>
        <r>
          <rPr>
            <b/>
            <sz val="9"/>
            <color rgb="FF000000"/>
            <rFont val="Tahoma"/>
            <family val="2"/>
          </rPr>
          <t>Dai, Qiang:</t>
        </r>
        <r>
          <rPr>
            <sz val="9"/>
            <color rgb="FF000000"/>
            <rFont val="Tahoma"/>
            <family val="2"/>
          </rPr>
          <t xml:space="preserve">
</t>
        </r>
        <r>
          <rPr>
            <sz val="9"/>
            <color rgb="FF000000"/>
            <rFont val="Tahoma"/>
            <family val="2"/>
          </rPr>
          <t xml:space="preserve">Dai, Qiang:
</t>
        </r>
        <r>
          <rPr>
            <sz val="9"/>
            <color rgb="FF000000"/>
            <rFont val="Tahoma"/>
            <family val="2"/>
          </rPr>
          <t>Plus (per cell) cost only</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Dai, Qiang</author>
    <author>Qiang Dai</author>
  </authors>
  <commentList>
    <comment ref="T3" authorId="0" shapeId="0" xr:uid="{61FF6727-02DD-CE46-A893-5A805C3183AD}">
      <text>
        <r>
          <rPr>
            <b/>
            <sz val="9"/>
            <color rgb="FF000000"/>
            <rFont val="Tahoma"/>
            <family val="2"/>
          </rPr>
          <t>Dai, Qiang:</t>
        </r>
        <r>
          <rPr>
            <sz val="9"/>
            <color rgb="FF000000"/>
            <rFont val="Tahoma"/>
            <family val="2"/>
          </rPr>
          <t xml:space="preserve">
300 hp, AgMining_EF_TS, CF83</t>
        </r>
      </text>
    </comment>
    <comment ref="B77" authorId="0" shapeId="0" xr:uid="{2057057B-523A-DE42-9722-27A59B6C6341}">
      <text>
        <r>
          <rPr>
            <b/>
            <sz val="9"/>
            <color rgb="FF000000"/>
            <rFont val="Tahoma"/>
            <family val="2"/>
          </rPr>
          <t>Dai, Qiang:</t>
        </r>
        <r>
          <rPr>
            <sz val="9"/>
            <color rgb="FF000000"/>
            <rFont val="Tahoma"/>
            <family val="2"/>
          </rPr>
          <t xml:space="preserve">
</t>
        </r>
        <r>
          <rPr>
            <sz val="9"/>
            <color rgb="FF000000"/>
            <rFont val="Tahoma"/>
            <family val="2"/>
          </rPr>
          <t>in U.S.</t>
        </r>
      </text>
    </comment>
    <comment ref="C77" authorId="0" shapeId="0" xr:uid="{02AB9132-D984-8144-87D1-84A0063D114D}">
      <text>
        <r>
          <rPr>
            <b/>
            <sz val="9"/>
            <color indexed="81"/>
            <rFont val="Tahoma"/>
            <family val="2"/>
          </rPr>
          <t>Dai, Qiang:</t>
        </r>
        <r>
          <rPr>
            <sz val="9"/>
            <color indexed="81"/>
            <rFont val="Tahoma"/>
            <family val="2"/>
          </rPr>
          <t xml:space="preserve">
in U.S.</t>
        </r>
      </text>
    </comment>
    <comment ref="E77" authorId="0" shapeId="0" xr:uid="{B078AE22-9ECF-6941-B5D4-443D4C48E55E}">
      <text>
        <r>
          <rPr>
            <b/>
            <sz val="9"/>
            <color indexed="81"/>
            <rFont val="Tahoma"/>
            <family val="2"/>
          </rPr>
          <t>Dai, Qiang:</t>
        </r>
        <r>
          <rPr>
            <sz val="9"/>
            <color indexed="81"/>
            <rFont val="Tahoma"/>
            <family val="2"/>
          </rPr>
          <t xml:space="preserve">
in U.S.</t>
        </r>
      </text>
    </comment>
    <comment ref="F77" authorId="0" shapeId="0" xr:uid="{FE153F8C-A739-FA46-9BD6-405654FA4E3A}">
      <text>
        <r>
          <rPr>
            <b/>
            <sz val="9"/>
            <color rgb="FF000000"/>
            <rFont val="Tahoma"/>
            <family val="2"/>
          </rPr>
          <t>Dai, Qiang:</t>
        </r>
        <r>
          <rPr>
            <sz val="9"/>
            <color rgb="FF000000"/>
            <rFont val="Tahoma"/>
            <family val="2"/>
          </rPr>
          <t xml:space="preserve">
Average of Chile and Australia production</t>
        </r>
      </text>
    </comment>
    <comment ref="I77" authorId="0" shapeId="0" xr:uid="{1BB83C65-C9B9-4248-B8B6-4BE20AE71735}">
      <text>
        <r>
          <rPr>
            <b/>
            <sz val="9"/>
            <color rgb="FF000000"/>
            <rFont val="Tahoma"/>
            <family val="2"/>
          </rPr>
          <t>Dai, Qiang:</t>
        </r>
        <r>
          <rPr>
            <sz val="9"/>
            <color rgb="FF000000"/>
            <rFont val="Tahoma"/>
            <family val="2"/>
          </rPr>
          <t xml:space="preserve">
</t>
        </r>
        <r>
          <rPr>
            <sz val="9"/>
            <color rgb="FF000000"/>
            <rFont val="Tahoma"/>
            <family val="2"/>
          </rPr>
          <t>Solid state</t>
        </r>
      </text>
    </comment>
    <comment ref="K77" authorId="0" shapeId="0" xr:uid="{C8BA2A6E-7446-4D41-973F-F7484ECB7B32}">
      <text>
        <r>
          <rPr>
            <b/>
            <sz val="9"/>
            <color rgb="FF000000"/>
            <rFont val="Tahoma"/>
            <family val="2"/>
          </rPr>
          <t>Dai, Qiang:</t>
        </r>
        <r>
          <rPr>
            <sz val="9"/>
            <color rgb="FF000000"/>
            <rFont val="Tahoma"/>
            <family val="2"/>
          </rPr>
          <t xml:space="preserve">
</t>
        </r>
        <r>
          <rPr>
            <sz val="9"/>
            <color rgb="FF000000"/>
            <rFont val="Tahoma"/>
            <family val="2"/>
          </rPr>
          <t>Synthetic</t>
        </r>
      </text>
    </comment>
    <comment ref="N77" authorId="0" shapeId="0" xr:uid="{00664855-B741-8C4F-8579-5A99BBCC5476}">
      <text>
        <r>
          <rPr>
            <b/>
            <sz val="9"/>
            <color rgb="FF000000"/>
            <rFont val="Tahoma"/>
            <family val="2"/>
          </rPr>
          <t>Dai, Qiang:</t>
        </r>
        <r>
          <rPr>
            <sz val="9"/>
            <color rgb="FF000000"/>
            <rFont val="Tahoma"/>
            <family val="2"/>
          </rPr>
          <t xml:space="preserve">
</t>
        </r>
        <r>
          <rPr>
            <sz val="9"/>
            <color rgb="FF000000"/>
            <rFont val="Tahoma"/>
            <family val="2"/>
          </rPr>
          <t>Al foil, NA consumption primary+ secondary</t>
        </r>
      </text>
    </comment>
    <comment ref="S77" authorId="0" shapeId="0" xr:uid="{553B4B7C-C6CE-A249-8A69-A2B8B8F88759}">
      <text>
        <r>
          <rPr>
            <b/>
            <sz val="9"/>
            <color rgb="FF000000"/>
            <rFont val="Tahoma"/>
            <family val="2"/>
          </rPr>
          <t>Dai, Qiang:</t>
        </r>
        <r>
          <rPr>
            <sz val="9"/>
            <color rgb="FF000000"/>
            <rFont val="Tahoma"/>
            <family val="2"/>
          </rPr>
          <t xml:space="preserve">
</t>
        </r>
        <r>
          <rPr>
            <sz val="9"/>
            <color rgb="FF000000"/>
            <rFont val="Tahoma"/>
            <family val="2"/>
          </rPr>
          <t>HDPE</t>
        </r>
      </text>
    </comment>
    <comment ref="U77" authorId="0" shapeId="0" xr:uid="{C2055647-B1A3-694E-A1BC-0DC73D68407A}">
      <text>
        <r>
          <rPr>
            <b/>
            <sz val="9"/>
            <color rgb="FF000000"/>
            <rFont val="Tahoma"/>
            <family val="2"/>
          </rPr>
          <t>Dai, Qiang:</t>
        </r>
        <r>
          <rPr>
            <sz val="9"/>
            <color rgb="FF000000"/>
            <rFont val="Tahoma"/>
            <family val="2"/>
          </rPr>
          <t xml:space="preserve">
</t>
        </r>
        <r>
          <rPr>
            <sz val="9"/>
            <color rgb="FF000000"/>
            <rFont val="Tahoma"/>
            <family val="2"/>
          </rPr>
          <t>Average</t>
        </r>
      </text>
    </comment>
    <comment ref="W77" authorId="0" shapeId="0" xr:uid="{CCC7E293-3B1E-A944-95C9-05351BD5E68F}">
      <text>
        <r>
          <rPr>
            <b/>
            <sz val="9"/>
            <color rgb="FF000000"/>
            <rFont val="Tahoma"/>
            <family val="2"/>
          </rPr>
          <t>Dai, Qiang:</t>
        </r>
        <r>
          <rPr>
            <sz val="9"/>
            <color rgb="FF000000"/>
            <rFont val="Tahoma"/>
            <family val="2"/>
          </rPr>
          <t xml:space="preserve">
</t>
        </r>
        <r>
          <rPr>
            <sz val="9"/>
            <color rgb="FF000000"/>
            <rFont val="Tahoma"/>
            <family val="2"/>
          </rPr>
          <t>W/ Li2CO3 from Chile</t>
        </r>
      </text>
    </comment>
    <comment ref="X77" authorId="0" shapeId="0" xr:uid="{E06821F5-4704-7541-81BB-77217CD4855D}">
      <text>
        <r>
          <rPr>
            <b/>
            <sz val="9"/>
            <color rgb="FF000000"/>
            <rFont val="Tahoma"/>
            <family val="2"/>
          </rPr>
          <t>Dai, Qiang:</t>
        </r>
        <r>
          <rPr>
            <sz val="9"/>
            <color rgb="FF000000"/>
            <rFont val="Tahoma"/>
            <family val="2"/>
          </rPr>
          <t xml:space="preserve">
</t>
        </r>
        <r>
          <rPr>
            <sz val="9"/>
            <color rgb="FF000000"/>
            <rFont val="Tahoma"/>
            <family val="2"/>
          </rPr>
          <t>Hydrothermal</t>
        </r>
      </text>
    </comment>
    <comment ref="AA77" authorId="1" shapeId="0" xr:uid="{5730F153-D036-EC4D-BB1C-73BD56A8DF7A}">
      <text>
        <r>
          <rPr>
            <b/>
            <sz val="10"/>
            <color rgb="FF000000"/>
            <rFont val="Tahoma"/>
            <family val="2"/>
          </rPr>
          <t>Qiang Dai:</t>
        </r>
        <r>
          <rPr>
            <sz val="10"/>
            <color rgb="FF000000"/>
            <rFont val="Tahoma"/>
            <family val="2"/>
          </rPr>
          <t xml:space="preserve">
</t>
        </r>
        <r>
          <rPr>
            <sz val="10"/>
            <color rgb="FF000000"/>
            <rFont val="Tahoma"/>
            <family val="2"/>
          </rPr>
          <t>U.S.</t>
        </r>
      </text>
    </comment>
    <comment ref="AC77" authorId="0" shapeId="0" xr:uid="{ECB7C97A-4058-B748-A0E3-796C545DC9EE}">
      <text>
        <r>
          <rPr>
            <b/>
            <sz val="9"/>
            <color rgb="FF000000"/>
            <rFont val="Tahoma"/>
            <family val="2"/>
          </rPr>
          <t>Dai, Qiang:</t>
        </r>
        <r>
          <rPr>
            <sz val="9"/>
            <color rgb="FF000000"/>
            <rFont val="Tahoma"/>
            <family val="2"/>
          </rPr>
          <t xml:space="preserve">
</t>
        </r>
        <r>
          <rPr>
            <sz val="9"/>
            <color rgb="FF000000"/>
            <rFont val="Tahoma"/>
            <family val="2"/>
          </rPr>
          <t>Waste product of steel making</t>
        </r>
      </text>
    </comment>
    <comment ref="AE77" authorId="0" shapeId="0" xr:uid="{A07A5FD3-AE93-1A4C-94F4-E04F06513CF0}">
      <text>
        <r>
          <rPr>
            <b/>
            <sz val="9"/>
            <color rgb="FF000000"/>
            <rFont val="Tahoma"/>
            <family val="2"/>
          </rPr>
          <t>Dai, Qiang:</t>
        </r>
        <r>
          <rPr>
            <sz val="9"/>
            <color rgb="FF000000"/>
            <rFont val="Tahoma"/>
            <family val="2"/>
          </rPr>
          <t xml:space="preserve">
</t>
        </r>
        <r>
          <rPr>
            <sz val="9"/>
            <color rgb="FF000000"/>
            <rFont val="Tahoma"/>
            <family val="2"/>
          </rPr>
          <t>in U.S.</t>
        </r>
      </text>
    </comment>
    <comment ref="AH77" authorId="0" shapeId="0" xr:uid="{22134437-D87E-9841-B40B-C2EC02277826}">
      <text>
        <r>
          <rPr>
            <b/>
            <sz val="9"/>
            <color rgb="FF000000"/>
            <rFont val="Tahoma"/>
            <family val="2"/>
          </rPr>
          <t>Dai, Qiang:</t>
        </r>
        <r>
          <rPr>
            <sz val="9"/>
            <color rgb="FF000000"/>
            <rFont val="Tahoma"/>
            <family val="2"/>
          </rPr>
          <t xml:space="preserve">
</t>
        </r>
        <r>
          <rPr>
            <sz val="9"/>
            <color rgb="FF000000"/>
            <rFont val="Tahoma"/>
            <family val="2"/>
          </rPr>
          <t>Mn2O3</t>
        </r>
      </text>
    </comment>
    <comment ref="AO77" authorId="0" shapeId="0" xr:uid="{79F1CD1E-1A11-CE4D-A33A-41F5B5504924}">
      <text>
        <r>
          <rPr>
            <b/>
            <sz val="9"/>
            <color rgb="FF000000"/>
            <rFont val="Tahoma"/>
            <family val="2"/>
          </rPr>
          <t>Dai, Qiang:</t>
        </r>
        <r>
          <rPr>
            <sz val="9"/>
            <color rgb="FF000000"/>
            <rFont val="Tahoma"/>
            <family val="2"/>
          </rPr>
          <t xml:space="preserve">
</t>
        </r>
        <r>
          <rPr>
            <sz val="9"/>
            <color rgb="FF000000"/>
            <rFont val="Tahoma"/>
            <family val="2"/>
          </rPr>
          <t>Co3O4</t>
        </r>
      </text>
    </comment>
    <comment ref="AP77" authorId="0" shapeId="0" xr:uid="{FED28C2C-6121-6C4D-ACB1-A8FC011664C9}">
      <text>
        <r>
          <rPr>
            <b/>
            <sz val="9"/>
            <color rgb="FF000000"/>
            <rFont val="Tahoma"/>
            <family val="2"/>
          </rPr>
          <t>Dai, Qiang:</t>
        </r>
        <r>
          <rPr>
            <sz val="9"/>
            <color rgb="FF000000"/>
            <rFont val="Tahoma"/>
            <family val="2"/>
          </rPr>
          <t xml:space="preserve">
</t>
        </r>
        <r>
          <rPr>
            <sz val="9"/>
            <color rgb="FF000000"/>
            <rFont val="Tahoma"/>
            <family val="2"/>
          </rPr>
          <t>Average of PE/PP/PET</t>
        </r>
      </text>
    </comment>
    <comment ref="AQ77" authorId="1" shapeId="0" xr:uid="{C8E63AB7-A5FE-DC4E-B6CC-7C2D3DEDD5E8}">
      <text>
        <r>
          <rPr>
            <b/>
            <sz val="10"/>
            <color rgb="FF000000"/>
            <rFont val="Tahoma"/>
            <family val="2"/>
          </rPr>
          <t>Qiang Dai:</t>
        </r>
        <r>
          <rPr>
            <sz val="10"/>
            <color rgb="FF000000"/>
            <rFont val="Tahoma"/>
            <family val="2"/>
          </rPr>
          <t xml:space="preserve">
</t>
        </r>
        <r>
          <rPr>
            <sz val="10"/>
            <color rgb="FF000000"/>
            <rFont val="Tahoma"/>
            <family val="2"/>
          </rPr>
          <t>Avearge of EC and DMC</t>
        </r>
      </text>
    </comment>
    <comment ref="AR77" authorId="0" shapeId="0" xr:uid="{6C62AEE6-EAE1-FE49-B807-1F4C57B0B303}">
      <text>
        <r>
          <rPr>
            <b/>
            <sz val="9"/>
            <color rgb="FF000000"/>
            <rFont val="Tahoma"/>
            <family val="2"/>
          </rPr>
          <t>Dai, Qiang:</t>
        </r>
        <r>
          <rPr>
            <sz val="9"/>
            <color rgb="FF000000"/>
            <rFont val="Tahoma"/>
            <family val="2"/>
          </rPr>
          <t xml:space="preserve">
</t>
        </r>
        <r>
          <rPr>
            <sz val="9"/>
            <color rgb="FF000000"/>
            <rFont val="Tahoma"/>
            <family val="2"/>
          </rPr>
          <t>Converted from CoSO4</t>
        </r>
      </text>
    </comment>
    <comment ref="AS77" authorId="0" shapeId="0" xr:uid="{BB56E8C2-4B8E-9C4F-904A-DCC055A9862E}">
      <text>
        <r>
          <rPr>
            <b/>
            <sz val="9"/>
            <color rgb="FF000000"/>
            <rFont val="Tahoma"/>
            <family val="2"/>
          </rPr>
          <t>Dai, Qiang:</t>
        </r>
        <r>
          <rPr>
            <sz val="9"/>
            <color rgb="FF000000"/>
            <rFont val="Tahoma"/>
            <family val="2"/>
          </rPr>
          <t xml:space="preserve">
</t>
        </r>
        <r>
          <rPr>
            <sz val="9"/>
            <color rgb="FF000000"/>
            <rFont val="Tahoma"/>
            <family val="2"/>
          </rPr>
          <t>Converted from NiSO4</t>
        </r>
      </text>
    </comment>
    <comment ref="AT77" authorId="0" shapeId="0" xr:uid="{D9DFF5FF-8D1F-4FD3-B1CF-2D611F4BE358}">
      <text>
        <r>
          <rPr>
            <b/>
            <sz val="9"/>
            <color indexed="81"/>
            <rFont val="Tahoma"/>
            <family val="2"/>
          </rPr>
          <t>Dai, Qiang:</t>
        </r>
        <r>
          <rPr>
            <sz val="9"/>
            <color indexed="81"/>
            <rFont val="Tahoma"/>
            <family val="2"/>
          </rPr>
          <t xml:space="preserve">
Average</t>
        </r>
      </text>
    </comment>
    <comment ref="BA77" authorId="1" shapeId="0" xr:uid="{3E8168E9-2E38-C44E-8DF2-58FCEB131A55}">
      <text>
        <r>
          <rPr>
            <b/>
            <sz val="10"/>
            <color rgb="FF000000"/>
            <rFont val="Tahoma"/>
            <family val="2"/>
          </rPr>
          <t>Qiang Dai:</t>
        </r>
        <r>
          <rPr>
            <sz val="10"/>
            <color rgb="FF000000"/>
            <rFont val="Tahoma"/>
            <family val="2"/>
          </rPr>
          <t xml:space="preserve">
Glass fiber/E glass</t>
        </r>
      </text>
    </comment>
    <comment ref="E124" authorId="0" shapeId="0" xr:uid="{F660DF8A-867A-4541-AE29-8E713D4DEF49}">
      <text>
        <r>
          <rPr>
            <b/>
            <sz val="9"/>
            <color rgb="FF000000"/>
            <rFont val="Tahoma"/>
            <family val="2"/>
          </rPr>
          <t>Dai, Qiang:</t>
        </r>
        <r>
          <rPr>
            <sz val="9"/>
            <color rgb="FF000000"/>
            <rFont val="Tahoma"/>
            <family val="2"/>
          </rPr>
          <t xml:space="preserve">
</t>
        </r>
        <r>
          <rPr>
            <sz val="9"/>
            <color rgb="FF000000"/>
            <rFont val="Tahoma"/>
            <family val="2"/>
          </rPr>
          <t>For chemicals</t>
        </r>
      </text>
    </comment>
    <comment ref="F124" authorId="1" shapeId="0" xr:uid="{AEFC2831-277F-C142-9559-5EA8F07CAACA}">
      <text>
        <r>
          <rPr>
            <b/>
            <sz val="10"/>
            <color rgb="FF000000"/>
            <rFont val="Tahoma"/>
            <family val="2"/>
          </rPr>
          <t>Qiang Dai:</t>
        </r>
        <r>
          <rPr>
            <sz val="10"/>
            <color rgb="FF000000"/>
            <rFont val="Tahoma"/>
            <family val="2"/>
          </rPr>
          <t xml:space="preserve">
</t>
        </r>
        <r>
          <rPr>
            <sz val="10"/>
            <color rgb="FF000000"/>
            <rFont val="Tahoma"/>
            <family val="2"/>
          </rPr>
          <t>For chemicals</t>
        </r>
      </text>
    </comment>
    <comment ref="B129" authorId="0" shapeId="0" xr:uid="{048D4533-8A15-3C42-8DC1-C06D9BF6539F}">
      <text>
        <r>
          <rPr>
            <b/>
            <sz val="9"/>
            <color rgb="FF000000"/>
            <rFont val="Tahoma"/>
            <family val="2"/>
          </rPr>
          <t>Dai, Qiang:</t>
        </r>
        <r>
          <rPr>
            <sz val="9"/>
            <color rgb="FF000000"/>
            <rFont val="Tahoma"/>
            <family val="2"/>
          </rPr>
          <t xml:space="preserve">
</t>
        </r>
        <r>
          <rPr>
            <sz val="9"/>
            <color rgb="FF000000"/>
            <rFont val="Tahoma"/>
            <family val="2"/>
          </rPr>
          <t>Diesel</t>
        </r>
      </text>
    </comment>
    <comment ref="D129" authorId="0" shapeId="0" xr:uid="{C8DE1372-E23A-274A-B4E0-F2CF6ED54E22}">
      <text>
        <r>
          <rPr>
            <b/>
            <sz val="9"/>
            <color rgb="FF000000"/>
            <rFont val="Tahoma"/>
            <family val="2"/>
          </rPr>
          <t>Dai, Qiang:</t>
        </r>
        <r>
          <rPr>
            <sz val="9"/>
            <color rgb="FF000000"/>
            <rFont val="Tahoma"/>
            <family val="2"/>
          </rPr>
          <t xml:space="preserve">
</t>
        </r>
        <r>
          <rPr>
            <sz val="9"/>
            <color rgb="FF000000"/>
            <rFont val="Tahoma"/>
            <family val="2"/>
          </rPr>
          <t>Diesel</t>
        </r>
      </text>
    </comment>
    <comment ref="F129" authorId="0" shapeId="0" xr:uid="{8CFF851F-8DC0-BC4B-9319-1CEB48571C1F}">
      <text>
        <r>
          <rPr>
            <b/>
            <sz val="9"/>
            <color rgb="FF000000"/>
            <rFont val="Tahoma"/>
            <family val="2"/>
          </rPr>
          <t>Dai, Qiang:</t>
        </r>
        <r>
          <rPr>
            <sz val="9"/>
            <color rgb="FF000000"/>
            <rFont val="Tahoma"/>
            <family val="2"/>
          </rPr>
          <t xml:space="preserve">
</t>
        </r>
        <r>
          <rPr>
            <sz val="9"/>
            <color rgb="FF000000"/>
            <rFont val="Tahoma"/>
            <family val="2"/>
          </rPr>
          <t>Diesel</t>
        </r>
      </text>
    </comment>
    <comment ref="H129" authorId="0" shapeId="0" xr:uid="{71F7AEC0-237C-8B44-8461-5F61876BB2E7}">
      <text>
        <r>
          <rPr>
            <b/>
            <sz val="9"/>
            <color rgb="FF000000"/>
            <rFont val="Tahoma"/>
            <family val="2"/>
          </rPr>
          <t>Dai, Qiang:</t>
        </r>
        <r>
          <rPr>
            <sz val="9"/>
            <color rgb="FF000000"/>
            <rFont val="Tahoma"/>
            <family val="2"/>
          </rPr>
          <t xml:space="preserve">
</t>
        </r>
        <r>
          <rPr>
            <sz val="9"/>
            <color rgb="FF000000"/>
            <rFont val="Tahoma"/>
            <family val="2"/>
          </rPr>
          <t>Residual oil (bunker fuel)</t>
        </r>
      </text>
    </comment>
    <comment ref="J129" authorId="0" shapeId="0" xr:uid="{F96ECD08-9324-C44F-AC78-FB624256CA6E}">
      <text>
        <r>
          <rPr>
            <b/>
            <sz val="9"/>
            <color rgb="FF000000"/>
            <rFont val="Tahoma"/>
            <family val="2"/>
          </rPr>
          <t>Dai, Qiang:</t>
        </r>
        <r>
          <rPr>
            <sz val="9"/>
            <color rgb="FF000000"/>
            <rFont val="Tahoma"/>
            <family val="2"/>
          </rPr>
          <t xml:space="preserve">
</t>
        </r>
        <r>
          <rPr>
            <sz val="9"/>
            <color rgb="FF000000"/>
            <rFont val="Tahoma"/>
            <family val="2"/>
          </rPr>
          <t>Residual oil</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LinkedTable_Table1" type="102" refreshedVersion="5" minRefreshableVersion="5">
    <extLst>
      <ext xmlns:x15="http://schemas.microsoft.com/office/spreadsheetml/2010/11/main" uri="{DE250136-89BD-433C-8126-D09CA5730AF9}">
        <x15:connection id="Table1-bfd1986a-7a78-47f4-bb28-5a149c826141">
          <x15:rangePr sourceName="_xlcn.LinkedTable_Table1"/>
        </x15:connection>
      </ext>
    </extLst>
  </connection>
  <connection id="2" xr16:uid="{00000000-0015-0000-FFFF-FFFF01000000}" name="LinkedTable_Table2" type="102" refreshedVersion="5" minRefreshableVersion="5">
    <extLst>
      <ext xmlns:x15="http://schemas.microsoft.com/office/spreadsheetml/2010/11/main" uri="{DE250136-89BD-433C-8126-D09CA5730AF9}">
        <x15:connection id="Table2-2ddd0292-5c67-44a2-87aa-5ff38999b739">
          <x15:rangePr sourceName="_xlcn.LinkedTable_Table2"/>
        </x15:connection>
      </ext>
    </extLst>
  </connection>
  <connection id="3" xr16:uid="{00000000-0015-0000-FFFF-FFFF02000000}" keepAlive="1" name="ThisWorkbookDataModel" description="Data Model" type="5" refreshedVersion="5" minRefreshableVersion="5" background="1">
    <dbPr connection="Data Model Connection" command="Model" commandType="1"/>
    <olapPr sendLocale="1" rowDrillCount="1000" serverFill="0" serverNumberFormat="0" serverFont="0" serverFontColor="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<sst xmlns="http://schemas.openxmlformats.org/spreadsheetml/2006/main" count="24676" uniqueCount="1998">
  <si>
    <t xml:space="preserve">Basic Input </t>
  </si>
  <si>
    <t>Throughput</t>
  </si>
  <si>
    <t>Chemistry</t>
  </si>
  <si>
    <t>Geographic location</t>
  </si>
  <si>
    <t>Miles</t>
  </si>
  <si>
    <t>Process</t>
  </si>
  <si>
    <t>%</t>
  </si>
  <si>
    <t>Coal energy</t>
  </si>
  <si>
    <t>Natural gas energy</t>
  </si>
  <si>
    <t>Petroleum energy</t>
  </si>
  <si>
    <t>Water consumption</t>
  </si>
  <si>
    <t>VOC</t>
  </si>
  <si>
    <t>PM10</t>
  </si>
  <si>
    <t>PM2.5</t>
  </si>
  <si>
    <t>BC</t>
  </si>
  <si>
    <t>OC</t>
  </si>
  <si>
    <t>CH4</t>
  </si>
  <si>
    <t>CO2</t>
  </si>
  <si>
    <t>GHGs</t>
  </si>
  <si>
    <t>N2O</t>
  </si>
  <si>
    <t>SOx</t>
  </si>
  <si>
    <t>Recycle</t>
  </si>
  <si>
    <t>Hydrocyclone</t>
  </si>
  <si>
    <t>Cyclone</t>
  </si>
  <si>
    <t>Smelter</t>
  </si>
  <si>
    <t>Feeder</t>
  </si>
  <si>
    <t>Conveyor</t>
  </si>
  <si>
    <t>Crystallizer</t>
  </si>
  <si>
    <t>Calciner</t>
  </si>
  <si>
    <t>Electrodeposition</t>
  </si>
  <si>
    <t>Pelletizer</t>
  </si>
  <si>
    <t>Briquetter</t>
  </si>
  <si>
    <t>Ball Mill</t>
  </si>
  <si>
    <t>Distillation</t>
  </si>
  <si>
    <t>Shredder with inert gas</t>
  </si>
  <si>
    <t>Membrane separator</t>
  </si>
  <si>
    <t>Custom</t>
  </si>
  <si>
    <t>Oxidizer</t>
  </si>
  <si>
    <t>Limestone</t>
  </si>
  <si>
    <t>Sand</t>
  </si>
  <si>
    <t>Natural Gas</t>
  </si>
  <si>
    <t>Copper</t>
  </si>
  <si>
    <t>LCO</t>
  </si>
  <si>
    <t>Pyrometallurgical</t>
  </si>
  <si>
    <t>Hydrometallurgical</t>
  </si>
  <si>
    <t>Intermediate physical</t>
  </si>
  <si>
    <t>Direct physical</t>
  </si>
  <si>
    <t>U.S.</t>
  </si>
  <si>
    <t>Korea</t>
  </si>
  <si>
    <t>China</t>
  </si>
  <si>
    <t>Yes</t>
  </si>
  <si>
    <t>Selected</t>
  </si>
  <si>
    <t>User-defined</t>
  </si>
  <si>
    <t>Active cathode material</t>
  </si>
  <si>
    <t>Graphite</t>
  </si>
  <si>
    <t>Carbon black</t>
  </si>
  <si>
    <t>Binder: PVDF</t>
  </si>
  <si>
    <t>Electrolyte: LiPF6</t>
  </si>
  <si>
    <t>Electrolyte: EC</t>
  </si>
  <si>
    <t>Electrolyte: DMC</t>
  </si>
  <si>
    <t>Plastic: PP</t>
  </si>
  <si>
    <t>Plastic: PE</t>
  </si>
  <si>
    <t>Plastic: PET</t>
  </si>
  <si>
    <t>Default</t>
  </si>
  <si>
    <t>1. Material costs</t>
  </si>
  <si>
    <t>1) Material unit costs</t>
  </si>
  <si>
    <t>PVDF</t>
  </si>
  <si>
    <t>NMP</t>
  </si>
  <si>
    <t>Cu foil (10µm)</t>
  </si>
  <si>
    <t>Separator (15µm)</t>
  </si>
  <si>
    <t>Electrolyte</t>
  </si>
  <si>
    <t>Cell container</t>
  </si>
  <si>
    <t>2) Active cathode material cost</t>
  </si>
  <si>
    <t>NCA</t>
  </si>
  <si>
    <t>Li</t>
  </si>
  <si>
    <t>Ni</t>
  </si>
  <si>
    <t>Mn</t>
  </si>
  <si>
    <t>Co</t>
  </si>
  <si>
    <t>O</t>
  </si>
  <si>
    <t>2. Material yields</t>
  </si>
  <si>
    <t>1) Cell yield</t>
  </si>
  <si>
    <t>(5% cells rejected)</t>
  </si>
  <si>
    <t>2) Material yield per accepted cell</t>
  </si>
  <si>
    <t>Active anode material</t>
  </si>
  <si>
    <t>Aluminum foil</t>
  </si>
  <si>
    <t>Copper foil</t>
  </si>
  <si>
    <t>Separator</t>
  </si>
  <si>
    <t xml:space="preserve">Yield </t>
  </si>
  <si>
    <t>3) Electrode solvent use</t>
  </si>
  <si>
    <t>NMP recovery rate</t>
  </si>
  <si>
    <t>3. Power factors p</t>
  </si>
  <si>
    <r>
      <t>C=C</t>
    </r>
    <r>
      <rPr>
        <vertAlign val="subscript"/>
        <sz val="16"/>
        <color theme="1"/>
        <rFont val="DengXian"/>
        <family val="2"/>
        <scheme val="minor"/>
      </rPr>
      <t>0</t>
    </r>
    <r>
      <rPr>
        <sz val="11"/>
        <color theme="1"/>
        <rFont val="DengXian"/>
        <family val="2"/>
        <scheme val="minor"/>
      </rPr>
      <t>(R/R</t>
    </r>
    <r>
      <rPr>
        <vertAlign val="subscript"/>
        <sz val="16"/>
        <color theme="1"/>
        <rFont val="DengXian"/>
        <family val="2"/>
        <scheme val="minor"/>
      </rPr>
      <t>0</t>
    </r>
    <r>
      <rPr>
        <sz val="11"/>
        <color theme="1"/>
        <rFont val="DengXian"/>
        <family val="2"/>
        <scheme val="minor"/>
      </rPr>
      <t>)</t>
    </r>
    <r>
      <rPr>
        <vertAlign val="superscript"/>
        <sz val="16"/>
        <color theme="1"/>
        <rFont val="DengXian"/>
        <family val="2"/>
        <scheme val="minor"/>
      </rPr>
      <t>p</t>
    </r>
  </si>
  <si>
    <t>1) Materials</t>
  </si>
  <si>
    <t>Water</t>
  </si>
  <si>
    <t>Positive terminal</t>
  </si>
  <si>
    <t>Negative terminal</t>
  </si>
  <si>
    <t>2) Direct labor</t>
  </si>
  <si>
    <t>Solvent recovery</t>
  </si>
  <si>
    <t>Electrode slitting</t>
  </si>
  <si>
    <t>Control lab</t>
  </si>
  <si>
    <t>Cell stacking</t>
  </si>
  <si>
    <t>Current collector welding</t>
  </si>
  <si>
    <t>Electrolyte filling and cell sealing</t>
  </si>
  <si>
    <t>Rejected cell and scrap recycle</t>
  </si>
  <si>
    <t>Shipping</t>
  </si>
  <si>
    <t>3) Capital equipment</t>
  </si>
  <si>
    <t>4) Plant area</t>
  </si>
  <si>
    <t>5) Others</t>
  </si>
  <si>
    <t>4. Direct labor (hrs/yr)</t>
  </si>
  <si>
    <t>5. Capital cost (mil $)</t>
  </si>
  <si>
    <r>
      <t>6. Plant area (m</t>
    </r>
    <r>
      <rPr>
        <b/>
        <vertAlign val="superscript"/>
        <sz val="16"/>
        <color theme="1"/>
        <rFont val="DengXian"/>
        <family val="2"/>
        <scheme val="minor"/>
      </rPr>
      <t>2</t>
    </r>
    <r>
      <rPr>
        <b/>
        <sz val="16"/>
        <color theme="1"/>
        <rFont val="DengXian"/>
        <family val="2"/>
        <scheme val="minor"/>
      </rPr>
      <t>)</t>
    </r>
  </si>
  <si>
    <t>7. Baseline manufacturing rates</t>
  </si>
  <si>
    <t>Days of operation per year</t>
  </si>
  <si>
    <t>Energy (kWh/yr)</t>
  </si>
  <si>
    <t>Accepted cells (#/yr)</t>
  </si>
  <si>
    <t>Positive active material (kg/yr)</t>
  </si>
  <si>
    <t>Negative active material (kg/yr)</t>
  </si>
  <si>
    <t>Positive binder solvent evap. (kg/yr)</t>
  </si>
  <si>
    <t>Negative bind solvent evap. (kg/yr)</t>
  </si>
  <si>
    <t>8. Cost rates</t>
  </si>
  <si>
    <t>Investment costs</t>
  </si>
  <si>
    <t>Variable costs</t>
  </si>
  <si>
    <t>Fixed expenses</t>
  </si>
  <si>
    <t>Profits</t>
  </si>
  <si>
    <t>Warranty</t>
  </si>
  <si>
    <t>Launch cost</t>
  </si>
  <si>
    <t>Working captial</t>
  </si>
  <si>
    <t>Direct labor ($/hr)</t>
  </si>
  <si>
    <t>Variable overhead</t>
  </si>
  <si>
    <t>General, sales, administration</t>
  </si>
  <si>
    <t>R&amp;D</t>
  </si>
  <si>
    <t>Depreciation</t>
  </si>
  <si>
    <t>% of MC</t>
  </si>
  <si>
    <t>% of (DL+VO)</t>
  </si>
  <si>
    <t>% of VC</t>
  </si>
  <si>
    <t>% of DL</t>
  </si>
  <si>
    <t>% of dep</t>
  </si>
  <si>
    <t>% of equip</t>
  </si>
  <si>
    <t>% of building</t>
  </si>
  <si>
    <t>% of invest</t>
  </si>
  <si>
    <t>% added price</t>
  </si>
  <si>
    <r>
      <t>Al foil (15</t>
    </r>
    <r>
      <rPr>
        <sz val="11"/>
        <color theme="1"/>
        <rFont val="Calibri"/>
        <family val="2"/>
      </rPr>
      <t>µm)</t>
    </r>
  </si>
  <si>
    <r>
      <t>Building cost ($/m</t>
    </r>
    <r>
      <rPr>
        <vertAlign val="superscript"/>
        <sz val="11"/>
        <color rgb="FF006100"/>
        <rFont val="DengXian"/>
        <family val="2"/>
        <scheme val="minor"/>
      </rPr>
      <t>2</t>
    </r>
    <r>
      <rPr>
        <sz val="11"/>
        <color rgb="FF006100"/>
        <rFont val="DengXian"/>
        <family val="2"/>
        <scheme val="minor"/>
      </rPr>
      <t>)</t>
    </r>
  </si>
  <si>
    <t>Generic Hydro Process</t>
  </si>
  <si>
    <t>Select Chemistry</t>
  </si>
  <si>
    <t>Select Location</t>
  </si>
  <si>
    <t>Select Process</t>
  </si>
  <si>
    <t>NMC</t>
  </si>
  <si>
    <t>LMO</t>
  </si>
  <si>
    <t>LFP</t>
  </si>
  <si>
    <t>1.2 Cell size</t>
  </si>
  <si>
    <t>1.3 Cell material composition (wt%)</t>
  </si>
  <si>
    <t>1.1 Basic information</t>
  </si>
  <si>
    <t>Cathode chemistry</t>
  </si>
  <si>
    <t>Cell energy (kWh)</t>
  </si>
  <si>
    <t>Cell mass (kg)</t>
  </si>
  <si>
    <t>1.4 Cell manufacturing energy consumption</t>
  </si>
  <si>
    <t>Total energy consumption (MJ/kg cell)</t>
  </si>
  <si>
    <t>Share of electricity consumption</t>
  </si>
  <si>
    <t>2. Calculation</t>
  </si>
  <si>
    <t>1. Input</t>
  </si>
  <si>
    <t>1.5 Material yields</t>
  </si>
  <si>
    <t>1.5.1 Cell yield (%)</t>
  </si>
  <si>
    <t>1.5.3 Solvent use for electrode production</t>
  </si>
  <si>
    <t>Cathode solvent</t>
  </si>
  <si>
    <t>Anode solvent</t>
  </si>
  <si>
    <t>Solvent/binder mass ratio</t>
  </si>
  <si>
    <t>Cell accepted after testing (%)</t>
  </si>
  <si>
    <t>Select Solvent</t>
  </si>
  <si>
    <t>2.1 Material input for cell manufacturing</t>
  </si>
  <si>
    <t>Material input (kg/kg cell)</t>
  </si>
  <si>
    <t>2.2 Environmental impact of cell manufacturing</t>
  </si>
  <si>
    <t>Energy Use: mmBtu</t>
  </si>
  <si>
    <t xml:space="preserve">     Total Energy</t>
  </si>
  <si>
    <t xml:space="preserve">     Fossil fuels</t>
  </si>
  <si>
    <t xml:space="preserve">     Coal</t>
  </si>
  <si>
    <t xml:space="preserve">     Natural gas</t>
  </si>
  <si>
    <t xml:space="preserve">     Petroleum</t>
  </si>
  <si>
    <t>Water consumption (gal)</t>
  </si>
  <si>
    <t>Total Emissions: grams</t>
  </si>
  <si>
    <t xml:space="preserve">     VOC</t>
  </si>
  <si>
    <t xml:space="preserve">     CO</t>
  </si>
  <si>
    <t xml:space="preserve">     NOx</t>
  </si>
  <si>
    <t xml:space="preserve">     PM10</t>
  </si>
  <si>
    <t xml:space="preserve">     PM2.5</t>
  </si>
  <si>
    <t xml:space="preserve">     SOx</t>
  </si>
  <si>
    <t xml:space="preserve">     BC</t>
  </si>
  <si>
    <t xml:space="preserve">     OC</t>
  </si>
  <si>
    <t xml:space="preserve">     CH4</t>
  </si>
  <si>
    <t xml:space="preserve">     N2O</t>
  </si>
  <si>
    <t xml:space="preserve">     CO2</t>
  </si>
  <si>
    <t>Material inputs</t>
  </si>
  <si>
    <t>Energy inputs</t>
  </si>
  <si>
    <t>Total</t>
  </si>
  <si>
    <t>Energy Use: mmBtu/kg cell</t>
  </si>
  <si>
    <t>Water consumption (gal/kg cell)</t>
  </si>
  <si>
    <t>Total Emissions: grams/kg cell</t>
  </si>
  <si>
    <t>CO2 (w/ C in VOC &amp; CO)</t>
  </si>
  <si>
    <t xml:space="preserve">     CO2 (w/ C in VOC &amp; CO)</t>
  </si>
  <si>
    <t xml:space="preserve">     GHGs</t>
  </si>
  <si>
    <t>Residual Oil</t>
  </si>
  <si>
    <t>Diesel Fuel</t>
  </si>
  <si>
    <t>Gasoline</t>
  </si>
  <si>
    <t>Crude</t>
  </si>
  <si>
    <t>LPG</t>
  </si>
  <si>
    <t>Coal</t>
  </si>
  <si>
    <t>Pet Coke</t>
  </si>
  <si>
    <t>Willow</t>
  </si>
  <si>
    <t>Char</t>
  </si>
  <si>
    <t>Utility/ Industrial Boiler (&gt;100 mmBtu/hr input)</t>
  </si>
  <si>
    <t>Small Industrial Boiler (10-100 mmBtu/hr input)</t>
  </si>
  <si>
    <t>Large Gas Turbine</t>
  </si>
  <si>
    <t>CC Gas Turbine</t>
  </si>
  <si>
    <t>Small Turbine</t>
  </si>
  <si>
    <t>Stationary Reciprocating Engine</t>
  </si>
  <si>
    <t xml:space="preserve">    NG Flaring in Oil Field</t>
  </si>
  <si>
    <t>NG Kiln</t>
  </si>
  <si>
    <t>Utility Boiler</t>
  </si>
  <si>
    <t>Industrial Boiler</t>
  </si>
  <si>
    <t>Commercial Boiler</t>
  </si>
  <si>
    <t>Turbine</t>
  </si>
  <si>
    <t>Farming Tractor</t>
  </si>
  <si>
    <t>Heavy Heavy-Duty Truck (Origin to Destination)</t>
  </si>
  <si>
    <t>Heavy Heavy-Duty Truck (Destination to Origin)</t>
  </si>
  <si>
    <t>IGCC Turbine</t>
  </si>
  <si>
    <t>Kiln</t>
  </si>
  <si>
    <t>Small Industrial Boiler</t>
  </si>
  <si>
    <t>Large Industrial Boiler</t>
  </si>
  <si>
    <t>Gasification Turbine</t>
  </si>
  <si>
    <t>Gasifier</t>
  </si>
  <si>
    <t xml:space="preserve"> Boiler</t>
  </si>
  <si>
    <t>CO</t>
  </si>
  <si>
    <t>NOx</t>
  </si>
  <si>
    <t>2. NG Summary of Energy Consumption and Emissions: Btu or Grams per mmBtu of Fuel Throughput at Each Stage</t>
  </si>
  <si>
    <t>1) Energy Use and Total Emissions</t>
  </si>
  <si>
    <t>Natural Gas as Stationary Fuels</t>
  </si>
  <si>
    <t>Methanol: Combined</t>
  </si>
  <si>
    <t>Natural Gas/Landfill Gas to Liquefied Petroleum Gas</t>
  </si>
  <si>
    <t>Feedstock</t>
  </si>
  <si>
    <t>Fuel</t>
  </si>
  <si>
    <t>Loss factor</t>
  </si>
  <si>
    <t>Total energy</t>
  </si>
  <si>
    <t>Fossil fuels</t>
  </si>
  <si>
    <t>Natural gas</t>
  </si>
  <si>
    <t>Petroleum</t>
  </si>
  <si>
    <t>2) Urban Emissions: Grams per mmBtu of Fuel Throughput at Each Stage</t>
  </si>
  <si>
    <t>3. Electricity Fuel-Cycle Energy Use and Emissions of Electric Generation: Btu or Grams per mmBtu of Electricity Available at User Sites (wall outlets)</t>
  </si>
  <si>
    <t>Stationary Use: U.S. Mix</t>
  </si>
  <si>
    <t>Oil-Fired Power Plant</t>
  </si>
  <si>
    <t>NG-Fired Power Plant</t>
  </si>
  <si>
    <t>Coal-Fired Power Plant</t>
  </si>
  <si>
    <t>Biomass-Fired Power Plant</t>
  </si>
  <si>
    <t>Nuclear Power Plant (LWR)</t>
  </si>
  <si>
    <t>Other Power Plants</t>
  </si>
  <si>
    <t>NG-Fired Combined Cycle Power Plant</t>
  </si>
  <si>
    <t>Hydroelectric Power Plant</t>
  </si>
  <si>
    <t>Stationary Use: CA Mix</t>
  </si>
  <si>
    <t>Urban</t>
  </si>
  <si>
    <t>Citric Acid</t>
  </si>
  <si>
    <t>Hydrogen Peroxide</t>
  </si>
  <si>
    <t>Urban Emissions: grams</t>
  </si>
  <si>
    <t>5. Global warming potential of GHGs: relative to CO2</t>
  </si>
  <si>
    <t>Metrics for Carbon Dioxide, Methane, Nitrous Oxide</t>
  </si>
  <si>
    <t>AR Edition/Type</t>
  </si>
  <si>
    <t>Time Horizon (YR)</t>
  </si>
  <si>
    <t>6. Carbon ratios of pollutants</t>
  </si>
  <si>
    <t>Carbon ratio of VOC</t>
  </si>
  <si>
    <t>Carbon ratio of CO</t>
  </si>
  <si>
    <t>Carbon ratio of CO2</t>
  </si>
  <si>
    <t>7. Transportation</t>
  </si>
  <si>
    <t>Unit conversion</t>
  </si>
  <si>
    <t>1 kg to ton</t>
  </si>
  <si>
    <t>2.3 Cost of cell manufacturing</t>
  </si>
  <si>
    <t>2.3.1 Material cost</t>
  </si>
  <si>
    <t>Cost ($/kg cell)</t>
  </si>
  <si>
    <t>Active cathode</t>
  </si>
  <si>
    <t>Active anode</t>
  </si>
  <si>
    <t>2.3.2 Annual processing rate</t>
  </si>
  <si>
    <t>Total cell energy (kWh/yr)</t>
  </si>
  <si>
    <t>Cells adjusted for yield (#/yr)</t>
  </si>
  <si>
    <t>2.3.3 Cell assembly cost parameters</t>
  </si>
  <si>
    <t>Direct labor (hr/yr)</t>
  </si>
  <si>
    <t>Capital equipment ($mil)</t>
  </si>
  <si>
    <r>
      <t>Plant area (m</t>
    </r>
    <r>
      <rPr>
        <vertAlign val="superscript"/>
        <sz val="11"/>
        <color theme="1"/>
        <rFont val="DengXian"/>
        <family val="2"/>
        <scheme val="minor"/>
      </rPr>
      <t>2</t>
    </r>
    <r>
      <rPr>
        <sz val="11"/>
        <color theme="1"/>
        <rFont val="DengXian"/>
        <family val="2"/>
        <scheme val="minor"/>
      </rPr>
      <t>)</t>
    </r>
  </si>
  <si>
    <t>Cost ratio</t>
  </si>
  <si>
    <t>2.3.4 Cost summary ($/kg cell)</t>
  </si>
  <si>
    <t>Materials</t>
  </si>
  <si>
    <t>Direct labor</t>
  </si>
  <si>
    <t>Research and development</t>
  </si>
  <si>
    <t>Total variable</t>
  </si>
  <si>
    <t>Total investment</t>
  </si>
  <si>
    <t>Working capital</t>
  </si>
  <si>
    <t>Capital equipment</t>
  </si>
  <si>
    <t>Building</t>
  </si>
  <si>
    <t>Profit</t>
  </si>
  <si>
    <t>Cu</t>
  </si>
  <si>
    <t>Al</t>
  </si>
  <si>
    <t>Fe</t>
  </si>
  <si>
    <t>Plastics</t>
  </si>
  <si>
    <t>Electrolyte organics</t>
  </si>
  <si>
    <t>Molecular weight (g/mol)</t>
  </si>
  <si>
    <t>LiPF6</t>
  </si>
  <si>
    <t>P</t>
  </si>
  <si>
    <t>F</t>
  </si>
  <si>
    <t>Grams of element per mole of material</t>
  </si>
  <si>
    <t>Number of molecules per mole of material</t>
  </si>
  <si>
    <t>Material</t>
  </si>
  <si>
    <t>Value</t>
  </si>
  <si>
    <t>Cost</t>
  </si>
  <si>
    <t>Rail</t>
  </si>
  <si>
    <t>Heavy heavy-duty truck</t>
  </si>
  <si>
    <t>Medium heavy-duty truck</t>
  </si>
  <si>
    <t>Ocean tanker</t>
  </si>
  <si>
    <t>Barge</t>
  </si>
  <si>
    <t>Select Transportation Mode</t>
  </si>
  <si>
    <t>1.3 Truck payload (ton)</t>
  </si>
  <si>
    <t>7.1 Energy consumption of transportation</t>
  </si>
  <si>
    <t>Medium heavy-duty truck (btu/mile)</t>
  </si>
  <si>
    <t>Rail (btu/ton-mile)</t>
  </si>
  <si>
    <t>Trip from product origin to destination</t>
  </si>
  <si>
    <t>Trip from product destination back to origin</t>
  </si>
  <si>
    <t>Origin to destination</t>
  </si>
  <si>
    <t>Back-haul</t>
  </si>
  <si>
    <t>7.3 Energy consumption, water consumption and emissions from transportation fuel production</t>
  </si>
  <si>
    <t>Diesel</t>
  </si>
  <si>
    <t xml:space="preserve">           Total energy </t>
  </si>
  <si>
    <t xml:space="preserve">           Fossil energy</t>
  </si>
  <si>
    <t xml:space="preserve">           Coal</t>
  </si>
  <si>
    <t xml:space="preserve">           Natural gas</t>
  </si>
  <si>
    <t xml:space="preserve">           Petroleum</t>
  </si>
  <si>
    <t xml:space="preserve">              VOC</t>
  </si>
  <si>
    <t xml:space="preserve">              CO</t>
  </si>
  <si>
    <t xml:space="preserve">              NOx</t>
  </si>
  <si>
    <t xml:space="preserve">              PM10</t>
  </si>
  <si>
    <t xml:space="preserve">              PM2.5</t>
  </si>
  <si>
    <t xml:space="preserve">              SOx</t>
  </si>
  <si>
    <t xml:space="preserve">              BC</t>
  </si>
  <si>
    <t xml:space="preserve">              OC</t>
  </si>
  <si>
    <t xml:space="preserve">              CH4</t>
  </si>
  <si>
    <t xml:space="preserve">              N2O</t>
  </si>
  <si>
    <t xml:space="preserve">              CO2</t>
  </si>
  <si>
    <t>Ocean tanker (btu/ton-mile)</t>
  </si>
  <si>
    <t>Barge (btu/ton-mile)</t>
  </si>
  <si>
    <r>
      <t>Li</t>
    </r>
    <r>
      <rPr>
        <vertAlign val="subscript"/>
        <sz val="11"/>
        <color theme="1"/>
        <rFont val="DengXian"/>
        <family val="2"/>
        <scheme val="minor"/>
      </rPr>
      <t>2</t>
    </r>
    <r>
      <rPr>
        <sz val="11"/>
        <color theme="1"/>
        <rFont val="DengXian"/>
        <family val="2"/>
        <scheme val="minor"/>
      </rPr>
      <t>CO</t>
    </r>
    <r>
      <rPr>
        <vertAlign val="subscript"/>
        <sz val="11"/>
        <color theme="1"/>
        <rFont val="DengXian"/>
        <family val="2"/>
        <scheme val="minor"/>
      </rPr>
      <t>3</t>
    </r>
  </si>
  <si>
    <t>Water consumption (gal/kg)</t>
  </si>
  <si>
    <t>Total Emissions: grams/kg</t>
  </si>
  <si>
    <t>Energy Use: mmBtu/kg</t>
  </si>
  <si>
    <t xml:space="preserve"> </t>
  </si>
  <si>
    <t>MW (g/mol)</t>
  </si>
  <si>
    <t>2.4.2 Manufacturing scrap breakdown by metals and other materials (kg/kg)</t>
  </si>
  <si>
    <t>1.5.2 Material yield per cell (%)</t>
  </si>
  <si>
    <t>2.4.3 Rejected cell breakdown by metals and other materials (kg/kg)</t>
  </si>
  <si>
    <t>Active cathode materials</t>
  </si>
  <si>
    <t>Select Fate</t>
  </si>
  <si>
    <t>Sell</t>
  </si>
  <si>
    <t>Burn for energy</t>
  </si>
  <si>
    <t>Landfill</t>
  </si>
  <si>
    <t>General Details</t>
  </si>
  <si>
    <t>Custom Recycling Process</t>
  </si>
  <si>
    <t>1.2 Plant information</t>
  </si>
  <si>
    <t xml:space="preserve">Selected </t>
  </si>
  <si>
    <t xml:space="preserve">Default </t>
  </si>
  <si>
    <t>1.4 Equipment</t>
  </si>
  <si>
    <t>Electricity</t>
  </si>
  <si>
    <t>2. Calcualtion</t>
  </si>
  <si>
    <t>Carbon content</t>
  </si>
  <si>
    <t>PET</t>
  </si>
  <si>
    <t>PP</t>
  </si>
  <si>
    <t>PE</t>
  </si>
  <si>
    <t>EC</t>
  </si>
  <si>
    <t>DMC</t>
  </si>
  <si>
    <t>Li2CO3</t>
  </si>
  <si>
    <t>C</t>
  </si>
  <si>
    <t>MW(g/mole)</t>
  </si>
  <si>
    <t>Process water</t>
  </si>
  <si>
    <t>2.1.1 Process emissions (excluding emissions from fuel combustion)</t>
  </si>
  <si>
    <t>Material input</t>
  </si>
  <si>
    <t>Energy input</t>
  </si>
  <si>
    <t>No allocation</t>
  </si>
  <si>
    <t>Mass</t>
  </si>
  <si>
    <t>Economic value</t>
  </si>
  <si>
    <t>System expansion</t>
  </si>
  <si>
    <t>Select Allocation Method</t>
  </si>
  <si>
    <t>CaCO3</t>
  </si>
  <si>
    <t>Element ratio by mass</t>
  </si>
  <si>
    <t>Intermediate</t>
  </si>
  <si>
    <t>Select Equipment</t>
  </si>
  <si>
    <t>Pump</t>
  </si>
  <si>
    <t>Note</t>
  </si>
  <si>
    <t>Equipment</t>
  </si>
  <si>
    <t>Included materials</t>
  </si>
  <si>
    <t>Soda Ash</t>
  </si>
  <si>
    <t xml:space="preserve">     NOx </t>
  </si>
  <si>
    <t xml:space="preserve">     CO2 (VOC, CO, CO2)</t>
  </si>
  <si>
    <t>4. Materials (per ton of materials)</t>
  </si>
  <si>
    <t>Hydrochloric Acid</t>
  </si>
  <si>
    <t>Coke</t>
  </si>
  <si>
    <t>Hopper</t>
  </si>
  <si>
    <t>Aluminum</t>
  </si>
  <si>
    <t>Lithium Carbonate</t>
  </si>
  <si>
    <t>Lime</t>
  </si>
  <si>
    <t>Slag (lead)</t>
  </si>
  <si>
    <t>Slag (copper)</t>
  </si>
  <si>
    <t>Select Material</t>
  </si>
  <si>
    <t>Quantity</t>
  </si>
  <si>
    <t>Material 1</t>
  </si>
  <si>
    <t>Name</t>
  </si>
  <si>
    <t>Thermodynamic data</t>
  </si>
  <si>
    <t>Physical data</t>
  </si>
  <si>
    <t>Density (kg/L)</t>
  </si>
  <si>
    <t>Cost data</t>
  </si>
  <si>
    <t>Bulk price ($/kg)</t>
  </si>
  <si>
    <t>Enthalpy of formation (kcal/mol)</t>
  </si>
  <si>
    <t>Specific heat (cal/mol.K)</t>
  </si>
  <si>
    <t>Heat of evaporation (kcal/mol)</t>
  </si>
  <si>
    <t>Material 2</t>
  </si>
  <si>
    <t>Material 3</t>
  </si>
  <si>
    <t>Material 4</t>
  </si>
  <si>
    <t>Material 5</t>
  </si>
  <si>
    <t>Material 6</t>
  </si>
  <si>
    <t>Material 7</t>
  </si>
  <si>
    <t>Material 8</t>
  </si>
  <si>
    <t>Na2CO3</t>
  </si>
  <si>
    <t>NG</t>
  </si>
  <si>
    <t>Biomass</t>
  </si>
  <si>
    <t>Nuclear</t>
  </si>
  <si>
    <t>Hydro</t>
  </si>
  <si>
    <t>Others</t>
  </si>
  <si>
    <t>T&amp;D Loss</t>
  </si>
  <si>
    <t>Electricity generation data</t>
  </si>
  <si>
    <t>Generation mix</t>
  </si>
  <si>
    <t>Residual oil</t>
  </si>
  <si>
    <t>VOC (g)</t>
  </si>
  <si>
    <t>Total energy (btu)</t>
  </si>
  <si>
    <t>User specified materials. Type in material name and enter quantities.</t>
  </si>
  <si>
    <t>Wheel loader</t>
  </si>
  <si>
    <t>LHV</t>
  </si>
  <si>
    <t>Petcoke</t>
  </si>
  <si>
    <t>btu/ton</t>
  </si>
  <si>
    <t>Steel</t>
  </si>
  <si>
    <t>Material combustion (g)</t>
  </si>
  <si>
    <t>Decomposition (g)</t>
  </si>
  <si>
    <t>Total (g)</t>
  </si>
  <si>
    <t>Direct Physical</t>
  </si>
  <si>
    <t>Select Output</t>
  </si>
  <si>
    <t>LiCoO2</t>
  </si>
  <si>
    <t>Quantity (kg)</t>
  </si>
  <si>
    <t>Slag</t>
  </si>
  <si>
    <t>Mass allocation</t>
  </si>
  <si>
    <t>Economic value allocation</t>
  </si>
  <si>
    <t>Generic Pyro Recycle Process</t>
  </si>
  <si>
    <t>Basis: 1 day</t>
  </si>
  <si>
    <t>day</t>
  </si>
  <si>
    <t>years</t>
  </si>
  <si>
    <t>kW</t>
  </si>
  <si>
    <t>hours</t>
  </si>
  <si>
    <t>gal/day</t>
  </si>
  <si>
    <t>$/kWh</t>
  </si>
  <si>
    <t>$/year</t>
  </si>
  <si>
    <t>$/gal</t>
  </si>
  <si>
    <t>$/kg</t>
  </si>
  <si>
    <t>Labor</t>
  </si>
  <si>
    <t>Semi-skilled labor rate</t>
  </si>
  <si>
    <t>Labor Cost</t>
  </si>
  <si>
    <t>p-Factor</t>
  </si>
  <si>
    <t>I. Direct Costs = material and labor involved in actual installation of complete facility (70-85% of fixed capital investment)</t>
  </si>
  <si>
    <t>II. Indirect Costs</t>
  </si>
  <si>
    <t>III. Fixed Capital Investment</t>
  </si>
  <si>
    <t>IV. Working Capital (10-20% of Total Capital Investment)</t>
  </si>
  <si>
    <t>V. Total Capital Investment = Fixed Capital Investment + Working Capital</t>
  </si>
  <si>
    <t>Machine Description</t>
  </si>
  <si>
    <t>Energy Requirements</t>
  </si>
  <si>
    <t>Costing</t>
  </si>
  <si>
    <t>Materials In</t>
  </si>
  <si>
    <t>Materials Out</t>
  </si>
  <si>
    <t>Maintenance</t>
  </si>
  <si>
    <t>days</t>
  </si>
  <si>
    <t>Plant life</t>
  </si>
  <si>
    <t>Top</t>
  </si>
  <si>
    <t>Nameplate power (rated)</t>
  </si>
  <si>
    <t xml:space="preserve">Operating Power </t>
  </si>
  <si>
    <t>Batteries</t>
  </si>
  <si>
    <t>Chosen Percentage</t>
  </si>
  <si>
    <t xml:space="preserve">     Purchased Equipment</t>
  </si>
  <si>
    <t>1 ton to kg</t>
  </si>
  <si>
    <t>Landfill (tip fee $/ton)</t>
  </si>
  <si>
    <t>1 gallon to L</t>
  </si>
  <si>
    <t>`</t>
  </si>
  <si>
    <t>Waste (water)</t>
  </si>
  <si>
    <t>Waste (solid)</t>
  </si>
  <si>
    <t xml:space="preserve">Hour per day </t>
  </si>
  <si>
    <t>Actual Processing hours per day</t>
  </si>
  <si>
    <t>Days per year</t>
  </si>
  <si>
    <t>Plant capacity</t>
  </si>
  <si>
    <t>% of operating capacity</t>
  </si>
  <si>
    <t>kWh/yr</t>
  </si>
  <si>
    <t>Cooling Water</t>
  </si>
  <si>
    <t>gal/yr</t>
  </si>
  <si>
    <t>Cost/Revenue</t>
  </si>
  <si>
    <t>Gal/yr</t>
  </si>
  <si>
    <t>Process water discharged</t>
  </si>
  <si>
    <t>Gal/hr</t>
  </si>
  <si>
    <t>Utilities/Maintenance/Other</t>
  </si>
  <si>
    <t>Miscellaneous Calculations</t>
  </si>
  <si>
    <t>Reset with "0"</t>
  </si>
  <si>
    <t>Design capacity</t>
  </si>
  <si>
    <t>Nameplate electrical power</t>
  </si>
  <si>
    <t>Electrical Power at design capacity</t>
  </si>
  <si>
    <t>Throughtput/feed rate</t>
  </si>
  <si>
    <t>Maintenance time needed per year</t>
  </si>
  <si>
    <t>Maintenance time needed per day</t>
  </si>
  <si>
    <t>Time for cold start</t>
  </si>
  <si>
    <t>hrs</t>
  </si>
  <si>
    <t>Time for warm start</t>
  </si>
  <si>
    <t>Labor requirements for equipment operation</t>
  </si>
  <si>
    <t>person-hrs/day</t>
  </si>
  <si>
    <t xml:space="preserve">Labor requirements for daily cleanup/maintenance </t>
  </si>
  <si>
    <t>Determined cost</t>
  </si>
  <si>
    <t>Date</t>
  </si>
  <si>
    <t xml:space="preserve">Cost </t>
  </si>
  <si>
    <t>Cost of equipment</t>
  </si>
  <si>
    <t>Percent of capacity</t>
  </si>
  <si>
    <t>Back to Menu</t>
  </si>
  <si>
    <t>Process Water</t>
  </si>
  <si>
    <t>Quantities (kg)</t>
  </si>
  <si>
    <t>Oxygen</t>
  </si>
  <si>
    <t>Co2+</t>
  </si>
  <si>
    <t>H2SO4</t>
  </si>
  <si>
    <t>CoSO4</t>
  </si>
  <si>
    <t>Ni2+</t>
  </si>
  <si>
    <t>NiSO4</t>
  </si>
  <si>
    <t>Material inputs (kg)</t>
  </si>
  <si>
    <t>Energy inputs (MJ)</t>
  </si>
  <si>
    <t>2HCl</t>
  </si>
  <si>
    <t>Ammonia</t>
  </si>
  <si>
    <t>Aluminum Sulfate</t>
  </si>
  <si>
    <t>Iron Sulfate</t>
  </si>
  <si>
    <t>Manganese Sulfate</t>
  </si>
  <si>
    <t>Sulfuric Acid</t>
  </si>
  <si>
    <t>Sodium Hydroxide</t>
  </si>
  <si>
    <t>Ammonium Hydroxide</t>
  </si>
  <si>
    <t>Manganese Oxide</t>
  </si>
  <si>
    <t>Cobalt Sulfate</t>
  </si>
  <si>
    <t>Nickel Sulfate</t>
  </si>
  <si>
    <t>Phosphoric Acid</t>
  </si>
  <si>
    <t>Sodium Chlorate</t>
  </si>
  <si>
    <t>Lithium Hydroxide</t>
  </si>
  <si>
    <t>Flue Dust</t>
  </si>
  <si>
    <t>Co2+ in Co salt/oxide</t>
  </si>
  <si>
    <t>Ni2+ in Ni salt/oxide</t>
  </si>
  <si>
    <t>Process water (gal)</t>
  </si>
  <si>
    <t>2Li+</t>
  </si>
  <si>
    <t>CaO</t>
  </si>
  <si>
    <t>2LiOH</t>
  </si>
  <si>
    <t>1ton to kg</t>
  </si>
  <si>
    <t>2.2 Cost of converting recycled materials into cathode materials</t>
  </si>
  <si>
    <t>1kg to ton</t>
  </si>
  <si>
    <t>1.6 Allocation factors</t>
  </si>
  <si>
    <t>1.2 Information on conversion into precursors (per kg precursor produced)</t>
  </si>
  <si>
    <t>1.5 Selected allocation method</t>
  </si>
  <si>
    <t>Total cost of material conversion ($/kg)</t>
  </si>
  <si>
    <t>hrs/year</t>
  </si>
  <si>
    <t>Total Electrical power</t>
  </si>
  <si>
    <t>Total Electrical Energy</t>
  </si>
  <si>
    <t>MJ/kg batteries fed</t>
  </si>
  <si>
    <t>Total Natural gas energy</t>
  </si>
  <si>
    <t>Total Coal energy</t>
  </si>
  <si>
    <t>Total Petroleum energy</t>
  </si>
  <si>
    <t>Total Diesel</t>
  </si>
  <si>
    <t>gal/hr</t>
  </si>
  <si>
    <t>Total Process water</t>
  </si>
  <si>
    <t>Total Cooling water</t>
  </si>
  <si>
    <t>personhrs-days</t>
  </si>
  <si>
    <t>people for 24 hr</t>
  </si>
  <si>
    <t>$/hr</t>
  </si>
  <si>
    <t>$/day</t>
  </si>
  <si>
    <t>kg</t>
  </si>
  <si>
    <t>Electrical power</t>
  </si>
  <si>
    <t>Electrical Energy</t>
  </si>
  <si>
    <t>MJ/kg battery fed</t>
  </si>
  <si>
    <t>Cooling water</t>
  </si>
  <si>
    <t>tonne per year</t>
  </si>
  <si>
    <t>tonne per hour</t>
  </si>
  <si>
    <t>tonne per day</t>
  </si>
  <si>
    <t>$/tonne</t>
  </si>
  <si>
    <t>tonne/yr</t>
  </si>
  <si>
    <t>tonne/hr</t>
  </si>
  <si>
    <t>Generic Hydrometallurgical Recycle Process</t>
  </si>
  <si>
    <t>Generic Direct Recycle Process</t>
  </si>
  <si>
    <t>Custom Recycle Process</t>
  </si>
  <si>
    <t>Electricity ($/kWh)</t>
  </si>
  <si>
    <t>Water ($/gallon)</t>
  </si>
  <si>
    <t>Natural gas ($/MMBTU)</t>
  </si>
  <si>
    <t>Plant life (yr)</t>
  </si>
  <si>
    <t>Plant capacity (tonne per yr)</t>
  </si>
  <si>
    <t>Throughput (tonne per year)</t>
  </si>
  <si>
    <t>Hours per day</t>
  </si>
  <si>
    <t>Default GREET</t>
  </si>
  <si>
    <t>Default builder</t>
  </si>
  <si>
    <t>1.6 Cost of utilities</t>
  </si>
  <si>
    <t>1.9 Allocation method</t>
  </si>
  <si>
    <t>Evaporator</t>
  </si>
  <si>
    <t>Manufacturing cost ($/yr)</t>
  </si>
  <si>
    <t>General expenses ($/yr)</t>
  </si>
  <si>
    <t>Total product cost ($/yr)</t>
  </si>
  <si>
    <t>Utility cost</t>
  </si>
  <si>
    <t>Material cost</t>
  </si>
  <si>
    <t>Total cost</t>
  </si>
  <si>
    <t>1MJ to kWh</t>
  </si>
  <si>
    <t>people for 10 hr</t>
  </si>
  <si>
    <t>Orange Cells are Calculations</t>
  </si>
  <si>
    <t>Dryer</t>
  </si>
  <si>
    <t xml:space="preserve">Determined cost  </t>
  </si>
  <si>
    <t>Date (year)</t>
  </si>
  <si>
    <t xml:space="preserve">Cost  </t>
  </si>
  <si>
    <t>Content</t>
  </si>
  <si>
    <t>Placeholder inputs</t>
  </si>
  <si>
    <t>User inputs</t>
  </si>
  <si>
    <t>Dropdown lists</t>
  </si>
  <si>
    <t>Default inputs. DO NOT CHANGE</t>
  </si>
  <si>
    <t>Conditioned inputs. DO NOT CHANGE</t>
  </si>
  <si>
    <t>Legend</t>
  </si>
  <si>
    <t>Populated inputs. DO NOT CHANGE</t>
  </si>
  <si>
    <t>Warning messages</t>
  </si>
  <si>
    <t>Hyperlinks.</t>
  </si>
  <si>
    <t xml:space="preserve">Emissions in </t>
  </si>
  <si>
    <t>per</t>
  </si>
  <si>
    <t>Energy use in</t>
  </si>
  <si>
    <t>Water use in</t>
  </si>
  <si>
    <t>Select Water Use Unit</t>
  </si>
  <si>
    <t>Select Energy Use Unit</t>
  </si>
  <si>
    <t>Select Emission Unit</t>
  </si>
  <si>
    <t>MMBTU</t>
  </si>
  <si>
    <t>MJ</t>
  </si>
  <si>
    <t>g</t>
  </si>
  <si>
    <t>kWh</t>
  </si>
  <si>
    <t>tonne</t>
  </si>
  <si>
    <t>g to</t>
  </si>
  <si>
    <t>gallon to</t>
  </si>
  <si>
    <t>gallon</t>
  </si>
  <si>
    <t>liter</t>
  </si>
  <si>
    <t>Collection &amp; Transport</t>
  </si>
  <si>
    <t>Select Mass Unit</t>
  </si>
  <si>
    <t>cathode material produced</t>
  </si>
  <si>
    <t>Calculation cells. DO NOT CHANGE</t>
  </si>
  <si>
    <t>Carbon Dioxide</t>
  </si>
  <si>
    <t>Share of natural gas consumption</t>
  </si>
  <si>
    <t>2.4 Scrap generated (kg/kg produced cell)</t>
  </si>
  <si>
    <t>2.4.1 Manufacturing scrap breakdown by materials (kg/kg)</t>
  </si>
  <si>
    <t>For produced alloy</t>
  </si>
  <si>
    <t>For Cu recovery</t>
  </si>
  <si>
    <t>includes top torch, water quench, bag house</t>
  </si>
  <si>
    <t>Aspirator</t>
  </si>
  <si>
    <t>Pyrolyzer</t>
  </si>
  <si>
    <t xml:space="preserve">Shredder  </t>
  </si>
  <si>
    <t>Shredder with water</t>
  </si>
  <si>
    <t>Granulator</t>
  </si>
  <si>
    <t>1.2 Transportation distances by mode (miles)</t>
  </si>
  <si>
    <t>Medium-duty truck</t>
  </si>
  <si>
    <t>Heavy-duty truck</t>
  </si>
  <si>
    <t>For feeding material to system and mat'l handling</t>
  </si>
  <si>
    <t>Select Other Recycled Materials</t>
  </si>
  <si>
    <t xml:space="preserve">2.3 Environmental impacts of spent battery collection and transportation </t>
  </si>
  <si>
    <t>2.1.3 Allocation factors</t>
  </si>
  <si>
    <t>2.2.1 Revenue generated from sales of recycled materials</t>
  </si>
  <si>
    <t>Wastewater discharge ($/gallon)</t>
  </si>
  <si>
    <t>1.5 Cost of waste disposal</t>
  </si>
  <si>
    <t>NMC(622)</t>
  </si>
  <si>
    <t>Sum of all material conversion processes</t>
  </si>
  <si>
    <t>NMC(811)</t>
  </si>
  <si>
    <t>1/2Li2CO3</t>
  </si>
  <si>
    <t>Cathode Production</t>
  </si>
  <si>
    <t>Direct</t>
  </si>
  <si>
    <t>Manufacture with recycled materials</t>
  </si>
  <si>
    <t>Virgin Manufacture</t>
  </si>
  <si>
    <t>General Information</t>
  </si>
  <si>
    <t>lb</t>
  </si>
  <si>
    <t>Pyro</t>
  </si>
  <si>
    <t>From recycler to cathode producer</t>
  </si>
  <si>
    <t>From cathode producer to manufacturer</t>
  </si>
  <si>
    <t>Nonhazardous materials</t>
  </si>
  <si>
    <t>Hazardous materials</t>
  </si>
  <si>
    <t>California</t>
  </si>
  <si>
    <t>Waste(water)</t>
  </si>
  <si>
    <t>Depend on both recycling process and the cathode to be produced</t>
  </si>
  <si>
    <t>Nickel precursor production: pyro, hydro, custom</t>
  </si>
  <si>
    <t>Lithium precursor production: hydro, custom</t>
  </si>
  <si>
    <t>Can we assume material conversion happens at the same place as cathode production? (Only material and utility cost?)</t>
  </si>
  <si>
    <t>General details</t>
  </si>
  <si>
    <t>1.1 General information</t>
  </si>
  <si>
    <t>1.2 Available precursors from battery recycling (tonne/yr)</t>
  </si>
  <si>
    <t>1.4.1 Total cost of recycling</t>
  </si>
  <si>
    <t>1.4.2 Revenue generated by selling all recycled materials</t>
  </si>
  <si>
    <t>1.4.3 Cost of recycled materials to be converted into cathode materials (total cost of recycling - revenue generated by selling recycled non-cathode materials)</t>
  </si>
  <si>
    <t>1.7.1 Total environmental impacts of recycling</t>
  </si>
  <si>
    <t>1.8 Cost of consumed chemicals ($/kg of chemical)</t>
  </si>
  <si>
    <t>1.9 Cost of utilities</t>
  </si>
  <si>
    <t>1.7.2 Environmental impacts of recycled cathode materials (total impacts - impacts of non-cathode materials)</t>
  </si>
  <si>
    <t>(Note: "No allocation" assigns all environmental impacts associated with recycling to recycled cathode materials)</t>
  </si>
  <si>
    <t>Cobalt precursor production</t>
  </si>
  <si>
    <t>Nickel precursor production</t>
  </si>
  <si>
    <t>Lithium precursor production</t>
  </si>
  <si>
    <t>2.1 Environmental impacts</t>
  </si>
  <si>
    <t>2. Calculation (per kg precursor produced)</t>
  </si>
  <si>
    <t>Cobalt precursor production: pyro, hydro, custom all use the same conversion process</t>
  </si>
  <si>
    <t>Cobalt Oxide</t>
  </si>
  <si>
    <t>1.3 Process water input ( gal per kg precursor produced)</t>
  </si>
  <si>
    <t>1.2 Energy inputs (MJ per kg precursor produced)</t>
  </si>
  <si>
    <t>1.1 Material inputs (kg per kg precursor produced)</t>
  </si>
  <si>
    <t>1.3 Process water input (gal per kg precursor produced)</t>
  </si>
  <si>
    <t>Note: Li2CO3 converted into CaCO3, no process CO2 emissions</t>
  </si>
  <si>
    <t>1.5 Cost of consumed chemicals ($/kg of chemical)</t>
  </si>
  <si>
    <t>MnSO4</t>
  </si>
  <si>
    <t>Mn2O3</t>
  </si>
  <si>
    <t>Select</t>
  </si>
  <si>
    <t>1.4 Information on material and energy demand (per kg cathode materials produced)</t>
  </si>
  <si>
    <t>1.3 Default input values  to use</t>
  </si>
  <si>
    <t>Sodium Carbonate</t>
  </si>
  <si>
    <t>Virgin</t>
  </si>
  <si>
    <t>Recycled</t>
  </si>
  <si>
    <t>Surplus</t>
  </si>
  <si>
    <t>1.1 Required precursor input (kg/kg cathode)</t>
  </si>
  <si>
    <t>1.2 Material input (kg/kg cathode)</t>
  </si>
  <si>
    <t>2.1 Environmental impacts of cathode production(per kg cathode)</t>
  </si>
  <si>
    <r>
      <t>(Ni/Mn/Co)SO</t>
    </r>
    <r>
      <rPr>
        <vertAlign val="subscript"/>
        <sz val="11"/>
        <color theme="1"/>
        <rFont val="DengXian"/>
        <family val="2"/>
        <scheme val="minor"/>
      </rPr>
      <t>4</t>
    </r>
    <r>
      <rPr>
        <sz val="11"/>
        <color theme="1"/>
        <rFont val="DengXian"/>
        <family val="2"/>
        <scheme val="minor"/>
      </rPr>
      <t xml:space="preserve"> + Na</t>
    </r>
    <r>
      <rPr>
        <vertAlign val="subscript"/>
        <sz val="11"/>
        <color theme="1"/>
        <rFont val="DengXian"/>
        <family val="2"/>
        <scheme val="minor"/>
      </rPr>
      <t>2</t>
    </r>
    <r>
      <rPr>
        <sz val="11"/>
        <color theme="1"/>
        <rFont val="DengXian"/>
        <family val="2"/>
        <scheme val="minor"/>
      </rPr>
      <t>CO</t>
    </r>
    <r>
      <rPr>
        <vertAlign val="subscript"/>
        <sz val="11"/>
        <color theme="1"/>
        <rFont val="DengXian"/>
        <family val="2"/>
        <scheme val="minor"/>
      </rPr>
      <t xml:space="preserve">3 </t>
    </r>
    <r>
      <rPr>
        <sz val="11"/>
        <color theme="1"/>
        <rFont val="DengXian"/>
        <family val="2"/>
        <scheme val="minor"/>
      </rPr>
      <t xml:space="preserve"> =  (Ni/Mn/Co)CO</t>
    </r>
    <r>
      <rPr>
        <vertAlign val="subscript"/>
        <sz val="11"/>
        <color theme="1"/>
        <rFont val="DengXian"/>
        <family val="2"/>
        <scheme val="minor"/>
      </rPr>
      <t>3</t>
    </r>
    <r>
      <rPr>
        <sz val="11"/>
        <color theme="1"/>
        <rFont val="Symbol"/>
        <family val="1"/>
        <charset val="2"/>
      </rPr>
      <t xml:space="preserve">¯ </t>
    </r>
    <r>
      <rPr>
        <sz val="11"/>
        <color theme="1"/>
        <rFont val="DengXian"/>
        <family val="2"/>
        <scheme val="minor"/>
      </rPr>
      <t>+ Na</t>
    </r>
    <r>
      <rPr>
        <vertAlign val="subscript"/>
        <sz val="11"/>
        <color theme="1"/>
        <rFont val="DengXian"/>
        <family val="2"/>
        <scheme val="minor"/>
      </rPr>
      <t>2</t>
    </r>
    <r>
      <rPr>
        <sz val="11"/>
        <color theme="1"/>
        <rFont val="DengXian"/>
        <family val="2"/>
        <scheme val="minor"/>
      </rPr>
      <t>SO</t>
    </r>
    <r>
      <rPr>
        <vertAlign val="subscript"/>
        <sz val="11"/>
        <color theme="1"/>
        <rFont val="DengXian"/>
        <family val="2"/>
        <scheme val="minor"/>
      </rPr>
      <t>4</t>
    </r>
  </si>
  <si>
    <t>NMC333</t>
  </si>
  <si>
    <t>Days per Year</t>
  </si>
  <si>
    <t>Plant Life</t>
  </si>
  <si>
    <r>
      <t xml:space="preserve">Nickel ( N ), </t>
    </r>
    <r>
      <rPr>
        <i/>
        <sz val="11"/>
        <color theme="1"/>
        <rFont val="DengXian"/>
        <family val="2"/>
        <scheme val="minor"/>
      </rPr>
      <t>x</t>
    </r>
  </si>
  <si>
    <r>
      <t xml:space="preserve">Manganese ( M ), </t>
    </r>
    <r>
      <rPr>
        <i/>
        <sz val="11"/>
        <color theme="1"/>
        <rFont val="DengXian"/>
        <family val="2"/>
        <scheme val="minor"/>
      </rPr>
      <t>y</t>
    </r>
  </si>
  <si>
    <r>
      <t xml:space="preserve">Cobalt ( C ), </t>
    </r>
    <r>
      <rPr>
        <i/>
        <sz val="11"/>
        <color theme="1"/>
        <rFont val="DengXian"/>
        <family val="2"/>
        <scheme val="minor"/>
      </rPr>
      <t>z</t>
    </r>
  </si>
  <si>
    <t>T = x + y + z</t>
  </si>
  <si>
    <r>
      <rPr>
        <sz val="14"/>
        <color theme="1"/>
        <rFont val="DengXian"/>
        <family val="2"/>
        <scheme val="minor"/>
      </rPr>
      <t>Li</t>
    </r>
    <r>
      <rPr>
        <i/>
        <vertAlign val="subscript"/>
        <sz val="14"/>
        <color theme="1"/>
        <rFont val="DengXian"/>
        <family val="2"/>
        <scheme val="minor"/>
      </rPr>
      <t>a</t>
    </r>
    <r>
      <rPr>
        <sz val="14"/>
        <color theme="1"/>
        <rFont val="DengXian"/>
        <family val="2"/>
        <scheme val="minor"/>
      </rPr>
      <t>Ni</t>
    </r>
    <r>
      <rPr>
        <i/>
        <vertAlign val="subscript"/>
        <sz val="14"/>
        <color theme="1"/>
        <rFont val="DengXian"/>
        <family val="2"/>
        <scheme val="minor"/>
      </rPr>
      <t>x/T</t>
    </r>
    <r>
      <rPr>
        <sz val="14"/>
        <color theme="1"/>
        <rFont val="DengXian"/>
        <family val="2"/>
        <scheme val="minor"/>
      </rPr>
      <t>Mn</t>
    </r>
    <r>
      <rPr>
        <i/>
        <vertAlign val="subscript"/>
        <sz val="14"/>
        <color theme="1"/>
        <rFont val="DengXian"/>
        <family val="2"/>
        <scheme val="minor"/>
      </rPr>
      <t>y/</t>
    </r>
    <r>
      <rPr>
        <vertAlign val="subscript"/>
        <sz val="14"/>
        <color theme="1"/>
        <rFont val="DengXian"/>
        <family val="2"/>
        <scheme val="minor"/>
      </rPr>
      <t>T</t>
    </r>
    <r>
      <rPr>
        <sz val="14"/>
        <color theme="1"/>
        <rFont val="DengXian"/>
        <family val="2"/>
        <scheme val="minor"/>
      </rPr>
      <t>Co</t>
    </r>
    <r>
      <rPr>
        <vertAlign val="subscript"/>
        <sz val="14"/>
        <color theme="1"/>
        <rFont val="DengXian"/>
        <family val="2"/>
        <scheme val="minor"/>
      </rPr>
      <t>z/T</t>
    </r>
    <r>
      <rPr>
        <sz val="14"/>
        <color theme="1"/>
        <rFont val="DengXian"/>
        <family val="2"/>
        <scheme val="minor"/>
      </rPr>
      <t>O</t>
    </r>
    <r>
      <rPr>
        <vertAlign val="subscript"/>
        <sz val="14"/>
        <color theme="1"/>
        <rFont val="DengXian"/>
        <family val="2"/>
        <scheme val="minor"/>
      </rPr>
      <t>2</t>
    </r>
    <r>
      <rPr>
        <sz val="11"/>
        <color theme="1"/>
        <rFont val="DengXian"/>
        <family val="2"/>
        <scheme val="minor"/>
      </rPr>
      <t xml:space="preserve"> Product Required</t>
    </r>
  </si>
  <si>
    <t>kg/day</t>
  </si>
  <si>
    <t>kg/year</t>
  </si>
  <si>
    <t>Mol. Wt.</t>
  </si>
  <si>
    <t>gmol</t>
  </si>
  <si>
    <t>Mixer_1</t>
  </si>
  <si>
    <r>
      <t>NiSO</t>
    </r>
    <r>
      <rPr>
        <vertAlign val="subscript"/>
        <sz val="11"/>
        <color theme="1"/>
        <rFont val="DengXian"/>
        <family val="2"/>
        <scheme val="minor"/>
      </rPr>
      <t>4</t>
    </r>
  </si>
  <si>
    <r>
      <t>Concentration of NiSO</t>
    </r>
    <r>
      <rPr>
        <vertAlign val="subscript"/>
        <sz val="11"/>
        <color theme="1"/>
        <rFont val="DengXian"/>
        <family val="2"/>
        <scheme val="minor"/>
      </rPr>
      <t>4</t>
    </r>
    <r>
      <rPr>
        <sz val="11"/>
        <color theme="1"/>
        <rFont val="DengXian"/>
        <family val="2"/>
        <scheme val="minor"/>
      </rPr>
      <t xml:space="preserve"> Solution</t>
    </r>
  </si>
  <si>
    <t>M</t>
  </si>
  <si>
    <r>
      <t>Water for NiSO</t>
    </r>
    <r>
      <rPr>
        <vertAlign val="subscript"/>
        <sz val="11"/>
        <color theme="1"/>
        <rFont val="DengXian"/>
        <family val="2"/>
        <scheme val="minor"/>
      </rPr>
      <t>4</t>
    </r>
    <r>
      <rPr>
        <sz val="11"/>
        <color theme="1"/>
        <rFont val="DengXian"/>
        <family val="2"/>
        <scheme val="minor"/>
      </rPr>
      <t xml:space="preserve"> Solution</t>
    </r>
  </si>
  <si>
    <t>Liter</t>
  </si>
  <si>
    <r>
      <t>MnSO</t>
    </r>
    <r>
      <rPr>
        <vertAlign val="subscript"/>
        <sz val="11"/>
        <color theme="1"/>
        <rFont val="DengXian"/>
        <family val="2"/>
        <scheme val="minor"/>
      </rPr>
      <t>4</t>
    </r>
  </si>
  <si>
    <r>
      <t>Concentration of MnSO</t>
    </r>
    <r>
      <rPr>
        <vertAlign val="subscript"/>
        <sz val="11"/>
        <color theme="1"/>
        <rFont val="DengXian"/>
        <family val="2"/>
        <scheme val="minor"/>
      </rPr>
      <t>4</t>
    </r>
    <r>
      <rPr>
        <sz val="11"/>
        <color theme="1"/>
        <rFont val="DengXian"/>
        <family val="2"/>
        <scheme val="minor"/>
      </rPr>
      <t xml:space="preserve"> Solution</t>
    </r>
  </si>
  <si>
    <r>
      <t>Water for MnSO</t>
    </r>
    <r>
      <rPr>
        <vertAlign val="subscript"/>
        <sz val="11"/>
        <color theme="1"/>
        <rFont val="DengXian"/>
        <family val="2"/>
        <scheme val="minor"/>
      </rPr>
      <t>4</t>
    </r>
    <r>
      <rPr>
        <sz val="11"/>
        <color theme="1"/>
        <rFont val="DengXian"/>
        <family val="2"/>
        <scheme val="minor"/>
      </rPr>
      <t xml:space="preserve"> Solution</t>
    </r>
  </si>
  <si>
    <r>
      <t>CoSO</t>
    </r>
    <r>
      <rPr>
        <vertAlign val="subscript"/>
        <sz val="11"/>
        <color theme="1"/>
        <rFont val="DengXian"/>
        <family val="2"/>
        <scheme val="minor"/>
      </rPr>
      <t>4</t>
    </r>
  </si>
  <si>
    <r>
      <t>Concentration of CoSO</t>
    </r>
    <r>
      <rPr>
        <vertAlign val="subscript"/>
        <sz val="11"/>
        <color theme="1"/>
        <rFont val="DengXian"/>
        <family val="2"/>
        <scheme val="minor"/>
      </rPr>
      <t>4</t>
    </r>
    <r>
      <rPr>
        <sz val="11"/>
        <color theme="1"/>
        <rFont val="DengXian"/>
        <family val="2"/>
        <scheme val="minor"/>
      </rPr>
      <t xml:space="preserve"> Solution</t>
    </r>
  </si>
  <si>
    <r>
      <t>Water for CoSO</t>
    </r>
    <r>
      <rPr>
        <vertAlign val="subscript"/>
        <sz val="11"/>
        <color theme="1"/>
        <rFont val="DengXian"/>
        <family val="2"/>
        <scheme val="minor"/>
      </rPr>
      <t>4</t>
    </r>
    <r>
      <rPr>
        <sz val="11"/>
        <color theme="1"/>
        <rFont val="DengXian"/>
        <family val="2"/>
        <scheme val="minor"/>
      </rPr>
      <t xml:space="preserve"> Solution</t>
    </r>
  </si>
  <si>
    <t>Additional Water to Mixer_1</t>
  </si>
  <si>
    <t>Calculated Concentrations in Mixer_1</t>
  </si>
  <si>
    <r>
      <t xml:space="preserve">   NiSO</t>
    </r>
    <r>
      <rPr>
        <vertAlign val="subscript"/>
        <sz val="11"/>
        <color theme="1"/>
        <rFont val="DengXian"/>
        <family val="2"/>
        <scheme val="minor"/>
      </rPr>
      <t>4</t>
    </r>
  </si>
  <si>
    <r>
      <t xml:space="preserve">   MnSO</t>
    </r>
    <r>
      <rPr>
        <vertAlign val="subscript"/>
        <sz val="11"/>
        <color theme="1"/>
        <rFont val="DengXian"/>
        <family val="2"/>
        <scheme val="minor"/>
      </rPr>
      <t>4</t>
    </r>
  </si>
  <si>
    <r>
      <t xml:space="preserve">   CoSO</t>
    </r>
    <r>
      <rPr>
        <vertAlign val="subscript"/>
        <sz val="11"/>
        <color theme="1"/>
        <rFont val="DengXian"/>
        <family val="2"/>
        <scheme val="minor"/>
      </rPr>
      <t>4</t>
    </r>
  </si>
  <si>
    <t>Desired Concentrations in Mixer_1</t>
  </si>
  <si>
    <t>Gap between Desired and Actual Concentrations</t>
  </si>
  <si>
    <t>Total Liquid Solution from Mixer_1</t>
  </si>
  <si>
    <t>Mixer_1 Residence Time</t>
  </si>
  <si>
    <t>min</t>
  </si>
  <si>
    <t>Mixer_1 Volume</t>
  </si>
  <si>
    <t>gal</t>
  </si>
  <si>
    <t>Excess Capacity</t>
  </si>
  <si>
    <t>Mixer Size</t>
  </si>
  <si>
    <r>
      <t>m</t>
    </r>
    <r>
      <rPr>
        <vertAlign val="superscript"/>
        <sz val="11"/>
        <color theme="1"/>
        <rFont val="DengXian"/>
        <family val="2"/>
        <scheme val="minor"/>
      </rPr>
      <t>3</t>
    </r>
  </si>
  <si>
    <t>Cost (Mixing tank with agitator)</t>
  </si>
  <si>
    <t>Power Needed for Agitation</t>
  </si>
  <si>
    <t>hp/1000 gal</t>
  </si>
  <si>
    <r>
      <t>kW/m</t>
    </r>
    <r>
      <rPr>
        <vertAlign val="superscript"/>
        <sz val="11"/>
        <color theme="1"/>
        <rFont val="DengXian"/>
        <family val="2"/>
        <scheme val="minor"/>
      </rPr>
      <t>3</t>
    </r>
  </si>
  <si>
    <t>Mixer_2</t>
  </si>
  <si>
    <r>
      <t>Na</t>
    </r>
    <r>
      <rPr>
        <vertAlign val="subscript"/>
        <sz val="11"/>
        <color theme="1"/>
        <rFont val="DengXian"/>
        <family val="2"/>
        <scheme val="minor"/>
      </rPr>
      <t>2</t>
    </r>
    <r>
      <rPr>
        <sz val="11"/>
        <color theme="1"/>
        <rFont val="DengXian"/>
        <family val="2"/>
        <scheme val="minor"/>
      </rPr>
      <t>CO</t>
    </r>
    <r>
      <rPr>
        <vertAlign val="subscript"/>
        <sz val="11"/>
        <color theme="1"/>
        <rFont val="DengXian"/>
        <family val="2"/>
        <scheme val="minor"/>
      </rPr>
      <t>3</t>
    </r>
    <r>
      <rPr>
        <sz val="11"/>
        <color theme="1"/>
        <rFont val="DengXian"/>
        <family val="2"/>
        <scheme val="minor"/>
      </rPr>
      <t xml:space="preserve"> Required</t>
    </r>
  </si>
  <si>
    <t>Desired Concentration from Mixer_2 to Reactor</t>
  </si>
  <si>
    <r>
      <t>Water for Na</t>
    </r>
    <r>
      <rPr>
        <vertAlign val="subscript"/>
        <sz val="11"/>
        <color theme="1"/>
        <rFont val="DengXian"/>
        <family val="2"/>
        <scheme val="minor"/>
      </rPr>
      <t>2</t>
    </r>
    <r>
      <rPr>
        <sz val="11"/>
        <color theme="1"/>
        <rFont val="DengXian"/>
        <family val="2"/>
        <scheme val="minor"/>
      </rPr>
      <t>CO</t>
    </r>
    <r>
      <rPr>
        <vertAlign val="subscript"/>
        <sz val="11"/>
        <color theme="1"/>
        <rFont val="DengXian"/>
        <family val="2"/>
        <scheme val="minor"/>
      </rPr>
      <t>3</t>
    </r>
    <r>
      <rPr>
        <sz val="11"/>
        <color theme="1"/>
        <rFont val="DengXian"/>
        <family val="2"/>
        <scheme val="minor"/>
      </rPr>
      <t xml:space="preserve"> Solution into Mixer_2</t>
    </r>
  </si>
  <si>
    <t>Mixer_2 Residence Time</t>
  </si>
  <si>
    <t>Mixer_2 Volume</t>
  </si>
  <si>
    <r>
      <t>NH</t>
    </r>
    <r>
      <rPr>
        <b/>
        <u/>
        <vertAlign val="subscript"/>
        <sz val="11"/>
        <color theme="1"/>
        <rFont val="DengXian"/>
        <family val="2"/>
        <scheme val="minor"/>
      </rPr>
      <t>4</t>
    </r>
    <r>
      <rPr>
        <b/>
        <u/>
        <sz val="11"/>
        <color theme="1"/>
        <rFont val="DengXian"/>
        <family val="2"/>
        <scheme val="minor"/>
      </rPr>
      <t>OH Feed Stream</t>
    </r>
  </si>
  <si>
    <t>Reactor pH</t>
  </si>
  <si>
    <t>Reactor pOH</t>
  </si>
  <si>
    <r>
      <t>NH</t>
    </r>
    <r>
      <rPr>
        <vertAlign val="subscript"/>
        <sz val="11"/>
        <color theme="1"/>
        <rFont val="DengXian"/>
        <family val="2"/>
        <scheme val="minor"/>
      </rPr>
      <t>4</t>
    </r>
    <r>
      <rPr>
        <sz val="11"/>
        <color theme="1"/>
        <rFont val="DengXian"/>
        <family val="2"/>
        <scheme val="minor"/>
      </rPr>
      <t>OH Concentration in Reactor</t>
    </r>
  </si>
  <si>
    <r>
      <t>NH</t>
    </r>
    <r>
      <rPr>
        <vertAlign val="subscript"/>
        <sz val="11"/>
        <color theme="1"/>
        <rFont val="DengXian"/>
        <family val="2"/>
        <scheme val="minor"/>
      </rPr>
      <t>4</t>
    </r>
    <r>
      <rPr>
        <sz val="11"/>
        <color theme="1"/>
        <rFont val="DengXian"/>
        <family val="2"/>
        <scheme val="minor"/>
      </rPr>
      <t>OH Feed</t>
    </r>
  </si>
  <si>
    <r>
      <t>g/kg</t>
    </r>
    <r>
      <rPr>
        <vertAlign val="subscript"/>
        <sz val="11"/>
        <color theme="1"/>
        <rFont val="DengXian"/>
        <family val="2"/>
        <scheme val="minor"/>
      </rPr>
      <t>NMC</t>
    </r>
  </si>
  <si>
    <r>
      <t>NH</t>
    </r>
    <r>
      <rPr>
        <vertAlign val="subscript"/>
        <sz val="11"/>
        <color theme="1"/>
        <rFont val="DengXian"/>
        <family val="2"/>
        <scheme val="minor"/>
      </rPr>
      <t>4</t>
    </r>
    <r>
      <rPr>
        <sz val="11"/>
        <color theme="1"/>
        <rFont val="DengXian"/>
        <family val="2"/>
        <scheme val="minor"/>
      </rPr>
      <t>OH Feed Concentration</t>
    </r>
  </si>
  <si>
    <r>
      <t>Water in NH</t>
    </r>
    <r>
      <rPr>
        <vertAlign val="subscript"/>
        <sz val="11"/>
        <color theme="1"/>
        <rFont val="DengXian"/>
        <family val="2"/>
        <scheme val="minor"/>
      </rPr>
      <t>4</t>
    </r>
    <r>
      <rPr>
        <sz val="11"/>
        <color theme="1"/>
        <rFont val="DengXian"/>
        <family val="2"/>
        <scheme val="minor"/>
      </rPr>
      <t>OH solution</t>
    </r>
  </si>
  <si>
    <t>Solution Weight</t>
  </si>
  <si>
    <t>Reactor_1 (CSTR)</t>
  </si>
  <si>
    <t>Total Water Feed into Reactor</t>
  </si>
  <si>
    <r>
      <t>L/kg</t>
    </r>
    <r>
      <rPr>
        <vertAlign val="subscript"/>
        <sz val="11"/>
        <color theme="1"/>
        <rFont val="DengXian"/>
        <family val="2"/>
        <scheme val="minor"/>
      </rPr>
      <t>NMC</t>
    </r>
  </si>
  <si>
    <r>
      <t>Reactant Volume (NiSO</t>
    </r>
    <r>
      <rPr>
        <vertAlign val="subscript"/>
        <sz val="11"/>
        <color theme="1"/>
        <rFont val="DengXian"/>
        <family val="2"/>
        <scheme val="minor"/>
      </rPr>
      <t>4</t>
    </r>
    <r>
      <rPr>
        <sz val="11"/>
        <color theme="1"/>
        <rFont val="DengXian"/>
        <family val="2"/>
        <scheme val="minor"/>
      </rPr>
      <t>, MnSO</t>
    </r>
    <r>
      <rPr>
        <vertAlign val="subscript"/>
        <sz val="11"/>
        <color theme="1"/>
        <rFont val="DengXian"/>
        <family val="2"/>
        <scheme val="minor"/>
      </rPr>
      <t>4</t>
    </r>
    <r>
      <rPr>
        <sz val="11"/>
        <color theme="1"/>
        <rFont val="DengXian"/>
        <family val="2"/>
        <scheme val="minor"/>
      </rPr>
      <t>, CoSO</t>
    </r>
    <r>
      <rPr>
        <vertAlign val="subscript"/>
        <sz val="11"/>
        <color theme="1"/>
        <rFont val="DengXian"/>
        <family val="2"/>
        <scheme val="minor"/>
      </rPr>
      <t>4</t>
    </r>
    <r>
      <rPr>
        <sz val="11"/>
        <color theme="1"/>
        <rFont val="DengXian"/>
        <family val="2"/>
        <scheme val="minor"/>
      </rPr>
      <t>,Na</t>
    </r>
    <r>
      <rPr>
        <vertAlign val="subscript"/>
        <sz val="11"/>
        <color theme="1"/>
        <rFont val="DengXian"/>
        <family val="2"/>
        <scheme val="minor"/>
      </rPr>
      <t>2</t>
    </r>
    <r>
      <rPr>
        <sz val="11"/>
        <color theme="1"/>
        <rFont val="DengXian"/>
        <family val="2"/>
        <scheme val="minor"/>
      </rPr>
      <t>CO</t>
    </r>
    <r>
      <rPr>
        <vertAlign val="subscript"/>
        <sz val="11"/>
        <color theme="1"/>
        <rFont val="DengXian"/>
        <family val="2"/>
        <scheme val="minor"/>
      </rPr>
      <t>3</t>
    </r>
    <r>
      <rPr>
        <sz val="11"/>
        <color theme="1"/>
        <rFont val="DengXian"/>
        <family val="2"/>
        <scheme val="minor"/>
      </rPr>
      <t>,NH</t>
    </r>
    <r>
      <rPr>
        <vertAlign val="subscript"/>
        <sz val="11"/>
        <color theme="1"/>
        <rFont val="DengXian"/>
        <family val="2"/>
        <scheme val="minor"/>
      </rPr>
      <t>4</t>
    </r>
    <r>
      <rPr>
        <sz val="11"/>
        <color theme="1"/>
        <rFont val="DengXian"/>
        <family val="2"/>
        <scheme val="minor"/>
      </rPr>
      <t>OH in water)</t>
    </r>
  </si>
  <si>
    <t>Reactor Residence Time</t>
  </si>
  <si>
    <t>Reactor Volume</t>
  </si>
  <si>
    <t>gallons</t>
  </si>
  <si>
    <t>Reaction Conversion</t>
  </si>
  <si>
    <t>Product Stream from Reactor_1</t>
  </si>
  <si>
    <r>
      <t xml:space="preserve">   NiCO</t>
    </r>
    <r>
      <rPr>
        <vertAlign val="subscript"/>
        <sz val="11"/>
        <color theme="1"/>
        <rFont val="DengXian"/>
        <family val="2"/>
        <scheme val="minor"/>
      </rPr>
      <t>3</t>
    </r>
    <r>
      <rPr>
        <sz val="11"/>
        <color theme="1"/>
        <rFont val="DengXian"/>
        <family val="2"/>
        <scheme val="minor"/>
      </rPr>
      <t xml:space="preserve"> (Precipitate)</t>
    </r>
  </si>
  <si>
    <r>
      <t xml:space="preserve">   MnCO</t>
    </r>
    <r>
      <rPr>
        <vertAlign val="subscript"/>
        <sz val="11"/>
        <color theme="1"/>
        <rFont val="DengXian"/>
        <family val="2"/>
        <scheme val="minor"/>
      </rPr>
      <t>3</t>
    </r>
    <r>
      <rPr>
        <sz val="11"/>
        <color theme="1"/>
        <rFont val="DengXian"/>
        <family val="2"/>
        <scheme val="minor"/>
      </rPr>
      <t xml:space="preserve"> (Precipitate)</t>
    </r>
  </si>
  <si>
    <r>
      <t xml:space="preserve">   CoCO</t>
    </r>
    <r>
      <rPr>
        <vertAlign val="subscript"/>
        <sz val="11"/>
        <color theme="1"/>
        <rFont val="DengXian"/>
        <family val="2"/>
        <scheme val="minor"/>
      </rPr>
      <t>3</t>
    </r>
    <r>
      <rPr>
        <sz val="11"/>
        <color theme="1"/>
        <rFont val="DengXian"/>
        <family val="2"/>
        <scheme val="minor"/>
      </rPr>
      <t xml:space="preserve"> (Precipitate)</t>
    </r>
  </si>
  <si>
    <r>
      <t xml:space="preserve">   NiSO</t>
    </r>
    <r>
      <rPr>
        <vertAlign val="subscript"/>
        <sz val="11"/>
        <color theme="1"/>
        <rFont val="DengXian"/>
        <family val="2"/>
        <scheme val="minor"/>
      </rPr>
      <t>4</t>
    </r>
    <r>
      <rPr>
        <sz val="11"/>
        <color theme="1"/>
        <rFont val="DengXian"/>
        <family val="2"/>
        <scheme val="minor"/>
      </rPr>
      <t xml:space="preserve"> (Unreacted)</t>
    </r>
  </si>
  <si>
    <r>
      <t xml:space="preserve">   MnSO</t>
    </r>
    <r>
      <rPr>
        <vertAlign val="subscript"/>
        <sz val="11"/>
        <color theme="1"/>
        <rFont val="DengXian"/>
        <family val="2"/>
        <scheme val="minor"/>
      </rPr>
      <t>4</t>
    </r>
    <r>
      <rPr>
        <sz val="11"/>
        <color theme="1"/>
        <rFont val="DengXian"/>
        <family val="2"/>
        <scheme val="minor"/>
      </rPr>
      <t xml:space="preserve"> (Unreacted)</t>
    </r>
  </si>
  <si>
    <r>
      <t xml:space="preserve">   CoSO</t>
    </r>
    <r>
      <rPr>
        <vertAlign val="subscript"/>
        <sz val="11"/>
        <color theme="1"/>
        <rFont val="DengXian"/>
        <family val="2"/>
        <scheme val="minor"/>
      </rPr>
      <t>4</t>
    </r>
    <r>
      <rPr>
        <sz val="11"/>
        <color theme="1"/>
        <rFont val="DengXian"/>
        <family val="2"/>
        <scheme val="minor"/>
      </rPr>
      <t xml:space="preserve"> (Unreacted)</t>
    </r>
  </si>
  <si>
    <r>
      <t xml:space="preserve">   Na</t>
    </r>
    <r>
      <rPr>
        <vertAlign val="subscript"/>
        <sz val="11"/>
        <color theme="1"/>
        <rFont val="DengXian"/>
        <family val="2"/>
        <scheme val="minor"/>
      </rPr>
      <t>2</t>
    </r>
    <r>
      <rPr>
        <sz val="11"/>
        <color theme="1"/>
        <rFont val="DengXian"/>
        <family val="2"/>
        <scheme val="minor"/>
      </rPr>
      <t>SO</t>
    </r>
    <r>
      <rPr>
        <vertAlign val="subscript"/>
        <sz val="11"/>
        <color theme="1"/>
        <rFont val="DengXian"/>
        <family val="2"/>
        <scheme val="minor"/>
      </rPr>
      <t>4</t>
    </r>
  </si>
  <si>
    <r>
      <t xml:space="preserve">   Na</t>
    </r>
    <r>
      <rPr>
        <vertAlign val="subscript"/>
        <sz val="11"/>
        <color theme="1"/>
        <rFont val="DengXian"/>
        <family val="2"/>
        <scheme val="minor"/>
      </rPr>
      <t>2</t>
    </r>
    <r>
      <rPr>
        <sz val="11"/>
        <color theme="1"/>
        <rFont val="DengXian"/>
        <family val="2"/>
        <scheme val="minor"/>
      </rPr>
      <t>CO</t>
    </r>
    <r>
      <rPr>
        <vertAlign val="subscript"/>
        <sz val="11"/>
        <color theme="1"/>
        <rFont val="DengXian"/>
        <family val="2"/>
        <scheme val="minor"/>
      </rPr>
      <t>3</t>
    </r>
    <r>
      <rPr>
        <sz val="11"/>
        <color theme="1"/>
        <rFont val="DengXian"/>
        <family val="2"/>
        <scheme val="minor"/>
      </rPr>
      <t xml:space="preserve"> (Unreacted)</t>
    </r>
  </si>
  <si>
    <r>
      <t xml:space="preserve">   H</t>
    </r>
    <r>
      <rPr>
        <vertAlign val="subscript"/>
        <sz val="11"/>
        <color theme="1"/>
        <rFont val="DengXian"/>
        <family val="2"/>
        <scheme val="minor"/>
      </rPr>
      <t>2</t>
    </r>
    <r>
      <rPr>
        <sz val="11"/>
        <color theme="1"/>
        <rFont val="DengXian"/>
        <family val="2"/>
        <scheme val="minor"/>
      </rPr>
      <t>O</t>
    </r>
  </si>
  <si>
    <t>Liter/kgNMC</t>
  </si>
  <si>
    <t>Cost of Jacketed and Stirred Reactor</t>
  </si>
  <si>
    <t>Power Needed for Agitation in CSTR</t>
  </si>
  <si>
    <t>Feed Temperature (No Heat Loss)</t>
  </si>
  <si>
    <t>°C</t>
  </si>
  <si>
    <r>
      <t xml:space="preserve">Heat Input Load: Water at 20°C </t>
    </r>
    <r>
      <rPr>
        <sz val="11"/>
        <color rgb="FF0070C0"/>
        <rFont val="Symbol"/>
        <family val="1"/>
        <charset val="2"/>
      </rPr>
      <t>®</t>
    </r>
    <r>
      <rPr>
        <sz val="11"/>
        <color rgb="FF0070C0"/>
        <rFont val="DengXian"/>
        <family val="2"/>
        <scheme val="minor"/>
      </rPr>
      <t xml:space="preserve"> Water at Reactor Temperature</t>
    </r>
  </si>
  <si>
    <t>cal</t>
  </si>
  <si>
    <t>Heat Input to preheat the solids from 20°C to Reactor Temperature</t>
  </si>
  <si>
    <t>Total Heat Coming in with Feeds</t>
  </si>
  <si>
    <t>Desired Reactor Temperature</t>
  </si>
  <si>
    <t>Heat of Reaction (Exo if -ve)</t>
  </si>
  <si>
    <t>Heat Leaving with Product (assuming no heat loss)</t>
  </si>
  <si>
    <t>Product Temperature (assuming no heat loss)</t>
  </si>
  <si>
    <t>Difference between Required and Calculated Product Temperature</t>
  </si>
  <si>
    <t>Assuming Heat Loss in Reactor</t>
  </si>
  <si>
    <t>Product Temperature Assuming Heat Loss</t>
  </si>
  <si>
    <t>Required Feed Temperature Assuming Heat Loss</t>
  </si>
  <si>
    <t>Cooling Load at CSTR</t>
  </si>
  <si>
    <t>Temperature Rise in Cooling Water</t>
  </si>
  <si>
    <t>Cooling Water Required</t>
  </si>
  <si>
    <t>g/s</t>
  </si>
  <si>
    <t>L/s</t>
  </si>
  <si>
    <r>
      <t>m</t>
    </r>
    <r>
      <rPr>
        <vertAlign val="superscript"/>
        <sz val="11"/>
        <rFont val="DengXian"/>
        <family val="2"/>
        <scheme val="minor"/>
      </rPr>
      <t>3</t>
    </r>
    <r>
      <rPr>
        <sz val="11"/>
        <rFont val="DengXian"/>
        <family val="2"/>
        <scheme val="minor"/>
      </rPr>
      <t>/min</t>
    </r>
  </si>
  <si>
    <t>gal/year</t>
  </si>
  <si>
    <t>Continuous Vacuum Drum Filter</t>
  </si>
  <si>
    <t>Liquid Passthrough Required</t>
  </si>
  <si>
    <r>
      <t>m</t>
    </r>
    <r>
      <rPr>
        <vertAlign val="superscript"/>
        <sz val="11"/>
        <color theme="1"/>
        <rFont val="DengXian"/>
        <family val="2"/>
        <scheme val="minor"/>
      </rPr>
      <t>3</t>
    </r>
    <r>
      <rPr>
        <sz val="11"/>
        <color theme="1"/>
        <rFont val="DengXian"/>
        <family val="2"/>
        <scheme val="minor"/>
      </rPr>
      <t>/h</t>
    </r>
  </si>
  <si>
    <t>Max. Velocity through Filter Cake</t>
  </si>
  <si>
    <t>m/h</t>
  </si>
  <si>
    <t>Filter Area Required</t>
  </si>
  <si>
    <r>
      <t>m</t>
    </r>
    <r>
      <rPr>
        <vertAlign val="superscript"/>
        <sz val="11"/>
        <color theme="1"/>
        <rFont val="DengXian"/>
        <family val="2"/>
        <scheme val="minor"/>
      </rPr>
      <t>2</t>
    </r>
  </si>
  <si>
    <t>Precipitate Wash</t>
  </si>
  <si>
    <t>Ratio of Wash / Process Water</t>
  </si>
  <si>
    <t>No. of Wash/Filter Stages</t>
  </si>
  <si>
    <t>Wash Water</t>
  </si>
  <si>
    <r>
      <t>Filter Yield - NiCO</t>
    </r>
    <r>
      <rPr>
        <vertAlign val="subscript"/>
        <sz val="11"/>
        <color theme="1"/>
        <rFont val="DengXian"/>
        <family val="2"/>
        <scheme val="minor"/>
      </rPr>
      <t>3</t>
    </r>
  </si>
  <si>
    <r>
      <t>Filter Yield - MnCO</t>
    </r>
    <r>
      <rPr>
        <vertAlign val="subscript"/>
        <sz val="11"/>
        <color theme="1"/>
        <rFont val="DengXian"/>
        <family val="2"/>
        <scheme val="minor"/>
      </rPr>
      <t>3</t>
    </r>
  </si>
  <si>
    <r>
      <t>Filter Yield - CoCO</t>
    </r>
    <r>
      <rPr>
        <vertAlign val="subscript"/>
        <sz val="11"/>
        <color theme="1"/>
        <rFont val="DengXian"/>
        <family val="2"/>
        <scheme val="minor"/>
      </rPr>
      <t>3</t>
    </r>
  </si>
  <si>
    <t>Other Losses (Particle Handling)</t>
  </si>
  <si>
    <t>Final Product Yields (Carbonate)</t>
  </si>
  <si>
    <r>
      <t xml:space="preserve">   NiCO</t>
    </r>
    <r>
      <rPr>
        <vertAlign val="subscript"/>
        <sz val="11"/>
        <color theme="1"/>
        <rFont val="DengXian"/>
        <family val="2"/>
        <scheme val="minor"/>
      </rPr>
      <t>3</t>
    </r>
  </si>
  <si>
    <r>
      <t xml:space="preserve">   MnCO</t>
    </r>
    <r>
      <rPr>
        <vertAlign val="subscript"/>
        <sz val="11"/>
        <color theme="1"/>
        <rFont val="DengXian"/>
        <family val="2"/>
        <scheme val="minor"/>
      </rPr>
      <t>3</t>
    </r>
  </si>
  <si>
    <r>
      <t xml:space="preserve">   CoCO</t>
    </r>
    <r>
      <rPr>
        <vertAlign val="subscript"/>
        <sz val="11"/>
        <color theme="1"/>
        <rFont val="DengXian"/>
        <family val="2"/>
        <scheme val="minor"/>
      </rPr>
      <t>3</t>
    </r>
  </si>
  <si>
    <r>
      <t>Cost of Continuous Vacuum Drum Filter, SS, 1-m</t>
    </r>
    <r>
      <rPr>
        <vertAlign val="superscript"/>
        <sz val="11"/>
        <color theme="1"/>
        <rFont val="DengXian"/>
        <family val="2"/>
        <scheme val="minor"/>
      </rPr>
      <t>2</t>
    </r>
  </si>
  <si>
    <t>each</t>
  </si>
  <si>
    <t>Power for Pump to Vacuum out the Water</t>
  </si>
  <si>
    <t>Cost of Pump, Centrifugal, Cast Iron, motor included</t>
  </si>
  <si>
    <t>Vacuum Dryer</t>
  </si>
  <si>
    <t>Density of Wet Precipitate</t>
  </si>
  <si>
    <t>kg/L</t>
  </si>
  <si>
    <t>Volume of Wet Precipitate</t>
  </si>
  <si>
    <t>Volume of Dryer to Volume of Wet Precipitate (http://www.nsiequipments.com/rotary-vacuum-dryer.pdf)</t>
  </si>
  <si>
    <t>Dryer Volume</t>
  </si>
  <si>
    <t>Water Content in Solids to Dryer</t>
  </si>
  <si>
    <t>wt.%</t>
  </si>
  <si>
    <t>Water in Solids to Dryer</t>
  </si>
  <si>
    <t>kg_water/h</t>
  </si>
  <si>
    <t>kg_water/s</t>
  </si>
  <si>
    <t>Dynacone Vacuum Dryer, 304 SS</t>
  </si>
  <si>
    <t>Spray Dryer, SS, 18-ft dia</t>
  </si>
  <si>
    <t>Electric Power for Agitator (http://www.nsiequipments.com/rotary-vacuum-dryer.pdf)</t>
  </si>
  <si>
    <t>hp</t>
  </si>
  <si>
    <t>Heat Load to Vaporize Water</t>
  </si>
  <si>
    <t>Capacity</t>
  </si>
  <si>
    <t>kg/s</t>
  </si>
  <si>
    <t>Particle Diameter</t>
  </si>
  <si>
    <t>micron</t>
  </si>
  <si>
    <t>Power Required</t>
  </si>
  <si>
    <t>Cost of Ball Mill, 325 mesh</t>
  </si>
  <si>
    <t>Blend with Lithium Carbonate</t>
  </si>
  <si>
    <r>
      <t>Stoich Ratio = Li/NMC Ratio in Li</t>
    </r>
    <r>
      <rPr>
        <vertAlign val="subscript"/>
        <sz val="11"/>
        <color theme="1"/>
        <rFont val="DengXian"/>
        <family val="2"/>
        <scheme val="minor"/>
      </rPr>
      <t>1.05</t>
    </r>
    <r>
      <rPr>
        <sz val="11"/>
        <color theme="1"/>
        <rFont val="DengXian"/>
        <family val="2"/>
        <scheme val="minor"/>
      </rPr>
      <t>(NMC)</t>
    </r>
  </si>
  <si>
    <t>Volume of Powders</t>
  </si>
  <si>
    <t>Residence Time</t>
  </si>
  <si>
    <t>h</t>
  </si>
  <si>
    <t>Overhead Volume</t>
  </si>
  <si>
    <t>Mixer Volume</t>
  </si>
  <si>
    <t xml:space="preserve">Mixer (Paddle Mixer) Typical Power Requiremnt </t>
  </si>
  <si>
    <t>Cost of Blender, double cone rotary, C-steel</t>
  </si>
  <si>
    <t>Sintering Furnace</t>
  </si>
  <si>
    <r>
      <t>Li</t>
    </r>
    <r>
      <rPr>
        <vertAlign val="subscript"/>
        <sz val="11"/>
        <color theme="1"/>
        <rFont val="DengXian"/>
        <family val="2"/>
        <scheme val="minor"/>
      </rPr>
      <t>1.05</t>
    </r>
    <r>
      <rPr>
        <sz val="11"/>
        <color theme="1"/>
        <rFont val="DengXian"/>
        <family val="2"/>
        <scheme val="minor"/>
      </rPr>
      <t>(Ni</t>
    </r>
    <r>
      <rPr>
        <vertAlign val="subscript"/>
        <sz val="11"/>
        <color theme="1"/>
        <rFont val="DengXian"/>
        <family val="2"/>
        <scheme val="minor"/>
      </rPr>
      <t>0.333</t>
    </r>
    <r>
      <rPr>
        <sz val="11"/>
        <color theme="1"/>
        <rFont val="DengXian"/>
        <family val="2"/>
        <scheme val="minor"/>
      </rPr>
      <t>Mn</t>
    </r>
    <r>
      <rPr>
        <vertAlign val="subscript"/>
        <sz val="11"/>
        <color theme="1"/>
        <rFont val="DengXian"/>
        <family val="2"/>
        <scheme val="minor"/>
      </rPr>
      <t>0.333</t>
    </r>
    <r>
      <rPr>
        <sz val="11"/>
        <color theme="1"/>
        <rFont val="DengXian"/>
        <family val="2"/>
        <scheme val="minor"/>
      </rPr>
      <t>Co</t>
    </r>
    <r>
      <rPr>
        <vertAlign val="subscript"/>
        <sz val="11"/>
        <color theme="1"/>
        <rFont val="DengXian"/>
        <family val="2"/>
        <scheme val="minor"/>
      </rPr>
      <t>0.333</t>
    </r>
    <r>
      <rPr>
        <sz val="11"/>
        <color theme="1"/>
        <rFont val="DengXian"/>
        <family val="2"/>
        <scheme val="minor"/>
      </rPr>
      <t>O</t>
    </r>
    <r>
      <rPr>
        <vertAlign val="subscript"/>
        <sz val="11"/>
        <color theme="1"/>
        <rFont val="DengXian"/>
        <family val="2"/>
        <scheme val="minor"/>
      </rPr>
      <t>2</t>
    </r>
    <r>
      <rPr>
        <sz val="11"/>
        <color theme="1"/>
        <rFont val="DengXian"/>
        <family val="2"/>
        <scheme val="minor"/>
      </rPr>
      <t>)</t>
    </r>
  </si>
  <si>
    <t>Byproducts</t>
  </si>
  <si>
    <r>
      <t xml:space="preserve">   CO</t>
    </r>
    <r>
      <rPr>
        <vertAlign val="subscript"/>
        <sz val="11"/>
        <color theme="1"/>
        <rFont val="DengXian"/>
        <family val="2"/>
        <scheme val="minor"/>
      </rPr>
      <t>2</t>
    </r>
  </si>
  <si>
    <r>
      <t xml:space="preserve">   NiCO</t>
    </r>
    <r>
      <rPr>
        <vertAlign val="subscript"/>
        <sz val="11"/>
        <color theme="1"/>
        <rFont val="DengXian"/>
        <family val="2"/>
        <scheme val="minor"/>
      </rPr>
      <t>3</t>
    </r>
    <r>
      <rPr>
        <sz val="11"/>
        <color theme="1"/>
        <rFont val="DengXian"/>
        <family val="2"/>
        <scheme val="minor"/>
      </rPr>
      <t xml:space="preserve"> (Solids)</t>
    </r>
  </si>
  <si>
    <r>
      <t xml:space="preserve">   MnCO</t>
    </r>
    <r>
      <rPr>
        <vertAlign val="subscript"/>
        <sz val="11"/>
        <color theme="1"/>
        <rFont val="DengXian"/>
        <family val="2"/>
        <scheme val="minor"/>
      </rPr>
      <t>3</t>
    </r>
    <r>
      <rPr>
        <sz val="11"/>
        <color theme="1"/>
        <rFont val="DengXian"/>
        <family val="2"/>
        <scheme val="minor"/>
      </rPr>
      <t xml:space="preserve"> (Solids)</t>
    </r>
  </si>
  <si>
    <r>
      <t xml:space="preserve">   CoCO</t>
    </r>
    <r>
      <rPr>
        <vertAlign val="subscript"/>
        <sz val="11"/>
        <color theme="1"/>
        <rFont val="DengXian"/>
        <family val="2"/>
        <scheme val="minor"/>
      </rPr>
      <t>3</t>
    </r>
    <r>
      <rPr>
        <sz val="11"/>
        <color theme="1"/>
        <rFont val="DengXian"/>
        <family val="2"/>
        <scheme val="minor"/>
      </rPr>
      <t xml:space="preserve"> (Solids)</t>
    </r>
  </si>
  <si>
    <t>Sintering Temperature</t>
  </si>
  <si>
    <r>
      <t>Heat Load to Raise Temperature of MCO</t>
    </r>
    <r>
      <rPr>
        <vertAlign val="subscript"/>
        <sz val="11"/>
        <color rgb="FF0070C0"/>
        <rFont val="DengXian"/>
        <family val="2"/>
        <scheme val="minor"/>
      </rPr>
      <t>3</t>
    </r>
  </si>
  <si>
    <t>kcal</t>
  </si>
  <si>
    <t>Heat Load to Raise Temperature of Saggar</t>
  </si>
  <si>
    <r>
      <t>Heat of Reaction: NiCO</t>
    </r>
    <r>
      <rPr>
        <vertAlign val="subscript"/>
        <sz val="12"/>
        <color rgb="FF0070C0"/>
        <rFont val="DengXian"/>
        <family val="2"/>
        <scheme val="minor"/>
      </rPr>
      <t>3</t>
    </r>
    <r>
      <rPr>
        <sz val="12"/>
        <color rgb="FF0070C0"/>
        <rFont val="DengXian"/>
        <family val="2"/>
        <scheme val="minor"/>
      </rPr>
      <t xml:space="preserve"> = NiO + CO</t>
    </r>
    <r>
      <rPr>
        <vertAlign val="subscript"/>
        <sz val="12"/>
        <color rgb="FF0070C0"/>
        <rFont val="DengXian"/>
        <family val="2"/>
        <scheme val="minor"/>
      </rPr>
      <t>2</t>
    </r>
  </si>
  <si>
    <r>
      <t>Heat of Reaction: MnCO</t>
    </r>
    <r>
      <rPr>
        <vertAlign val="subscript"/>
        <sz val="12"/>
        <color rgb="FF0070C0"/>
        <rFont val="DengXian"/>
        <family val="2"/>
        <scheme val="minor"/>
      </rPr>
      <t>3</t>
    </r>
    <r>
      <rPr>
        <sz val="12"/>
        <color rgb="FF0070C0"/>
        <rFont val="DengXian"/>
        <family val="2"/>
        <scheme val="minor"/>
      </rPr>
      <t xml:space="preserve"> = MnO + CO</t>
    </r>
    <r>
      <rPr>
        <vertAlign val="subscript"/>
        <sz val="12"/>
        <color rgb="FF0070C0"/>
        <rFont val="DengXian"/>
        <family val="2"/>
        <scheme val="minor"/>
      </rPr>
      <t>2</t>
    </r>
  </si>
  <si>
    <r>
      <t>Heat of Reaction: CoCO</t>
    </r>
    <r>
      <rPr>
        <vertAlign val="subscript"/>
        <sz val="12"/>
        <color rgb="FF0070C0"/>
        <rFont val="DengXian"/>
        <family val="2"/>
        <scheme val="minor"/>
      </rPr>
      <t>3</t>
    </r>
    <r>
      <rPr>
        <sz val="12"/>
        <color rgb="FF0070C0"/>
        <rFont val="DengXian"/>
        <family val="2"/>
        <scheme val="minor"/>
      </rPr>
      <t xml:space="preserve"> = CoO + CO</t>
    </r>
    <r>
      <rPr>
        <vertAlign val="subscript"/>
        <sz val="12"/>
        <color rgb="FF0070C0"/>
        <rFont val="DengXian"/>
        <family val="2"/>
        <scheme val="minor"/>
      </rPr>
      <t>2</t>
    </r>
  </si>
  <si>
    <r>
      <t>Heat of Reaction: Li</t>
    </r>
    <r>
      <rPr>
        <vertAlign val="subscript"/>
        <sz val="12"/>
        <color rgb="FF0070C0"/>
        <rFont val="DengXian"/>
        <family val="2"/>
        <scheme val="minor"/>
      </rPr>
      <t>2</t>
    </r>
    <r>
      <rPr>
        <sz val="12"/>
        <color rgb="FF0070C0"/>
        <rFont val="DengXian"/>
        <family val="2"/>
        <scheme val="minor"/>
      </rPr>
      <t>CO</t>
    </r>
    <r>
      <rPr>
        <vertAlign val="subscript"/>
        <sz val="12"/>
        <color rgb="FF0070C0"/>
        <rFont val="DengXian"/>
        <family val="2"/>
        <scheme val="minor"/>
      </rPr>
      <t>3</t>
    </r>
    <r>
      <rPr>
        <sz val="12"/>
        <color rgb="FF0070C0"/>
        <rFont val="DengXian"/>
        <family val="2"/>
        <scheme val="minor"/>
      </rPr>
      <t xml:space="preserve">  = Li</t>
    </r>
    <r>
      <rPr>
        <vertAlign val="subscript"/>
        <sz val="12"/>
        <color rgb="FF0070C0"/>
        <rFont val="DengXian"/>
        <family val="2"/>
        <scheme val="minor"/>
      </rPr>
      <t>2</t>
    </r>
    <r>
      <rPr>
        <sz val="12"/>
        <color rgb="FF0070C0"/>
        <rFont val="DengXian"/>
        <family val="2"/>
        <scheme val="minor"/>
      </rPr>
      <t>O + CO</t>
    </r>
    <r>
      <rPr>
        <vertAlign val="subscript"/>
        <sz val="12"/>
        <color rgb="FF0070C0"/>
        <rFont val="DengXian"/>
        <family val="2"/>
        <scheme val="minor"/>
      </rPr>
      <t>2</t>
    </r>
  </si>
  <si>
    <r>
      <t xml:space="preserve">Heat of Reaction: </t>
    </r>
    <r>
      <rPr>
        <i/>
        <sz val="12"/>
        <color rgb="FF0070C0"/>
        <rFont val="DengXian"/>
        <family val="2"/>
        <scheme val="minor"/>
      </rPr>
      <t>a</t>
    </r>
    <r>
      <rPr>
        <sz val="12"/>
        <color rgb="FF0070C0"/>
        <rFont val="DengXian"/>
        <family val="2"/>
        <scheme val="minor"/>
      </rPr>
      <t>Li</t>
    </r>
    <r>
      <rPr>
        <vertAlign val="subscript"/>
        <sz val="12"/>
        <color rgb="FF0070C0"/>
        <rFont val="DengXian"/>
        <family val="2"/>
        <scheme val="minor"/>
      </rPr>
      <t>2</t>
    </r>
    <r>
      <rPr>
        <sz val="12"/>
        <color rgb="FF0070C0"/>
        <rFont val="DengXian"/>
        <family val="2"/>
        <scheme val="minor"/>
      </rPr>
      <t>O+</t>
    </r>
    <r>
      <rPr>
        <i/>
        <sz val="12"/>
        <color rgb="FF0070C0"/>
        <rFont val="DengXian"/>
        <family val="2"/>
        <scheme val="minor"/>
      </rPr>
      <t>x</t>
    </r>
    <r>
      <rPr>
        <sz val="12"/>
        <color rgb="FF0070C0"/>
        <rFont val="DengXian"/>
        <family val="2"/>
        <scheme val="minor"/>
      </rPr>
      <t>NiO+</t>
    </r>
    <r>
      <rPr>
        <i/>
        <sz val="12"/>
        <color rgb="FF0070C0"/>
        <rFont val="DengXian"/>
        <family val="2"/>
        <scheme val="minor"/>
      </rPr>
      <t>y</t>
    </r>
    <r>
      <rPr>
        <sz val="12"/>
        <color rgb="FF0070C0"/>
        <rFont val="DengXian"/>
        <family val="2"/>
        <scheme val="minor"/>
      </rPr>
      <t>MnO+</t>
    </r>
    <r>
      <rPr>
        <i/>
        <sz val="12"/>
        <color rgb="FF0070C0"/>
        <rFont val="DengXian"/>
        <family val="2"/>
        <scheme val="minor"/>
      </rPr>
      <t>z</t>
    </r>
    <r>
      <rPr>
        <sz val="12"/>
        <color rgb="FF0070C0"/>
        <rFont val="DengXian"/>
        <family val="2"/>
        <scheme val="minor"/>
      </rPr>
      <t>CoO = Li</t>
    </r>
    <r>
      <rPr>
        <i/>
        <vertAlign val="subscript"/>
        <sz val="12"/>
        <color rgb="FF0070C0"/>
        <rFont val="DengXian"/>
        <family val="2"/>
        <scheme val="minor"/>
      </rPr>
      <t>a</t>
    </r>
    <r>
      <rPr>
        <sz val="12"/>
        <color rgb="FF0070C0"/>
        <rFont val="DengXian"/>
        <family val="2"/>
        <scheme val="minor"/>
      </rPr>
      <t>Ni</t>
    </r>
    <r>
      <rPr>
        <i/>
        <vertAlign val="subscript"/>
        <sz val="12"/>
        <color rgb="FF0070C0"/>
        <rFont val="DengXian"/>
        <family val="2"/>
        <scheme val="minor"/>
      </rPr>
      <t>x</t>
    </r>
    <r>
      <rPr>
        <sz val="12"/>
        <color rgb="FF0070C0"/>
        <rFont val="DengXian"/>
        <family val="2"/>
        <scheme val="minor"/>
      </rPr>
      <t>Mn</t>
    </r>
    <r>
      <rPr>
        <i/>
        <vertAlign val="subscript"/>
        <sz val="12"/>
        <color rgb="FF0070C0"/>
        <rFont val="DengXian"/>
        <family val="2"/>
        <scheme val="minor"/>
      </rPr>
      <t>y</t>
    </r>
    <r>
      <rPr>
        <sz val="12"/>
        <color rgb="FF0070C0"/>
        <rFont val="DengXian"/>
        <family val="2"/>
        <scheme val="minor"/>
      </rPr>
      <t>Co</t>
    </r>
    <r>
      <rPr>
        <i/>
        <vertAlign val="subscript"/>
        <sz val="12"/>
        <color rgb="FF0070C0"/>
        <rFont val="DengXian"/>
        <family val="2"/>
        <scheme val="minor"/>
      </rPr>
      <t>z</t>
    </r>
    <r>
      <rPr>
        <sz val="12"/>
        <color rgb="FF0070C0"/>
        <rFont val="DengXian"/>
        <family val="2"/>
        <scheme val="minor"/>
      </rPr>
      <t>O</t>
    </r>
    <r>
      <rPr>
        <vertAlign val="subscript"/>
        <sz val="12"/>
        <color rgb="FF0070C0"/>
        <rFont val="DengXian"/>
        <family val="2"/>
        <scheme val="minor"/>
      </rPr>
      <t>2</t>
    </r>
  </si>
  <si>
    <t>Total Heat of Reaction</t>
  </si>
  <si>
    <t>Heat Load of Furnace (Minimum)</t>
  </si>
  <si>
    <t>Heat Load of Furnace (Electricity from Manufacturer Rating)</t>
  </si>
  <si>
    <t>Heat of Reaction using value from M.Wang, A.Navrotsky, Solid State Ionics 166 (2004) 167-173</t>
  </si>
  <si>
    <t>Cost of Furnace</t>
  </si>
  <si>
    <t>Cost of Saggar Handling System</t>
  </si>
  <si>
    <t>Cost of Furnace + Saggar Handling</t>
  </si>
  <si>
    <t>Deagglomeration Unit</t>
  </si>
  <si>
    <t>Magnetized Impurity Removal</t>
  </si>
  <si>
    <t>Dust Management</t>
  </si>
  <si>
    <t>Pumps</t>
  </si>
  <si>
    <t>Pumping Need, Process Water</t>
  </si>
  <si>
    <t>Liter/day</t>
  </si>
  <si>
    <t>gal/min</t>
  </si>
  <si>
    <r>
      <t>m</t>
    </r>
    <r>
      <rPr>
        <vertAlign val="superscript"/>
        <sz val="11"/>
        <rFont val="DengXian"/>
        <family val="2"/>
        <scheme val="minor"/>
      </rPr>
      <t>3</t>
    </r>
    <r>
      <rPr>
        <sz val="11"/>
        <rFont val="DengXian"/>
        <family val="2"/>
        <scheme val="minor"/>
      </rPr>
      <t>/s</t>
    </r>
  </si>
  <si>
    <t>Pumping Need, Wash Water</t>
  </si>
  <si>
    <t>Pump Capacity</t>
  </si>
  <si>
    <t>Power for pumping</t>
  </si>
  <si>
    <t>Cost of Pump, Centrifugal, cast iron, motor included</t>
  </si>
  <si>
    <t>Process Heat Needs</t>
  </si>
  <si>
    <t>Heat Recovery Efficiency</t>
  </si>
  <si>
    <t>Heat Load from Fuel</t>
  </si>
  <si>
    <t>kWh/day</t>
  </si>
  <si>
    <t>GWh/year</t>
  </si>
  <si>
    <t>MMBtu/day</t>
  </si>
  <si>
    <t>kWh/kg-NMC</t>
  </si>
  <si>
    <t>MMBtu/ton-NMC</t>
  </si>
  <si>
    <t>Price of Natural Gas</t>
  </si>
  <si>
    <t>Cost of Natural Gas</t>
  </si>
  <si>
    <t>Electric Power Needs (Pumps, Agitators + 10% for Unaccounted items)</t>
  </si>
  <si>
    <t>kWh/year</t>
  </si>
  <si>
    <t>Price of Electric Energy</t>
  </si>
  <si>
    <t>Cost of Electric Energy</t>
  </si>
  <si>
    <t>Total Thermal and Electric Energy Needs</t>
  </si>
  <si>
    <t>kWh/ton-NMC</t>
  </si>
  <si>
    <t>Process Water Needed</t>
  </si>
  <si>
    <t>L/kg</t>
  </si>
  <si>
    <t>Price of Process Water</t>
  </si>
  <si>
    <t>Annual Cost of Process Water</t>
  </si>
  <si>
    <t>Cooling Water Needed</t>
  </si>
  <si>
    <t>Price of Cooling Water</t>
  </si>
  <si>
    <t>Annual Cost of Cooling Water</t>
  </si>
  <si>
    <t>Annual Utility Cost</t>
  </si>
  <si>
    <t>% of annual cost</t>
  </si>
  <si>
    <t>Cost of Equipment Itemized Above</t>
  </si>
  <si>
    <t>Other Miscellaneous Equipment</t>
  </si>
  <si>
    <t>Cost of Delivered Purchased Equipment</t>
  </si>
  <si>
    <t>Price of Raw Materials</t>
  </si>
  <si>
    <t>$/MT</t>
  </si>
  <si>
    <t>Lithium Carbonate, high purity</t>
  </si>
  <si>
    <t>Raw Materials Needed</t>
  </si>
  <si>
    <t xml:space="preserve">   Nickel Sulfate (MW=154.69)</t>
  </si>
  <si>
    <t>MT/day</t>
  </si>
  <si>
    <t xml:space="preserve">   Manganese Sulfate (MW=150.93)</t>
  </si>
  <si>
    <t xml:space="preserve">   Cobalt Sulfate (MW=154.93)</t>
  </si>
  <si>
    <t xml:space="preserve">   Sodium Carbonate</t>
  </si>
  <si>
    <t xml:space="preserve">   Ammonium Hydroxide</t>
  </si>
  <si>
    <t xml:space="preserve">   Lithium Carbonate, high purity</t>
  </si>
  <si>
    <t xml:space="preserve">   Process Water</t>
  </si>
  <si>
    <t>1000 gal/day</t>
  </si>
  <si>
    <t>Price of Metals (Commodity Price, $/MT)</t>
  </si>
  <si>
    <t xml:space="preserve">   Nickel</t>
  </si>
  <si>
    <t xml:space="preserve">   Manganese</t>
  </si>
  <si>
    <t xml:space="preserve">   Cobalt</t>
  </si>
  <si>
    <t>Metal Needed</t>
  </si>
  <si>
    <t xml:space="preserve">   Nickel, MT/day</t>
  </si>
  <si>
    <t xml:space="preserve">   Manganese, MT/day</t>
  </si>
  <si>
    <t xml:space="preserve">   Cobalt, MT/day</t>
  </si>
  <si>
    <t>Cost of NMC Raw Materials</t>
  </si>
  <si>
    <t>NMC Raw Materials, $/day</t>
  </si>
  <si>
    <r>
      <t>Cost of Na</t>
    </r>
    <r>
      <rPr>
        <vertAlign val="subscript"/>
        <sz val="11"/>
        <color theme="1"/>
        <rFont val="DengXian"/>
        <family val="2"/>
        <scheme val="minor"/>
      </rPr>
      <t>2</t>
    </r>
    <r>
      <rPr>
        <sz val="11"/>
        <color theme="1"/>
        <rFont val="DengXian"/>
        <family val="2"/>
        <scheme val="minor"/>
      </rPr>
      <t>CO</t>
    </r>
    <r>
      <rPr>
        <vertAlign val="subscript"/>
        <sz val="11"/>
        <color theme="1"/>
        <rFont val="DengXian"/>
        <family val="2"/>
        <scheme val="minor"/>
      </rPr>
      <t>3</t>
    </r>
  </si>
  <si>
    <r>
      <t>Cost of Li</t>
    </r>
    <r>
      <rPr>
        <vertAlign val="subscript"/>
        <sz val="11"/>
        <color theme="1"/>
        <rFont val="DengXian"/>
        <family val="2"/>
        <scheme val="minor"/>
      </rPr>
      <t>2</t>
    </r>
    <r>
      <rPr>
        <sz val="11"/>
        <color theme="1"/>
        <rFont val="DengXian"/>
        <family val="2"/>
        <scheme val="minor"/>
      </rPr>
      <t>CO3</t>
    </r>
  </si>
  <si>
    <t>Cost of Ammonium Hydroxide</t>
  </si>
  <si>
    <t>Cost of Raw Materials, per day</t>
  </si>
  <si>
    <t>Cost of Raw Materials, $ over life of plant</t>
  </si>
  <si>
    <t>Baseline Plant Capacity</t>
  </si>
  <si>
    <t>Feeds</t>
  </si>
  <si>
    <t>man-days</t>
  </si>
  <si>
    <t>Reactor</t>
  </si>
  <si>
    <t>Phase Separator</t>
  </si>
  <si>
    <t>Filters</t>
  </si>
  <si>
    <t>Sieve</t>
  </si>
  <si>
    <t>Mixer</t>
  </si>
  <si>
    <t>Deagglomerator</t>
  </si>
  <si>
    <t>Utilities / Maintenance / Other</t>
  </si>
  <si>
    <t>A. Equipment + installation + instrumentation + piping + electrical + insulation + painting (50-60% of fixed capital investment)</t>
  </si>
  <si>
    <t xml:space="preserve">  Purchased Equipment</t>
  </si>
  <si>
    <t xml:space="preserve">  Installation, including insulation and painting (25-55% of purchased equipment)</t>
  </si>
  <si>
    <t xml:space="preserve">  Instrumentation and controls, installed (6-30% of purchased equipment)</t>
  </si>
  <si>
    <t xml:space="preserve">  Piping, installed (10-80% of purchased equipment)</t>
  </si>
  <si>
    <t xml:space="preserve">  Electrical, installed (10-40% of purchased equipment)</t>
  </si>
  <si>
    <t>B. Buildings, process and auxiliary (10-70% of purchased equipment)</t>
  </si>
  <si>
    <t>C. Service facilities and yard improvements (40-100% of purchased equipment)</t>
  </si>
  <si>
    <t>D. Land (4-8% of purchased equipment)</t>
  </si>
  <si>
    <t>A. Engineering and supervision (5-30% of direct costs)</t>
  </si>
  <si>
    <t>B. Construction expense and contractor's fee (6-30% of direct costs)</t>
  </si>
  <si>
    <t>C. Contingency (5-15% of fixed capital investment)</t>
  </si>
  <si>
    <t>I. Manufacturing Cost, $/year</t>
  </si>
  <si>
    <t>A. Direct Product Costs</t>
  </si>
  <si>
    <t xml:space="preserve">  Raw Materials (10-50% of total product cost)</t>
  </si>
  <si>
    <t xml:space="preserve">  Operating labor (10-20% of total product cost)</t>
  </si>
  <si>
    <t xml:space="preserve">  Direct supervisory and clerical labor (10-25% of operating labor)</t>
  </si>
  <si>
    <t xml:space="preserve">  Utilities (10-20% of total product cost)</t>
  </si>
  <si>
    <t xml:space="preserve">  Maintenance and Repairs (2-10% of fixed capital investment)</t>
  </si>
  <si>
    <t xml:space="preserve">  Operating supplies (10-20% of cost of maintenance and repairs, or 0.5-1% of fixed capital investment)</t>
  </si>
  <si>
    <t xml:space="preserve">  Laboratory charges (10-20% of operating labor)</t>
  </si>
  <si>
    <t xml:space="preserve">  Patents and royalties (0-6% of total product cost)</t>
  </si>
  <si>
    <t>B. Fixed Charges</t>
  </si>
  <si>
    <t xml:space="preserve">  Depreciation (10% of fixed capital investment and 2-3% of building value)</t>
  </si>
  <si>
    <t xml:space="preserve">  Local taxes (1-4% of fixed capital investment)</t>
  </si>
  <si>
    <t xml:space="preserve">  Insurance (0.4-1% of fixed capital investment)</t>
  </si>
  <si>
    <t xml:space="preserve">  Rent (8-12% of value of rented land and buildings)</t>
  </si>
  <si>
    <t xml:space="preserve">  Financing (interest) (0-10% of total capital investment)</t>
  </si>
  <si>
    <t>C. Plant Overhead Costs (50-70%) of operating labor, supervision and maintenance or 5-15% of total product cost)</t>
  </si>
  <si>
    <t>II. General Expenses, $/year = administrative costs + distribution and selling costs + R&amp;D costs</t>
  </si>
  <si>
    <t>A. Administrative costs (15% of costs of operating labor, supervision, and maintenance or 2-6% of total product cost)</t>
  </si>
  <si>
    <t>B. Distribution and selling costs (2-20% of total product cost)</t>
  </si>
  <si>
    <t>C. R&amp;D costs (2-5% of every sales dollar or 5% of total product cost)</t>
  </si>
  <si>
    <t>III. Total Product Cost, $/year = Manufacturing Cost + General Expenses</t>
  </si>
  <si>
    <t>Builder</t>
  </si>
  <si>
    <t>1.4 Process water input (gal/kg cathode)</t>
  </si>
  <si>
    <t>Reset with Zero "0"</t>
  </si>
  <si>
    <t>NMC(622) Production</t>
  </si>
  <si>
    <t>NMC622</t>
  </si>
  <si>
    <t>NMC(811) Production</t>
  </si>
  <si>
    <t>NMC811</t>
  </si>
  <si>
    <t>1.1 Environmental Impacts of cathode materials produced from recycled materials from pyro process(per kg of produced cathode)</t>
  </si>
  <si>
    <t>1.2 Environmental Impacts of cathode materials produced from recycled materials from hydro process(per kg of produced cathode)</t>
  </si>
  <si>
    <t>1.3 Environmental Impacts of cathode materials produced from recycled materials from direct process(per kg of produced cathode)</t>
  </si>
  <si>
    <t>1.4 Environmental Impacts of cathode materials produced from recycled materials from custom process(per kg of produced cathode)</t>
  </si>
  <si>
    <t>2.1 Cost of cathode materials produced from recycled materials of pyro process(per kg of produced cathode)</t>
  </si>
  <si>
    <t>2.2 Cost of cathode materials produced from recycled materials of hydro process(per kg of produced cathode)</t>
  </si>
  <si>
    <t>2.3 Cost of cathode materials produced from recycled materials of direct process(per kg of produced cathode)</t>
  </si>
  <si>
    <t>2.4 Cost of cathode materials produced from recycled materials of custom process(per kg of produced cathode)</t>
  </si>
  <si>
    <t>NMC(111)</t>
  </si>
  <si>
    <t>NMC(111) Production</t>
  </si>
  <si>
    <t>2.5 Cost of cathode materials produced from virgin materials (per kg of produced cathode)</t>
  </si>
  <si>
    <t>NCA Production</t>
  </si>
  <si>
    <t xml:space="preserve">   Aluminum</t>
  </si>
  <si>
    <t xml:space="preserve">   Aluminum, MT/day</t>
  </si>
  <si>
    <r>
      <t>(Ni/Co/Al)SO</t>
    </r>
    <r>
      <rPr>
        <vertAlign val="subscript"/>
        <sz val="11"/>
        <color theme="1"/>
        <rFont val="DengXian"/>
        <family val="2"/>
        <scheme val="minor"/>
      </rPr>
      <t>4</t>
    </r>
    <r>
      <rPr>
        <sz val="11"/>
        <color theme="1"/>
        <rFont val="DengXian"/>
        <family val="2"/>
        <scheme val="minor"/>
      </rPr>
      <t xml:space="preserve"> + Na</t>
    </r>
    <r>
      <rPr>
        <vertAlign val="subscript"/>
        <sz val="11"/>
        <color theme="1"/>
        <rFont val="DengXian"/>
        <family val="2"/>
        <scheme val="minor"/>
      </rPr>
      <t>2</t>
    </r>
    <r>
      <rPr>
        <sz val="11"/>
        <color theme="1"/>
        <rFont val="DengXian"/>
        <family val="2"/>
        <scheme val="minor"/>
      </rPr>
      <t>CO</t>
    </r>
    <r>
      <rPr>
        <vertAlign val="subscript"/>
        <sz val="11"/>
        <color theme="1"/>
        <rFont val="DengXian"/>
        <family val="2"/>
        <scheme val="minor"/>
      </rPr>
      <t xml:space="preserve">3 </t>
    </r>
    <r>
      <rPr>
        <sz val="11"/>
        <color theme="1"/>
        <rFont val="DengXian"/>
        <family val="2"/>
        <scheme val="minor"/>
      </rPr>
      <t xml:space="preserve"> =  (Ni/Co/Al)CO</t>
    </r>
    <r>
      <rPr>
        <vertAlign val="subscript"/>
        <sz val="11"/>
        <color theme="1"/>
        <rFont val="DengXian"/>
        <family val="2"/>
        <scheme val="minor"/>
      </rPr>
      <t>3</t>
    </r>
    <r>
      <rPr>
        <sz val="11"/>
        <color theme="1"/>
        <rFont val="Symbol"/>
        <family val="1"/>
        <charset val="2"/>
      </rPr>
      <t xml:space="preserve">¯ </t>
    </r>
    <r>
      <rPr>
        <sz val="11"/>
        <color theme="1"/>
        <rFont val="DengXian"/>
        <family val="2"/>
        <scheme val="minor"/>
      </rPr>
      <t>+ Na</t>
    </r>
    <r>
      <rPr>
        <vertAlign val="subscript"/>
        <sz val="11"/>
        <color theme="1"/>
        <rFont val="DengXian"/>
        <family val="2"/>
        <scheme val="minor"/>
      </rPr>
      <t>2</t>
    </r>
    <r>
      <rPr>
        <sz val="11"/>
        <color theme="1"/>
        <rFont val="DengXian"/>
        <family val="2"/>
        <scheme val="minor"/>
      </rPr>
      <t>SO</t>
    </r>
    <r>
      <rPr>
        <vertAlign val="subscript"/>
        <sz val="11"/>
        <color theme="1"/>
        <rFont val="DengXian"/>
        <family val="2"/>
        <scheme val="minor"/>
      </rPr>
      <t>4</t>
    </r>
  </si>
  <si>
    <r>
      <t xml:space="preserve">Aluminum ( M ), </t>
    </r>
    <r>
      <rPr>
        <i/>
        <sz val="11"/>
        <color theme="1"/>
        <rFont val="DengXian"/>
        <family val="2"/>
        <scheme val="minor"/>
      </rPr>
      <t>y</t>
    </r>
  </si>
  <si>
    <r>
      <t>Al</t>
    </r>
    <r>
      <rPr>
        <vertAlign val="subscript"/>
        <sz val="11"/>
        <color theme="1"/>
        <rFont val="DengXian"/>
        <family val="2"/>
        <scheme val="minor"/>
      </rPr>
      <t>2</t>
    </r>
    <r>
      <rPr>
        <sz val="11"/>
        <color theme="1"/>
        <rFont val="DengXian"/>
        <family val="2"/>
        <scheme val="minor"/>
      </rPr>
      <t>(SO</t>
    </r>
    <r>
      <rPr>
        <vertAlign val="subscript"/>
        <sz val="11"/>
        <color theme="1"/>
        <rFont val="DengXian"/>
        <family val="2"/>
        <scheme val="minor"/>
      </rPr>
      <t>4</t>
    </r>
    <r>
      <rPr>
        <sz val="11"/>
        <color theme="1"/>
        <rFont val="DengXian"/>
        <family val="2"/>
        <scheme val="minor"/>
      </rPr>
      <t>)</t>
    </r>
    <r>
      <rPr>
        <vertAlign val="subscript"/>
        <sz val="11"/>
        <color theme="1"/>
        <rFont val="DengXian"/>
        <family val="2"/>
        <scheme val="minor"/>
      </rPr>
      <t>3</t>
    </r>
  </si>
  <si>
    <r>
      <t xml:space="preserve">   Al</t>
    </r>
    <r>
      <rPr>
        <vertAlign val="subscript"/>
        <sz val="11"/>
        <color theme="1"/>
        <rFont val="DengXian"/>
        <family val="2"/>
        <scheme val="minor"/>
      </rPr>
      <t>2</t>
    </r>
    <r>
      <rPr>
        <sz val="11"/>
        <color theme="1"/>
        <rFont val="DengXian"/>
        <family val="2"/>
        <scheme val="minor"/>
      </rPr>
      <t>(SO</t>
    </r>
    <r>
      <rPr>
        <vertAlign val="subscript"/>
        <sz val="11"/>
        <color theme="1"/>
        <rFont val="DengXian"/>
        <family val="2"/>
        <scheme val="minor"/>
      </rPr>
      <t>4</t>
    </r>
    <r>
      <rPr>
        <sz val="11"/>
        <color theme="1"/>
        <rFont val="DengXian"/>
        <family val="2"/>
        <scheme val="minor"/>
      </rPr>
      <t>)</t>
    </r>
    <r>
      <rPr>
        <vertAlign val="subscript"/>
        <sz val="11"/>
        <color theme="1"/>
        <rFont val="DengXian"/>
        <family val="2"/>
        <scheme val="minor"/>
      </rPr>
      <t>3</t>
    </r>
  </si>
  <si>
    <r>
      <t>Concentration of Al</t>
    </r>
    <r>
      <rPr>
        <vertAlign val="subscript"/>
        <sz val="11"/>
        <color theme="1"/>
        <rFont val="DengXian"/>
        <family val="2"/>
        <scheme val="minor"/>
      </rPr>
      <t>2</t>
    </r>
    <r>
      <rPr>
        <sz val="11"/>
        <color theme="1"/>
        <rFont val="DengXian"/>
        <family val="2"/>
        <scheme val="minor"/>
      </rPr>
      <t>(SO</t>
    </r>
    <r>
      <rPr>
        <vertAlign val="subscript"/>
        <sz val="11"/>
        <color theme="1"/>
        <rFont val="DengXian"/>
        <family val="2"/>
        <scheme val="minor"/>
      </rPr>
      <t>4</t>
    </r>
    <r>
      <rPr>
        <sz val="11"/>
        <color theme="1"/>
        <rFont val="DengXian"/>
        <family val="2"/>
        <scheme val="minor"/>
      </rPr>
      <t>)</t>
    </r>
    <r>
      <rPr>
        <vertAlign val="subscript"/>
        <sz val="11"/>
        <color theme="1"/>
        <rFont val="DengXian"/>
        <family val="2"/>
        <scheme val="minor"/>
      </rPr>
      <t>3</t>
    </r>
    <r>
      <rPr>
        <sz val="11"/>
        <color theme="1"/>
        <rFont val="DengXian"/>
        <family val="2"/>
        <scheme val="minor"/>
      </rPr>
      <t xml:space="preserve"> Solution</t>
    </r>
  </si>
  <si>
    <r>
      <t>Water for Al</t>
    </r>
    <r>
      <rPr>
        <vertAlign val="subscript"/>
        <sz val="11"/>
        <color theme="1"/>
        <rFont val="DengXian"/>
        <family val="2"/>
        <scheme val="minor"/>
      </rPr>
      <t>2</t>
    </r>
    <r>
      <rPr>
        <sz val="11"/>
        <color theme="1"/>
        <rFont val="DengXian"/>
        <family val="2"/>
        <scheme val="minor"/>
      </rPr>
      <t>(SO</t>
    </r>
    <r>
      <rPr>
        <vertAlign val="subscript"/>
        <sz val="11"/>
        <color theme="1"/>
        <rFont val="DengXian"/>
        <family val="2"/>
        <scheme val="minor"/>
      </rPr>
      <t>4</t>
    </r>
    <r>
      <rPr>
        <sz val="11"/>
        <color theme="1"/>
        <rFont val="DengXian"/>
        <family val="2"/>
        <scheme val="minor"/>
      </rPr>
      <t>)</t>
    </r>
    <r>
      <rPr>
        <vertAlign val="subscript"/>
        <sz val="11"/>
        <color theme="1"/>
        <rFont val="DengXian"/>
        <family val="2"/>
        <scheme val="minor"/>
      </rPr>
      <t>3</t>
    </r>
    <r>
      <rPr>
        <sz val="11"/>
        <color theme="1"/>
        <rFont val="DengXian"/>
        <family val="2"/>
        <scheme val="minor"/>
      </rPr>
      <t xml:space="preserve"> Solution</t>
    </r>
  </si>
  <si>
    <r>
      <t>g/kg</t>
    </r>
    <r>
      <rPr>
        <vertAlign val="subscript"/>
        <sz val="11"/>
        <color theme="1"/>
        <rFont val="DengXian"/>
        <family val="2"/>
        <scheme val="minor"/>
      </rPr>
      <t>NCA</t>
    </r>
  </si>
  <si>
    <r>
      <t>L/kg</t>
    </r>
    <r>
      <rPr>
        <vertAlign val="subscript"/>
        <sz val="11"/>
        <color theme="1"/>
        <rFont val="DengXian"/>
        <family val="2"/>
        <scheme val="minor"/>
      </rPr>
      <t>NCA</t>
    </r>
  </si>
  <si>
    <r>
      <t>Reactant Volume (NiSO</t>
    </r>
    <r>
      <rPr>
        <vertAlign val="subscript"/>
        <sz val="11"/>
        <color theme="1"/>
        <rFont val="DengXian"/>
        <family val="2"/>
        <scheme val="minor"/>
      </rPr>
      <t>4</t>
    </r>
    <r>
      <rPr>
        <sz val="11"/>
        <color theme="1"/>
        <rFont val="DengXian"/>
        <family val="2"/>
        <scheme val="minor"/>
      </rPr>
      <t>, Al</t>
    </r>
    <r>
      <rPr>
        <vertAlign val="subscript"/>
        <sz val="11"/>
        <color theme="1"/>
        <rFont val="DengXian"/>
        <family val="2"/>
        <scheme val="minor"/>
      </rPr>
      <t>2</t>
    </r>
    <r>
      <rPr>
        <sz val="11"/>
        <color theme="1"/>
        <rFont val="DengXian"/>
        <family val="2"/>
        <scheme val="minor"/>
      </rPr>
      <t>(SO</t>
    </r>
    <r>
      <rPr>
        <vertAlign val="subscript"/>
        <sz val="11"/>
        <color theme="1"/>
        <rFont val="DengXian"/>
        <family val="2"/>
        <scheme val="minor"/>
      </rPr>
      <t>4</t>
    </r>
    <r>
      <rPr>
        <sz val="11"/>
        <color theme="1"/>
        <rFont val="DengXian"/>
        <family val="2"/>
        <scheme val="minor"/>
      </rPr>
      <t>)</t>
    </r>
    <r>
      <rPr>
        <vertAlign val="subscript"/>
        <sz val="11"/>
        <color theme="1"/>
        <rFont val="DengXian"/>
        <family val="2"/>
        <scheme val="minor"/>
      </rPr>
      <t>3</t>
    </r>
    <r>
      <rPr>
        <sz val="11"/>
        <color theme="1"/>
        <rFont val="DengXian"/>
        <family val="2"/>
        <scheme val="minor"/>
      </rPr>
      <t>, CoSO</t>
    </r>
    <r>
      <rPr>
        <vertAlign val="subscript"/>
        <sz val="11"/>
        <color theme="1"/>
        <rFont val="DengXian"/>
        <family val="2"/>
        <scheme val="minor"/>
      </rPr>
      <t>4</t>
    </r>
    <r>
      <rPr>
        <sz val="11"/>
        <color theme="1"/>
        <rFont val="DengXian"/>
        <family val="2"/>
        <scheme val="minor"/>
      </rPr>
      <t>,Na</t>
    </r>
    <r>
      <rPr>
        <vertAlign val="subscript"/>
        <sz val="11"/>
        <color theme="1"/>
        <rFont val="DengXian"/>
        <family val="2"/>
        <scheme val="minor"/>
      </rPr>
      <t>2</t>
    </r>
    <r>
      <rPr>
        <sz val="11"/>
        <color theme="1"/>
        <rFont val="DengXian"/>
        <family val="2"/>
        <scheme val="minor"/>
      </rPr>
      <t>CO</t>
    </r>
    <r>
      <rPr>
        <vertAlign val="subscript"/>
        <sz val="11"/>
        <color theme="1"/>
        <rFont val="DengXian"/>
        <family val="2"/>
        <scheme val="minor"/>
      </rPr>
      <t>3</t>
    </r>
    <r>
      <rPr>
        <sz val="11"/>
        <color theme="1"/>
        <rFont val="DengXian"/>
        <family val="2"/>
        <scheme val="minor"/>
      </rPr>
      <t>,NH</t>
    </r>
    <r>
      <rPr>
        <vertAlign val="subscript"/>
        <sz val="11"/>
        <color theme="1"/>
        <rFont val="DengXian"/>
        <family val="2"/>
        <scheme val="minor"/>
      </rPr>
      <t>4</t>
    </r>
    <r>
      <rPr>
        <sz val="11"/>
        <color theme="1"/>
        <rFont val="DengXian"/>
        <family val="2"/>
        <scheme val="minor"/>
      </rPr>
      <t>OH in water)</t>
    </r>
  </si>
  <si>
    <r>
      <t xml:space="preserve">   Al</t>
    </r>
    <r>
      <rPr>
        <vertAlign val="subscript"/>
        <sz val="11"/>
        <color theme="1"/>
        <rFont val="DengXian"/>
        <family val="2"/>
        <scheme val="minor"/>
      </rPr>
      <t>2</t>
    </r>
    <r>
      <rPr>
        <sz val="11"/>
        <color theme="1"/>
        <rFont val="DengXian"/>
        <family val="2"/>
        <scheme val="minor"/>
      </rPr>
      <t>(CO</t>
    </r>
    <r>
      <rPr>
        <vertAlign val="subscript"/>
        <sz val="11"/>
        <color theme="1"/>
        <rFont val="DengXian"/>
        <family val="2"/>
        <scheme val="minor"/>
      </rPr>
      <t>3</t>
    </r>
    <r>
      <rPr>
        <sz val="11"/>
        <color theme="1"/>
        <rFont val="DengXian"/>
        <family val="2"/>
        <scheme val="minor"/>
      </rPr>
      <t>)</t>
    </r>
    <r>
      <rPr>
        <vertAlign val="subscript"/>
        <sz val="11"/>
        <color theme="1"/>
        <rFont val="DengXian"/>
        <family val="2"/>
        <scheme val="minor"/>
      </rPr>
      <t>3</t>
    </r>
    <r>
      <rPr>
        <sz val="11"/>
        <color theme="1"/>
        <rFont val="DengXian"/>
        <family val="2"/>
        <scheme val="minor"/>
      </rPr>
      <t xml:space="preserve"> (Precipitate)</t>
    </r>
  </si>
  <si>
    <r>
      <t xml:space="preserve">   Al</t>
    </r>
    <r>
      <rPr>
        <vertAlign val="subscript"/>
        <sz val="11"/>
        <color theme="1"/>
        <rFont val="DengXian"/>
        <family val="2"/>
        <scheme val="minor"/>
      </rPr>
      <t>2</t>
    </r>
    <r>
      <rPr>
        <sz val="11"/>
        <color theme="1"/>
        <rFont val="DengXian"/>
        <family val="2"/>
        <scheme val="minor"/>
      </rPr>
      <t>(SO</t>
    </r>
    <r>
      <rPr>
        <vertAlign val="subscript"/>
        <sz val="11"/>
        <color theme="1"/>
        <rFont val="DengXian"/>
        <family val="2"/>
        <scheme val="minor"/>
      </rPr>
      <t>4</t>
    </r>
    <r>
      <rPr>
        <sz val="11"/>
        <color theme="1"/>
        <rFont val="DengXian"/>
        <family val="2"/>
        <scheme val="minor"/>
      </rPr>
      <t>)</t>
    </r>
    <r>
      <rPr>
        <vertAlign val="subscript"/>
        <sz val="11"/>
        <color theme="1"/>
        <rFont val="DengXian"/>
        <family val="2"/>
        <scheme val="minor"/>
      </rPr>
      <t>3</t>
    </r>
    <r>
      <rPr>
        <sz val="11"/>
        <color theme="1"/>
        <rFont val="DengXian"/>
        <family val="2"/>
        <scheme val="minor"/>
      </rPr>
      <t xml:space="preserve"> (Unreacted)</t>
    </r>
  </si>
  <si>
    <t>Liter/kgNCA</t>
  </si>
  <si>
    <t>Water consumption: gal/kg</t>
  </si>
  <si>
    <r>
      <t>Filter Yield - Al</t>
    </r>
    <r>
      <rPr>
        <vertAlign val="subscript"/>
        <sz val="11"/>
        <color theme="1"/>
        <rFont val="DengXian"/>
        <family val="2"/>
        <scheme val="minor"/>
      </rPr>
      <t>2</t>
    </r>
    <r>
      <rPr>
        <sz val="11"/>
        <color theme="1"/>
        <rFont val="DengXian"/>
        <family val="2"/>
        <scheme val="minor"/>
      </rPr>
      <t>(CO</t>
    </r>
    <r>
      <rPr>
        <vertAlign val="subscript"/>
        <sz val="11"/>
        <color theme="1"/>
        <rFont val="DengXian"/>
        <family val="2"/>
        <scheme val="minor"/>
      </rPr>
      <t>3</t>
    </r>
    <r>
      <rPr>
        <sz val="11"/>
        <color theme="1"/>
        <rFont val="DengXian"/>
        <family val="2"/>
        <scheme val="minor"/>
      </rPr>
      <t>)</t>
    </r>
    <r>
      <rPr>
        <vertAlign val="subscript"/>
        <sz val="11"/>
        <color theme="1"/>
        <rFont val="DengXian"/>
        <family val="2"/>
        <scheme val="minor"/>
      </rPr>
      <t>3</t>
    </r>
  </si>
  <si>
    <r>
      <t xml:space="preserve">   Al</t>
    </r>
    <r>
      <rPr>
        <vertAlign val="subscript"/>
        <sz val="11"/>
        <color theme="1"/>
        <rFont val="DengXian"/>
        <family val="2"/>
        <scheme val="minor"/>
      </rPr>
      <t>2</t>
    </r>
    <r>
      <rPr>
        <sz val="11"/>
        <color theme="1"/>
        <rFont val="DengXian"/>
        <family val="2"/>
        <scheme val="minor"/>
      </rPr>
      <t>(CO</t>
    </r>
    <r>
      <rPr>
        <vertAlign val="subscript"/>
        <sz val="11"/>
        <color theme="1"/>
        <rFont val="DengXian"/>
        <family val="2"/>
        <scheme val="minor"/>
      </rPr>
      <t>3</t>
    </r>
    <r>
      <rPr>
        <sz val="11"/>
        <color theme="1"/>
        <rFont val="DengXian"/>
        <family val="2"/>
        <scheme val="minor"/>
      </rPr>
      <t>)</t>
    </r>
    <r>
      <rPr>
        <vertAlign val="subscript"/>
        <sz val="11"/>
        <color theme="1"/>
        <rFont val="DengXian"/>
        <family val="2"/>
        <scheme val="minor"/>
      </rPr>
      <t>3</t>
    </r>
  </si>
  <si>
    <t>Percentage of total heat load</t>
  </si>
  <si>
    <t>20% excess capacity</t>
  </si>
  <si>
    <r>
      <t>Stoich Ratio = Li/NMC Ratio in Li</t>
    </r>
    <r>
      <rPr>
        <vertAlign val="subscript"/>
        <sz val="11"/>
        <color theme="1"/>
        <rFont val="DengXian"/>
        <family val="2"/>
        <scheme val="minor"/>
      </rPr>
      <t>1.05</t>
    </r>
    <r>
      <rPr>
        <sz val="11"/>
        <color theme="1"/>
        <rFont val="DengXian"/>
        <family val="2"/>
        <scheme val="minor"/>
      </rPr>
      <t>(NCA)</t>
    </r>
  </si>
  <si>
    <r>
      <t>Li</t>
    </r>
    <r>
      <rPr>
        <vertAlign val="subscript"/>
        <sz val="11"/>
        <color theme="1"/>
        <rFont val="DengXian"/>
        <family val="2"/>
        <scheme val="minor"/>
      </rPr>
      <t>1.05</t>
    </r>
    <r>
      <rPr>
        <sz val="11"/>
        <color theme="1"/>
        <rFont val="DengXian"/>
        <family val="2"/>
        <scheme val="minor"/>
      </rPr>
      <t>(Ni0.8Co</t>
    </r>
    <r>
      <rPr>
        <vertAlign val="subscript"/>
        <sz val="11"/>
        <color theme="1"/>
        <rFont val="DengXian"/>
        <family val="2"/>
        <scheme val="minor"/>
      </rPr>
      <t>0.15</t>
    </r>
    <r>
      <rPr>
        <sz val="11"/>
        <color theme="1"/>
        <rFont val="DengXian"/>
        <family val="2"/>
        <scheme val="minor"/>
      </rPr>
      <t>Al</t>
    </r>
    <r>
      <rPr>
        <vertAlign val="subscript"/>
        <sz val="11"/>
        <color theme="1"/>
        <rFont val="DengXian"/>
        <family val="2"/>
        <scheme val="minor"/>
      </rPr>
      <t>0.05</t>
    </r>
    <r>
      <rPr>
        <sz val="11"/>
        <color theme="1"/>
        <rFont val="DengXian"/>
        <family val="2"/>
        <scheme val="minor"/>
      </rPr>
      <t>O</t>
    </r>
    <r>
      <rPr>
        <vertAlign val="subscript"/>
        <sz val="11"/>
        <color theme="1"/>
        <rFont val="DengXian"/>
        <family val="2"/>
        <scheme val="minor"/>
      </rPr>
      <t>2</t>
    </r>
    <r>
      <rPr>
        <sz val="11"/>
        <color theme="1"/>
        <rFont val="DengXian"/>
        <family val="2"/>
        <scheme val="minor"/>
      </rPr>
      <t>)</t>
    </r>
  </si>
  <si>
    <r>
      <rPr>
        <sz val="14"/>
        <color theme="1"/>
        <rFont val="DengXian"/>
        <family val="2"/>
        <scheme val="minor"/>
      </rPr>
      <t>Li</t>
    </r>
    <r>
      <rPr>
        <i/>
        <vertAlign val="subscript"/>
        <sz val="14"/>
        <color theme="1"/>
        <rFont val="DengXian"/>
        <family val="2"/>
        <scheme val="minor"/>
      </rPr>
      <t>a</t>
    </r>
    <r>
      <rPr>
        <sz val="14"/>
        <color theme="1"/>
        <rFont val="DengXian"/>
        <family val="2"/>
        <scheme val="minor"/>
      </rPr>
      <t>Ni</t>
    </r>
    <r>
      <rPr>
        <i/>
        <vertAlign val="subscript"/>
        <sz val="14"/>
        <color theme="1"/>
        <rFont val="DengXian"/>
        <family val="2"/>
        <scheme val="minor"/>
      </rPr>
      <t>x/T</t>
    </r>
    <r>
      <rPr>
        <i/>
        <sz val="14"/>
        <color theme="1"/>
        <rFont val="DengXian"/>
        <family val="2"/>
        <scheme val="minor"/>
      </rPr>
      <t>Al</t>
    </r>
    <r>
      <rPr>
        <i/>
        <vertAlign val="subscript"/>
        <sz val="14"/>
        <color theme="1"/>
        <rFont val="DengXian"/>
        <family val="2"/>
        <scheme val="minor"/>
      </rPr>
      <t>y/</t>
    </r>
    <r>
      <rPr>
        <vertAlign val="subscript"/>
        <sz val="14"/>
        <color theme="1"/>
        <rFont val="DengXian"/>
        <family val="2"/>
        <scheme val="minor"/>
      </rPr>
      <t>T</t>
    </r>
    <r>
      <rPr>
        <sz val="14"/>
        <color theme="1"/>
        <rFont val="DengXian"/>
        <family val="2"/>
        <scheme val="minor"/>
      </rPr>
      <t>Co</t>
    </r>
    <r>
      <rPr>
        <vertAlign val="subscript"/>
        <sz val="14"/>
        <color theme="1"/>
        <rFont val="DengXian"/>
        <family val="2"/>
        <scheme val="minor"/>
      </rPr>
      <t>z/T</t>
    </r>
    <r>
      <rPr>
        <sz val="14"/>
        <color theme="1"/>
        <rFont val="DengXian"/>
        <family val="2"/>
        <scheme val="minor"/>
      </rPr>
      <t>O</t>
    </r>
    <r>
      <rPr>
        <vertAlign val="subscript"/>
        <sz val="14"/>
        <color theme="1"/>
        <rFont val="DengXian"/>
        <family val="2"/>
        <scheme val="minor"/>
      </rPr>
      <t>2</t>
    </r>
    <r>
      <rPr>
        <sz val="11"/>
        <color theme="1"/>
        <rFont val="DengXian"/>
        <family val="2"/>
        <scheme val="minor"/>
      </rPr>
      <t xml:space="preserve"> Product Required</t>
    </r>
  </si>
  <si>
    <r>
      <t xml:space="preserve">   Al</t>
    </r>
    <r>
      <rPr>
        <vertAlign val="subscript"/>
        <sz val="11"/>
        <color theme="1"/>
        <rFont val="DengXian"/>
        <family val="2"/>
        <scheme val="minor"/>
      </rPr>
      <t>2</t>
    </r>
    <r>
      <rPr>
        <sz val="11"/>
        <color theme="1"/>
        <rFont val="DengXian"/>
        <family val="2"/>
        <scheme val="minor"/>
      </rPr>
      <t>(CO</t>
    </r>
    <r>
      <rPr>
        <vertAlign val="subscript"/>
        <sz val="11"/>
        <color theme="1"/>
        <rFont val="DengXian"/>
        <family val="2"/>
        <scheme val="minor"/>
      </rPr>
      <t>3</t>
    </r>
    <r>
      <rPr>
        <sz val="11"/>
        <color theme="1"/>
        <rFont val="DengXian"/>
        <family val="2"/>
        <scheme val="minor"/>
      </rPr>
      <t>)</t>
    </r>
    <r>
      <rPr>
        <vertAlign val="subscript"/>
        <sz val="11"/>
        <color theme="1"/>
        <rFont val="DengXian"/>
        <family val="2"/>
        <scheme val="minor"/>
      </rPr>
      <t>3</t>
    </r>
    <r>
      <rPr>
        <sz val="11"/>
        <color theme="1"/>
        <rFont val="DengXian"/>
        <family val="2"/>
        <scheme val="minor"/>
      </rPr>
      <t xml:space="preserve"> (Solids)</t>
    </r>
  </si>
  <si>
    <t>1. Cost information by Geographical location</t>
  </si>
  <si>
    <t>1.1 Cost information for battery manufacturing</t>
  </si>
  <si>
    <r>
      <t>Building cost ($/m</t>
    </r>
    <r>
      <rPr>
        <vertAlign val="superscript"/>
        <sz val="11"/>
        <color theme="1"/>
        <rFont val="DengXian"/>
        <family val="2"/>
        <scheme val="minor"/>
      </rPr>
      <t>2</t>
    </r>
    <r>
      <rPr>
        <sz val="11"/>
        <color theme="1"/>
        <rFont val="DengXian"/>
        <family val="2"/>
        <scheme val="minor"/>
      </rPr>
      <t>)</t>
    </r>
  </si>
  <si>
    <t>Capital cost adjustment (%)</t>
  </si>
  <si>
    <t>1.2 Cost information for battery collection and transportation</t>
  </si>
  <si>
    <t xml:space="preserve">U.S. </t>
  </si>
  <si>
    <t>Ocean Tanker</t>
  </si>
  <si>
    <t>1.3 Cost information for battery recycling</t>
  </si>
  <si>
    <t>Equipment cost adjustment (%)</t>
  </si>
  <si>
    <t>Electricity cost ($/kWh)</t>
  </si>
  <si>
    <t>Natural gas cost ($/MMBTU)</t>
  </si>
  <si>
    <t>Landfill cost (tip fee $/ton)</t>
  </si>
  <si>
    <t>Wastewater discharge cost ($/gal)</t>
  </si>
  <si>
    <t>Water cost ($/gal)</t>
  </si>
  <si>
    <t>1.4 Cost information for cathode production</t>
  </si>
  <si>
    <t>1.5 Cost information for battery manufacturing with recycled materials</t>
  </si>
  <si>
    <t>2.1 Environmental impacts of electricity by geographical locations</t>
  </si>
  <si>
    <t>2. Environmental impacts information by geographical locations</t>
  </si>
  <si>
    <t>Default Locations</t>
  </si>
  <si>
    <t>Cell manufacture</t>
  </si>
  <si>
    <t>Cathode manufacture</t>
  </si>
  <si>
    <t>Cell manufacture w/ recycled mat.</t>
  </si>
  <si>
    <t>User-defined Locations</t>
  </si>
  <si>
    <t>Cathode Regeneration</t>
  </si>
  <si>
    <t>cathode produced</t>
  </si>
  <si>
    <t>virgin materials</t>
  </si>
  <si>
    <t>recycled materials from pyro</t>
  </si>
  <si>
    <t>recycled materials from hydro</t>
  </si>
  <si>
    <t>reclaimed materials from direct</t>
  </si>
  <si>
    <t>recycled materials from custom</t>
  </si>
  <si>
    <t>select cell materials</t>
  </si>
  <si>
    <t>GSA</t>
  </si>
  <si>
    <t xml:space="preserve">Materials </t>
  </si>
  <si>
    <t>Other direct cost</t>
  </si>
  <si>
    <t>Other fixed cost</t>
  </si>
  <si>
    <t>Plant overhead</t>
  </si>
  <si>
    <t>General expenses</t>
  </si>
  <si>
    <t>Analyze recycling cost of</t>
  </si>
  <si>
    <t>Analyze cathode production cost from</t>
  </si>
  <si>
    <t>select precursor materials</t>
  </si>
  <si>
    <t>Reset recycle</t>
  </si>
  <si>
    <t>Reset cathode production</t>
  </si>
  <si>
    <t>Throughput/feed rate</t>
  </si>
  <si>
    <t>3. User-defined materials for recycling processes</t>
  </si>
  <si>
    <t>1. Prices of consumed chemicals ($/kg of chemical)</t>
  </si>
  <si>
    <t>2. Value of recovered materials ($/kg of material)</t>
  </si>
  <si>
    <t>Ball mill 0.25 inch to 200 mesh</t>
  </si>
  <si>
    <t>Horsepower</t>
  </si>
  <si>
    <t>Size (Dia. X Lgt. in ft)</t>
  </si>
  <si>
    <t>3x2</t>
  </si>
  <si>
    <t>3x3</t>
  </si>
  <si>
    <t>3x4</t>
  </si>
  <si>
    <t>3x6</t>
  </si>
  <si>
    <t>3x9</t>
  </si>
  <si>
    <t>4x3</t>
  </si>
  <si>
    <t>4x5</t>
  </si>
  <si>
    <t>4x10</t>
  </si>
  <si>
    <t>5x3</t>
  </si>
  <si>
    <t>5x6</t>
  </si>
  <si>
    <t>5x12</t>
  </si>
  <si>
    <t>Capacity (ton/24hr)</t>
  </si>
  <si>
    <t xml:space="preserve">Generic cost estimates: </t>
  </si>
  <si>
    <t>Capacity (ton/hr)</t>
  </si>
  <si>
    <t xml:space="preserve">Horsepower estimaes: </t>
  </si>
  <si>
    <t>HP=47.058W^1.0061</t>
  </si>
  <si>
    <t>Cost (est.) 2003$</t>
  </si>
  <si>
    <t>matche 2014$</t>
  </si>
  <si>
    <t>matche 2003$</t>
  </si>
  <si>
    <t>C=61W^0.69*1000, 1&lt;W&lt;30 tons/hr, in 2003$</t>
  </si>
  <si>
    <t>CEPCI Annual Index (1957-1959 = 100)</t>
  </si>
  <si>
    <t>Cost coefficient</t>
  </si>
  <si>
    <t>a</t>
  </si>
  <si>
    <t>b</t>
  </si>
  <si>
    <t>c</t>
  </si>
  <si>
    <t>Power consumption coefficient</t>
  </si>
  <si>
    <t>m</t>
  </si>
  <si>
    <t>n</t>
  </si>
  <si>
    <t>p</t>
  </si>
  <si>
    <t>Modeled as screw conveyor, 12 inch diameter</t>
  </si>
  <si>
    <t>Class I, 45% full</t>
  </si>
  <si>
    <t>Loading of materials (ft3/hr)</t>
  </si>
  <si>
    <t>Class II, 30% full</t>
  </si>
  <si>
    <t>Class III, 15% full</t>
  </si>
  <si>
    <t>Maximum recommended speed (rpm)</t>
  </si>
  <si>
    <t>Maximum horsepower at 100 rpm: 5-15 hp</t>
  </si>
  <si>
    <t>Assuming 10 hp</t>
  </si>
  <si>
    <t>Screw converyor (stainless steel) cost</t>
  </si>
  <si>
    <t>L (ft)</t>
  </si>
  <si>
    <t>C = 0.85L^0.78*1000 in 2003$, 7&lt;L&lt;100ft</t>
  </si>
  <si>
    <t>Matche</t>
  </si>
  <si>
    <t>Couper et al 2005 (2003$)</t>
  </si>
  <si>
    <t>Matche (2014$)</t>
  </si>
  <si>
    <t>Matche (2003$)</t>
  </si>
  <si>
    <t>Incinertor, cylindrical, low-harzard</t>
  </si>
  <si>
    <t>Duty (MMBtu/hr)</t>
  </si>
  <si>
    <t>adj.</t>
  </si>
  <si>
    <t>Screw conveyor, stainless steel,  12 inch diameter</t>
  </si>
  <si>
    <t>Incinerator, cylindrical, low-hazard feed material</t>
  </si>
  <si>
    <t>Chemical process equipment selection and design, Couper et al 2005</t>
  </si>
  <si>
    <t>Cost = 1,313,832 * x^0.512</t>
  </si>
  <si>
    <t>Power rating = m*x^n+p (KW)</t>
  </si>
  <si>
    <t>Belt, open, short, 42 inch wideth, 100 ft length</t>
  </si>
  <si>
    <t>Matche cost: $102,600 2014$</t>
  </si>
  <si>
    <t>Assumed HP: 20hp</t>
  </si>
  <si>
    <t>Steam tube dryer, class II, 304 stainless steel</t>
  </si>
  <si>
    <t>Cost estimate: C = 2.23*F*A^0.6*1000 in 2003$, 500&lt;A&lt;18,000 ft2 tube surface, F=1.75 for 304 stainless</t>
  </si>
  <si>
    <t>C=591236.1106*capacity^0.6</t>
  </si>
  <si>
    <t>Cyclone separator, heavy duty</t>
  </si>
  <si>
    <t>Assuming HP = 100hp</t>
  </si>
  <si>
    <t>Cyclone, wet, ceramic lined, 30inch diameter</t>
  </si>
  <si>
    <t>Assumed HP: 100hp</t>
  </si>
  <si>
    <t>Matche cost: $50,300 in 2014$</t>
  </si>
  <si>
    <t>Filter, plate and frame, 200ft2 filter area, stainless 304</t>
  </si>
  <si>
    <t>Matche cost: $173000 in 2014$</t>
  </si>
  <si>
    <t>Assumed HP=20hp</t>
  </si>
  <si>
    <t>Reactor, jecketed and agitated, stainless 304, atmospheric to 25psi</t>
  </si>
  <si>
    <t>Matche cost (2014$)</t>
  </si>
  <si>
    <t>Volume (gallon)</t>
  </si>
  <si>
    <t>Cost = 131409.8*capacity^0.5301</t>
  </si>
  <si>
    <t>Assumed HP=100hp</t>
  </si>
  <si>
    <t>Electrostatic precipitator, carbon steel, atmospheric pressure</t>
  </si>
  <si>
    <t>The cost of scrubber is negligible compared to that of the precipitator.</t>
  </si>
  <si>
    <t>Gas flow (ft^3/min)</t>
  </si>
  <si>
    <t>Matche cost in 2014$</t>
  </si>
  <si>
    <t>Disk size (ft)</t>
  </si>
  <si>
    <t>Rotating disk granulator</t>
  </si>
  <si>
    <t>Agglomerator, disk with motor, stainless 304</t>
  </si>
  <si>
    <t>Cost = 29902*capacity^0.6671</t>
  </si>
  <si>
    <t>Power = 1.3607*capacity-0.5806</t>
  </si>
  <si>
    <t>Reactor, mixer/settler, stainless 304, atmospheric to 25 psi</t>
  </si>
  <si>
    <t>Cost = 473892*capacity ^ 0.4481</t>
  </si>
  <si>
    <t>Assumed HP = 20hp</t>
  </si>
  <si>
    <t>Incinerator, rotary kiln, hazardous feed material, atmospheric pressure</t>
  </si>
  <si>
    <t>Duty (MMBTU/hr)</t>
  </si>
  <si>
    <t>Assuming to be sefl-sustaining --&gt; no heat input required</t>
  </si>
  <si>
    <t>Incinerator, catalytic, low-hazard feed material, atmospheric pressure</t>
  </si>
  <si>
    <t>Cost = 494284*capacity ^ 0.7601</t>
  </si>
  <si>
    <t>Hopper with bottom, bolted, carbon steel, 5000 ft3 bin volume</t>
  </si>
  <si>
    <t xml:space="preserve">Assumed screen area required: </t>
  </si>
  <si>
    <t>Deck area (ft2)</t>
  </si>
  <si>
    <t>DSM screen, stainless steel, with medium carbon steel wire</t>
  </si>
  <si>
    <t>Matche cost ($2014)</t>
  </si>
  <si>
    <t>Cost = 1218.4 * capacity + 3752.8</t>
  </si>
  <si>
    <t>NH4OH Kb=1.8x10^-5</t>
  </si>
  <si>
    <t>HSC Chemistry</t>
  </si>
  <si>
    <t>Enthalpy</t>
  </si>
  <si>
    <t>Entropy</t>
  </si>
  <si>
    <t>Gibbs</t>
  </si>
  <si>
    <t>Heat Capacity</t>
  </si>
  <si>
    <r>
      <rPr>
        <sz val="11"/>
        <color theme="1"/>
        <rFont val="Symbol"/>
        <family val="1"/>
        <charset val="2"/>
      </rPr>
      <t>D</t>
    </r>
    <r>
      <rPr>
        <sz val="11"/>
        <color theme="1"/>
        <rFont val="DengXian"/>
        <family val="2"/>
        <scheme val="minor"/>
      </rPr>
      <t>H, 100°C</t>
    </r>
  </si>
  <si>
    <r>
      <rPr>
        <sz val="11"/>
        <color theme="1"/>
        <rFont val="Symbol"/>
        <family val="1"/>
        <charset val="2"/>
      </rPr>
      <t>D</t>
    </r>
    <r>
      <rPr>
        <sz val="11"/>
        <color theme="1"/>
        <rFont val="DengXian"/>
        <family val="2"/>
        <scheme val="minor"/>
      </rPr>
      <t>S, 100°C</t>
    </r>
  </si>
  <si>
    <r>
      <rPr>
        <sz val="11"/>
        <color theme="1"/>
        <rFont val="Symbol"/>
        <family val="1"/>
        <charset val="2"/>
      </rPr>
      <t>D</t>
    </r>
    <r>
      <rPr>
        <sz val="11"/>
        <color theme="1"/>
        <rFont val="DengXian"/>
        <family val="2"/>
        <scheme val="minor"/>
      </rPr>
      <t>G, 100°C</t>
    </r>
  </si>
  <si>
    <r>
      <t>C</t>
    </r>
    <r>
      <rPr>
        <vertAlign val="subscript"/>
        <sz val="11"/>
        <color theme="1"/>
        <rFont val="DengXian"/>
        <family val="2"/>
        <scheme val="minor"/>
      </rPr>
      <t>p</t>
    </r>
    <r>
      <rPr>
        <sz val="11"/>
        <color theme="1"/>
        <rFont val="DengXian"/>
        <family val="2"/>
        <scheme val="minor"/>
      </rPr>
      <t>, 100°C</t>
    </r>
  </si>
  <si>
    <t>Density</t>
  </si>
  <si>
    <t>kcal/mol</t>
  </si>
  <si>
    <t>cal/mol-K</t>
  </si>
  <si>
    <t>kg/l</t>
  </si>
  <si>
    <r>
      <t>H</t>
    </r>
    <r>
      <rPr>
        <vertAlign val="subscript"/>
        <sz val="11"/>
        <color theme="1"/>
        <rFont val="DengXian"/>
        <family val="2"/>
        <scheme val="minor"/>
      </rPr>
      <t>2</t>
    </r>
    <r>
      <rPr>
        <sz val="11"/>
        <color theme="1"/>
        <rFont val="DengXian"/>
        <family val="2"/>
        <scheme val="minor"/>
      </rPr>
      <t>O</t>
    </r>
  </si>
  <si>
    <r>
      <t>Na</t>
    </r>
    <r>
      <rPr>
        <vertAlign val="subscript"/>
        <sz val="11"/>
        <color theme="1"/>
        <rFont val="DengXian"/>
        <family val="2"/>
        <scheme val="minor"/>
      </rPr>
      <t>2</t>
    </r>
    <r>
      <rPr>
        <sz val="11"/>
        <color theme="1"/>
        <rFont val="DengXian"/>
        <family val="2"/>
        <scheme val="minor"/>
      </rPr>
      <t>CO</t>
    </r>
    <r>
      <rPr>
        <vertAlign val="subscript"/>
        <sz val="11"/>
        <color theme="1"/>
        <rFont val="DengXian"/>
        <family val="2"/>
        <scheme val="minor"/>
      </rPr>
      <t>3</t>
    </r>
  </si>
  <si>
    <t>http://chemister.ru/Database/properties-en.php?id=351</t>
  </si>
  <si>
    <r>
      <t>NiCO</t>
    </r>
    <r>
      <rPr>
        <vertAlign val="subscript"/>
        <sz val="11"/>
        <color theme="1"/>
        <rFont val="DengXian"/>
        <family val="2"/>
        <scheme val="minor"/>
      </rPr>
      <t>3</t>
    </r>
  </si>
  <si>
    <r>
      <t>MnCO</t>
    </r>
    <r>
      <rPr>
        <vertAlign val="subscript"/>
        <sz val="11"/>
        <color theme="1"/>
        <rFont val="DengXian"/>
        <family val="2"/>
        <scheme val="minor"/>
      </rPr>
      <t>3</t>
    </r>
  </si>
  <si>
    <r>
      <t>CoCO</t>
    </r>
    <r>
      <rPr>
        <vertAlign val="subscript"/>
        <sz val="11"/>
        <color theme="1"/>
        <rFont val="DengXian"/>
        <family val="2"/>
        <scheme val="minor"/>
      </rPr>
      <t>3</t>
    </r>
  </si>
  <si>
    <r>
      <t>Na</t>
    </r>
    <r>
      <rPr>
        <vertAlign val="subscript"/>
        <sz val="11"/>
        <color theme="1"/>
        <rFont val="DengXian"/>
        <family val="2"/>
        <scheme val="minor"/>
      </rPr>
      <t>2</t>
    </r>
    <r>
      <rPr>
        <sz val="11"/>
        <color theme="1"/>
        <rFont val="DengXian"/>
        <family val="2"/>
        <scheme val="minor"/>
      </rPr>
      <t>SO</t>
    </r>
    <r>
      <rPr>
        <vertAlign val="subscript"/>
        <sz val="11"/>
        <color theme="1"/>
        <rFont val="DengXian"/>
        <family val="2"/>
        <scheme val="minor"/>
      </rPr>
      <t>4</t>
    </r>
  </si>
  <si>
    <r>
      <t>Al</t>
    </r>
    <r>
      <rPr>
        <vertAlign val="subscript"/>
        <sz val="11"/>
        <color theme="1"/>
        <rFont val="DengXian"/>
        <family val="2"/>
        <scheme val="minor"/>
      </rPr>
      <t>2</t>
    </r>
    <r>
      <rPr>
        <sz val="11"/>
        <color theme="1"/>
        <rFont val="DengXian"/>
        <family val="2"/>
        <scheme val="minor"/>
      </rPr>
      <t>(CO</t>
    </r>
    <r>
      <rPr>
        <vertAlign val="subscript"/>
        <sz val="11"/>
        <color theme="1"/>
        <rFont val="DengXian"/>
        <family val="2"/>
        <scheme val="minor"/>
      </rPr>
      <t>3</t>
    </r>
    <r>
      <rPr>
        <sz val="11"/>
        <color theme="1"/>
        <rFont val="DengXian"/>
        <family val="2"/>
        <scheme val="minor"/>
      </rPr>
      <t>)</t>
    </r>
    <r>
      <rPr>
        <vertAlign val="subscript"/>
        <sz val="11"/>
        <color theme="1"/>
        <rFont val="DengXian"/>
        <family val="2"/>
        <scheme val="minor"/>
      </rPr>
      <t>3</t>
    </r>
  </si>
  <si>
    <t>Use Al2(SO4)3 data as proxy</t>
  </si>
  <si>
    <t>Capa. Adj.</t>
  </si>
  <si>
    <t>Reference:  I. Barin and O. Knacke, Thermochemical properties of inorganic substances, Springer Verlag, 1973, p.422</t>
  </si>
  <si>
    <t>Powder</t>
  </si>
  <si>
    <t>Days of Operation</t>
  </si>
  <si>
    <t>days/year</t>
  </si>
  <si>
    <t>Powder per Saggar</t>
  </si>
  <si>
    <t>Saggars Required per Year</t>
  </si>
  <si>
    <t>per year</t>
  </si>
  <si>
    <t>Saggars Required per day</t>
  </si>
  <si>
    <t>per day</t>
  </si>
  <si>
    <t>Residence Time of each Trip</t>
  </si>
  <si>
    <t>Max Trips per Saggar</t>
  </si>
  <si>
    <t>Saggar Service hours over its life</t>
  </si>
  <si>
    <t>No. of Saggars Required per Year</t>
  </si>
  <si>
    <t>Cost of each Saggar</t>
  </si>
  <si>
    <t>Cost of Saggars per Year</t>
  </si>
  <si>
    <t>Weight of Saggar</t>
  </si>
  <si>
    <t>Specific Heat of Zirconia</t>
  </si>
  <si>
    <t>J/kg-K</t>
  </si>
  <si>
    <t>Thermal Mass</t>
  </si>
  <si>
    <t>kJ/K per day</t>
  </si>
  <si>
    <t>NiO</t>
  </si>
  <si>
    <t>MnO</t>
  </si>
  <si>
    <t>CoO</t>
  </si>
  <si>
    <r>
      <t>Li</t>
    </r>
    <r>
      <rPr>
        <vertAlign val="subscript"/>
        <sz val="11"/>
        <color theme="1"/>
        <rFont val="DengXian"/>
        <family val="2"/>
        <scheme val="minor"/>
      </rPr>
      <t>2</t>
    </r>
    <r>
      <rPr>
        <sz val="11"/>
        <color theme="1"/>
        <rFont val="DengXian"/>
        <family val="2"/>
        <scheme val="minor"/>
      </rPr>
      <t>O</t>
    </r>
  </si>
  <si>
    <t>HSC</t>
  </si>
  <si>
    <t>Reference:  I. Barin and O. Knacke, Thermochemical properties of inorganic substances, Springer Verlag, 1973, p.423</t>
  </si>
  <si>
    <t>Reference:  I. Barin and O. Knacke, Thermochemical properties of inorganic substances, Springer Verlag, 1973, p.424</t>
  </si>
  <si>
    <t>Reference:  I. Barin and O. Knacke, Thermochemical properties of inorganic substances, Springer Verlag, 1973, p.425</t>
  </si>
  <si>
    <r>
      <t>Al</t>
    </r>
    <r>
      <rPr>
        <vertAlign val="subscript"/>
        <sz val="11"/>
        <color theme="1"/>
        <rFont val="DengXian"/>
        <family val="2"/>
        <scheme val="minor"/>
      </rPr>
      <t>2</t>
    </r>
    <r>
      <rPr>
        <sz val="11"/>
        <color theme="1"/>
        <rFont val="DengXian"/>
        <family val="2"/>
        <scheme val="minor"/>
      </rPr>
      <t>O</t>
    </r>
    <r>
      <rPr>
        <vertAlign val="subscript"/>
        <sz val="11"/>
        <color theme="1"/>
        <rFont val="DengXian"/>
        <family val="2"/>
        <scheme val="minor"/>
      </rPr>
      <t>3</t>
    </r>
  </si>
  <si>
    <r>
      <t>CO</t>
    </r>
    <r>
      <rPr>
        <vertAlign val="subscript"/>
        <sz val="11"/>
        <color theme="1"/>
        <rFont val="DengXian"/>
        <family val="2"/>
        <scheme val="minor"/>
      </rPr>
      <t>2</t>
    </r>
    <r>
      <rPr>
        <sz val="11"/>
        <color theme="1"/>
        <rFont val="DengXian"/>
        <family val="2"/>
        <scheme val="minor"/>
      </rPr>
      <t xml:space="preserve"> (gas)</t>
    </r>
  </si>
  <si>
    <t>CRC</t>
  </si>
  <si>
    <r>
      <t>Heat of Reaction: Al</t>
    </r>
    <r>
      <rPr>
        <vertAlign val="subscript"/>
        <sz val="12"/>
        <color rgb="FF0070C0"/>
        <rFont val="DengXian"/>
        <family val="2"/>
        <scheme val="minor"/>
      </rPr>
      <t>2</t>
    </r>
    <r>
      <rPr>
        <sz val="12"/>
        <color rgb="FF0070C0"/>
        <rFont val="DengXian"/>
        <family val="2"/>
        <scheme val="minor"/>
      </rPr>
      <t>(CO</t>
    </r>
    <r>
      <rPr>
        <vertAlign val="subscript"/>
        <sz val="12"/>
        <color rgb="FF0070C0"/>
        <rFont val="DengXian"/>
        <family val="2"/>
        <scheme val="minor"/>
      </rPr>
      <t>3</t>
    </r>
    <r>
      <rPr>
        <sz val="12"/>
        <color rgb="FF0070C0"/>
        <rFont val="DengXian"/>
        <family val="2"/>
        <scheme val="minor"/>
      </rPr>
      <t>)</t>
    </r>
    <r>
      <rPr>
        <vertAlign val="subscript"/>
        <sz val="12"/>
        <color rgb="FF0070C0"/>
        <rFont val="DengXian"/>
        <family val="2"/>
        <scheme val="minor"/>
      </rPr>
      <t>3</t>
    </r>
    <r>
      <rPr>
        <sz val="12"/>
        <color rgb="FF0070C0"/>
        <rFont val="DengXian"/>
        <family val="2"/>
        <scheme val="minor"/>
      </rPr>
      <t xml:space="preserve"> = Al</t>
    </r>
    <r>
      <rPr>
        <vertAlign val="subscript"/>
        <sz val="12"/>
        <color rgb="FF0070C0"/>
        <rFont val="DengXian"/>
        <family val="2"/>
        <scheme val="minor"/>
      </rPr>
      <t>2</t>
    </r>
    <r>
      <rPr>
        <sz val="12"/>
        <color rgb="FF0070C0"/>
        <rFont val="DengXian"/>
        <family val="2"/>
        <scheme val="minor"/>
      </rPr>
      <t>O</t>
    </r>
    <r>
      <rPr>
        <vertAlign val="subscript"/>
        <sz val="12"/>
        <color rgb="FF0070C0"/>
        <rFont val="DengXian"/>
        <family val="2"/>
        <scheme val="minor"/>
      </rPr>
      <t>3</t>
    </r>
    <r>
      <rPr>
        <sz val="12"/>
        <color rgb="FF0070C0"/>
        <rFont val="DengXian"/>
        <family val="2"/>
        <scheme val="minor"/>
      </rPr>
      <t xml:space="preserve"> + 3CO</t>
    </r>
    <r>
      <rPr>
        <vertAlign val="subscript"/>
        <sz val="12"/>
        <color rgb="FF0070C0"/>
        <rFont val="DengXian"/>
        <family val="2"/>
        <scheme val="minor"/>
      </rPr>
      <t>2</t>
    </r>
  </si>
  <si>
    <r>
      <t>LiNi</t>
    </r>
    <r>
      <rPr>
        <vertAlign val="subscript"/>
        <sz val="11"/>
        <color theme="1"/>
        <rFont val="DengXian"/>
        <family val="2"/>
        <scheme val="minor"/>
      </rPr>
      <t>0.5</t>
    </r>
    <r>
      <rPr>
        <sz val="11"/>
        <color theme="1"/>
        <rFont val="DengXian"/>
        <family val="2"/>
        <scheme val="minor"/>
      </rPr>
      <t>Co</t>
    </r>
    <r>
      <rPr>
        <vertAlign val="subscript"/>
        <sz val="11"/>
        <color theme="1"/>
        <rFont val="DengXian"/>
        <family val="2"/>
        <scheme val="minor"/>
      </rPr>
      <t>0.5</t>
    </r>
    <r>
      <rPr>
        <sz val="11"/>
        <color theme="1"/>
        <rFont val="DengXian"/>
        <family val="2"/>
        <scheme val="minor"/>
      </rPr>
      <t>O</t>
    </r>
    <r>
      <rPr>
        <vertAlign val="subscript"/>
        <sz val="11"/>
        <color theme="1"/>
        <rFont val="DengXian"/>
        <family val="2"/>
        <scheme val="minor"/>
      </rPr>
      <t>2</t>
    </r>
  </si>
  <si>
    <t>Saggar</t>
  </si>
  <si>
    <t xml:space="preserve">   Aluminum Sulfate (MW=341.96)</t>
  </si>
  <si>
    <t>LCO Production</t>
  </si>
  <si>
    <t>Solid waste disposal</t>
  </si>
  <si>
    <t>Wastewater discharge</t>
  </si>
  <si>
    <t>$/gallon</t>
  </si>
  <si>
    <t>kg/yr</t>
  </si>
  <si>
    <t>No</t>
  </si>
  <si>
    <t>1.1 Prices of metals</t>
  </si>
  <si>
    <t>1.3 Prices of consumed chemicals for material conversion ($/kg of chemical)</t>
  </si>
  <si>
    <t>1.4 Prices of consumed chemicals for cathode production</t>
  </si>
  <si>
    <t>Select Yes or No</t>
  </si>
  <si>
    <t>Tab color coding</t>
  </si>
  <si>
    <t>Red tabs</t>
  </si>
  <si>
    <t>Yellow tabs</t>
  </si>
  <si>
    <t>Green tabs</t>
  </si>
  <si>
    <t>Contain high-level input-output data</t>
  </si>
  <si>
    <t>Contain detailed input-output data for each life-cycle stage</t>
  </si>
  <si>
    <t>CO2 emission</t>
  </si>
  <si>
    <t>Contain background data. DO NOT CHANGE unless directed to do so, except for "Materials"</t>
  </si>
  <si>
    <t>1.5 Transportation hazardous  material classification</t>
  </si>
  <si>
    <t>From recycler to cathode producer hazardous?</t>
  </si>
  <si>
    <t>From cathode producer to manufacturer hazardous?</t>
  </si>
  <si>
    <t>Copyright © 2018, UChicago Argonne, LLC</t>
  </si>
  <si>
    <t>All Rights Reserved</t>
  </si>
  <si>
    <t>By: Argonne National Laboratory</t>
  </si>
  <si>
    <t>OPEN SOURCE LICENSE</t>
  </si>
  <si>
    <t>Redistribution and use in source and binary forms, with or without modification, are permitted provided that the following conditions are met:</t>
  </si>
  <si>
    <t>1. Redistributions of source code must retain the above copyright notice, this list of conditions and the following disclaimer.</t>
  </si>
  <si>
    <t>2. Redistributions in binary form must reproduce the above copyright notice, this list of conditions and the following disclaimer in the documentation and/or other materials provided with the distribution.</t>
  </si>
  <si>
    <t>3. Neither the name of the copyright holder nor the names of its contributors may be used to endorse or promote products derived from this software without specific prior written permission.</t>
  </si>
  <si>
    <t>DISCLAIMER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</si>
  <si>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 xml:space="preserve">The information used in this model was obtained through publicly available information such as patents, papers and presentations.  Due to the competitive nature of the field, it is difficult to obtain specific information from industry.  We have made every attempt to be as accurate and correct as possible in our assumptions and calculations used in this model.  The processes represented in this model are generic in nature and do not reflect specific company processes. </t>
  </si>
  <si>
    <t>to kg</t>
  </si>
  <si>
    <t>1/3Co3O4</t>
  </si>
  <si>
    <t>mmBtu to</t>
  </si>
  <si>
    <t>mmBtu to MJ</t>
  </si>
  <si>
    <t>1MJ to mmBtu</t>
  </si>
  <si>
    <t>Environmental impacts of electricity at wall outlet (per mmBtu electricity)</t>
  </si>
  <si>
    <t>1. Fuel combustion technology (emission factors) grams/mmBtu of fuel burned</t>
  </si>
  <si>
    <t>7.2 Emission factors of fuel combustion for transportation (g/mmBtu fuel burned)</t>
  </si>
  <si>
    <t>Energy consumption (mmBtu/mmBtu)</t>
  </si>
  <si>
    <t>Water consumption (gal/mmBtu)</t>
  </si>
  <si>
    <t>Total emissions (g/mmBtu)</t>
  </si>
  <si>
    <t>1.3 Energy input (MJ/kg cathode)</t>
  </si>
  <si>
    <t>Water consumption (Gal)</t>
  </si>
  <si>
    <t>Ammonium Bicarbonate</t>
  </si>
  <si>
    <t>1.7 Material conversion cost</t>
  </si>
  <si>
    <r>
      <rPr>
        <sz val="14"/>
        <color theme="1"/>
        <rFont val="DengXian"/>
        <family val="2"/>
        <scheme val="minor"/>
      </rPr>
      <t>LiCoO</t>
    </r>
    <r>
      <rPr>
        <vertAlign val="subscript"/>
        <sz val="14"/>
        <color theme="1"/>
        <rFont val="DengXian"/>
        <family val="2"/>
        <scheme val="minor"/>
      </rPr>
      <t>2</t>
    </r>
    <r>
      <rPr>
        <sz val="11"/>
        <color theme="1"/>
        <rFont val="DengXian"/>
        <family val="2"/>
        <scheme val="minor"/>
      </rPr>
      <t xml:space="preserve"> Product Required</t>
    </r>
  </si>
  <si>
    <r>
      <rPr>
        <sz val="14"/>
        <color theme="1"/>
        <rFont val="DengXian"/>
        <family val="2"/>
        <scheme val="minor"/>
      </rPr>
      <t>Li</t>
    </r>
    <r>
      <rPr>
        <i/>
        <sz val="14"/>
        <color theme="1"/>
        <rFont val="DengXian"/>
        <family val="2"/>
        <scheme val="minor"/>
      </rPr>
      <t>Co</t>
    </r>
    <r>
      <rPr>
        <sz val="14"/>
        <color theme="1"/>
        <rFont val="DengXian"/>
        <family val="2"/>
        <scheme val="minor"/>
      </rPr>
      <t>O</t>
    </r>
    <r>
      <rPr>
        <vertAlign val="subscript"/>
        <sz val="14"/>
        <color theme="1"/>
        <rFont val="DengXian"/>
        <family val="2"/>
        <scheme val="minor"/>
      </rPr>
      <t>2</t>
    </r>
    <r>
      <rPr>
        <sz val="11"/>
        <color theme="1"/>
        <rFont val="DengXian"/>
        <family val="2"/>
        <scheme val="minor"/>
      </rPr>
      <t xml:space="preserve"> Product Required</t>
    </r>
  </si>
  <si>
    <r>
      <t>NH</t>
    </r>
    <r>
      <rPr>
        <b/>
        <strike/>
        <u/>
        <vertAlign val="subscript"/>
        <sz val="11"/>
        <color rgb="FFFF0000"/>
        <rFont val="DengXian"/>
        <family val="2"/>
        <scheme val="minor"/>
      </rPr>
      <t>4</t>
    </r>
    <r>
      <rPr>
        <b/>
        <strike/>
        <u/>
        <sz val="11"/>
        <color rgb="FFFF0000"/>
        <rFont val="DengXian"/>
        <family val="2"/>
        <scheme val="minor"/>
      </rPr>
      <t>OH Feed Stream</t>
    </r>
  </si>
  <si>
    <r>
      <t>NiSO</t>
    </r>
    <r>
      <rPr>
        <vertAlign val="subscript"/>
        <sz val="11"/>
        <color theme="0" tint="-0.14999847407452621"/>
        <rFont val="DengXian"/>
        <family val="2"/>
        <scheme val="minor"/>
      </rPr>
      <t>4</t>
    </r>
  </si>
  <si>
    <r>
      <t>Concentration of NiSO</t>
    </r>
    <r>
      <rPr>
        <vertAlign val="subscript"/>
        <sz val="11"/>
        <color theme="0" tint="-0.14999847407452621"/>
        <rFont val="DengXian"/>
        <family val="2"/>
        <scheme val="minor"/>
      </rPr>
      <t>4</t>
    </r>
    <r>
      <rPr>
        <sz val="11"/>
        <color theme="0" tint="-0.14999847407452621"/>
        <rFont val="DengXian"/>
        <family val="2"/>
        <scheme val="minor"/>
      </rPr>
      <t xml:space="preserve"> Solution</t>
    </r>
  </si>
  <si>
    <r>
      <t>Water for NiSO</t>
    </r>
    <r>
      <rPr>
        <vertAlign val="subscript"/>
        <sz val="11"/>
        <color theme="0" tint="-0.14999847407452621"/>
        <rFont val="DengXian"/>
        <family val="2"/>
        <scheme val="minor"/>
      </rPr>
      <t>4</t>
    </r>
    <r>
      <rPr>
        <sz val="11"/>
        <color theme="0" tint="-0.14999847407452621"/>
        <rFont val="DengXian"/>
        <family val="2"/>
        <scheme val="minor"/>
      </rPr>
      <t xml:space="preserve"> Solution</t>
    </r>
  </si>
  <si>
    <r>
      <t>MnSO</t>
    </r>
    <r>
      <rPr>
        <vertAlign val="subscript"/>
        <sz val="11"/>
        <color theme="0" tint="-0.14999847407452621"/>
        <rFont val="DengXian"/>
        <family val="2"/>
        <scheme val="minor"/>
      </rPr>
      <t>4</t>
    </r>
  </si>
  <si>
    <r>
      <t>Concentration of MnSO</t>
    </r>
    <r>
      <rPr>
        <vertAlign val="subscript"/>
        <sz val="11"/>
        <color theme="0" tint="-0.14999847407452621"/>
        <rFont val="DengXian"/>
        <family val="2"/>
        <scheme val="minor"/>
      </rPr>
      <t>4</t>
    </r>
    <r>
      <rPr>
        <sz val="11"/>
        <color theme="0" tint="-0.14999847407452621"/>
        <rFont val="DengXian"/>
        <family val="2"/>
        <scheme val="minor"/>
      </rPr>
      <t xml:space="preserve"> Solution</t>
    </r>
  </si>
  <si>
    <r>
      <t>Water for MnSO</t>
    </r>
    <r>
      <rPr>
        <vertAlign val="subscript"/>
        <sz val="11"/>
        <color theme="0" tint="-0.14999847407452621"/>
        <rFont val="DengXian"/>
        <family val="2"/>
        <scheme val="minor"/>
      </rPr>
      <t>4</t>
    </r>
    <r>
      <rPr>
        <sz val="11"/>
        <color theme="0" tint="-0.14999847407452621"/>
        <rFont val="DengXian"/>
        <family val="2"/>
        <scheme val="minor"/>
      </rPr>
      <t xml:space="preserve"> Solution</t>
    </r>
  </si>
  <si>
    <r>
      <t>CoSO</t>
    </r>
    <r>
      <rPr>
        <vertAlign val="subscript"/>
        <sz val="11"/>
        <color theme="0" tint="-0.14999847407452621"/>
        <rFont val="DengXian"/>
        <family val="2"/>
        <scheme val="minor"/>
      </rPr>
      <t>4</t>
    </r>
  </si>
  <si>
    <r>
      <t>Concentration of CoSO</t>
    </r>
    <r>
      <rPr>
        <vertAlign val="subscript"/>
        <sz val="11"/>
        <color theme="0" tint="-0.14999847407452621"/>
        <rFont val="DengXian"/>
        <family val="2"/>
        <scheme val="minor"/>
      </rPr>
      <t>4</t>
    </r>
    <r>
      <rPr>
        <sz val="11"/>
        <color theme="0" tint="-0.14999847407452621"/>
        <rFont val="DengXian"/>
        <family val="2"/>
        <scheme val="minor"/>
      </rPr>
      <t xml:space="preserve"> Solution</t>
    </r>
  </si>
  <si>
    <r>
      <t>Water for CoSO</t>
    </r>
    <r>
      <rPr>
        <vertAlign val="subscript"/>
        <sz val="11"/>
        <color theme="0" tint="-0.14999847407452621"/>
        <rFont val="DengXian"/>
        <family val="2"/>
        <scheme val="minor"/>
      </rPr>
      <t>4</t>
    </r>
    <r>
      <rPr>
        <sz val="11"/>
        <color theme="0" tint="-0.14999847407452621"/>
        <rFont val="DengXian"/>
        <family val="2"/>
        <scheme val="minor"/>
      </rPr>
      <t xml:space="preserve"> Solution</t>
    </r>
  </si>
  <si>
    <r>
      <t xml:space="preserve">   NiSO</t>
    </r>
    <r>
      <rPr>
        <vertAlign val="subscript"/>
        <sz val="11"/>
        <color theme="0" tint="-0.14999847407452621"/>
        <rFont val="DengXian"/>
        <family val="2"/>
        <scheme val="minor"/>
      </rPr>
      <t>4</t>
    </r>
  </si>
  <si>
    <r>
      <t xml:space="preserve">   MnSO</t>
    </r>
    <r>
      <rPr>
        <vertAlign val="subscript"/>
        <sz val="11"/>
        <color theme="0" tint="-0.14999847407452621"/>
        <rFont val="DengXian"/>
        <family val="2"/>
        <scheme val="minor"/>
      </rPr>
      <t>4</t>
    </r>
  </si>
  <si>
    <r>
      <t xml:space="preserve">   CoSO</t>
    </r>
    <r>
      <rPr>
        <vertAlign val="subscript"/>
        <sz val="11"/>
        <color theme="0" tint="-0.14999847407452621"/>
        <rFont val="DengXian"/>
        <family val="2"/>
        <scheme val="minor"/>
      </rPr>
      <t>4</t>
    </r>
  </si>
  <si>
    <r>
      <t>m</t>
    </r>
    <r>
      <rPr>
        <vertAlign val="superscript"/>
        <sz val="11"/>
        <color theme="0" tint="-0.14999847407452621"/>
        <rFont val="DengXian"/>
        <family val="2"/>
        <scheme val="minor"/>
      </rPr>
      <t>3</t>
    </r>
  </si>
  <si>
    <r>
      <t>kW/m</t>
    </r>
    <r>
      <rPr>
        <vertAlign val="superscript"/>
        <sz val="11"/>
        <color theme="0" tint="-0.14999847407452621"/>
        <rFont val="DengXian"/>
        <family val="2"/>
        <scheme val="minor"/>
      </rPr>
      <t>3</t>
    </r>
  </si>
  <si>
    <r>
      <t>Na</t>
    </r>
    <r>
      <rPr>
        <vertAlign val="subscript"/>
        <sz val="11"/>
        <color theme="0" tint="-0.14999847407452621"/>
        <rFont val="DengXian"/>
        <family val="2"/>
        <scheme val="minor"/>
      </rPr>
      <t>2</t>
    </r>
    <r>
      <rPr>
        <sz val="11"/>
        <color theme="0" tint="-0.14999847407452621"/>
        <rFont val="DengXian"/>
        <family val="2"/>
        <scheme val="minor"/>
      </rPr>
      <t>CO</t>
    </r>
    <r>
      <rPr>
        <vertAlign val="subscript"/>
        <sz val="11"/>
        <color theme="0" tint="-0.14999847407452621"/>
        <rFont val="DengXian"/>
        <family val="2"/>
        <scheme val="minor"/>
      </rPr>
      <t>3</t>
    </r>
    <r>
      <rPr>
        <sz val="11"/>
        <color theme="0" tint="-0.14999847407452621"/>
        <rFont val="DengXian"/>
        <family val="2"/>
        <scheme val="minor"/>
      </rPr>
      <t xml:space="preserve"> Required</t>
    </r>
  </si>
  <si>
    <r>
      <t>Water for Na</t>
    </r>
    <r>
      <rPr>
        <vertAlign val="subscript"/>
        <sz val="11"/>
        <color theme="0" tint="-0.14999847407452621"/>
        <rFont val="DengXian"/>
        <family val="2"/>
        <scheme val="minor"/>
      </rPr>
      <t>2</t>
    </r>
    <r>
      <rPr>
        <sz val="11"/>
        <color theme="0" tint="-0.14999847407452621"/>
        <rFont val="DengXian"/>
        <family val="2"/>
        <scheme val="minor"/>
      </rPr>
      <t>CO</t>
    </r>
    <r>
      <rPr>
        <vertAlign val="subscript"/>
        <sz val="11"/>
        <color theme="0" tint="-0.14999847407452621"/>
        <rFont val="DengXian"/>
        <family val="2"/>
        <scheme val="minor"/>
      </rPr>
      <t>3</t>
    </r>
    <r>
      <rPr>
        <sz val="11"/>
        <color theme="0" tint="-0.14999847407452621"/>
        <rFont val="DengXian"/>
        <family val="2"/>
        <scheme val="minor"/>
      </rPr>
      <t xml:space="preserve"> Solution into Mixer_2</t>
    </r>
  </si>
  <si>
    <r>
      <t>NH</t>
    </r>
    <r>
      <rPr>
        <vertAlign val="subscript"/>
        <sz val="11"/>
        <color theme="0" tint="-0.14999847407452621"/>
        <rFont val="DengXian"/>
        <family val="2"/>
        <scheme val="minor"/>
      </rPr>
      <t>4</t>
    </r>
    <r>
      <rPr>
        <sz val="11"/>
        <color theme="0" tint="-0.14999847407452621"/>
        <rFont val="DengXian"/>
        <family val="2"/>
        <scheme val="minor"/>
      </rPr>
      <t>OH Concentration in Reactor</t>
    </r>
  </si>
  <si>
    <r>
      <t>NH</t>
    </r>
    <r>
      <rPr>
        <vertAlign val="subscript"/>
        <sz val="11"/>
        <color theme="0" tint="-0.14999847407452621"/>
        <rFont val="DengXian"/>
        <family val="2"/>
        <scheme val="minor"/>
      </rPr>
      <t>4</t>
    </r>
    <r>
      <rPr>
        <sz val="11"/>
        <color theme="0" tint="-0.14999847407452621"/>
        <rFont val="DengXian"/>
        <family val="2"/>
        <scheme val="minor"/>
      </rPr>
      <t>OH Feed</t>
    </r>
  </si>
  <si>
    <r>
      <t>g/kg</t>
    </r>
    <r>
      <rPr>
        <vertAlign val="subscript"/>
        <sz val="11"/>
        <color theme="0" tint="-0.14999847407452621"/>
        <rFont val="DengXian"/>
        <family val="2"/>
        <scheme val="minor"/>
      </rPr>
      <t>NMC</t>
    </r>
  </si>
  <si>
    <r>
      <t>NH</t>
    </r>
    <r>
      <rPr>
        <vertAlign val="subscript"/>
        <sz val="11"/>
        <color theme="0" tint="-0.14999847407452621"/>
        <rFont val="DengXian"/>
        <family val="2"/>
        <scheme val="minor"/>
      </rPr>
      <t>4</t>
    </r>
    <r>
      <rPr>
        <sz val="11"/>
        <color theme="0" tint="-0.14999847407452621"/>
        <rFont val="DengXian"/>
        <family val="2"/>
        <scheme val="minor"/>
      </rPr>
      <t>OH Feed Concentration</t>
    </r>
  </si>
  <si>
    <r>
      <t>Water in NH</t>
    </r>
    <r>
      <rPr>
        <vertAlign val="subscript"/>
        <sz val="11"/>
        <color theme="0" tint="-0.14999847407452621"/>
        <rFont val="DengXian"/>
        <family val="2"/>
        <scheme val="minor"/>
      </rPr>
      <t>4</t>
    </r>
    <r>
      <rPr>
        <sz val="11"/>
        <color theme="0" tint="-0.14999847407452621"/>
        <rFont val="DengXian"/>
        <family val="2"/>
        <scheme val="minor"/>
      </rPr>
      <t>OH solution</t>
    </r>
  </si>
  <si>
    <r>
      <t>L/kg</t>
    </r>
    <r>
      <rPr>
        <vertAlign val="subscript"/>
        <sz val="11"/>
        <color theme="0" tint="-0.14999847407452621"/>
        <rFont val="DengXian"/>
        <family val="2"/>
        <scheme val="minor"/>
      </rPr>
      <t>NMC</t>
    </r>
  </si>
  <si>
    <r>
      <t>Reactant Volume (NiSO</t>
    </r>
    <r>
      <rPr>
        <vertAlign val="subscript"/>
        <sz val="11"/>
        <color theme="0" tint="-0.14999847407452621"/>
        <rFont val="DengXian"/>
        <family val="2"/>
        <scheme val="minor"/>
      </rPr>
      <t>4</t>
    </r>
    <r>
      <rPr>
        <sz val="11"/>
        <color theme="0" tint="-0.14999847407452621"/>
        <rFont val="DengXian"/>
        <family val="2"/>
        <scheme val="minor"/>
      </rPr>
      <t>, MnSO</t>
    </r>
    <r>
      <rPr>
        <vertAlign val="subscript"/>
        <sz val="11"/>
        <color theme="0" tint="-0.14999847407452621"/>
        <rFont val="DengXian"/>
        <family val="2"/>
        <scheme val="minor"/>
      </rPr>
      <t>4</t>
    </r>
    <r>
      <rPr>
        <sz val="11"/>
        <color theme="0" tint="-0.14999847407452621"/>
        <rFont val="DengXian"/>
        <family val="2"/>
        <scheme val="minor"/>
      </rPr>
      <t>, CoSO</t>
    </r>
    <r>
      <rPr>
        <vertAlign val="subscript"/>
        <sz val="11"/>
        <color theme="0" tint="-0.14999847407452621"/>
        <rFont val="DengXian"/>
        <family val="2"/>
        <scheme val="minor"/>
      </rPr>
      <t>4</t>
    </r>
    <r>
      <rPr>
        <sz val="11"/>
        <color theme="0" tint="-0.14999847407452621"/>
        <rFont val="DengXian"/>
        <family val="2"/>
        <scheme val="minor"/>
      </rPr>
      <t>,Na</t>
    </r>
    <r>
      <rPr>
        <vertAlign val="subscript"/>
        <sz val="11"/>
        <color theme="0" tint="-0.14999847407452621"/>
        <rFont val="DengXian"/>
        <family val="2"/>
        <scheme val="minor"/>
      </rPr>
      <t>2</t>
    </r>
    <r>
      <rPr>
        <sz val="11"/>
        <color theme="0" tint="-0.14999847407452621"/>
        <rFont val="DengXian"/>
        <family val="2"/>
        <scheme val="minor"/>
      </rPr>
      <t>CO</t>
    </r>
    <r>
      <rPr>
        <vertAlign val="subscript"/>
        <sz val="11"/>
        <color theme="0" tint="-0.14999847407452621"/>
        <rFont val="DengXian"/>
        <family val="2"/>
        <scheme val="minor"/>
      </rPr>
      <t>3</t>
    </r>
    <r>
      <rPr>
        <sz val="11"/>
        <color theme="0" tint="-0.14999847407452621"/>
        <rFont val="DengXian"/>
        <family val="2"/>
        <scheme val="minor"/>
      </rPr>
      <t>,NH</t>
    </r>
    <r>
      <rPr>
        <vertAlign val="subscript"/>
        <sz val="11"/>
        <color theme="0" tint="-0.14999847407452621"/>
        <rFont val="DengXian"/>
        <family val="2"/>
        <scheme val="minor"/>
      </rPr>
      <t>4</t>
    </r>
    <r>
      <rPr>
        <sz val="11"/>
        <color theme="0" tint="-0.14999847407452621"/>
        <rFont val="DengXian"/>
        <family val="2"/>
        <scheme val="minor"/>
      </rPr>
      <t>OH in water)</t>
    </r>
  </si>
  <si>
    <r>
      <t xml:space="preserve">   NiCO</t>
    </r>
    <r>
      <rPr>
        <vertAlign val="subscript"/>
        <sz val="11"/>
        <color theme="0" tint="-0.14999847407452621"/>
        <rFont val="DengXian"/>
        <family val="2"/>
        <scheme val="minor"/>
      </rPr>
      <t>3</t>
    </r>
    <r>
      <rPr>
        <sz val="11"/>
        <color theme="0" tint="-0.14999847407452621"/>
        <rFont val="DengXian"/>
        <family val="2"/>
        <scheme val="minor"/>
      </rPr>
      <t xml:space="preserve"> (Precipitate)</t>
    </r>
  </si>
  <si>
    <r>
      <t xml:space="preserve">   MnCO</t>
    </r>
    <r>
      <rPr>
        <vertAlign val="subscript"/>
        <sz val="11"/>
        <color theme="0" tint="-0.14999847407452621"/>
        <rFont val="DengXian"/>
        <family val="2"/>
        <scheme val="minor"/>
      </rPr>
      <t>3</t>
    </r>
    <r>
      <rPr>
        <sz val="11"/>
        <color theme="0" tint="-0.14999847407452621"/>
        <rFont val="DengXian"/>
        <family val="2"/>
        <scheme val="minor"/>
      </rPr>
      <t xml:space="preserve"> (Precipitate)</t>
    </r>
  </si>
  <si>
    <r>
      <t xml:space="preserve">   CoCO</t>
    </r>
    <r>
      <rPr>
        <vertAlign val="subscript"/>
        <sz val="11"/>
        <color theme="0" tint="-0.14999847407452621"/>
        <rFont val="DengXian"/>
        <family val="2"/>
        <scheme val="minor"/>
      </rPr>
      <t>3</t>
    </r>
    <r>
      <rPr>
        <sz val="11"/>
        <color theme="0" tint="-0.14999847407452621"/>
        <rFont val="DengXian"/>
        <family val="2"/>
        <scheme val="minor"/>
      </rPr>
      <t xml:space="preserve"> (Precipitate)</t>
    </r>
  </si>
  <si>
    <r>
      <t xml:space="preserve">   NiSO</t>
    </r>
    <r>
      <rPr>
        <vertAlign val="subscript"/>
        <sz val="11"/>
        <color theme="0" tint="-0.14999847407452621"/>
        <rFont val="DengXian"/>
        <family val="2"/>
        <scheme val="minor"/>
      </rPr>
      <t>4</t>
    </r>
    <r>
      <rPr>
        <sz val="11"/>
        <color theme="0" tint="-0.14999847407452621"/>
        <rFont val="DengXian"/>
        <family val="2"/>
        <scheme val="minor"/>
      </rPr>
      <t xml:space="preserve"> (Unreacted)</t>
    </r>
  </si>
  <si>
    <r>
      <t xml:space="preserve">   MnSO</t>
    </r>
    <r>
      <rPr>
        <vertAlign val="subscript"/>
        <sz val="11"/>
        <color theme="0" tint="-0.14999847407452621"/>
        <rFont val="DengXian"/>
        <family val="2"/>
        <scheme val="minor"/>
      </rPr>
      <t>4</t>
    </r>
    <r>
      <rPr>
        <sz val="11"/>
        <color theme="0" tint="-0.14999847407452621"/>
        <rFont val="DengXian"/>
        <family val="2"/>
        <scheme val="minor"/>
      </rPr>
      <t xml:space="preserve"> (Unreacted)</t>
    </r>
  </si>
  <si>
    <r>
      <t xml:space="preserve">   CoSO</t>
    </r>
    <r>
      <rPr>
        <vertAlign val="subscript"/>
        <sz val="11"/>
        <color theme="0" tint="-0.14999847407452621"/>
        <rFont val="DengXian"/>
        <family val="2"/>
        <scheme val="minor"/>
      </rPr>
      <t>4</t>
    </r>
    <r>
      <rPr>
        <sz val="11"/>
        <color theme="0" tint="-0.14999847407452621"/>
        <rFont val="DengXian"/>
        <family val="2"/>
        <scheme val="minor"/>
      </rPr>
      <t xml:space="preserve"> (Unreacted)</t>
    </r>
  </si>
  <si>
    <r>
      <t xml:space="preserve">   Na</t>
    </r>
    <r>
      <rPr>
        <vertAlign val="subscript"/>
        <sz val="11"/>
        <color theme="0" tint="-0.14999847407452621"/>
        <rFont val="DengXian"/>
        <family val="2"/>
        <scheme val="minor"/>
      </rPr>
      <t>2</t>
    </r>
    <r>
      <rPr>
        <sz val="11"/>
        <color theme="0" tint="-0.14999847407452621"/>
        <rFont val="DengXian"/>
        <family val="2"/>
        <scheme val="minor"/>
      </rPr>
      <t>SO</t>
    </r>
    <r>
      <rPr>
        <vertAlign val="subscript"/>
        <sz val="11"/>
        <color theme="0" tint="-0.14999847407452621"/>
        <rFont val="DengXian"/>
        <family val="2"/>
        <scheme val="minor"/>
      </rPr>
      <t>4</t>
    </r>
  </si>
  <si>
    <r>
      <t xml:space="preserve">   Na</t>
    </r>
    <r>
      <rPr>
        <vertAlign val="subscript"/>
        <sz val="11"/>
        <color theme="0" tint="-0.14999847407452621"/>
        <rFont val="DengXian"/>
        <family val="2"/>
        <scheme val="minor"/>
      </rPr>
      <t>2</t>
    </r>
    <r>
      <rPr>
        <sz val="11"/>
        <color theme="0" tint="-0.14999847407452621"/>
        <rFont val="DengXian"/>
        <family val="2"/>
        <scheme val="minor"/>
      </rPr>
      <t>CO</t>
    </r>
    <r>
      <rPr>
        <vertAlign val="subscript"/>
        <sz val="11"/>
        <color theme="0" tint="-0.14999847407452621"/>
        <rFont val="DengXian"/>
        <family val="2"/>
        <scheme val="minor"/>
      </rPr>
      <t>3</t>
    </r>
    <r>
      <rPr>
        <sz val="11"/>
        <color theme="0" tint="-0.14999847407452621"/>
        <rFont val="DengXian"/>
        <family val="2"/>
        <scheme val="minor"/>
      </rPr>
      <t xml:space="preserve"> (Unreacted)</t>
    </r>
  </si>
  <si>
    <r>
      <t xml:space="preserve">   H</t>
    </r>
    <r>
      <rPr>
        <vertAlign val="subscript"/>
        <sz val="11"/>
        <color theme="0" tint="-0.14999847407452621"/>
        <rFont val="DengXian"/>
        <family val="2"/>
        <scheme val="minor"/>
      </rPr>
      <t>2</t>
    </r>
    <r>
      <rPr>
        <sz val="11"/>
        <color theme="0" tint="-0.14999847407452621"/>
        <rFont val="DengXian"/>
        <family val="2"/>
        <scheme val="minor"/>
      </rPr>
      <t>O</t>
    </r>
  </si>
  <si>
    <r>
      <t xml:space="preserve">Heat Input Load: Water at 20°C </t>
    </r>
    <r>
      <rPr>
        <sz val="11"/>
        <color theme="0" tint="-0.14999847407452621"/>
        <rFont val="Symbol"/>
        <family val="1"/>
        <charset val="2"/>
      </rPr>
      <t>®</t>
    </r>
    <r>
      <rPr>
        <sz val="11"/>
        <color theme="0" tint="-0.14999847407452621"/>
        <rFont val="DengXian"/>
        <family val="2"/>
        <scheme val="minor"/>
      </rPr>
      <t xml:space="preserve"> Water at Reactor Temperature</t>
    </r>
  </si>
  <si>
    <r>
      <t>m</t>
    </r>
    <r>
      <rPr>
        <vertAlign val="superscript"/>
        <sz val="11"/>
        <color theme="0" tint="-0.14999847407452621"/>
        <rFont val="DengXian"/>
        <family val="2"/>
        <scheme val="minor"/>
      </rPr>
      <t>3</t>
    </r>
    <r>
      <rPr>
        <sz val="11"/>
        <color theme="0" tint="-0.14999847407452621"/>
        <rFont val="DengXian"/>
        <family val="2"/>
        <scheme val="minor"/>
      </rPr>
      <t>/min</t>
    </r>
  </si>
  <si>
    <r>
      <t>m</t>
    </r>
    <r>
      <rPr>
        <vertAlign val="superscript"/>
        <sz val="11"/>
        <color theme="0" tint="-0.14999847407452621"/>
        <rFont val="DengXian"/>
        <family val="2"/>
        <scheme val="minor"/>
      </rPr>
      <t>3</t>
    </r>
    <r>
      <rPr>
        <sz val="11"/>
        <color theme="0" tint="-0.14999847407452621"/>
        <rFont val="DengXian"/>
        <family val="2"/>
        <scheme val="minor"/>
      </rPr>
      <t>/h</t>
    </r>
  </si>
  <si>
    <r>
      <t>m</t>
    </r>
    <r>
      <rPr>
        <vertAlign val="superscript"/>
        <sz val="11"/>
        <color theme="0" tint="-0.14999847407452621"/>
        <rFont val="DengXian"/>
        <family val="2"/>
        <scheme val="minor"/>
      </rPr>
      <t>2</t>
    </r>
  </si>
  <si>
    <r>
      <t>Filter Yield - NiCO</t>
    </r>
    <r>
      <rPr>
        <vertAlign val="subscript"/>
        <sz val="11"/>
        <color theme="0" tint="-0.14999847407452621"/>
        <rFont val="DengXian"/>
        <family val="2"/>
        <scheme val="minor"/>
      </rPr>
      <t>3</t>
    </r>
  </si>
  <si>
    <r>
      <t>Filter Yield - MnCO</t>
    </r>
    <r>
      <rPr>
        <vertAlign val="subscript"/>
        <sz val="11"/>
        <color theme="0" tint="-0.14999847407452621"/>
        <rFont val="DengXian"/>
        <family val="2"/>
        <scheme val="minor"/>
      </rPr>
      <t>3</t>
    </r>
  </si>
  <si>
    <r>
      <t>Filter Yield - CoCO</t>
    </r>
    <r>
      <rPr>
        <vertAlign val="subscript"/>
        <sz val="11"/>
        <color theme="0" tint="-0.14999847407452621"/>
        <rFont val="DengXian"/>
        <family val="2"/>
        <scheme val="minor"/>
      </rPr>
      <t>3</t>
    </r>
  </si>
  <si>
    <r>
      <t xml:space="preserve">   NiCO</t>
    </r>
    <r>
      <rPr>
        <vertAlign val="subscript"/>
        <sz val="11"/>
        <color theme="0" tint="-0.14999847407452621"/>
        <rFont val="DengXian"/>
        <family val="2"/>
        <scheme val="minor"/>
      </rPr>
      <t>3</t>
    </r>
  </si>
  <si>
    <r>
      <t xml:space="preserve">   MnCO</t>
    </r>
    <r>
      <rPr>
        <vertAlign val="subscript"/>
        <sz val="11"/>
        <color theme="0" tint="-0.14999847407452621"/>
        <rFont val="DengXian"/>
        <family val="2"/>
        <scheme val="minor"/>
      </rPr>
      <t>3</t>
    </r>
  </si>
  <si>
    <r>
      <t xml:space="preserve">   CoCO</t>
    </r>
    <r>
      <rPr>
        <vertAlign val="subscript"/>
        <sz val="11"/>
        <color theme="0" tint="-0.14999847407452621"/>
        <rFont val="DengXian"/>
        <family val="2"/>
        <scheme val="minor"/>
      </rPr>
      <t>3</t>
    </r>
  </si>
  <si>
    <r>
      <t>Cost of Continuous Vacuum Drum Filter, SS, 1-m</t>
    </r>
    <r>
      <rPr>
        <vertAlign val="superscript"/>
        <sz val="11"/>
        <color theme="0" tint="-0.14999847407452621"/>
        <rFont val="DengXian"/>
        <family val="2"/>
        <scheme val="minor"/>
      </rPr>
      <t>2</t>
    </r>
  </si>
  <si>
    <t>Stoich Ratio = Li/LiCoO2</t>
  </si>
  <si>
    <t>10% particle loss</t>
  </si>
  <si>
    <t>Co3O4</t>
  </si>
  <si>
    <r>
      <t xml:space="preserve">   NiCO</t>
    </r>
    <r>
      <rPr>
        <vertAlign val="subscript"/>
        <sz val="11"/>
        <color theme="0" tint="-0.14999847407452621"/>
        <rFont val="DengXian"/>
        <family val="2"/>
        <scheme val="minor"/>
      </rPr>
      <t>3</t>
    </r>
    <r>
      <rPr>
        <sz val="11"/>
        <color theme="0" tint="-0.14999847407452621"/>
        <rFont val="DengXian"/>
        <family val="2"/>
        <scheme val="minor"/>
      </rPr>
      <t xml:space="preserve"> (Solids)</t>
    </r>
  </si>
  <si>
    <r>
      <t xml:space="preserve">   MnCO</t>
    </r>
    <r>
      <rPr>
        <vertAlign val="subscript"/>
        <sz val="11"/>
        <color theme="0" tint="-0.14999847407452621"/>
        <rFont val="DengXian"/>
        <family val="2"/>
        <scheme val="minor"/>
      </rPr>
      <t>3</t>
    </r>
    <r>
      <rPr>
        <sz val="11"/>
        <color theme="0" tint="-0.14999847407452621"/>
        <rFont val="DengXian"/>
        <family val="2"/>
        <scheme val="minor"/>
      </rPr>
      <t xml:space="preserve"> (Solids)</t>
    </r>
  </si>
  <si>
    <r>
      <t xml:space="preserve">   CoCO</t>
    </r>
    <r>
      <rPr>
        <vertAlign val="subscript"/>
        <sz val="11"/>
        <color theme="0" tint="-0.14999847407452621"/>
        <rFont val="DengXian"/>
        <family val="2"/>
        <scheme val="minor"/>
      </rPr>
      <t>3</t>
    </r>
    <r>
      <rPr>
        <sz val="11"/>
        <color theme="0" tint="-0.14999847407452621"/>
        <rFont val="DengXian"/>
        <family val="2"/>
        <scheme val="minor"/>
      </rPr>
      <t xml:space="preserve"> (Solids)</t>
    </r>
  </si>
  <si>
    <t>Heat Load to Raise Temperature of Reactants</t>
  </si>
  <si>
    <r>
      <t>Heat of Reaction: NiCO</t>
    </r>
    <r>
      <rPr>
        <vertAlign val="subscript"/>
        <sz val="12"/>
        <color theme="0" tint="-0.14999847407452621"/>
        <rFont val="DengXian"/>
        <family val="2"/>
        <scheme val="minor"/>
      </rPr>
      <t>3</t>
    </r>
    <r>
      <rPr>
        <sz val="12"/>
        <color theme="0" tint="-0.14999847407452621"/>
        <rFont val="DengXian"/>
        <family val="2"/>
        <scheme val="minor"/>
      </rPr>
      <t xml:space="preserve"> = NiO + CO</t>
    </r>
    <r>
      <rPr>
        <vertAlign val="subscript"/>
        <sz val="12"/>
        <color theme="0" tint="-0.14999847407452621"/>
        <rFont val="DengXian"/>
        <family val="2"/>
        <scheme val="minor"/>
      </rPr>
      <t>2</t>
    </r>
  </si>
  <si>
    <r>
      <t>Heat of Reaction: MnCO</t>
    </r>
    <r>
      <rPr>
        <vertAlign val="subscript"/>
        <sz val="12"/>
        <color theme="0" tint="-0.14999847407452621"/>
        <rFont val="DengXian"/>
        <family val="2"/>
        <scheme val="minor"/>
      </rPr>
      <t>3</t>
    </r>
    <r>
      <rPr>
        <sz val="12"/>
        <color theme="0" tint="-0.14999847407452621"/>
        <rFont val="DengXian"/>
        <family val="2"/>
        <scheme val="minor"/>
      </rPr>
      <t xml:space="preserve"> = MnO + CO</t>
    </r>
    <r>
      <rPr>
        <vertAlign val="subscript"/>
        <sz val="12"/>
        <color theme="0" tint="-0.14999847407452621"/>
        <rFont val="DengXian"/>
        <family val="2"/>
        <scheme val="minor"/>
      </rPr>
      <t>2</t>
    </r>
  </si>
  <si>
    <r>
      <t>Heat of Reaction: CoCO</t>
    </r>
    <r>
      <rPr>
        <vertAlign val="subscript"/>
        <sz val="12"/>
        <color theme="0" tint="-0.14999847407452621"/>
        <rFont val="DengXian"/>
        <family val="2"/>
        <scheme val="minor"/>
      </rPr>
      <t>3</t>
    </r>
    <r>
      <rPr>
        <sz val="12"/>
        <color theme="0" tint="-0.14999847407452621"/>
        <rFont val="DengXian"/>
        <family val="2"/>
        <scheme val="minor"/>
      </rPr>
      <t xml:space="preserve"> = CoO + CO</t>
    </r>
    <r>
      <rPr>
        <vertAlign val="subscript"/>
        <sz val="12"/>
        <color theme="0" tint="-0.14999847407452621"/>
        <rFont val="DengXian"/>
        <family val="2"/>
        <scheme val="minor"/>
      </rPr>
      <t>2</t>
    </r>
  </si>
  <si>
    <r>
      <t xml:space="preserve">Heat of Reaction: </t>
    </r>
    <r>
      <rPr>
        <i/>
        <sz val="12"/>
        <color rgb="FF0070C0"/>
        <rFont val="DengXian"/>
        <family val="2"/>
        <scheme val="minor"/>
      </rPr>
      <t>a</t>
    </r>
    <r>
      <rPr>
        <sz val="12"/>
        <color rgb="FF0070C0"/>
        <rFont val="DengXian"/>
        <family val="2"/>
        <scheme val="minor"/>
      </rPr>
      <t>Li</t>
    </r>
    <r>
      <rPr>
        <vertAlign val="subscript"/>
        <sz val="12"/>
        <color rgb="FF0070C0"/>
        <rFont val="DengXian"/>
        <family val="2"/>
        <scheme val="minor"/>
      </rPr>
      <t>2</t>
    </r>
    <r>
      <rPr>
        <sz val="12"/>
        <color rgb="FF0070C0"/>
        <rFont val="DengXian"/>
        <family val="2"/>
        <scheme val="minor"/>
      </rPr>
      <t>O+</t>
    </r>
    <r>
      <rPr>
        <i/>
        <sz val="12"/>
        <color rgb="FF0070C0"/>
        <rFont val="DengXian"/>
        <family val="2"/>
        <scheme val="minor"/>
      </rPr>
      <t>x</t>
    </r>
    <r>
      <rPr>
        <sz val="12"/>
        <color rgb="FF0070C0"/>
        <rFont val="DengXian"/>
        <family val="2"/>
        <scheme val="minor"/>
      </rPr>
      <t>Co3O4 = Li</t>
    </r>
    <r>
      <rPr>
        <i/>
        <vertAlign val="subscript"/>
        <sz val="12"/>
        <color rgb="FF0070C0"/>
        <rFont val="DengXian"/>
        <family val="2"/>
        <scheme val="minor"/>
      </rPr>
      <t>a/2</t>
    </r>
    <r>
      <rPr>
        <sz val="12"/>
        <color rgb="FF0070C0"/>
        <rFont val="DengXian"/>
        <family val="2"/>
        <scheme val="minor"/>
      </rPr>
      <t>Co</t>
    </r>
    <r>
      <rPr>
        <vertAlign val="subscript"/>
        <sz val="12"/>
        <color rgb="FF0070C0"/>
        <rFont val="DengXian"/>
        <family val="2"/>
        <scheme val="minor"/>
      </rPr>
      <t>x/3</t>
    </r>
    <r>
      <rPr>
        <sz val="12"/>
        <color rgb="FF0070C0"/>
        <rFont val="DengXian"/>
        <family val="2"/>
        <scheme val="minor"/>
      </rPr>
      <t>O</t>
    </r>
    <r>
      <rPr>
        <vertAlign val="subscript"/>
        <sz val="12"/>
        <color rgb="FF0070C0"/>
        <rFont val="DengXian"/>
        <family val="2"/>
        <scheme val="minor"/>
      </rPr>
      <t>2</t>
    </r>
  </si>
  <si>
    <r>
      <t>m</t>
    </r>
    <r>
      <rPr>
        <vertAlign val="superscript"/>
        <sz val="11"/>
        <color theme="0" tint="-0.14999847407452621"/>
        <rFont val="DengXian"/>
        <family val="2"/>
        <scheme val="minor"/>
      </rPr>
      <t>3</t>
    </r>
    <r>
      <rPr>
        <sz val="11"/>
        <color theme="0" tint="-0.14999847407452621"/>
        <rFont val="DengXian"/>
        <family val="2"/>
        <scheme val="minor"/>
      </rPr>
      <t>/s</t>
    </r>
  </si>
  <si>
    <t>kWh/kg-LCO</t>
  </si>
  <si>
    <t>MMBtu/ton-LCO</t>
  </si>
  <si>
    <t>kWh/ton-LCO</t>
  </si>
  <si>
    <t xml:space="preserve">   Cobalt Oxide (MW=240.79)</t>
  </si>
  <si>
    <t>Cost of LCO Raw Materials</t>
  </si>
  <si>
    <t>8. Specification of Fuels</t>
  </si>
  <si>
    <t>Heating Value</t>
  </si>
  <si>
    <t>C ratio</t>
  </si>
  <si>
    <t>S ratio</t>
  </si>
  <si>
    <t>HHV</t>
  </si>
  <si>
    <t>(% by wt)</t>
  </si>
  <si>
    <t>(ppm by wt)</t>
  </si>
  <si>
    <t>Actual ratio by wt</t>
  </si>
  <si>
    <t>LHV/HHV</t>
  </si>
  <si>
    <t>Liquid Fuels:</t>
  </si>
  <si>
    <t>Btu/gal</t>
  </si>
  <si>
    <t>grams/gal</t>
  </si>
  <si>
    <t>Calculation: LHV</t>
  </si>
  <si>
    <t>U.S. conventional diesel</t>
  </si>
  <si>
    <t>Diesel for non-road engines</t>
  </si>
  <si>
    <t>3) Cell hardware costs</t>
  </si>
  <si>
    <t>Cost ($/kg)</t>
  </si>
  <si>
    <t xml:space="preserve"> Software Name: SF-18-022 EverBatt</t>
  </si>
  <si>
    <t>Schematic of EverBatt Model</t>
  </si>
  <si>
    <t>Schematic of the Recycle Module</t>
  </si>
  <si>
    <t>1kg to tonne</t>
  </si>
  <si>
    <t>Hardware</t>
  </si>
  <si>
    <t>Positive electrode coating</t>
  </si>
  <si>
    <t>Negative electrode coating</t>
  </si>
  <si>
    <t>9. Cell electrode area</t>
  </si>
  <si>
    <r>
      <t>C</t>
    </r>
    <r>
      <rPr>
        <vertAlign val="subscript"/>
        <sz val="11"/>
        <color theme="1"/>
        <rFont val="DengXian"/>
        <family val="2"/>
        <scheme val="minor"/>
      </rPr>
      <t>mat</t>
    </r>
    <r>
      <rPr>
        <sz val="11"/>
        <color theme="1"/>
        <rFont val="DengXian"/>
        <family val="2"/>
        <scheme val="minor"/>
      </rPr>
      <t>=C</t>
    </r>
    <r>
      <rPr>
        <vertAlign val="subscript"/>
        <sz val="11"/>
        <color theme="1"/>
        <rFont val="DengXian"/>
        <family val="2"/>
        <scheme val="minor"/>
      </rPr>
      <t>0,mat</t>
    </r>
    <r>
      <rPr>
        <sz val="11"/>
        <color theme="1"/>
        <rFont val="DengXian"/>
        <family val="2"/>
        <scheme val="minor"/>
      </rPr>
      <t>(R</t>
    </r>
    <r>
      <rPr>
        <vertAlign val="subscript"/>
        <sz val="11"/>
        <color theme="1"/>
        <rFont val="DengXian"/>
        <family val="2"/>
        <scheme val="minor"/>
      </rPr>
      <t>0</t>
    </r>
    <r>
      <rPr>
        <sz val="11"/>
        <color theme="1"/>
        <rFont val="DengXian"/>
        <family val="2"/>
        <scheme val="minor"/>
      </rPr>
      <t>/R)</t>
    </r>
    <r>
      <rPr>
        <vertAlign val="superscript"/>
        <sz val="11"/>
        <color theme="1"/>
        <rFont val="DengXian"/>
        <family val="2"/>
        <scheme val="minor"/>
      </rPr>
      <t>(1-p)</t>
    </r>
  </si>
  <si>
    <t>C is cost; R is processing rate (e.g., # of cells/kg of materials per yr)</t>
  </si>
  <si>
    <t>1.2 Prices of batteries and consumed chemicals for recycling</t>
  </si>
  <si>
    <t>Mn2+ in Mn salt</t>
  </si>
  <si>
    <t>1.4 Value of recycled materials ($/kg)</t>
  </si>
  <si>
    <t>Mn2+</t>
  </si>
  <si>
    <t>Co2+ in product</t>
  </si>
  <si>
    <t>Mn2+ in product</t>
  </si>
  <si>
    <t>Ni2+ in product</t>
  </si>
  <si>
    <t>Li in cathode and electrolyte</t>
  </si>
  <si>
    <t>Co in cathode</t>
  </si>
  <si>
    <t>Ni in cathode</t>
  </si>
  <si>
    <t>Mn in cathode</t>
  </si>
  <si>
    <t>Rocha-Uribe et al 2014; Rosa and Meireles 2005</t>
  </si>
  <si>
    <t>$2003</t>
  </si>
  <si>
    <t>$2014</t>
  </si>
  <si>
    <t>$2009</t>
  </si>
  <si>
    <t>Capacity (tonne/hr)</t>
  </si>
  <si>
    <t>2 ft2/tonne/hr</t>
  </si>
  <si>
    <t>Loading of batteries (tonne/hr)</t>
  </si>
  <si>
    <t>x is capacity, tonne/hr</t>
  </si>
  <si>
    <t>Fueled by diesel</t>
  </si>
  <si>
    <t>$2002</t>
  </si>
  <si>
    <t>Roll-type extruder</t>
  </si>
  <si>
    <t>Peters et al 2003</t>
  </si>
  <si>
    <t>solids flowrate (kg/s)</t>
  </si>
  <si>
    <t>Cost ($2002)</t>
  </si>
  <si>
    <t>Assume hp=100</t>
  </si>
  <si>
    <t>Roll crusher</t>
  </si>
  <si>
    <t>Capacity (kg/s)</t>
  </si>
  <si>
    <t>Person-hrs/day</t>
  </si>
  <si>
    <t>Include profit?</t>
  </si>
  <si>
    <t>Total product cost w/profit ($/yr)</t>
  </si>
  <si>
    <t>Total cost to recipient ($/kg cathode)</t>
  </si>
  <si>
    <t>Total Product Cost to Recipient, $/kg</t>
  </si>
  <si>
    <t>Total Product Cost w/Profit</t>
  </si>
  <si>
    <t>Profit, $/year</t>
  </si>
  <si>
    <t>Profit (5% of capital investment)</t>
  </si>
  <si>
    <t>converting from 2002$ into 2017$</t>
  </si>
  <si>
    <t>2.2 Cost of cathode production per production line</t>
  </si>
  <si>
    <t>For produced matte</t>
  </si>
  <si>
    <t>Crusher</t>
  </si>
  <si>
    <t>Wastewater Treatment</t>
  </si>
  <si>
    <t>Utilities</t>
  </si>
  <si>
    <t xml:space="preserve">400L </t>
  </si>
  <si>
    <t>0.2tonne batteries</t>
  </si>
  <si>
    <t>extraction time 1 hr</t>
  </si>
  <si>
    <t>cost 2009 = 31901*volume^0.6909</t>
  </si>
  <si>
    <t>cost 2009 = 6088158*(battery tonne/hr)^0.6909</t>
  </si>
  <si>
    <t>Rosa and Meireles 2005</t>
  </si>
  <si>
    <t>Rocha-Uribe et al 2014</t>
  </si>
  <si>
    <t>Waste(solid)</t>
  </si>
  <si>
    <t>Centrifugal</t>
  </si>
  <si>
    <t>Volumetric flow rate (m^3/s)</t>
  </si>
  <si>
    <t>Matche Horizontal, ANSI, 1-stage, 2-inch discharge pipe diameter, cast iron and API-610, packing seal type</t>
  </si>
  <si>
    <t>Centrifugal, cast iron, 1035 kPa</t>
  </si>
  <si>
    <t>HP=PSI*GPM/1714/0.90</t>
  </si>
  <si>
    <t>90% isentropic efficiency</t>
  </si>
  <si>
    <t>HP=150.1141*(tonne/hr*1000/3600/0.1*60/3.7854)/1714/0.9</t>
  </si>
  <si>
    <t>HP=4.28*tonne/hr</t>
  </si>
  <si>
    <t>Analyze recycling revenue of</t>
  </si>
  <si>
    <t>Recycling cost</t>
  </si>
  <si>
    <t>Cathode production cost</t>
  </si>
  <si>
    <t>Battery production cost</t>
  </si>
  <si>
    <t>Recycling revenue</t>
  </si>
  <si>
    <t>Recovered material</t>
  </si>
  <si>
    <t>Column1</t>
  </si>
  <si>
    <t>Column2</t>
  </si>
  <si>
    <t>for</t>
  </si>
  <si>
    <t>Closed-loop recyling impact breakdown of</t>
  </si>
  <si>
    <t>Select Metric</t>
  </si>
  <si>
    <t>Impact</t>
  </si>
  <si>
    <t>Credit</t>
  </si>
  <si>
    <t>Transportation</t>
  </si>
  <si>
    <t>Recycling</t>
  </si>
  <si>
    <t>Material conversion</t>
  </si>
  <si>
    <t>Cathode production</t>
  </si>
  <si>
    <t>Recovered cathode precursor (kg/kg cathode)</t>
  </si>
  <si>
    <t>Total results/kg cathode</t>
  </si>
  <si>
    <t>Transportation/kg cathode</t>
  </si>
  <si>
    <t>Recycling impact/kg cathode</t>
  </si>
  <si>
    <t>Recycling credit</t>
  </si>
  <si>
    <t>Material conversion/kg cathode</t>
  </si>
  <si>
    <t>Material conversion/kg product</t>
  </si>
  <si>
    <t>LiOH</t>
  </si>
  <si>
    <t>Cost ($)</t>
  </si>
  <si>
    <t>Total energy consumption (MJ)</t>
  </si>
  <si>
    <t>NOx emission (g)</t>
  </si>
  <si>
    <t>SOx emission (g)</t>
  </si>
  <si>
    <t>PM10 emission (g)</t>
  </si>
  <si>
    <t>GHG emission (g CO2e)</t>
  </si>
  <si>
    <t>Note: 1. Results not available for LFP and LMO chemistries</t>
  </si>
  <si>
    <t xml:space="preserve">           3. Recycling credits are given to materials that are recovered but not used to produce new cathode powder, such as Al and Cu</t>
  </si>
  <si>
    <t xml:space="preserve">           2. Results not valid for direct recycling of mixed chemistries</t>
  </si>
  <si>
    <t>Co%</t>
  </si>
  <si>
    <t>Automated disassembly of battery</t>
  </si>
  <si>
    <t>Automated disassembly of cell</t>
  </si>
  <si>
    <t>Automated disassembly of module</t>
  </si>
  <si>
    <t>Automated sorting of battery</t>
  </si>
  <si>
    <t>Automated sorting of cell</t>
  </si>
  <si>
    <t>Automated sorting of module</t>
  </si>
  <si>
    <t>Manual disassembly of battery</t>
  </si>
  <si>
    <t>Manual Disassembly of cell</t>
  </si>
  <si>
    <t>Manual disassembly of module</t>
  </si>
  <si>
    <t>Manual sorting of battery</t>
  </si>
  <si>
    <t>Manual sorting of cell</t>
  </si>
  <si>
    <t>Manual sorting of module</t>
  </si>
  <si>
    <t>Ball mill</t>
  </si>
  <si>
    <t>Battery/Cell discharger</t>
  </si>
  <si>
    <t>Brine soak</t>
  </si>
  <si>
    <t>Cryo shredder</t>
  </si>
  <si>
    <t>Density separator</t>
  </si>
  <si>
    <t>Dust collector</t>
  </si>
  <si>
    <t>Eddy current separator</t>
  </si>
  <si>
    <t>Filter press</t>
  </si>
  <si>
    <t>Filter tank</t>
  </si>
  <si>
    <t>Flash tank</t>
  </si>
  <si>
    <t>Fork truck</t>
  </si>
  <si>
    <t>Gas treatment</t>
  </si>
  <si>
    <t>Leaching tank</t>
  </si>
  <si>
    <t>Magnetic separator</t>
  </si>
  <si>
    <t>Mixing tank</t>
  </si>
  <si>
    <t>Precipitation tank</t>
  </si>
  <si>
    <t>Skid steer</t>
  </si>
  <si>
    <t>Solvent extraction unit</t>
  </si>
  <si>
    <t>Storage tank</t>
  </si>
  <si>
    <t>Supercritical CO2 system</t>
  </si>
  <si>
    <t>Ultrasonic bath</t>
  </si>
  <si>
    <t>Vacuum distillation</t>
  </si>
  <si>
    <t>Water treatment</t>
  </si>
  <si>
    <t>Wet granulator</t>
  </si>
  <si>
    <t>Froth flotation cell</t>
  </si>
  <si>
    <t>Heat surface required (ft^2/kg product/hr)</t>
  </si>
  <si>
    <t>Heat load (kJ/kg product/hr)</t>
  </si>
  <si>
    <t>Fixed capital investment ($)</t>
  </si>
  <si>
    <t>Direct costs ($)</t>
  </si>
  <si>
    <t>Indirect costs ($)</t>
  </si>
  <si>
    <t>Working capital ($)</t>
  </si>
  <si>
    <t>Total capital investment ($)</t>
  </si>
  <si>
    <t>$/MJ</t>
  </si>
  <si>
    <t>MJ/yr</t>
  </si>
  <si>
    <t># of pieces</t>
  </si>
  <si>
    <t>Equp. multiplier</t>
  </si>
  <si>
    <t>Throughput (tonne/yr)</t>
  </si>
  <si>
    <t>Heat treatment furnace</t>
  </si>
  <si>
    <t>Furnace+saggar handling system</t>
  </si>
  <si>
    <t>Cost = (a*x^b+c)*adj. (2019$)</t>
  </si>
  <si>
    <t>Chemical prices are for anhydrous form/100% concentration.</t>
  </si>
  <si>
    <t>NMC(532)</t>
  </si>
  <si>
    <t>NMC(532) Production</t>
  </si>
  <si>
    <t>NMC532</t>
  </si>
  <si>
    <t>Process non-combustion emissions (g)</t>
  </si>
  <si>
    <t>Cell Details</t>
  </si>
  <si>
    <t>Cell Production</t>
  </si>
  <si>
    <t>Pack Manufacturing</t>
  </si>
  <si>
    <t>1.2 Pack configuration</t>
  </si>
  <si>
    <t>Number of cells per module</t>
  </si>
  <si>
    <t>Number of modules per pack</t>
  </si>
  <si>
    <t>Module enclosure</t>
  </si>
  <si>
    <t>Module inter-connect</t>
  </si>
  <si>
    <t>Battery pack terminals</t>
  </si>
  <si>
    <t>Battery pack heaters</t>
  </si>
  <si>
    <t>Battery coolant</t>
  </si>
  <si>
    <t>BMS and disconnects</t>
  </si>
  <si>
    <t>1.3 Module components mass (g/module)</t>
  </si>
  <si>
    <t>1.4 Pack components mass (kg/pack)</t>
  </si>
  <si>
    <t>1.5 Components unit prices</t>
  </si>
  <si>
    <t>1.5.1 Unit price per mass ($/kg)</t>
  </si>
  <si>
    <t>Module terminals</t>
  </si>
  <si>
    <t>1.5.2 Unit price per piece ($)</t>
  </si>
  <si>
    <t>Battery heating system ($/pack)</t>
  </si>
  <si>
    <t>Battery thermal system ($/pack)</t>
  </si>
  <si>
    <t>BMS</t>
  </si>
  <si>
    <t xml:space="preserve">Natural gas </t>
  </si>
  <si>
    <t>1.6 Pack manufacturing energy consumption (MJ/kg battery pack)</t>
  </si>
  <si>
    <t>Insulation</t>
  </si>
  <si>
    <t>Electronic part</t>
  </si>
  <si>
    <t>Coolant</t>
  </si>
  <si>
    <t>2.2 Material input for pack manufacturing</t>
  </si>
  <si>
    <t>Battery mass (kg)</t>
  </si>
  <si>
    <t>Module</t>
  </si>
  <si>
    <t>Pack</t>
  </si>
  <si>
    <t>Material input (kg/battery pack)</t>
  </si>
  <si>
    <t>Cell</t>
  </si>
  <si>
    <t>2.1 Total battery mass</t>
  </si>
  <si>
    <t>2.4 Cost of pack manufacturing</t>
  </si>
  <si>
    <t>Cost ($/pack)</t>
  </si>
  <si>
    <t>Energy Use: mmBtu/pack</t>
  </si>
  <si>
    <t>Water consumption (gal/pack)</t>
  </si>
  <si>
    <t>Total Emissions: grams/pack</t>
  </si>
  <si>
    <t>Module components</t>
  </si>
  <si>
    <t>Pack components</t>
  </si>
  <si>
    <t>Module assembly</t>
  </si>
  <si>
    <t>Pack assembly and testing</t>
  </si>
  <si>
    <t>2.4.1 Material cost</t>
  </si>
  <si>
    <t>2.4.2 Module and pack assembly cost parameters</t>
  </si>
  <si>
    <t xml:space="preserve">Select Battery </t>
  </si>
  <si>
    <t>Cell Manufacturing</t>
  </si>
  <si>
    <t>batttery produced</t>
  </si>
  <si>
    <t>Pack removal from vehicle</t>
  </si>
  <si>
    <t>Pack disassembly down to modules</t>
  </si>
  <si>
    <t>Module disassembly down to cells</t>
  </si>
  <si>
    <t>1.4.1 Transportation cost ($/ton-mile)</t>
  </si>
  <si>
    <t>1.4 Transportation cost</t>
  </si>
  <si>
    <t>1.4.2 Transportation cost ($/mile)</t>
  </si>
  <si>
    <t>1.4.2 Packaging cost ($/kg battery)</t>
  </si>
  <si>
    <t>Packaging ($/kg battery)</t>
  </si>
  <si>
    <t>Number of modules</t>
  </si>
  <si>
    <t>Solvent evaporated</t>
  </si>
  <si>
    <t>From collection to disassembly hazardous?</t>
  </si>
  <si>
    <t>Analyze cell manufacturing cost from</t>
  </si>
  <si>
    <t>Disassembly</t>
  </si>
  <si>
    <t>2.1.1 Annual processing rate</t>
  </si>
  <si>
    <t>Total battery pack weight (kg)</t>
  </si>
  <si>
    <t>Cell processed per yr</t>
  </si>
  <si>
    <t>Total battery cell weight (kg)</t>
  </si>
  <si>
    <t>2.1.2 Disassembly cost parameters</t>
  </si>
  <si>
    <t>Pack disassembly</t>
  </si>
  <si>
    <t>Module disassembly</t>
  </si>
  <si>
    <t>2.1 Disassembly cost calculation</t>
  </si>
  <si>
    <t>2.1.3 Direct labor cost ($/battery pack)</t>
  </si>
  <si>
    <t>2.1 Disassembly revenue calculation</t>
  </si>
  <si>
    <t>Revenue ($/kg battery pack)</t>
  </si>
  <si>
    <t>Total cost ($/kg battery pack)</t>
  </si>
  <si>
    <t>Total cost ($/kg battery cell)</t>
  </si>
  <si>
    <t>Revenue ($/kg battery cell)</t>
  </si>
  <si>
    <t>Disassembly/kg cathode</t>
  </si>
  <si>
    <t>Disassembly credit/kg cathode</t>
  </si>
  <si>
    <t>Anode binder</t>
  </si>
  <si>
    <t>Binder (PVDF)</t>
  </si>
  <si>
    <t>Binder: anode</t>
  </si>
  <si>
    <t>Binder (anode)</t>
  </si>
  <si>
    <t>C2H2F2</t>
  </si>
  <si>
    <t>2F</t>
  </si>
  <si>
    <t>H</t>
  </si>
  <si>
    <t>F in PVDF and LiPF6</t>
  </si>
  <si>
    <t>2.3.4 Cost summary ($/kg pack)</t>
  </si>
  <si>
    <t>Al heat conductor</t>
  </si>
  <si>
    <t>Cell-level</t>
  </si>
  <si>
    <t>Pack-level</t>
  </si>
  <si>
    <t>2.3 Environmental impact of pack manufacturing</t>
  </si>
  <si>
    <t>Generic Direct Process</t>
  </si>
  <si>
    <t>Battery manufactured at plant</t>
  </si>
  <si>
    <t>Battery collected, transported, and recycled</t>
  </si>
  <si>
    <t>Throughput (tonne battery pack/yr)</t>
  </si>
  <si>
    <t>Throughput (battery cell tonne/yr)</t>
  </si>
  <si>
    <t>------------------------------------------------------------------------------------------------------------------------------------------------------------------------------------------------------------------------------------------------------------------------------------------------------------------------------------------------------------------------------------------------------------------------------------------------------------------------------------------------------------------------</t>
  </si>
  <si>
    <t>Select Battery Metric</t>
  </si>
  <si>
    <t>1.2.1 Cost information for rail, barge, and ocean tanker transportation ($/ton-mile)</t>
  </si>
  <si>
    <t>1.2.2 Cost information for truck transportation ($/mile)</t>
  </si>
  <si>
    <t>Medium-duty Truck, Hazmat</t>
  </si>
  <si>
    <t>Heavy-duty Truck, Hazmat</t>
  </si>
  <si>
    <t>Medium-duty Truck, Nonhazardous</t>
  </si>
  <si>
    <t>Heavy-duty Truck, Nonhazardous</t>
  </si>
  <si>
    <t>Pack wt (kg)</t>
  </si>
  <si>
    <t>Cell wt (kg)</t>
  </si>
  <si>
    <t>Heat conductor</t>
  </si>
  <si>
    <t>Warehouse</t>
  </si>
  <si>
    <t>X-ray inspection</t>
  </si>
  <si>
    <t>Inserting cell in container</t>
  </si>
  <si>
    <t>Positive electrode materials preparation and delivery to coating</t>
  </si>
  <si>
    <t>Negative electrode materials preparation and delivery to coating</t>
  </si>
  <si>
    <t>Positive electrode calendaring</t>
  </si>
  <si>
    <t>Negative electrode calendaring</t>
  </si>
  <si>
    <t>Positive electrode notching</t>
  </si>
  <si>
    <t>Negative electrode notching</t>
  </si>
  <si>
    <t>Positive electrode vacuum drying</t>
  </si>
  <si>
    <t>Negative electrode vacuum drying</t>
  </si>
  <si>
    <t>Dry room</t>
  </si>
  <si>
    <t>Formation cycling tesing and cell sealing</t>
  </si>
  <si>
    <t>Positive electrode area (m2/yr)</t>
  </si>
  <si>
    <t>Negative electrode area (m2/yr)</t>
  </si>
  <si>
    <t>Positive electrode area (cm2)</t>
  </si>
  <si>
    <t>Negative electrode area (cm2)</t>
  </si>
  <si>
    <t>GWh/yr</t>
  </si>
  <si>
    <t>Solvent: binder mass ratio (NMP)</t>
  </si>
  <si>
    <t>Solvent: binder mass ratio (non-NMP)</t>
  </si>
  <si>
    <t>Cell capacity (Ah)</t>
  </si>
  <si>
    <t>Cell capacity for stacking</t>
  </si>
  <si>
    <t>Cell capacity for formation</t>
  </si>
  <si>
    <t>Number of accepted cells per year</t>
  </si>
  <si>
    <t>Number of packs per year</t>
  </si>
  <si>
    <t>PVDF solvent (kg/yr)</t>
  </si>
  <si>
    <t>Plus cost ($/cell)</t>
  </si>
  <si>
    <t>Cell interconnect</t>
  </si>
  <si>
    <t>Module management system</t>
  </si>
  <si>
    <t>Interconnect panel</t>
  </si>
  <si>
    <t>Bus bar</t>
  </si>
  <si>
    <t>Row rack</t>
  </si>
  <si>
    <t>Polymer pads btw modules</t>
  </si>
  <si>
    <t>Cooling system panel and manifold</t>
  </si>
  <si>
    <t>Battery jacket, Al</t>
  </si>
  <si>
    <t>Battery jacket, steel</t>
  </si>
  <si>
    <t>Battery jacket, iron</t>
  </si>
  <si>
    <t>Battery jacket, insulation</t>
  </si>
  <si>
    <t>Cooling panels</t>
  </si>
  <si>
    <t xml:space="preserve">Pack terminals </t>
  </si>
  <si>
    <t>Module conductors/thermal enclosure</t>
  </si>
  <si>
    <t>Provision for gas release</t>
  </si>
  <si>
    <t>Iron</t>
  </si>
  <si>
    <t>Cell  interconnect</t>
  </si>
  <si>
    <t>Module conductor/thermal enclosure</t>
  </si>
  <si>
    <t>Heat conductor (per cell)</t>
  </si>
  <si>
    <t>Module management system (per parallel)</t>
  </si>
  <si>
    <t>Module management system (per Ah)</t>
  </si>
  <si>
    <t>Number of cells in parallel</t>
  </si>
  <si>
    <t>Module capacity (Ah)</t>
  </si>
  <si>
    <t>Module interconnect</t>
  </si>
  <si>
    <t>Pack terminals</t>
  </si>
  <si>
    <t>Number of rows of modules per pack</t>
  </si>
  <si>
    <t>Include warranty?</t>
  </si>
  <si>
    <t>AR6/GWP</t>
  </si>
  <si>
    <t>Heavy heavy-duty truck (btu/mile)</t>
  </si>
  <si>
    <t>Note: Cost estimates based on BatPaC are good for throughputs ranging from 5~100 GWh/yr</t>
  </si>
  <si>
    <t>Feedstock chemistry</t>
  </si>
  <si>
    <t>Transportation segment</t>
  </si>
  <si>
    <t>Distance</t>
  </si>
  <si>
    <t>Feedstock type</t>
  </si>
  <si>
    <t>Select Type</t>
  </si>
  <si>
    <t>Manufacturing scrap: rejected cells</t>
  </si>
  <si>
    <t>Manufacturing scrap: electrode</t>
  </si>
  <si>
    <t>Black mass</t>
  </si>
  <si>
    <t>End-of-life battery: module</t>
  </si>
  <si>
    <t>End-of-life battery: cell</t>
  </si>
  <si>
    <t>Feedstock tonnage (tonne/yr)</t>
  </si>
  <si>
    <t>Preprocessing &amp; Recycle</t>
  </si>
  <si>
    <t>1.2 Feedstock composition (wt%)</t>
  </si>
  <si>
    <t>wt% of total feedstock</t>
  </si>
  <si>
    <t>Battery pack composition</t>
  </si>
  <si>
    <t>Electronics</t>
  </si>
  <si>
    <t>Battery module composition</t>
  </si>
  <si>
    <t>Battery cell composition</t>
  </si>
  <si>
    <t>Electrode manufacturing scrap composition</t>
  </si>
  <si>
    <t>Black mass composition</t>
  </si>
  <si>
    <t>End-of-life battery: pack</t>
  </si>
  <si>
    <t>1.2.1 Individual feedstock stream composition</t>
  </si>
  <si>
    <t>1.2.2 Preprocessing feedstock composition</t>
  </si>
  <si>
    <t>Module wt (kg)</t>
  </si>
  <si>
    <t>1.1 Batteries to be disassembled</t>
  </si>
  <si>
    <t>Tonnage</t>
  </si>
  <si>
    <t>Output from disassembly</t>
  </si>
  <si>
    <t>wt%</t>
  </si>
  <si>
    <t>1.3 Labor requirement (hr/pack)</t>
  </si>
  <si>
    <t>1.4 Hourly labor rate ($/hr)</t>
  </si>
  <si>
    <t>1.5 Recovered materials (kg/pack)</t>
  </si>
  <si>
    <t>1.5.1 Recovered materials from pack components (kg/pack)</t>
  </si>
  <si>
    <t>1.5.2 Recovered materials from module components (kg/pack)</t>
  </si>
  <si>
    <t>1.6 Recovered materials unit prices ($/kg)</t>
  </si>
  <si>
    <t>Stream 1</t>
  </si>
  <si>
    <t>Stream 2</t>
  </si>
  <si>
    <t>Stream 3</t>
  </si>
  <si>
    <t>Stream 4</t>
  </si>
  <si>
    <t>Stream 5</t>
  </si>
  <si>
    <t>Direct labor ($/battery pack)</t>
  </si>
  <si>
    <t>Note: Manual disassembly is assumed in EverBatt2023 and therefore does not have any environmental impacts</t>
  </si>
  <si>
    <t>Pack to module</t>
  </si>
  <si>
    <t>Module to cell</t>
  </si>
  <si>
    <t>Feedstock stream 1</t>
  </si>
  <si>
    <t>Feedstock stream 2</t>
  </si>
  <si>
    <t>Feedstock stream 3</t>
  </si>
  <si>
    <t>Feedstock stream 4</t>
  </si>
  <si>
    <t>Feedstock stream 5</t>
  </si>
  <si>
    <t>C = 2.24*Q^0.96*1000 in 2003$, 2&lt;Q&lt;40K SCFM</t>
  </si>
  <si>
    <t>Assuming 0.5kg/stand cubic feet solids loading</t>
  </si>
  <si>
    <t>$2001</t>
  </si>
  <si>
    <t>Recycling today, 2001</t>
  </si>
  <si>
    <t>Screen, vibrating</t>
  </si>
  <si>
    <t>Screen, DSM</t>
  </si>
  <si>
    <t>DSM screen, stainless steel, with medium carbon steel wire, 15 ft^2</t>
  </si>
  <si>
    <t>Vibratory screen, 1 deck, stainless steel, with medium carbon steel wire, 15 ft^2</t>
  </si>
  <si>
    <t>Air classifier</t>
  </si>
  <si>
    <t>Cyclone, turbo screen, 30-inch diameter</t>
  </si>
  <si>
    <t>1.3 Value of recycled materials ($/kg)</t>
  </si>
  <si>
    <t>Material 9</t>
  </si>
  <si>
    <t>Material 10</t>
  </si>
  <si>
    <t>1.4 Cost of waste disposal</t>
  </si>
  <si>
    <t>1.5 Cost of utilities</t>
  </si>
  <si>
    <t>Nitrogen</t>
  </si>
  <si>
    <t>Feedstock cost ($/kg)</t>
  </si>
  <si>
    <t>P in LiPF6</t>
  </si>
  <si>
    <t>Generic Preprocssing Process</t>
  </si>
  <si>
    <t>1.1 Plant information</t>
  </si>
  <si>
    <t>2.1Feedstock breakdown by CM and other materials (kg/kg feedstock)</t>
  </si>
  <si>
    <t>Positive values mean recyclers pay to get the materials; negative values mean recyclers get paid for taking the materials</t>
  </si>
  <si>
    <t>2.2 Preprocessed black mass composition (wt%)</t>
  </si>
  <si>
    <t>2.3 Preprocessed black mass breakdown by CM and other materials (kg/kg black mass)</t>
  </si>
  <si>
    <t>1.2 Feedstock material composition (kg/kg feedstock)</t>
  </si>
  <si>
    <t>CMC</t>
  </si>
  <si>
    <t>Cathode active material</t>
  </si>
  <si>
    <t>1.3 Equipment</t>
  </si>
  <si>
    <t>Link to individual equipment</t>
  </si>
  <si>
    <t>1.4 Material requirements (kg/kg feedstock)</t>
  </si>
  <si>
    <t>Material 11</t>
  </si>
  <si>
    <t>Material 12</t>
  </si>
  <si>
    <t>1.5 Energy requirements (MJ/kg feedstock)</t>
  </si>
  <si>
    <t>1.6 Process water consumption (gal/kg feedstock)</t>
  </si>
  <si>
    <r>
      <t xml:space="preserve">1.7 Fate of feed materials </t>
    </r>
    <r>
      <rPr>
        <b/>
        <sz val="11"/>
        <color rgb="FF00B050"/>
        <rFont val="DengXian"/>
        <family val="2"/>
        <scheme val="minor"/>
      </rPr>
      <t>(i.e., what happens to these materials during the preprocessing process)</t>
    </r>
  </si>
  <si>
    <t>1.8 Produced materials from preprocessing (per kg of feedstock)</t>
  </si>
  <si>
    <t>Preprocessing</t>
  </si>
  <si>
    <t>1.9 Black mass composition (wt%)</t>
  </si>
  <si>
    <t>1.6. Cost of feedstock and consumed chemicals ($/kg of chemical)</t>
  </si>
  <si>
    <t>Generic Preprocessing Process</t>
  </si>
  <si>
    <t>Belt, open, short, 42inch wide, 20ft long</t>
  </si>
  <si>
    <t>I. Fixed capital investmemt</t>
  </si>
  <si>
    <t>Incinerator, hearth, hazardous</t>
  </si>
  <si>
    <t>Incinertor, hearth, hazardous</t>
  </si>
  <si>
    <t>Custom Preprocessing Process</t>
  </si>
  <si>
    <t>1.8 Output (per kg of feedstock)</t>
  </si>
  <si>
    <t>Quantity (%)</t>
  </si>
  <si>
    <t>Placeholder. Currently no allocation is considered for preprocessing</t>
  </si>
  <si>
    <t>% of perchased equipment cost</t>
  </si>
  <si>
    <t>Equipment erection</t>
  </si>
  <si>
    <t xml:space="preserve">     Piping</t>
  </si>
  <si>
    <t xml:space="preserve">     Instumentation and control</t>
  </si>
  <si>
    <t xml:space="preserve">     Electrical</t>
  </si>
  <si>
    <t xml:space="preserve">     Civil</t>
  </si>
  <si>
    <t xml:space="preserve">     Structures and buildings</t>
  </si>
  <si>
    <t xml:space="preserve">     Lagging and paint</t>
  </si>
  <si>
    <t>% of ISBL cost</t>
  </si>
  <si>
    <t xml:space="preserve">  A. Inside battery limits (ISBL) plant cost</t>
  </si>
  <si>
    <t xml:space="preserve">  B. Offsite battery limits (OSBL) cost</t>
  </si>
  <si>
    <t>% of (ISBL+OSBL)</t>
  </si>
  <si>
    <t xml:space="preserve">  C. Design and Engineering Cost</t>
  </si>
  <si>
    <t xml:space="preserve">  D. Contingency</t>
  </si>
  <si>
    <t>Feedstock fee ($/kg feedstock)</t>
  </si>
  <si>
    <t>III. Total Capital Investment = Fixed Capital Investment + Working Capital</t>
  </si>
  <si>
    <t xml:space="preserve">     Raw Materials</t>
  </si>
  <si>
    <t xml:space="preserve">     Utilities</t>
  </si>
  <si>
    <t xml:space="preserve">     Effluent disposal</t>
  </si>
  <si>
    <t xml:space="preserve">     Consumerables</t>
  </si>
  <si>
    <t xml:space="preserve">     Packaging and shipping</t>
  </si>
  <si>
    <t>IV. Cash cost of production (CCOP), $/year</t>
  </si>
  <si>
    <t xml:space="preserve">  A. Variable costs of production (VCOP)</t>
  </si>
  <si>
    <t xml:space="preserve">     Operating labor</t>
  </si>
  <si>
    <t>B. Fixed costs of production (FCOP), $/year</t>
  </si>
  <si>
    <t xml:space="preserve">     Supervision and management</t>
  </si>
  <si>
    <t xml:space="preserve">     Direct salary overhead</t>
  </si>
  <si>
    <t xml:space="preserve">     Maintenance</t>
  </si>
  <si>
    <t xml:space="preserve">     Property taxes and insurance</t>
  </si>
  <si>
    <t>% of operating labor</t>
  </si>
  <si>
    <t>% of ISBL</t>
  </si>
  <si>
    <t>of materials cost</t>
  </si>
  <si>
    <t xml:space="preserve">     Rent of land and/or buildings</t>
  </si>
  <si>
    <t xml:space="preserve">     General plant overhead</t>
  </si>
  <si>
    <t xml:space="preserve">     Allocated environmental charges</t>
  </si>
  <si>
    <t xml:space="preserve">     Running license fees and royalty payments</t>
  </si>
  <si>
    <t xml:space="preserve">     Capital charges</t>
  </si>
  <si>
    <t>Labor rate</t>
  </si>
  <si>
    <t xml:space="preserve">    R&amp;D costs</t>
  </si>
  <si>
    <t xml:space="preserve">    Selling and marketing costs</t>
  </si>
  <si>
    <t xml:space="preserve">    General and administrative (G&amp;A) costs</t>
  </si>
  <si>
    <t>of revenue</t>
  </si>
  <si>
    <t>or 65% of (labor+maintenance)</t>
  </si>
  <si>
    <t>% of (operating labor+supervision)</t>
  </si>
  <si>
    <t xml:space="preserve">     Labor costs</t>
  </si>
  <si>
    <t>2.1 Environmental impacts (per kg of feedstock processed)</t>
  </si>
  <si>
    <t>2.1.2 Environmental impacts for preprocessing</t>
  </si>
  <si>
    <t>2.2 Cost (per kg of feedstock processed)</t>
  </si>
  <si>
    <t>Revenue ($/kg feedstock processed)</t>
  </si>
  <si>
    <t>2.2.1 Revenue generated from sales of recovered materials</t>
  </si>
  <si>
    <t xml:space="preserve">    Interest on fixed capital</t>
  </si>
  <si>
    <t>of fixed capital investment</t>
  </si>
  <si>
    <t>of working capital</t>
  </si>
  <si>
    <t xml:space="preserve">    Interest on working capital</t>
  </si>
  <si>
    <t>II. Working Capital (7 weeks' cash cost of production - 2 weeks' materials costs + 2%*(ISBL+OSBL))</t>
  </si>
  <si>
    <t>or 15% of fixed capital</t>
  </si>
  <si>
    <t>of labor costs</t>
  </si>
  <si>
    <t>of TCOP</t>
  </si>
  <si>
    <t>assumed interest rate</t>
  </si>
  <si>
    <t>V. Annualized Capital Cost (ACC), $/year</t>
  </si>
  <si>
    <t>VI. Total Cost of Production (TCOP), $/year</t>
  </si>
  <si>
    <t>Variable</t>
  </si>
  <si>
    <t>Fixed</t>
  </si>
  <si>
    <t>Other fixed costs</t>
  </si>
  <si>
    <t>Other variable costs</t>
  </si>
  <si>
    <t>Annualized capital cost</t>
  </si>
  <si>
    <t>Total production cost</t>
  </si>
  <si>
    <t>Variable costs of production ($/yr)</t>
  </si>
  <si>
    <t>Fixed costs of production ($/yr)</t>
  </si>
  <si>
    <t>Cash cost of production ($/yr)</t>
  </si>
  <si>
    <t>Annualized capital cost ($/yr)</t>
  </si>
  <si>
    <t>Plant type</t>
  </si>
  <si>
    <t>Select plant type</t>
  </si>
  <si>
    <t>Solids</t>
  </si>
  <si>
    <t>Fluids-solids</t>
  </si>
  <si>
    <t>Actual processing hours per day</t>
  </si>
  <si>
    <t>2.1 Environemntal impacts (per kg of feedstock processed)</t>
  </si>
  <si>
    <t>$/kg battery pack</t>
  </si>
  <si>
    <t>2.1.4 Cost summary ($/kg battery)</t>
  </si>
  <si>
    <t>material recycled (preprocessing + CM recovery)</t>
  </si>
  <si>
    <t>Note: Set to zero if disassembly and preprocessing happen at the same plant</t>
  </si>
  <si>
    <t>From disassembly to preprocessor hazardous?</t>
  </si>
  <si>
    <t>1.6 Weight of transported materials (kg/kg feedstock)</t>
  </si>
  <si>
    <t>2.1 Cost of spent battery collection and transportation ($/kg feedstock)</t>
  </si>
  <si>
    <t>1.1.2 Available precursor from recycling (kg/kg feedstock)</t>
  </si>
  <si>
    <t>1.1 Output from recycling process (kg/kg feedstock)</t>
  </si>
  <si>
    <t>1.1.1 Material recovered from recycling process (kg/kg feedstock)</t>
  </si>
  <si>
    <t>1.3 Value of recycled materials ($/kg feedstock)</t>
  </si>
  <si>
    <t>1.4 Cost of recycling ($/kg feedstock)</t>
  </si>
  <si>
    <t>$/kg feedstock</t>
  </si>
  <si>
    <t>1.7 Environmental impacts of recycling (/kg feedstock)</t>
  </si>
  <si>
    <t>1.7. Cost of feedstock and consumed chemicals ($/kg of chemical)</t>
  </si>
  <si>
    <t>1.1 Dollar year for cost analysis</t>
  </si>
  <si>
    <t>feedstock collected and transported</t>
  </si>
  <si>
    <t>feedstock disassembled</t>
  </si>
  <si>
    <t>material recycled</t>
  </si>
  <si>
    <t>Preprocessing type</t>
  </si>
  <si>
    <t>No preprocessing</t>
  </si>
  <si>
    <t>Generic</t>
  </si>
  <si>
    <t>Preprocessing throughput</t>
  </si>
  <si>
    <t>Type</t>
  </si>
  <si>
    <t>Volume (tonne/year)</t>
  </si>
  <si>
    <t>CM recovery feed information</t>
  </si>
  <si>
    <t>1.3 Feed material composition (kg/kg feed)</t>
  </si>
  <si>
    <t>Electrolyte: solvents</t>
  </si>
  <si>
    <t>1.3 Other black mass composition (i.e., black mass from elsewhere, not from preprocessing modeled in EverBatt)</t>
  </si>
  <si>
    <t>1.5 Material requirements (kg/kg feed)</t>
  </si>
  <si>
    <t>1.6 Energy requirements (MJ/kg feed)</t>
  </si>
  <si>
    <t>1.7 Process water consumption (gal/kg feed)</t>
  </si>
  <si>
    <t>2.1 Environmental impacts (per kg of feed processed)</t>
  </si>
  <si>
    <t>2.2 Cost (per kg of feed processed)</t>
  </si>
  <si>
    <t>1.2 Interest rate for CapEx amortization</t>
  </si>
  <si>
    <t>Copper metal</t>
  </si>
  <si>
    <t>2.1.2 Environmental impacts for CM recovery</t>
  </si>
  <si>
    <t>2.2.2. Cost of preprocessing plant</t>
  </si>
  <si>
    <t>2.2.2. Cost of CM recovery plant</t>
  </si>
  <si>
    <t>1.9 Produced materials from CM recovery (per kg of feed processed)</t>
  </si>
  <si>
    <t>Feed cost ($/kg)</t>
  </si>
  <si>
    <t>Feed cost ($/kg feed)</t>
  </si>
  <si>
    <t>Revenue ($/kg feed)</t>
  </si>
  <si>
    <r>
      <t xml:space="preserve">1.8 Fate of feed materials </t>
    </r>
    <r>
      <rPr>
        <b/>
        <sz val="11"/>
        <color rgb="FF00B050"/>
        <rFont val="DengXian"/>
        <family val="2"/>
        <scheme val="minor"/>
      </rPr>
      <t>(i.e., what happens to these materials during the CM recovery process)</t>
    </r>
  </si>
  <si>
    <t>Lithium carbonate (crude)</t>
  </si>
  <si>
    <t>Lithium Carbonate (crude)</t>
  </si>
  <si>
    <t>Total cost ($/kg feed processed)</t>
  </si>
  <si>
    <t>Total cost ($/kg feedstock processed)</t>
  </si>
  <si>
    <t>1.9 Output (per kg feed)</t>
  </si>
  <si>
    <t>Heat transfer area (ft^2)</t>
  </si>
  <si>
    <t>Forced circulation, SS306</t>
  </si>
  <si>
    <t>Centrifuge</t>
  </si>
  <si>
    <t>Inorganic chemicals application, SS316</t>
  </si>
  <si>
    <t>Electrowinning cell</t>
  </si>
  <si>
    <t>Cost ($2003)</t>
  </si>
  <si>
    <t>Couper et al 2005</t>
  </si>
  <si>
    <t>Cost (2014$)</t>
  </si>
  <si>
    <t>Volume (gal)</t>
  </si>
  <si>
    <t>t Cu/hr</t>
  </si>
  <si>
    <t>SS316</t>
  </si>
  <si>
    <t>Denver flotation cell</t>
  </si>
  <si>
    <t>$2019</t>
  </si>
  <si>
    <t>For batteries and materials</t>
  </si>
  <si>
    <t>X number of cathode chemistry</t>
  </si>
  <si>
    <t>X (number of cathode chemistry-1)</t>
  </si>
  <si>
    <t>m^3/hr</t>
  </si>
  <si>
    <t>For Co recovery</t>
  </si>
  <si>
    <t>For Ni recovery</t>
  </si>
  <si>
    <t>Total (integrated)</t>
  </si>
  <si>
    <t>$/kg precursor produced</t>
  </si>
  <si>
    <t>Energy Use: mmBtu/kg feedstock</t>
  </si>
  <si>
    <t>Water consumption (gal/kg feedstock)</t>
  </si>
  <si>
    <t>Total Emissions: grams/kg feedstock</t>
  </si>
  <si>
    <t>Total        (stand-alone)</t>
  </si>
  <si>
    <t>From preprocessor to CM recovery</t>
  </si>
  <si>
    <t>From manufacturer to preprocessor/CM recovery</t>
  </si>
  <si>
    <t>From preprocessor to CM recovery hazardous?</t>
  </si>
  <si>
    <t>From manufacturer to preprocessor/CM recovery hazardous?</t>
  </si>
  <si>
    <t>Note: recycling cost allocated based on economic value of recovered cathode materials</t>
  </si>
  <si>
    <t>Note: recycling EI allocated based on economic value of recovered cathode materials</t>
  </si>
  <si>
    <t>Feedstock payment</t>
  </si>
  <si>
    <t>Disassembly/kg feedstock</t>
  </si>
  <si>
    <t>Disassembly credit /kg feedstock</t>
  </si>
  <si>
    <t>Recycling impact/kg feedstock</t>
  </si>
  <si>
    <t>Transportation/kg feedstock</t>
  </si>
  <si>
    <t>Recycling credit/kg feedstock</t>
  </si>
  <si>
    <t>2. Calculation (per kg of feedstock)</t>
  </si>
  <si>
    <t>Energy Use: mmBtu/ton</t>
  </si>
  <si>
    <t>Water consumption (gal/ton)</t>
  </si>
  <si>
    <t>Total Emissions: grams/ton</t>
  </si>
  <si>
    <t>Note: Set to zero if preprocessing and CM recovery happen at the same plant</t>
  </si>
  <si>
    <t>Select Battery</t>
  </si>
  <si>
    <t>Generic Pyro Process</t>
    <phoneticPr fontId="153" type="noConversion"/>
  </si>
  <si>
    <t>NMC(622)</t>
    <phoneticPr fontId="153" type="noConversion"/>
  </si>
  <si>
    <t>Recycle</t>
    <phoneticPr fontId="153" type="noConversion"/>
  </si>
  <si>
    <t>Total capital investment ($)</t>
    <phoneticPr fontId="153" type="noConversion"/>
  </si>
  <si>
    <t>Cathode materials</t>
    <phoneticPr fontId="153" type="noConversion"/>
  </si>
  <si>
    <t>User-defined</t>
    <phoneticPr fontId="153" type="noConversion"/>
  </si>
  <si>
    <t>For batteries and materials</t>
    <phoneticPr fontId="153" type="noConversion"/>
  </si>
  <si>
    <t>Select Equipment</t>
    <phoneticPr fontId="153" type="noConversion"/>
  </si>
  <si>
    <t xml:space="preserve">     Total Energy</t>
    <phoneticPr fontId="153" type="noConversion"/>
  </si>
  <si>
    <t>设备钱</t>
    <phoneticPr fontId="153" type="noConversion"/>
  </si>
  <si>
    <t xml:space="preserve">     Utilities</t>
    <phoneticPr fontId="153" type="noConversion"/>
  </si>
  <si>
    <t>Stream 1</t>
    <phoneticPr fontId="145" type="noConversion"/>
  </si>
  <si>
    <t>改了这个的价格</t>
    <phoneticPr fontId="153" type="noConversion"/>
  </si>
  <si>
    <t>也改了电的价格 主要这俩个太贵 别人肯定也改了</t>
    <phoneticPr fontId="153" type="noConversion"/>
  </si>
  <si>
    <t>Environmental impact</t>
    <phoneticPr fontId="145" type="noConversion"/>
  </si>
  <si>
    <t>Manganese Oxide</t>
    <phoneticPr fontId="153" type="noConversion"/>
  </si>
  <si>
    <t>Manganese Sulfate</t>
    <phoneticPr fontId="153" type="noConversion"/>
  </si>
  <si>
    <t>1.5 Material requirements (kg/kg feed)</t>
    <phoneticPr fontId="153" type="noConversion"/>
  </si>
  <si>
    <t>Link to individual equipment</t>
    <phoneticPr fontId="153" type="noConversion"/>
  </si>
  <si>
    <t xml:space="preserve">     GHGs</t>
    <phoneticPr fontId="153" type="noConversion"/>
  </si>
  <si>
    <t>diesel</t>
    <phoneticPr fontId="153" type="noConversion"/>
  </si>
  <si>
    <t>Manganese Sulfate</t>
    <phoneticPr fontId="145" type="noConversion"/>
  </si>
  <si>
    <t>Chemical prices are for anhydrous form/100% concentration.</t>
    <phoneticPr fontId="145" type="noConversion"/>
  </si>
  <si>
    <t>Burn for energy</t>
    <phoneticPr fontId="153" type="noConversion"/>
  </si>
  <si>
    <t>Ammonium Hydroxide</t>
    <phoneticPr fontId="153" type="noConversion"/>
  </si>
  <si>
    <t>Hydrochloric Acid</t>
    <phoneticPr fontId="153" type="noConversion"/>
  </si>
  <si>
    <t>Carbon Dioxide</t>
    <phoneticPr fontId="15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</si>
</sst>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3">
    <numFmt numFmtId="176" formatCode="&quot;$&quot;#,##0_);\(&quot;$&quot;#,##0\)"/>
    <numFmt numFmtId="177" formatCode="&quot;$&quot;#,##0_);[Red]\(&quot;$&quot;#,##0\)"/>
    <numFmt numFmtId="178" formatCode="&quot;$&quot;#,##0.00_);\(&quot;$&quot;#,##0.00\)"/>
    <numFmt numFmtId="179" formatCode="_(&quot;$&quot;* #,##0.00_);_(&quot;$&quot;* \(#,##0.00\);_(&quot;$&quot;* &quot;-&quot;??_);_(@_)"/>
    <numFmt numFmtId="180" formatCode="_(* #,##0.00_);_(* \(#,##0.00\);_(* &quot;-&quot;??_);_(@_)"/>
    <numFmt numFmtId="181" formatCode="0.0%"/>
    <numFmt numFmtId="182" formatCode="0.0"/>
    <numFmt numFmtId="183" formatCode="_(* #,##0_);_(* \(#,##0\);_(* &quot;-&quot;??_);_(@_)"/>
    <numFmt numFmtId="184" formatCode="0.000"/>
    <numFmt numFmtId="185" formatCode="#,##0.000"/>
    <numFmt numFmtId="186" formatCode="_(* #,##0.000_);_(* \(#,##0.000\);_(* &quot;-&quot;??_);_(@_)"/>
    <numFmt numFmtId="187" formatCode="0;;;@"/>
    <numFmt numFmtId="188" formatCode="0.00;;;@"/>
    <numFmt numFmtId="189" formatCode="0.000;;;@"/>
    <numFmt numFmtId="190" formatCode="0.00000"/>
    <numFmt numFmtId="191" formatCode="&quot;$&quot;#,##0"/>
    <numFmt numFmtId="192" formatCode="#,##0.0"/>
    <numFmt numFmtId="193" formatCode="0.0000"/>
    <numFmt numFmtId="194" formatCode="0.000000"/>
    <numFmt numFmtId="195" formatCode="&quot;$&quot;#,##0.0000"/>
    <numFmt numFmtId="196" formatCode="&quot;$&quot;#,##0.00"/>
    <numFmt numFmtId="197" formatCode="&quot;$&quot;#,##0;[Red]&quot;$&quot;#,##0"/>
    <numFmt numFmtId="198" formatCode="&quot;$&quot;#,##0.00;[Red]&quot;$&quot;#,##0.00"/>
    <numFmt numFmtId="199" formatCode="_(&quot;$&quot;* #,##0_);_(&quot;$&quot;* \(#,##0\);_(&quot;$&quot;* &quot;-&quot;??_);_(@_)"/>
    <numFmt numFmtId="200" formatCode="_(&quot;$&quot;* #,##0.000_);_(&quot;$&quot;* \(#,##0.000\);_(&quot;$&quot;* &quot;-&quot;??_);_(@_)"/>
    <numFmt numFmtId="201" formatCode="_(&quot;$&quot;* #,##0.0000_);_(&quot;$&quot;* \(#,##0.0000\);_(&quot;$&quot;* &quot;-&quot;??_);_(@_)"/>
    <numFmt numFmtId="202" formatCode="0.0;;;@"/>
    <numFmt numFmtId="203" formatCode="&quot;$&quot;#,##0.000"/>
    <numFmt numFmtId="204" formatCode="_(* #,##0.0_);_(* \(#,##0.0\);_(* &quot;-&quot;??_);_(@_)"/>
    <numFmt numFmtId="205" formatCode="0.0%;;;@"/>
    <numFmt numFmtId="206" formatCode="_(* #,##0.000_);_(* \(#,##0.000\);_(* &quot;-&quot;???_);_(@_)"/>
    <numFmt numFmtId="207" formatCode="_(* #,##0.0000_);_(* \(#,##0.0000\);_(* &quot;-&quot;??_);_(@_)"/>
    <numFmt numFmtId="208" formatCode="_(&quot;$&quot;* #,##0.00000_);_(&quot;$&quot;* \(#,##0.00000\);_(&quot;$&quot;* &quot;-&quot;??_);_(@_)"/>
  </numFmts>
  <fonts count="155">
    <font>
      <sz val="11"/>
      <color theme="1"/>
      <name val="DengXian"/>
      <family val="2"/>
      <scheme val="minor"/>
    </font>
    <font>
      <sz val="12"/>
      <color theme="1"/>
      <name val="DengXian"/>
      <family val="2"/>
      <scheme val="minor"/>
    </font>
    <font>
      <sz val="12"/>
      <color theme="1"/>
      <name val="DengXian"/>
      <family val="2"/>
      <scheme val="minor"/>
    </font>
    <font>
      <sz val="12"/>
      <color theme="1"/>
      <name val="DengXian"/>
      <family val="2"/>
      <scheme val="minor"/>
    </font>
    <font>
      <sz val="16"/>
      <color theme="1"/>
      <name val="DengXian"/>
      <family val="2"/>
      <scheme val="minor"/>
    </font>
    <font>
      <sz val="16"/>
      <color theme="1"/>
      <name val="DengXian"/>
      <family val="2"/>
      <scheme val="minor"/>
    </font>
    <font>
      <sz val="16"/>
      <color theme="1"/>
      <name val="DengXian"/>
      <family val="2"/>
      <scheme val="minor"/>
    </font>
    <font>
      <b/>
      <sz val="11"/>
      <color theme="1"/>
      <name val="DengXian"/>
      <family val="2"/>
      <scheme val="minor"/>
    </font>
    <font>
      <sz val="10"/>
      <name val="Arial"/>
      <family val="2"/>
    </font>
    <font>
      <b/>
      <sz val="15"/>
      <color indexed="62"/>
      <name val="Calibri"/>
      <family val="2"/>
    </font>
    <font>
      <b/>
      <sz val="13"/>
      <color indexed="62"/>
      <name val="Calibri"/>
      <family val="2"/>
    </font>
    <font>
      <b/>
      <sz val="11"/>
      <color indexed="62"/>
      <name val="Calibri"/>
      <family val="2"/>
    </font>
    <font>
      <sz val="11"/>
      <color indexed="10"/>
      <name val="Calibri"/>
      <family val="2"/>
    </font>
    <font>
      <b/>
      <sz val="18"/>
      <color indexed="62"/>
      <name val="Cambria"/>
      <family val="1"/>
    </font>
    <font>
      <sz val="11"/>
      <color indexed="8"/>
      <name val="Calibri"/>
      <family val="2"/>
    </font>
    <font>
      <sz val="11"/>
      <color indexed="9"/>
      <name val="Calibri"/>
      <family val="2"/>
    </font>
    <font>
      <sz val="11"/>
      <color indexed="20"/>
      <name val="Calibri"/>
      <family val="2"/>
    </font>
    <font>
      <b/>
      <sz val="11"/>
      <color indexed="10"/>
      <name val="Calibri"/>
      <family val="2"/>
    </font>
    <font>
      <b/>
      <sz val="11"/>
      <color indexed="9"/>
      <name val="Calibri"/>
      <family val="2"/>
    </font>
    <font>
      <i/>
      <sz val="11"/>
      <color indexed="23"/>
      <name val="Calibri"/>
      <family val="2"/>
    </font>
    <font>
      <sz val="11"/>
      <color indexed="17"/>
      <name val="Calibri"/>
      <family val="2"/>
    </font>
    <font>
      <sz val="11"/>
      <color indexed="62"/>
      <name val="Calibri"/>
      <family val="2"/>
    </font>
    <font>
      <sz val="11"/>
      <color indexed="19"/>
      <name val="Calibri"/>
      <family val="2"/>
    </font>
    <font>
      <b/>
      <sz val="11"/>
      <color indexed="63"/>
      <name val="Calibri"/>
      <family val="2"/>
    </font>
    <font>
      <b/>
      <sz val="11"/>
      <color indexed="8"/>
      <name val="Calibri"/>
      <family val="2"/>
    </font>
    <font>
      <u/>
      <sz val="11"/>
      <color theme="10"/>
      <name val="DengXian"/>
      <family val="2"/>
      <scheme val="minor"/>
    </font>
    <font>
      <b/>
      <sz val="14"/>
      <color theme="1"/>
      <name val="DengXian"/>
      <family val="2"/>
      <scheme val="minor"/>
    </font>
    <font>
      <sz val="11"/>
      <color theme="1"/>
      <name val="DengXian"/>
      <family val="2"/>
      <scheme val="minor"/>
    </font>
    <font>
      <sz val="16"/>
      <color rgb="FF006100"/>
      <name val="DengXian"/>
      <family val="2"/>
      <scheme val="minor"/>
    </font>
    <font>
      <sz val="16"/>
      <color rgb="FF9C6500"/>
      <name val="DengXian"/>
      <family val="2"/>
      <scheme val="minor"/>
    </font>
    <font>
      <sz val="16"/>
      <color rgb="FF3F3F76"/>
      <name val="DengXian"/>
      <family val="2"/>
      <scheme val="minor"/>
    </font>
    <font>
      <b/>
      <sz val="16"/>
      <color theme="1"/>
      <name val="DengXian"/>
      <family val="2"/>
      <scheme val="minor"/>
    </font>
    <font>
      <sz val="11"/>
      <color theme="1"/>
      <name val="Calibri"/>
      <family val="2"/>
    </font>
    <font>
      <sz val="16"/>
      <name val="DengXian"/>
      <family val="2"/>
      <scheme val="minor"/>
    </font>
    <font>
      <vertAlign val="subscript"/>
      <sz val="16"/>
      <color theme="1"/>
      <name val="DengXian"/>
      <family val="2"/>
      <scheme val="minor"/>
    </font>
    <font>
      <vertAlign val="superscript"/>
      <sz val="16"/>
      <color theme="1"/>
      <name val="DengXian"/>
      <family val="2"/>
      <scheme val="minor"/>
    </font>
    <font>
      <b/>
      <vertAlign val="superscript"/>
      <sz val="16"/>
      <color theme="1"/>
      <name val="DengXian"/>
      <family val="2"/>
      <scheme val="minor"/>
    </font>
    <font>
      <b/>
      <sz val="9"/>
      <color indexed="81"/>
      <name val="Tahoma"/>
      <family val="2"/>
    </font>
    <font>
      <sz val="9"/>
      <color indexed="81"/>
      <name val="Tahoma"/>
      <family val="2"/>
    </font>
    <font>
      <sz val="11"/>
      <name val="DengXian"/>
      <family val="2"/>
      <scheme val="minor"/>
    </font>
    <font>
      <vertAlign val="subscript"/>
      <sz val="11"/>
      <color theme="1"/>
      <name val="DengXian"/>
      <family val="2"/>
      <scheme val="minor"/>
    </font>
    <font>
      <sz val="11"/>
      <color rgb="FF006100"/>
      <name val="DengXian"/>
      <family val="2"/>
      <scheme val="minor"/>
    </font>
    <font>
      <sz val="11"/>
      <color rgb="FF9C6500"/>
      <name val="DengXian"/>
      <family val="2"/>
      <scheme val="minor"/>
    </font>
    <font>
      <vertAlign val="superscript"/>
      <sz val="11"/>
      <color rgb="FF006100"/>
      <name val="DengXian"/>
      <family val="2"/>
      <scheme val="minor"/>
    </font>
    <font>
      <b/>
      <sz val="15"/>
      <color theme="3"/>
      <name val="DengXian"/>
      <family val="2"/>
      <scheme val="minor"/>
    </font>
    <font>
      <sz val="11"/>
      <color rgb="FF3F3F76"/>
      <name val="DengXian"/>
      <family val="2"/>
      <scheme val="minor"/>
    </font>
    <font>
      <b/>
      <sz val="16"/>
      <color rgb="FF00B050"/>
      <name val="DengXian"/>
      <family val="2"/>
      <scheme val="minor"/>
    </font>
    <font>
      <b/>
      <sz val="16"/>
      <color rgb="FFFFC000"/>
      <name val="DengXian"/>
      <family val="2"/>
      <scheme val="minor"/>
    </font>
    <font>
      <vertAlign val="superscript"/>
      <sz val="11"/>
      <color theme="1"/>
      <name val="DengXian"/>
      <family val="2"/>
      <scheme val="minor"/>
    </font>
    <font>
      <b/>
      <sz val="16"/>
      <color rgb="FFFA7D00"/>
      <name val="DengXian"/>
      <family val="2"/>
      <scheme val="minor"/>
    </font>
    <font>
      <b/>
      <sz val="11"/>
      <color rgb="FFFA7D00"/>
      <name val="DengXian"/>
      <family val="2"/>
      <scheme val="minor"/>
    </font>
    <font>
      <b/>
      <sz val="12"/>
      <color theme="1"/>
      <name val="DengXian"/>
      <family val="2"/>
      <scheme val="minor"/>
    </font>
    <font>
      <b/>
      <sz val="11"/>
      <color rgb="FFFF0000"/>
      <name val="DengXian"/>
      <family val="2"/>
      <scheme val="minor"/>
    </font>
    <font>
      <sz val="11"/>
      <color rgb="FFFF0000"/>
      <name val="DengXian"/>
      <family val="2"/>
      <scheme val="minor"/>
    </font>
    <font>
      <b/>
      <i/>
      <sz val="11"/>
      <name val="Calibri"/>
      <family val="2"/>
    </font>
    <font>
      <b/>
      <i/>
      <sz val="11"/>
      <color theme="1" tint="0.499984740745262"/>
      <name val="Calibri"/>
      <family val="2"/>
    </font>
    <font>
      <sz val="11"/>
      <color theme="0"/>
      <name val="DengXian"/>
      <family val="2"/>
      <scheme val="minor"/>
    </font>
    <font>
      <sz val="11"/>
      <color rgb="FF0070C0"/>
      <name val="DengXian"/>
      <family val="2"/>
      <scheme val="minor"/>
    </font>
    <font>
      <sz val="11"/>
      <color rgb="FF006600"/>
      <name val="DengXian"/>
      <family val="2"/>
      <scheme val="minor"/>
    </font>
    <font>
      <i/>
      <sz val="11"/>
      <color theme="1"/>
      <name val="DengXian"/>
      <family val="2"/>
      <scheme val="minor"/>
    </font>
    <font>
      <b/>
      <u/>
      <sz val="11"/>
      <color theme="1"/>
      <name val="DengXian"/>
      <family val="2"/>
      <scheme val="minor"/>
    </font>
    <font>
      <sz val="11"/>
      <color rgb="FF0000FF"/>
      <name val="DengXian"/>
      <family val="2"/>
      <scheme val="minor"/>
    </font>
    <font>
      <sz val="11"/>
      <color rgb="FF0000CC"/>
      <name val="DengXian"/>
      <family val="2"/>
      <scheme val="minor"/>
    </font>
    <font>
      <sz val="11"/>
      <color rgb="FF002060"/>
      <name val="DengXian"/>
      <family val="2"/>
      <scheme val="minor"/>
    </font>
    <font>
      <b/>
      <sz val="12"/>
      <color rgb="FF0070C0"/>
      <name val="DengXian"/>
      <family val="2"/>
      <scheme val="minor"/>
    </font>
    <font>
      <b/>
      <sz val="11"/>
      <color rgb="FF006600"/>
      <name val="DengXian"/>
      <family val="2"/>
      <scheme val="minor"/>
    </font>
    <font>
      <sz val="10"/>
      <color rgb="FFFF0000"/>
      <name val="Arial"/>
      <family val="2"/>
    </font>
    <font>
      <sz val="10"/>
      <color theme="2" tint="-0.499984740745262"/>
      <name val="Arial"/>
      <family val="2"/>
    </font>
    <font>
      <sz val="10"/>
      <color theme="0" tint="-0.499984740745262"/>
      <name val="Arial"/>
      <family val="2"/>
    </font>
    <font>
      <b/>
      <sz val="10"/>
      <color rgb="FFFF0000"/>
      <name val="Arial"/>
      <family val="2"/>
    </font>
    <font>
      <b/>
      <i/>
      <sz val="11"/>
      <color theme="1"/>
      <name val="DengXian"/>
      <family val="2"/>
      <scheme val="minor"/>
    </font>
    <font>
      <b/>
      <sz val="11"/>
      <color rgb="FF00B0F0"/>
      <name val="DengXian"/>
      <family val="2"/>
      <scheme val="minor"/>
    </font>
    <font>
      <sz val="10"/>
      <color theme="1"/>
      <name val="DengXian"/>
      <family val="2"/>
      <scheme val="minor"/>
    </font>
    <font>
      <b/>
      <sz val="11"/>
      <color rgb="FF00B050"/>
      <name val="DengXian"/>
      <family val="2"/>
      <scheme val="minor"/>
    </font>
    <font>
      <u/>
      <sz val="11"/>
      <color rgb="FF0000FF"/>
      <name val="DengXian"/>
      <family val="2"/>
      <scheme val="minor"/>
    </font>
    <font>
      <b/>
      <sz val="15"/>
      <color theme="0"/>
      <name val="DengXian"/>
      <family val="2"/>
      <scheme val="minor"/>
    </font>
    <font>
      <sz val="11"/>
      <color theme="1" tint="0.499984740745262"/>
      <name val="DengXian"/>
      <family val="2"/>
      <scheme val="minor"/>
    </font>
    <font>
      <sz val="12"/>
      <color theme="1"/>
      <name val="DengXian"/>
      <family val="2"/>
      <scheme val="minor"/>
    </font>
    <font>
      <b/>
      <sz val="11"/>
      <color theme="4"/>
      <name val="DengXian"/>
      <family val="2"/>
      <scheme val="minor"/>
    </font>
    <font>
      <sz val="11"/>
      <color theme="1"/>
      <name val="Symbol"/>
      <family val="1"/>
      <charset val="2"/>
    </font>
    <font>
      <sz val="14"/>
      <color theme="1"/>
      <name val="DengXian"/>
      <family val="2"/>
      <scheme val="minor"/>
    </font>
    <font>
      <i/>
      <vertAlign val="subscript"/>
      <sz val="14"/>
      <color theme="1"/>
      <name val="DengXian"/>
      <family val="2"/>
      <scheme val="minor"/>
    </font>
    <font>
      <vertAlign val="subscript"/>
      <sz val="14"/>
      <color theme="1"/>
      <name val="DengXian"/>
      <family val="2"/>
      <scheme val="minor"/>
    </font>
    <font>
      <b/>
      <u/>
      <vertAlign val="subscript"/>
      <sz val="11"/>
      <color theme="1"/>
      <name val="DengXian"/>
      <family val="2"/>
      <scheme val="minor"/>
    </font>
    <font>
      <sz val="11"/>
      <color rgb="FF0070C0"/>
      <name val="Symbol"/>
      <family val="1"/>
      <charset val="2"/>
    </font>
    <font>
      <vertAlign val="superscript"/>
      <sz val="11"/>
      <name val="DengXian"/>
      <family val="2"/>
      <scheme val="minor"/>
    </font>
    <font>
      <vertAlign val="subscript"/>
      <sz val="11"/>
      <color rgb="FF0070C0"/>
      <name val="DengXian"/>
      <family val="2"/>
      <scheme val="minor"/>
    </font>
    <font>
      <sz val="12"/>
      <color rgb="FF0070C0"/>
      <name val="DengXian"/>
      <family val="2"/>
      <scheme val="minor"/>
    </font>
    <font>
      <vertAlign val="subscript"/>
      <sz val="12"/>
      <color rgb="FF0070C0"/>
      <name val="DengXian"/>
      <family val="2"/>
      <scheme val="minor"/>
    </font>
    <font>
      <i/>
      <sz val="12"/>
      <color rgb="FF0070C0"/>
      <name val="DengXian"/>
      <family val="2"/>
      <scheme val="minor"/>
    </font>
    <font>
      <i/>
      <vertAlign val="subscript"/>
      <sz val="12"/>
      <color rgb="FF0070C0"/>
      <name val="DengXian"/>
      <family val="2"/>
      <scheme val="minor"/>
    </font>
    <font>
      <b/>
      <u/>
      <sz val="11"/>
      <name val="DengXian"/>
      <family val="2"/>
      <scheme val="minor"/>
    </font>
    <font>
      <b/>
      <sz val="11"/>
      <color rgb="FF0070C0"/>
      <name val="DengXian"/>
      <family val="2"/>
      <scheme val="minor"/>
    </font>
    <font>
      <b/>
      <sz val="11"/>
      <color rgb="FFFF0000"/>
      <name val="Calibri"/>
      <family val="2"/>
    </font>
    <font>
      <sz val="11"/>
      <color rgb="FFFF0000"/>
      <name val="Calibri"/>
      <family val="2"/>
    </font>
    <font>
      <b/>
      <sz val="11"/>
      <color theme="8" tint="0.39997558519241921"/>
      <name val="DengXian"/>
      <family val="2"/>
      <scheme val="minor"/>
    </font>
    <font>
      <i/>
      <sz val="14"/>
      <color theme="1"/>
      <name val="DengXian"/>
      <family val="2"/>
      <scheme val="minor"/>
    </font>
    <font>
      <b/>
      <sz val="9"/>
      <color rgb="FF000000"/>
      <name val="Tahoma"/>
      <family val="2"/>
    </font>
    <font>
      <sz val="9"/>
      <color rgb="FF000000"/>
      <name val="Tahoma"/>
      <family val="2"/>
    </font>
    <font>
      <sz val="11"/>
      <color rgb="FF00B050"/>
      <name val="Wingdings"/>
      <charset val="2"/>
    </font>
    <font>
      <sz val="11"/>
      <color theme="9"/>
      <name val="Wingdings"/>
      <charset val="2"/>
    </font>
    <font>
      <b/>
      <sz val="12"/>
      <color theme="0"/>
      <name val="DengXian"/>
      <family val="2"/>
      <scheme val="minor"/>
    </font>
    <font>
      <sz val="10"/>
      <color rgb="FF000000"/>
      <name val="Tahoma"/>
      <family val="2"/>
    </font>
    <font>
      <b/>
      <sz val="10"/>
      <color rgb="FF000000"/>
      <name val="Tahoma"/>
      <family val="2"/>
    </font>
    <font>
      <sz val="16"/>
      <color rgb="FFFA7D00"/>
      <name val="DengXian"/>
      <family val="2"/>
      <scheme val="minor"/>
    </font>
    <font>
      <sz val="11"/>
      <color rgb="FFFA7D00"/>
      <name val="DengXian"/>
      <family val="2"/>
      <scheme val="minor"/>
    </font>
    <font>
      <b/>
      <sz val="12"/>
      <color theme="9"/>
      <name val="DengXian"/>
      <family val="2"/>
      <scheme val="minor"/>
    </font>
    <font>
      <b/>
      <sz val="12"/>
      <color rgb="FFFA7D00"/>
      <name val="DengXian"/>
      <family val="2"/>
      <scheme val="minor"/>
    </font>
    <font>
      <sz val="12"/>
      <name val="DengXian"/>
      <family val="2"/>
      <scheme val="minor"/>
    </font>
    <font>
      <b/>
      <sz val="12"/>
      <color rgb="FF00B050"/>
      <name val="DengXian"/>
      <family val="2"/>
      <scheme val="minor"/>
    </font>
    <font>
      <b/>
      <u/>
      <sz val="12"/>
      <color theme="10"/>
      <name val="DengXian"/>
      <family val="2"/>
      <scheme val="minor"/>
    </font>
    <font>
      <b/>
      <sz val="11"/>
      <color theme="4" tint="-0.499984740745262"/>
      <name val="DengXian"/>
      <family val="2"/>
      <scheme val="minor"/>
    </font>
    <font>
      <b/>
      <u val="double"/>
      <sz val="14"/>
      <color theme="1"/>
      <name val="DengXian"/>
      <family val="2"/>
      <scheme val="minor"/>
    </font>
    <font>
      <u val="double"/>
      <sz val="11"/>
      <color theme="1"/>
      <name val="DengXian"/>
      <family val="2"/>
      <scheme val="minor"/>
    </font>
    <font>
      <b/>
      <sz val="14"/>
      <color theme="9"/>
      <name val="DengXian"/>
      <family val="2"/>
      <scheme val="minor"/>
    </font>
    <font>
      <b/>
      <sz val="12"/>
      <color rgb="FF000000"/>
      <name val="Arial"/>
      <family val="2"/>
    </font>
    <font>
      <b/>
      <sz val="12"/>
      <color theme="1"/>
      <name val="Calibri (Body)_x0000_"/>
    </font>
    <font>
      <b/>
      <sz val="12"/>
      <color rgb="FFFA7D00"/>
      <name val="Calibri (Body)_x0000_"/>
    </font>
    <font>
      <b/>
      <sz val="12"/>
      <color rgb="FFFF0000"/>
      <name val="Calibri (Body)_x0000_"/>
    </font>
    <font>
      <b/>
      <sz val="12"/>
      <color rgb="FF3F3F76"/>
      <name val="Calibri (Body)_x0000_"/>
    </font>
    <font>
      <b/>
      <sz val="12"/>
      <color indexed="8"/>
      <name val="Calibri (Body)_x0000_"/>
    </font>
    <font>
      <b/>
      <u/>
      <sz val="12"/>
      <color theme="10"/>
      <name val="Calibri (Body)_x0000_"/>
    </font>
    <font>
      <b/>
      <strike/>
      <u/>
      <sz val="11"/>
      <color rgb="FFFF0000"/>
      <name val="DengXian"/>
      <family val="2"/>
      <scheme val="minor"/>
    </font>
    <font>
      <b/>
      <strike/>
      <u/>
      <vertAlign val="subscript"/>
      <sz val="11"/>
      <color rgb="FFFF0000"/>
      <name val="DengXian"/>
      <family val="2"/>
      <scheme val="minor"/>
    </font>
    <font>
      <sz val="11"/>
      <color theme="0" tint="-0.14999847407452621"/>
      <name val="DengXian"/>
      <family val="2"/>
      <scheme val="minor"/>
    </font>
    <font>
      <vertAlign val="subscript"/>
      <sz val="11"/>
      <color theme="0" tint="-0.14999847407452621"/>
      <name val="DengXian"/>
      <family val="2"/>
      <scheme val="minor"/>
    </font>
    <font>
      <vertAlign val="superscript"/>
      <sz val="11"/>
      <color theme="0" tint="-0.14999847407452621"/>
      <name val="DengXian"/>
      <family val="2"/>
      <scheme val="minor"/>
    </font>
    <font>
      <b/>
      <strike/>
      <u/>
      <sz val="11"/>
      <color theme="0" tint="-0.14999847407452621"/>
      <name val="DengXian"/>
      <family val="2"/>
      <scheme val="minor"/>
    </font>
    <font>
      <b/>
      <u/>
      <sz val="11"/>
      <color theme="0" tint="-0.14999847407452621"/>
      <name val="DengXian"/>
      <family val="2"/>
      <scheme val="minor"/>
    </font>
    <font>
      <b/>
      <sz val="11"/>
      <color theme="0" tint="-0.14999847407452621"/>
      <name val="DengXian"/>
      <family val="2"/>
      <scheme val="minor"/>
    </font>
    <font>
      <sz val="11"/>
      <color theme="0" tint="-0.14999847407452621"/>
      <name val="Symbol"/>
      <family val="1"/>
      <charset val="2"/>
    </font>
    <font>
      <sz val="12"/>
      <color theme="0" tint="-0.14999847407452621"/>
      <name val="DengXian"/>
      <family val="2"/>
      <scheme val="minor"/>
    </font>
    <font>
      <vertAlign val="subscript"/>
      <sz val="12"/>
      <color theme="0" tint="-0.14999847407452621"/>
      <name val="DengXian"/>
      <family val="2"/>
      <scheme val="minor"/>
    </font>
    <font>
      <sz val="11"/>
      <color rgb="FF00B0F0"/>
      <name val="DengXian"/>
      <family val="2"/>
      <scheme val="minor"/>
    </font>
    <font>
      <b/>
      <sz val="12"/>
      <name val="DengXian"/>
      <family val="2"/>
      <scheme val="minor"/>
    </font>
    <font>
      <b/>
      <sz val="9"/>
      <color rgb="FF000000"/>
      <name val="Tahoma"/>
      <family val="34"/>
    </font>
    <font>
      <sz val="9"/>
      <color rgb="FF000000"/>
      <name val="Tahoma"/>
      <family val="34"/>
    </font>
    <font>
      <sz val="10"/>
      <color rgb="FF000000"/>
      <name val="Calibri"/>
      <family val="2"/>
    </font>
    <font>
      <b/>
      <sz val="11"/>
      <color theme="9"/>
      <name val="DengXian"/>
      <family val="2"/>
      <scheme val="minor"/>
    </font>
    <font>
      <b/>
      <sz val="12"/>
      <color rgb="FFFF0000"/>
      <name val="DengXian"/>
      <family val="2"/>
      <scheme val="minor"/>
    </font>
    <font>
      <sz val="10"/>
      <color rgb="FF000000"/>
      <name val="Tahoma"/>
      <family val="34"/>
    </font>
    <font>
      <sz val="11"/>
      <color theme="1" tint="4.9989318521683403E-2"/>
      <name val="DengXian"/>
      <family val="2"/>
      <scheme val="minor"/>
    </font>
    <font>
      <b/>
      <sz val="11"/>
      <color theme="3"/>
      <name val="DengXian"/>
      <family val="2"/>
      <scheme val="minor"/>
    </font>
    <font>
      <sz val="11"/>
      <color theme="9"/>
      <name val="DengXian"/>
      <family val="2"/>
      <scheme val="minor"/>
    </font>
    <font>
      <sz val="11"/>
      <color rgb="FF00B050"/>
      <name val="DengXian"/>
      <family val="2"/>
      <scheme val="minor"/>
    </font>
    <font>
      <sz val="8"/>
      <name val="DengXian"/>
      <family val="2"/>
      <scheme val="minor"/>
    </font>
    <font>
      <sz val="11"/>
      <color theme="10"/>
      <name val="DengXian"/>
      <family val="2"/>
      <scheme val="minor"/>
    </font>
    <font>
      <b/>
      <i/>
      <sz val="11"/>
      <color theme="0" tint="-0.499984740745262"/>
      <name val="DengXian"/>
      <family val="2"/>
      <scheme val="minor"/>
    </font>
    <font>
      <b/>
      <sz val="11"/>
      <color rgb="FFFFC000"/>
      <name val="DengXian"/>
      <family val="2"/>
      <scheme val="minor"/>
    </font>
    <font>
      <sz val="11"/>
      <color theme="1" tint="0.34998626667073579"/>
      <name val="DengXian"/>
      <family val="2"/>
      <scheme val="minor"/>
    </font>
    <font>
      <b/>
      <sz val="10"/>
      <color theme="5"/>
      <name val="Arial"/>
      <family val="2"/>
    </font>
    <font>
      <b/>
      <sz val="11"/>
      <color theme="5"/>
      <name val="DengXian"/>
      <family val="2"/>
      <scheme val="minor"/>
    </font>
    <font>
      <sz val="11"/>
      <color theme="9" tint="-0.249977111117893"/>
      <name val="DengXian"/>
      <family val="2"/>
      <scheme val="minor"/>
    </font>
    <font>
      <sz val="9"/>
      <name val="DengXian"/>
      <family val="3"/>
      <charset val="134"/>
      <scheme val="minor"/>
    </font>
    <font>
      <sz val="11"/>
      <color rgb="FFFF0000"/>
      <name val="DengXian"/>
      <charset val="134"/>
      <scheme val="minor"/>
    </font>
  </fonts>
  <fills count="54">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indexed="44"/>
      </patternFill>
    </fill>
    <fill>
      <patternFill patternType="solid">
        <fgColor indexed="29"/>
      </patternFill>
    </fill>
    <fill>
      <patternFill patternType="solid">
        <fgColor indexed="26"/>
      </patternFill>
    </fill>
    <fill>
      <patternFill patternType="solid">
        <fgColor indexed="47"/>
      </patternFill>
    </fill>
    <fill>
      <patternFill patternType="solid">
        <fgColor indexed="27"/>
      </patternFill>
    </fill>
    <fill>
      <patternFill patternType="solid">
        <fgColor indexed="43"/>
      </patternFill>
    </fill>
    <fill>
      <patternFill patternType="solid">
        <fgColor indexed="45"/>
      </patternFill>
    </fill>
    <fill>
      <patternFill patternType="solid">
        <fgColor indexed="53"/>
      </patternFill>
    </fill>
    <fill>
      <patternFill patternType="solid">
        <fgColor indexed="51"/>
      </patternFill>
    </fill>
    <fill>
      <patternFill patternType="solid">
        <fgColor indexed="56"/>
      </patternFill>
    </fill>
    <fill>
      <patternFill patternType="solid">
        <fgColor indexed="54"/>
      </patternFill>
    </fill>
    <fill>
      <patternFill patternType="solid">
        <fgColor indexed="49"/>
      </patternFill>
    </fill>
    <fill>
      <patternFill patternType="solid">
        <fgColor indexed="10"/>
      </patternFill>
    </fill>
    <fill>
      <patternFill patternType="solid">
        <fgColor indexed="46"/>
      </patternFill>
    </fill>
    <fill>
      <patternFill patternType="solid">
        <fgColor indexed="9"/>
      </patternFill>
    </fill>
    <fill>
      <patternFill patternType="solid">
        <fgColor indexed="55"/>
      </patternFill>
    </fill>
    <fill>
      <patternFill patternType="solid">
        <fgColor rgb="FFC6EFCE"/>
      </patternFill>
    </fill>
    <fill>
      <patternFill patternType="solid">
        <fgColor rgb="FFFFEB9C"/>
      </patternFill>
    </fill>
    <fill>
      <patternFill patternType="solid">
        <fgColor rgb="FFFFCC99"/>
      </patternFill>
    </fill>
    <fill>
      <patternFill patternType="solid">
        <fgColor rgb="FFFFFFCC"/>
      </patternFill>
    </fill>
    <fill>
      <patternFill patternType="solid">
        <fgColor theme="4" tint="0.79998168889431442"/>
        <bgColor indexed="65"/>
      </patternFill>
    </fill>
    <fill>
      <patternFill patternType="solid">
        <fgColor rgb="FFF2F2F2"/>
      </patternFill>
    </fill>
    <fill>
      <patternFill patternType="solid">
        <fgColor theme="6" tint="0.79998168889431442"/>
        <bgColor indexed="65"/>
      </patternFill>
    </fill>
    <fill>
      <patternFill patternType="solid">
        <fgColor theme="9" tint="0.79998168889431442"/>
        <bgColor indexed="65"/>
      </patternFill>
    </fill>
    <fill>
      <patternFill patternType="solid">
        <fgColor theme="5" tint="0.59999389629810485"/>
        <bgColor indexed="64"/>
      </patternFill>
    </fill>
    <fill>
      <patternFill patternType="solid">
        <fgColor theme="4"/>
      </patternFill>
    </fill>
    <fill>
      <patternFill patternType="solid">
        <fgColor theme="0" tint="-0.34998626667073579"/>
        <bgColor indexed="64"/>
      </patternFill>
    </fill>
    <fill>
      <patternFill patternType="solid">
        <fgColor rgb="FFFF0000"/>
        <bgColor indexed="64"/>
      </patternFill>
    </fill>
    <fill>
      <patternFill patternType="solid">
        <fgColor theme="0" tint="-0.499984740745262"/>
        <bgColor indexed="64"/>
      </patternFill>
    </fill>
    <fill>
      <patternFill patternType="solid">
        <fgColor theme="1"/>
        <bgColor indexed="64"/>
      </patternFill>
    </fill>
    <fill>
      <patternFill patternType="solid">
        <fgColor rgb="FF00B0F0"/>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theme="9"/>
        <bgColor indexed="64"/>
      </patternFill>
    </fill>
    <fill>
      <patternFill patternType="solid">
        <fgColor theme="3" tint="0.59999389629810485"/>
        <bgColor indexed="64"/>
      </patternFill>
    </fill>
    <fill>
      <patternFill patternType="solid">
        <fgColor theme="7"/>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rgb="FF92D050"/>
        <bgColor indexed="64"/>
      </patternFill>
    </fill>
    <fill>
      <patternFill patternType="solid">
        <fgColor theme="8" tint="0.79998168889431442"/>
        <bgColor indexed="65"/>
      </patternFill>
    </fill>
    <fill>
      <patternFill patternType="solid">
        <fgColor rgb="FFA5A5A5"/>
      </patternFill>
    </fill>
    <fill>
      <patternFill patternType="solid">
        <fgColor rgb="FFDDFFFF"/>
        <bgColor indexed="64"/>
      </patternFill>
    </fill>
    <fill>
      <patternFill patternType="solid">
        <fgColor rgb="FF00B050"/>
        <bgColor indexed="64"/>
      </patternFill>
    </fill>
    <fill>
      <patternFill patternType="solid">
        <fgColor theme="9" tint="0.79998168889431442"/>
        <bgColor indexed="64"/>
      </patternFill>
    </fill>
    <fill>
      <patternFill patternType="solid">
        <fgColor theme="0"/>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2" tint="-9.9978637043366805E-2"/>
        <bgColor indexed="64"/>
      </patternFill>
    </fill>
  </fills>
  <borders count="361">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bottom style="double">
        <color indexed="1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6"/>
      </top>
      <bottom style="double">
        <color indexed="56"/>
      </bottom>
      <diagonal/>
    </border>
    <border>
      <left style="medium">
        <color auto="1"/>
      </left>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style="medium">
        <color auto="1"/>
      </right>
      <top/>
      <bottom/>
      <diagonal/>
    </border>
    <border>
      <left/>
      <right/>
      <top/>
      <bottom style="thin">
        <color auto="1"/>
      </bottom>
      <diagonal/>
    </border>
    <border>
      <left/>
      <right/>
      <top style="thin">
        <color auto="1"/>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diagonal/>
    </border>
    <border>
      <left/>
      <right style="thin">
        <color auto="1"/>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top/>
      <bottom style="thick">
        <color theme="4"/>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7F7F7F"/>
      </left>
      <right style="thin">
        <color auto="1"/>
      </right>
      <top style="thin">
        <color rgb="FF7F7F7F"/>
      </top>
      <bottom style="thin">
        <color rgb="FF7F7F7F"/>
      </bottom>
      <diagonal/>
    </border>
    <border>
      <left style="thin">
        <color rgb="FF7F7F7F"/>
      </left>
      <right style="thin">
        <color auto="1"/>
      </right>
      <top style="thin">
        <color rgb="FF7F7F7F"/>
      </top>
      <bottom style="thin">
        <color auto="1"/>
      </bottom>
      <diagonal/>
    </border>
    <border>
      <left style="thin">
        <color rgb="FF7F7F7F"/>
      </left>
      <right style="thin">
        <color auto="1"/>
      </right>
      <top/>
      <bottom style="thin">
        <color rgb="FF7F7F7F"/>
      </bottom>
      <diagonal/>
    </border>
    <border>
      <left/>
      <right style="thin">
        <color rgb="FFB2B2B2"/>
      </right>
      <top/>
      <bottom style="thin">
        <color rgb="FFB2B2B2"/>
      </bottom>
      <diagonal/>
    </border>
    <border>
      <left/>
      <right style="thin">
        <color rgb="FFB2B2B2"/>
      </right>
      <top style="thin">
        <color rgb="FFB2B2B2"/>
      </top>
      <bottom style="thin">
        <color auto="1"/>
      </bottom>
      <diagonal/>
    </border>
    <border>
      <left/>
      <right style="thin">
        <color rgb="FFB2B2B2"/>
      </right>
      <top style="thin">
        <color rgb="FFB2B2B2"/>
      </top>
      <bottom style="thin">
        <color rgb="FFB2B2B2"/>
      </bottom>
      <diagonal/>
    </border>
    <border>
      <left style="thin">
        <color rgb="FF7F7F7F"/>
      </left>
      <right style="thin">
        <color auto="1"/>
      </right>
      <top/>
      <bottom style="thin">
        <color auto="1"/>
      </bottom>
      <diagonal/>
    </border>
    <border>
      <left/>
      <right style="thin">
        <color rgb="FFB2B2B2"/>
      </right>
      <top/>
      <bottom style="thin">
        <color auto="1"/>
      </bottom>
      <diagonal/>
    </border>
    <border>
      <left style="thin">
        <color auto="1"/>
      </left>
      <right style="thin">
        <color rgb="FFB2B2B2"/>
      </right>
      <top style="thin">
        <color rgb="FFB2B2B2"/>
      </top>
      <bottom style="thin">
        <color auto="1"/>
      </bottom>
      <diagonal/>
    </border>
    <border>
      <left style="thin">
        <color rgb="FFB2B2B2"/>
      </left>
      <right style="thin">
        <color rgb="FF7F7F7F"/>
      </right>
      <top/>
      <bottom style="thin">
        <color auto="1"/>
      </bottom>
      <diagonal/>
    </border>
    <border>
      <left style="thin">
        <color rgb="FF7F7F7F"/>
      </left>
      <right style="thin">
        <color rgb="FF7F7F7F"/>
      </right>
      <top style="thin">
        <color rgb="FF7F7F7F"/>
      </top>
      <bottom/>
      <diagonal/>
    </border>
    <border>
      <left style="thin">
        <color auto="1"/>
      </left>
      <right style="thin">
        <color rgb="FF7F7F7F"/>
      </right>
      <top style="thin">
        <color auto="1"/>
      </top>
      <bottom style="thin">
        <color auto="1"/>
      </bottom>
      <diagonal/>
    </border>
    <border>
      <left style="thin">
        <color rgb="FF7F7F7F"/>
      </left>
      <right style="thin">
        <color rgb="FF7F7F7F"/>
      </right>
      <top style="thin">
        <color auto="1"/>
      </top>
      <bottom style="thin">
        <color auto="1"/>
      </bottom>
      <diagonal/>
    </border>
    <border>
      <left style="thin">
        <color rgb="FF7F7F7F"/>
      </left>
      <right style="thin">
        <color auto="1"/>
      </right>
      <top style="thin">
        <color auto="1"/>
      </top>
      <bottom style="thin">
        <color auto="1"/>
      </bottom>
      <diagonal/>
    </border>
    <border>
      <left style="thin">
        <color auto="1"/>
      </left>
      <right style="thin">
        <color rgb="FF7F7F7F"/>
      </right>
      <top style="thin">
        <color rgb="FF7F7F7F"/>
      </top>
      <bottom style="thin">
        <color auto="1"/>
      </bottom>
      <diagonal/>
    </border>
    <border>
      <left style="thin">
        <color rgb="FF7F7F7F"/>
      </left>
      <right style="thin">
        <color rgb="FF7F7F7F"/>
      </right>
      <top style="thin">
        <color rgb="FF7F7F7F"/>
      </top>
      <bottom style="thin">
        <color auto="1"/>
      </bottom>
      <diagonal/>
    </border>
    <border>
      <left style="thin">
        <color rgb="FF7F7F7F"/>
      </left>
      <right style="thin">
        <color auto="1"/>
      </right>
      <top style="thin">
        <color auto="1"/>
      </top>
      <bottom style="thin">
        <color rgb="FF7F7F7F"/>
      </bottom>
      <diagonal/>
    </border>
    <border>
      <left style="thin">
        <color rgb="FF7F7F7F"/>
      </left>
      <right style="thin">
        <color auto="1"/>
      </right>
      <top style="thin">
        <color rgb="FF7F7F7F"/>
      </top>
      <bottom/>
      <diagonal/>
    </border>
    <border>
      <left/>
      <right style="thin">
        <color auto="1"/>
      </right>
      <top style="thin">
        <color auto="1"/>
      </top>
      <bottom style="thin">
        <color rgb="FF7F7F7F"/>
      </bottom>
      <diagonal/>
    </border>
    <border>
      <left style="thin">
        <color auto="1"/>
      </left>
      <right style="thin">
        <color rgb="FF7F7F7F"/>
      </right>
      <top style="thin">
        <color auto="1"/>
      </top>
      <bottom style="thin">
        <color rgb="FF7F7F7F"/>
      </bottom>
      <diagonal/>
    </border>
    <border>
      <left style="thin">
        <color rgb="FF7F7F7F"/>
      </left>
      <right style="thin">
        <color rgb="FF7F7F7F"/>
      </right>
      <top style="thin">
        <color auto="1"/>
      </top>
      <bottom style="thin">
        <color rgb="FF7F7F7F"/>
      </bottom>
      <diagonal/>
    </border>
    <border>
      <left style="thin">
        <color auto="1"/>
      </left>
      <right style="thin">
        <color rgb="FF7F7F7F"/>
      </right>
      <top style="thin">
        <color rgb="FF7F7F7F"/>
      </top>
      <bottom style="thin">
        <color rgb="FF7F7F7F"/>
      </bottom>
      <diagonal/>
    </border>
    <border>
      <left style="thin">
        <color auto="1"/>
      </left>
      <right style="thin">
        <color auto="1"/>
      </right>
      <top style="thin">
        <color auto="1"/>
      </top>
      <bottom style="thin">
        <color rgb="FF7F7F7F"/>
      </bottom>
      <diagonal/>
    </border>
    <border>
      <left style="thin">
        <color auto="1"/>
      </left>
      <right style="thin">
        <color auto="1"/>
      </right>
      <top style="thin">
        <color rgb="FF7F7F7F"/>
      </top>
      <bottom style="thin">
        <color rgb="FF7F7F7F"/>
      </bottom>
      <diagonal/>
    </border>
    <border>
      <left style="thin">
        <color auto="1"/>
      </left>
      <right style="thin">
        <color auto="1"/>
      </right>
      <top style="thin">
        <color rgb="FF7F7F7F"/>
      </top>
      <bottom style="thin">
        <color auto="1"/>
      </bottom>
      <diagonal/>
    </border>
    <border>
      <left style="thin">
        <color auto="1"/>
      </left>
      <right style="thin">
        <color auto="1"/>
      </right>
      <top style="thin">
        <color rgb="FF7F7F7F"/>
      </top>
      <bottom/>
      <diagonal/>
    </border>
    <border>
      <left style="thin">
        <color auto="1"/>
      </left>
      <right style="thin">
        <color auto="1"/>
      </right>
      <top/>
      <bottom style="thin">
        <color rgb="FF7F7F7F"/>
      </bottom>
      <diagonal/>
    </border>
    <border>
      <left style="thin">
        <color rgb="FF7F7F7F"/>
      </left>
      <right style="thin">
        <color rgb="FF7F7F7F"/>
      </right>
      <top/>
      <bottom style="thin">
        <color rgb="FF7F7F7F"/>
      </bottom>
      <diagonal/>
    </border>
    <border>
      <left style="thin">
        <color auto="1"/>
      </left>
      <right style="thin">
        <color rgb="FF7F7F7F"/>
      </right>
      <top style="thin">
        <color rgb="FF7F7F7F"/>
      </top>
      <bottom/>
      <diagonal/>
    </border>
    <border>
      <left style="thin">
        <color auto="1"/>
      </left>
      <right style="thin">
        <color rgb="FF7F7F7F"/>
      </right>
      <top/>
      <bottom style="thin">
        <color rgb="FF7F7F7F"/>
      </bottom>
      <diagonal/>
    </border>
    <border>
      <left/>
      <right style="thin">
        <color rgb="FFB2B2B2"/>
      </right>
      <top style="thin">
        <color auto="1"/>
      </top>
      <bottom style="thin">
        <color rgb="FFB2B2B2"/>
      </bottom>
      <diagonal/>
    </border>
    <border>
      <left/>
      <right style="thin">
        <color auto="1"/>
      </right>
      <top style="thin">
        <color rgb="FF7F7F7F"/>
      </top>
      <bottom style="thin">
        <color rgb="FF7F7F7F"/>
      </bottom>
      <diagonal/>
    </border>
    <border>
      <left/>
      <right style="thin">
        <color auto="1"/>
      </right>
      <top style="thin">
        <color rgb="FF7F7F7F"/>
      </top>
      <bottom style="thin">
        <color auto="1"/>
      </bottom>
      <diagonal/>
    </border>
    <border>
      <left style="thin">
        <color theme="3"/>
      </left>
      <right style="thin">
        <color theme="3"/>
      </right>
      <top style="thin">
        <color theme="3"/>
      </top>
      <bottom style="thin">
        <color theme="3"/>
      </bottom>
      <diagonal/>
    </border>
    <border>
      <left/>
      <right style="thin">
        <color rgb="FF7F7F7F"/>
      </right>
      <top/>
      <bottom style="thin">
        <color auto="1"/>
      </bottom>
      <diagonal/>
    </border>
    <border>
      <left/>
      <right style="thin">
        <color theme="3"/>
      </right>
      <top/>
      <bottom/>
      <diagonal/>
    </border>
    <border>
      <left style="thin">
        <color auto="1"/>
      </left>
      <right style="thin">
        <color auto="1"/>
      </right>
      <top/>
      <bottom style="thin">
        <color theme="3"/>
      </bottom>
      <diagonal/>
    </border>
    <border>
      <left/>
      <right/>
      <top/>
      <bottom style="thin">
        <color rgb="FFB2B2B2"/>
      </bottom>
      <diagonal/>
    </border>
    <border>
      <left/>
      <right style="thin">
        <color auto="1"/>
      </right>
      <top/>
      <bottom style="thin">
        <color rgb="FF7F7F7F"/>
      </bottom>
      <diagonal/>
    </border>
    <border>
      <left style="thin">
        <color auto="1"/>
      </left>
      <right style="thin">
        <color auto="1"/>
      </right>
      <top style="thin">
        <color rgb="FFB2B2B2"/>
      </top>
      <bottom style="thin">
        <color rgb="FFB2B2B2"/>
      </bottom>
      <diagonal/>
    </border>
    <border>
      <left style="thin">
        <color auto="1"/>
      </left>
      <right style="thin">
        <color rgb="FFB2B2B2"/>
      </right>
      <top style="thin">
        <color rgb="FFB2B2B2"/>
      </top>
      <bottom style="thin">
        <color rgb="FFB2B2B2"/>
      </bottom>
      <diagonal/>
    </border>
    <border>
      <left style="thin">
        <color rgb="FF7F7F7F"/>
      </left>
      <right/>
      <top style="thin">
        <color auto="1"/>
      </top>
      <bottom style="thin">
        <color auto="1"/>
      </bottom>
      <diagonal/>
    </border>
    <border>
      <left/>
      <right/>
      <top style="thin">
        <color auto="1"/>
      </top>
      <bottom style="thin">
        <color rgb="FF7F7F7F"/>
      </bottom>
      <diagonal/>
    </border>
    <border>
      <left style="thin">
        <color rgb="FF7F7F7F"/>
      </left>
      <right/>
      <top style="thin">
        <color rgb="FF7F7F7F"/>
      </top>
      <bottom style="thin">
        <color rgb="FF7F7F7F"/>
      </bottom>
      <diagonal/>
    </border>
    <border>
      <left style="thin">
        <color rgb="FF7F7F7F"/>
      </left>
      <right/>
      <top style="thin">
        <color rgb="FF7F7F7F"/>
      </top>
      <bottom style="thin">
        <color auto="1"/>
      </bottom>
      <diagonal/>
    </border>
    <border>
      <left style="thin">
        <color rgb="FF7F7F7F"/>
      </left>
      <right/>
      <top style="thin">
        <color auto="1"/>
      </top>
      <bottom style="thin">
        <color rgb="FF7F7F7F"/>
      </bottom>
      <diagonal/>
    </border>
    <border>
      <left style="thin">
        <color auto="1"/>
      </left>
      <right/>
      <top style="thin">
        <color rgb="FF7F7F7F"/>
      </top>
      <bottom style="thin">
        <color auto="1"/>
      </bottom>
      <diagonal/>
    </border>
    <border>
      <left style="thin">
        <color auto="1"/>
      </left>
      <right style="thin">
        <color rgb="FF7F7F7F"/>
      </right>
      <top/>
      <bottom style="thin">
        <color auto="1"/>
      </bottom>
      <diagonal/>
    </border>
    <border>
      <left style="thin">
        <color auto="1"/>
      </left>
      <right style="thin">
        <color auto="1"/>
      </right>
      <top style="thin">
        <color auto="1"/>
      </top>
      <bottom style="thin">
        <color rgb="FF7F7F7F"/>
      </bottom>
      <diagonal/>
    </border>
    <border>
      <left style="thin">
        <color auto="1"/>
      </left>
      <right style="thin">
        <color auto="1"/>
      </right>
      <top style="thin">
        <color auto="1"/>
      </top>
      <bottom style="thin">
        <color auto="1"/>
      </bottom>
      <diagonal/>
    </border>
    <border>
      <left style="thin">
        <color rgb="FF7F7F7F"/>
      </left>
      <right style="thin">
        <color auto="1"/>
      </right>
      <top style="thin">
        <color auto="1"/>
      </top>
      <bottom style="thin">
        <color rgb="FF7F7F7F"/>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rgb="FF7F7F7F"/>
      </left>
      <right style="thin">
        <color rgb="FF7F7F7F"/>
      </right>
      <top style="thin">
        <color auto="1"/>
      </top>
      <bottom style="thin">
        <color auto="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bottom style="thin">
        <color auto="1"/>
      </bottom>
      <diagonal/>
    </border>
    <border>
      <left style="thin">
        <color auto="1"/>
      </left>
      <right style="thin">
        <color rgb="FF7F7F7F"/>
      </right>
      <top style="thin">
        <color auto="1"/>
      </top>
      <bottom style="thin">
        <color auto="1"/>
      </bottom>
      <diagonal/>
    </border>
    <border>
      <left style="thin">
        <color rgb="FF7F7F7F"/>
      </left>
      <right style="thin">
        <color rgb="FF7F7F7F"/>
      </right>
      <top style="thin">
        <color auto="1"/>
      </top>
      <bottom style="thin">
        <color auto="1"/>
      </bottom>
      <diagonal/>
    </border>
    <border>
      <left style="thin">
        <color rgb="FF7F7F7F"/>
      </left>
      <right style="thin">
        <color auto="1"/>
      </right>
      <top style="thin">
        <color auto="1"/>
      </top>
      <bottom style="thin">
        <color auto="1"/>
      </bottom>
      <diagonal/>
    </border>
    <border>
      <left style="thin">
        <color auto="1"/>
      </left>
      <right/>
      <top/>
      <bottom style="thin">
        <color auto="1"/>
      </bottom>
      <diagonal/>
    </border>
    <border>
      <left style="thin">
        <color auto="1"/>
      </left>
      <right style="thin">
        <color auto="1"/>
      </right>
      <top style="thin">
        <color auto="1"/>
      </top>
      <bottom style="thin">
        <color rgb="FF7F7F7F"/>
      </bottom>
      <diagonal/>
    </border>
    <border>
      <left/>
      <right style="thin">
        <color rgb="FFB2B2B2"/>
      </right>
      <top/>
      <bottom style="thin">
        <color theme="3"/>
      </bottom>
      <diagonal/>
    </border>
    <border>
      <left/>
      <right/>
      <top/>
      <bottom style="thin">
        <color theme="3"/>
      </bottom>
      <diagonal/>
    </border>
    <border>
      <left style="thin">
        <color rgb="FF7F7F7F"/>
      </left>
      <right style="thin">
        <color auto="1"/>
      </right>
      <top style="thin">
        <color rgb="FF7F7F7F"/>
      </top>
      <bottom style="thin">
        <color theme="3"/>
      </bottom>
      <diagonal/>
    </border>
    <border>
      <left/>
      <right style="medium">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rgb="FF7F7F7F"/>
      </left>
      <right style="thin">
        <color rgb="FF7F7F7F"/>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style="thin">
        <color rgb="FFB2B2B2"/>
      </left>
      <right style="thin">
        <color rgb="FFB2B2B2"/>
      </right>
      <top style="thin">
        <color rgb="FFB2B2B2"/>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thin">
        <color rgb="FF7F7F7F"/>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rgb="FF7F7F7F"/>
      </left>
      <right style="thin">
        <color auto="1"/>
      </right>
      <top style="thin">
        <color auto="1"/>
      </top>
      <bottom style="thin">
        <color rgb="FF7F7F7F"/>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theme="3"/>
      </left>
      <right style="thin">
        <color rgb="FFB2B2B2"/>
      </right>
      <top style="thin">
        <color rgb="FFB2B2B2"/>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rgb="FF7F7F7F"/>
      </right>
      <top/>
      <bottom style="thin">
        <color auto="1"/>
      </bottom>
      <diagonal/>
    </border>
    <border>
      <left style="thin">
        <color auto="1"/>
      </left>
      <right style="thin">
        <color rgb="FF7F7F7F"/>
      </right>
      <top style="thin">
        <color auto="1"/>
      </top>
      <bottom style="thin">
        <color rgb="FF7F7F7F"/>
      </bottom>
      <diagonal/>
    </border>
    <border>
      <left style="thin">
        <color rgb="FF7F7F7F"/>
      </left>
      <right style="thin">
        <color auto="1"/>
      </right>
      <top style="thin">
        <color auto="1"/>
      </top>
      <bottom style="thin">
        <color rgb="FF7F7F7F"/>
      </bottom>
      <diagonal/>
    </border>
    <border>
      <left style="thin">
        <color auto="1"/>
      </left>
      <right/>
      <top style="thin">
        <color auto="1"/>
      </top>
      <bottom style="thin">
        <color auto="1"/>
      </bottom>
      <diagonal/>
    </border>
    <border>
      <left style="thin">
        <color auto="1"/>
      </left>
      <right style="thin">
        <color rgb="FF7F7F7F"/>
      </right>
      <top style="thin">
        <color auto="1"/>
      </top>
      <bottom style="thin">
        <color auto="1"/>
      </bottom>
      <diagonal/>
    </border>
    <border>
      <left style="thin">
        <color rgb="FF7F7F7F"/>
      </left>
      <right style="thin">
        <color rgb="FF7F7F7F"/>
      </right>
      <top style="thin">
        <color auto="1"/>
      </top>
      <bottom style="thin">
        <color auto="1"/>
      </bottom>
      <diagonal/>
    </border>
    <border>
      <left style="thin">
        <color rgb="FF7F7F7F"/>
      </left>
      <right style="thin">
        <color auto="1"/>
      </right>
      <top style="thin">
        <color auto="1"/>
      </top>
      <bottom style="thin">
        <color auto="1"/>
      </bottom>
      <diagonal/>
    </border>
    <border>
      <left style="thin">
        <color auto="1"/>
      </left>
      <right style="thin">
        <color auto="1"/>
      </right>
      <top style="thin">
        <color auto="1"/>
      </top>
      <bottom/>
      <diagonal/>
    </border>
    <border>
      <left style="thin">
        <color rgb="FFB2B2B2"/>
      </left>
      <right/>
      <top/>
      <bottom style="thin">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style="thin">
        <color auto="1"/>
      </right>
      <top style="thin">
        <color auto="1"/>
      </top>
      <bottom style="thin">
        <color auto="1"/>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style="thin">
        <color auto="1"/>
      </right>
      <top/>
      <bottom/>
      <diagonal/>
    </border>
    <border>
      <left style="medium">
        <color auto="1"/>
      </left>
      <right style="thin">
        <color auto="1"/>
      </right>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bottom style="thin">
        <color auto="1"/>
      </bottom>
      <diagonal/>
    </border>
    <border>
      <left style="thin">
        <color auto="1"/>
      </left>
      <right style="medium">
        <color auto="1"/>
      </right>
      <top style="medium">
        <color auto="1"/>
      </top>
      <bottom style="thin">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thin">
        <color auto="1"/>
      </top>
      <bottom style="thin">
        <color auto="1"/>
      </bottom>
      <diagonal/>
    </border>
    <border>
      <left style="thin">
        <color auto="1"/>
      </left>
      <right style="thin">
        <color auto="1"/>
      </right>
      <top style="medium">
        <color auto="1"/>
      </top>
      <bottom/>
      <diagonal/>
    </border>
    <border>
      <left style="thin">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medium">
        <color auto="1"/>
      </top>
      <bottom style="thin">
        <color auto="1"/>
      </bottom>
      <diagonal/>
    </border>
    <border>
      <left/>
      <right style="thin">
        <color auto="1"/>
      </right>
      <top style="thin">
        <color auto="1"/>
      </top>
      <bottom/>
      <diagonal/>
    </border>
    <border>
      <left style="medium">
        <color auto="1"/>
      </left>
      <right/>
      <top/>
      <bottom style="thin">
        <color auto="1"/>
      </bottom>
      <diagonal/>
    </border>
    <border>
      <left/>
      <right style="thin">
        <color auto="1"/>
      </right>
      <top/>
      <bottom style="thin">
        <color auto="1"/>
      </bottom>
      <diagonal/>
    </border>
    <border>
      <left/>
      <right/>
      <top/>
      <bottom style="thin">
        <color auto="1"/>
      </bottom>
      <diagonal/>
    </border>
    <border>
      <left/>
      <right style="medium">
        <color auto="1"/>
      </right>
      <top/>
      <bottom style="thin">
        <color auto="1"/>
      </bottom>
      <diagonal/>
    </border>
    <border>
      <left style="medium">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style="thin">
        <color auto="1"/>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theme="3"/>
      </left>
      <right style="thin">
        <color theme="3"/>
      </right>
      <top style="thin">
        <color theme="3"/>
      </top>
      <bottom/>
      <diagonal/>
    </border>
    <border>
      <left style="thin">
        <color theme="3"/>
      </left>
      <right style="thin">
        <color theme="3"/>
      </right>
      <top style="thin">
        <color auto="1"/>
      </top>
      <bottom style="thin">
        <color theme="3"/>
      </bottom>
      <diagonal/>
    </border>
    <border>
      <left style="thin">
        <color auto="1"/>
      </left>
      <right style="thin">
        <color auto="1"/>
      </right>
      <top style="thin">
        <color auto="1"/>
      </top>
      <bottom style="thin">
        <color auto="1"/>
      </bottom>
      <diagonal/>
    </border>
    <border>
      <left style="thin">
        <color auto="1"/>
      </left>
      <right style="thin">
        <color rgb="FF7F7F7F"/>
      </right>
      <top style="thin">
        <color auto="1"/>
      </top>
      <bottom style="thin">
        <color rgb="FF7F7F7F"/>
      </bottom>
      <diagonal/>
    </border>
    <border>
      <left style="thin">
        <color rgb="FF7F7F7F"/>
      </left>
      <right style="thin">
        <color rgb="FF7F7F7F"/>
      </right>
      <top style="thin">
        <color auto="1"/>
      </top>
      <bottom style="thin">
        <color rgb="FF7F7F7F"/>
      </bottom>
      <diagonal/>
    </border>
    <border>
      <left style="thin">
        <color rgb="FF7F7F7F"/>
      </left>
      <right style="thin">
        <color auto="1"/>
      </right>
      <top style="thin">
        <color auto="1"/>
      </top>
      <bottom style="thin">
        <color rgb="FF7F7F7F"/>
      </bottom>
      <diagonal/>
    </border>
    <border>
      <left style="thin">
        <color auto="1"/>
      </left>
      <right style="thin">
        <color rgb="FF7F7F7F"/>
      </right>
      <top style="thin">
        <color auto="1"/>
      </top>
      <bottom style="thin">
        <color auto="1"/>
      </bottom>
      <diagonal/>
    </border>
    <border>
      <left style="thin">
        <color auto="1"/>
      </left>
      <right style="thin">
        <color auto="1"/>
      </right>
      <top style="thin">
        <color auto="1"/>
      </top>
      <bottom style="thin">
        <color rgb="FF7F7F7F"/>
      </bottom>
      <diagonal/>
    </border>
    <border>
      <left/>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rgb="FFB2B2B2"/>
      </top>
      <bottom style="thin">
        <color auto="1"/>
      </bottom>
      <diagonal/>
    </border>
    <border>
      <left/>
      <right style="thin">
        <color rgb="FF7F7F7F"/>
      </right>
      <top style="thin">
        <color auto="1"/>
      </top>
      <bottom/>
      <diagonal/>
    </border>
    <border>
      <left/>
      <right style="thin">
        <color rgb="FF7F7F7F"/>
      </right>
      <top style="thin">
        <color auto="1"/>
      </top>
      <bottom style="thin">
        <color auto="1"/>
      </bottom>
      <diagonal/>
    </border>
    <border>
      <left style="thin">
        <color rgb="FF7F7F7F"/>
      </left>
      <right style="thin">
        <color auto="1"/>
      </right>
      <top style="thin">
        <color auto="1"/>
      </top>
      <bottom style="thin">
        <color auto="1"/>
      </bottom>
      <diagonal/>
    </border>
    <border>
      <left style="medium">
        <color auto="1"/>
      </left>
      <right/>
      <top style="thin">
        <color auto="1"/>
      </top>
      <bottom style="thin">
        <color auto="1"/>
      </bottom>
      <diagonal/>
    </border>
    <border>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right style="thin">
        <color auto="1"/>
      </right>
      <top style="thin">
        <color auto="1"/>
      </top>
      <bottom style="thin">
        <color rgb="FF7F7F7F"/>
      </bottom>
      <diagonal/>
    </border>
    <border>
      <left style="thin">
        <color auto="1"/>
      </left>
      <right style="thin">
        <color rgb="FF7F7F7F"/>
      </right>
      <top style="thin">
        <color auto="1"/>
      </top>
      <bottom style="thin">
        <color auto="1"/>
      </bottom>
      <diagonal/>
    </border>
    <border>
      <left style="thin">
        <color rgb="FF7F7F7F"/>
      </left>
      <right style="thin">
        <color rgb="FF7F7F7F"/>
      </right>
      <top style="thin">
        <color auto="1"/>
      </top>
      <bottom style="thin">
        <color auto="1"/>
      </bottom>
      <diagonal/>
    </border>
    <border>
      <left style="thin">
        <color rgb="FF7F7F7F"/>
      </left>
      <right style="thin">
        <color auto="1"/>
      </right>
      <top style="thin">
        <color auto="1"/>
      </top>
      <bottom style="thin">
        <color auto="1"/>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right style="thin">
        <color auto="1"/>
      </right>
      <top/>
      <bottom style="medium">
        <color indexed="64"/>
      </bottom>
      <diagonal/>
    </border>
    <border>
      <left/>
      <right style="medium">
        <color indexed="64"/>
      </right>
      <top/>
      <bottom style="medium">
        <color indexed="64"/>
      </bottom>
      <diagonal/>
    </border>
    <border>
      <left style="thin">
        <color auto="1"/>
      </left>
      <right style="thin">
        <color rgb="FF7F7F7F"/>
      </right>
      <top style="thin">
        <color indexed="64"/>
      </top>
      <bottom style="thin">
        <color auto="1"/>
      </bottom>
      <diagonal/>
    </border>
    <border>
      <left style="thin">
        <color rgb="FF7F7F7F"/>
      </left>
      <right style="thin">
        <color rgb="FF7F7F7F"/>
      </right>
      <top style="thin">
        <color indexed="64"/>
      </top>
      <bottom style="thin">
        <color auto="1"/>
      </bottom>
      <diagonal/>
    </border>
    <border>
      <left style="thin">
        <color rgb="FF7F7F7F"/>
      </left>
      <right style="thin">
        <color auto="1"/>
      </right>
      <top style="thin">
        <color indexed="64"/>
      </top>
      <bottom style="thin">
        <color auto="1"/>
      </bottom>
      <diagonal/>
    </border>
    <border>
      <left style="thin">
        <color auto="1"/>
      </left>
      <right style="thin">
        <color rgb="FF7F7F7F"/>
      </right>
      <top style="thin">
        <color indexed="64"/>
      </top>
      <bottom style="thin">
        <color rgb="FF7F7F7F"/>
      </bottom>
      <diagonal/>
    </border>
    <border>
      <left style="thin">
        <color rgb="FF7F7F7F"/>
      </left>
      <right style="thin">
        <color rgb="FF7F7F7F"/>
      </right>
      <top style="thin">
        <color indexed="64"/>
      </top>
      <bottom style="thin">
        <color rgb="FF7F7F7F"/>
      </bottom>
      <diagonal/>
    </border>
    <border>
      <left style="thin">
        <color rgb="FF7F7F7F"/>
      </left>
      <right style="thin">
        <color auto="1"/>
      </right>
      <top style="thin">
        <color indexed="64"/>
      </top>
      <bottom style="thin">
        <color rgb="FF7F7F7F"/>
      </bottom>
      <diagonal/>
    </border>
    <border>
      <left style="thin">
        <color auto="1"/>
      </left>
      <right/>
      <top style="thin">
        <color rgb="FF7F7F7F"/>
      </top>
      <bottom style="thin">
        <color rgb="FF7F7F7F"/>
      </bottom>
      <diagonal/>
    </border>
    <border>
      <left style="thin">
        <color auto="1"/>
      </left>
      <right/>
      <top style="thin">
        <color rgb="FF7F7F7F"/>
      </top>
      <bottom/>
      <diagonal/>
    </border>
    <border>
      <left style="thin">
        <color auto="1"/>
      </left>
      <right/>
      <top style="thin">
        <color indexed="64"/>
      </top>
      <bottom style="thin">
        <color rgb="FF7F7F7F"/>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auto="1"/>
      </right>
      <top style="thin">
        <color auto="1"/>
      </top>
      <bottom/>
      <diagonal/>
    </border>
    <border>
      <left style="thin">
        <color indexed="64"/>
      </left>
      <right/>
      <top style="thin">
        <color auto="1"/>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rgb="FFB2B2B2"/>
      </left>
      <right style="thin">
        <color rgb="FFB2B2B2"/>
      </right>
      <top/>
      <bottom style="thin">
        <color rgb="FFB2B2B2"/>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auto="1"/>
      </left>
      <right style="thin">
        <color auto="1"/>
      </right>
      <top/>
      <bottom style="thin">
        <color indexed="64"/>
      </bottom>
      <diagonal/>
    </border>
    <border>
      <left style="thin">
        <color auto="1"/>
      </left>
      <right/>
      <top/>
      <bottom style="thin">
        <color indexed="64"/>
      </bottom>
      <diagonal/>
    </border>
    <border>
      <left/>
      <right/>
      <top/>
      <bottom style="thin">
        <color indexed="64"/>
      </bottom>
      <diagonal/>
    </border>
    <border>
      <left style="thin">
        <color rgb="FF7F7F7F"/>
      </left>
      <right style="thin">
        <color indexed="64"/>
      </right>
      <top style="thin">
        <color indexed="64"/>
      </top>
      <bottom style="thin">
        <color rgb="FF7F7F7F"/>
      </bottom>
      <diagonal/>
    </border>
    <border>
      <left style="thin">
        <color rgb="FF7F7F7F"/>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auto="1"/>
      </left>
      <right/>
      <top style="thin">
        <color indexed="64"/>
      </top>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auto="1"/>
      </right>
      <top style="thin">
        <color auto="1"/>
      </top>
      <bottom style="thin">
        <color auto="1"/>
      </bottom>
      <diagonal/>
    </border>
    <border>
      <left style="medium">
        <color indexed="64"/>
      </left>
      <right style="thin">
        <color auto="1"/>
      </right>
      <top/>
      <bottom style="medium">
        <color indexed="64"/>
      </bottom>
      <diagonal/>
    </border>
    <border>
      <left/>
      <right style="thin">
        <color auto="1"/>
      </right>
      <top/>
      <bottom style="medium">
        <color indexed="64"/>
      </bottom>
      <diagonal/>
    </border>
    <border>
      <left/>
      <right style="thin">
        <color auto="1"/>
      </right>
      <top style="medium">
        <color auto="1"/>
      </top>
      <bottom style="thin">
        <color indexed="64"/>
      </bottom>
      <diagonal/>
    </border>
    <border>
      <left style="thin">
        <color indexed="64"/>
      </left>
      <right style="medium">
        <color auto="1"/>
      </right>
      <top style="thin">
        <color indexed="64"/>
      </top>
      <bottom/>
      <diagonal/>
    </border>
    <border>
      <left style="thin">
        <color indexed="64"/>
      </left>
      <right style="medium">
        <color auto="1"/>
      </right>
      <top/>
      <bottom/>
      <diagonal/>
    </border>
    <border>
      <left style="thin">
        <color indexed="64"/>
      </left>
      <right style="medium">
        <color indexed="64"/>
      </right>
      <top/>
      <bottom style="medium">
        <color indexed="64"/>
      </bottom>
      <diagonal/>
    </border>
    <border>
      <left/>
      <right style="thin">
        <color theme="3"/>
      </right>
      <top style="thin">
        <color theme="3"/>
      </top>
      <bottom style="thin">
        <color theme="3"/>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B2B2B2"/>
      </left>
      <right/>
      <top/>
      <bottom/>
      <diagonal/>
    </border>
    <border>
      <left style="thin">
        <color indexed="22"/>
      </left>
      <right style="thin">
        <color indexed="22"/>
      </right>
      <top style="thin">
        <color indexed="22"/>
      </top>
      <bottom style="thin">
        <color indexed="22"/>
      </bottom>
      <diagonal/>
    </border>
    <border>
      <left style="thin">
        <color rgb="FFB2B2B2"/>
      </left>
      <right/>
      <top style="thin">
        <color rgb="FFB2B2B2"/>
      </top>
      <bottom style="thin">
        <color rgb="FFB2B2B2"/>
      </bottom>
      <diagonal/>
    </border>
    <border>
      <left/>
      <right/>
      <top style="thin">
        <color rgb="FFB2B2B2"/>
      </top>
      <bottom style="thin">
        <color rgb="FFB2B2B2"/>
      </bottom>
      <diagonal/>
    </border>
    <border>
      <left style="double">
        <color rgb="FF3F3F3F"/>
      </left>
      <right style="double">
        <color rgb="FF3F3F3F"/>
      </right>
      <top style="double">
        <color rgb="FF3F3F3F"/>
      </top>
      <bottom style="double">
        <color rgb="FF3F3F3F"/>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right/>
      <top/>
      <bottom style="double">
        <color rgb="FFFF800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diagonal/>
    </border>
    <border>
      <left style="thin">
        <color indexed="22"/>
      </left>
      <right style="thin">
        <color indexed="22"/>
      </right>
      <top style="thin">
        <color indexed="22"/>
      </top>
      <bottom style="thin">
        <color indexed="22"/>
      </bottom>
      <diagonal/>
    </border>
    <border>
      <left/>
      <right style="thin">
        <color rgb="FFB2B2B2"/>
      </right>
      <top style="thin">
        <color rgb="FFB2B2B2"/>
      </top>
      <bottom/>
      <diagonal/>
    </border>
    <border>
      <left style="thin">
        <color auto="1"/>
      </left>
      <right style="thin">
        <color indexed="64"/>
      </right>
      <top style="thin">
        <color auto="1"/>
      </top>
      <bottom/>
      <diagonal/>
    </border>
    <border>
      <left style="thin">
        <color auto="1"/>
      </left>
      <right style="thin">
        <color indexed="64"/>
      </right>
      <top style="thin">
        <color auto="1"/>
      </top>
      <bottom style="thin">
        <color rgb="FF7F7F7F"/>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auto="1"/>
      </left>
      <right/>
      <top style="thin">
        <color auto="1"/>
      </top>
      <bottom style="thin">
        <color auto="1"/>
      </bottom>
      <diagonal/>
    </border>
    <border>
      <left style="thin">
        <color rgb="FF7F7F7F"/>
      </left>
      <right style="thin">
        <color rgb="FF7F7F7F"/>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indexed="64"/>
      </bottom>
      <diagonal/>
    </border>
    <border>
      <left style="thin">
        <color auto="1"/>
      </left>
      <right style="thin">
        <color auto="1"/>
      </right>
      <top/>
      <bottom style="thin">
        <color indexed="64"/>
      </bottom>
      <diagonal/>
    </border>
    <border>
      <left/>
      <right/>
      <top/>
      <bottom style="thin">
        <color indexed="64"/>
      </bottom>
      <diagonal/>
    </border>
    <border>
      <left style="thin">
        <color rgb="FFB2B2B2"/>
      </left>
      <right style="thin">
        <color rgb="FF7F7F7F"/>
      </right>
      <top/>
      <bottom style="thin">
        <color indexed="64"/>
      </bottom>
      <diagonal/>
    </border>
    <border>
      <left style="thin">
        <color auto="1"/>
      </left>
      <right style="thin">
        <color rgb="FFB2B2B2"/>
      </right>
      <top/>
      <bottom style="thin">
        <color indexed="64"/>
      </bottom>
      <diagonal/>
    </border>
    <border>
      <left/>
      <right style="thin">
        <color rgb="FFB2B2B2"/>
      </right>
      <top/>
      <bottom style="thin">
        <color indexed="64"/>
      </bottom>
      <diagonal/>
    </border>
    <border>
      <left/>
      <right style="thin">
        <color rgb="FFB2B2B2"/>
      </right>
      <top style="thin">
        <color auto="1"/>
      </top>
      <bottom style="thin">
        <color indexed="64"/>
      </bottom>
      <diagonal/>
    </border>
    <border>
      <left style="thin">
        <color rgb="FF7F7F7F"/>
      </left>
      <right style="thin">
        <color auto="1"/>
      </right>
      <top style="thin">
        <color auto="1"/>
      </top>
      <bottom style="thin">
        <color indexed="64"/>
      </bottom>
      <diagonal/>
    </border>
    <border>
      <left style="thin">
        <color rgb="FF7F7F7F"/>
      </left>
      <right style="thin">
        <color indexed="64"/>
      </right>
      <top style="thin">
        <color auto="1"/>
      </top>
      <bottom style="thin">
        <color rgb="FF7F7F7F"/>
      </bottom>
      <diagonal/>
    </border>
    <border>
      <left style="thin">
        <color indexed="64"/>
      </left>
      <right style="thin">
        <color rgb="FF7F7F7F"/>
      </right>
      <top style="thin">
        <color indexed="64"/>
      </top>
      <bottom style="thin">
        <color indexed="64"/>
      </bottom>
      <diagonal/>
    </border>
    <border>
      <left style="thin">
        <color rgb="FF7F7F7F"/>
      </left>
      <right style="thin">
        <color rgb="FF7F7F7F"/>
      </right>
      <top style="thin">
        <color indexed="64"/>
      </top>
      <bottom style="thin">
        <color indexed="64"/>
      </bottom>
      <diagonal/>
    </border>
    <border>
      <left style="thin">
        <color indexed="64"/>
      </left>
      <right style="thin">
        <color rgb="FF7F7F7F"/>
      </right>
      <top style="thin">
        <color indexed="64"/>
      </top>
      <bottom style="thin">
        <color rgb="FF7F7F7F"/>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right style="medium">
        <color indexed="64"/>
      </right>
      <top style="thin">
        <color auto="1"/>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thin">
        <color auto="1"/>
      </right>
      <top style="thin">
        <color auto="1"/>
      </top>
      <bottom/>
      <diagonal/>
    </border>
    <border>
      <left/>
      <right/>
      <top style="thin">
        <color auto="1"/>
      </top>
      <bottom/>
      <diagonal/>
    </border>
    <border>
      <left style="thin">
        <color auto="1"/>
      </left>
      <right/>
      <top style="thin">
        <color auto="1"/>
      </top>
      <bottom/>
      <diagonal/>
    </border>
    <border>
      <left/>
      <right style="thin">
        <color rgb="FF7F7F7F"/>
      </right>
      <top/>
      <bottom style="thin">
        <color rgb="FF7F7F7F"/>
      </bottom>
      <diagonal/>
    </border>
    <border>
      <left/>
      <right style="thin">
        <color theme="3"/>
      </right>
      <top style="thin">
        <color theme="3"/>
      </top>
      <bottom/>
      <diagonal/>
    </border>
    <border>
      <left/>
      <right style="thin">
        <color theme="3"/>
      </right>
      <top/>
      <bottom style="thin">
        <color theme="3"/>
      </bottom>
      <diagonal/>
    </border>
    <border>
      <left style="thin">
        <color theme="3"/>
      </left>
      <right/>
      <top/>
      <bottom style="thin">
        <color theme="3"/>
      </bottom>
      <diagonal/>
    </border>
    <border>
      <left style="thin">
        <color theme="3"/>
      </left>
      <right/>
      <top style="thin">
        <color theme="3"/>
      </top>
      <bottom style="thin">
        <color theme="3"/>
      </bottom>
      <diagonal/>
    </border>
    <border>
      <left style="thin">
        <color auto="1"/>
      </left>
      <right style="thin">
        <color rgb="FFB2B2B2"/>
      </right>
      <top style="thin">
        <color auto="1"/>
      </top>
      <bottom style="thin">
        <color indexed="64"/>
      </bottom>
      <diagonal/>
    </border>
    <border>
      <left/>
      <right style="thin">
        <color indexed="64"/>
      </right>
      <top/>
      <bottom style="thin">
        <color theme="3"/>
      </bottom>
      <diagonal/>
    </border>
    <border>
      <left style="thin">
        <color indexed="64"/>
      </left>
      <right/>
      <top/>
      <bottom style="thin">
        <color theme="3"/>
      </bottom>
      <diagonal/>
    </border>
    <border>
      <left style="thin">
        <color indexed="64"/>
      </left>
      <right/>
      <top style="thin">
        <color theme="3"/>
      </top>
      <bottom style="thin">
        <color theme="3"/>
      </bottom>
      <diagonal/>
    </border>
    <border>
      <left style="thin">
        <color indexed="64"/>
      </left>
      <right/>
      <top style="thin">
        <color theme="3"/>
      </top>
      <bottom style="thin">
        <color indexed="64"/>
      </bottom>
      <diagonal/>
    </border>
    <border>
      <left style="thin">
        <color rgb="FF7F7F7F"/>
      </left>
      <right style="medium">
        <color indexed="64"/>
      </right>
      <top/>
      <bottom style="thin">
        <color rgb="FF7F7F7F"/>
      </bottom>
      <diagonal/>
    </border>
    <border>
      <left style="thin">
        <color rgb="FF7F7F7F"/>
      </left>
      <right style="medium">
        <color indexed="64"/>
      </right>
      <top style="thin">
        <color rgb="FF7F7F7F"/>
      </top>
      <bottom style="thin">
        <color rgb="FF7F7F7F"/>
      </bottom>
      <diagonal/>
    </border>
    <border>
      <left/>
      <right style="thin">
        <color rgb="FFB2B2B2"/>
      </right>
      <top style="thin">
        <color rgb="FFB2B2B2"/>
      </top>
      <bottom style="medium">
        <color indexed="64"/>
      </bottom>
      <diagonal/>
    </border>
    <border>
      <left style="thin">
        <color rgb="FF7F7F7F"/>
      </left>
      <right style="thin">
        <color rgb="FF7F7F7F"/>
      </right>
      <top style="thin">
        <color rgb="FF7F7F7F"/>
      </top>
      <bottom style="medium">
        <color indexed="64"/>
      </bottom>
      <diagonal/>
    </border>
    <border>
      <left style="thin">
        <color rgb="FF7F7F7F"/>
      </left>
      <right style="medium">
        <color indexed="64"/>
      </right>
      <top style="thin">
        <color rgb="FF7F7F7F"/>
      </top>
      <bottom style="medium">
        <color indexed="64"/>
      </bottom>
      <diagonal/>
    </border>
    <border>
      <left/>
      <right style="thin">
        <color indexed="64"/>
      </right>
      <top style="thin">
        <color rgb="FFB2B2B2"/>
      </top>
      <bottom style="thin">
        <color rgb="FFB2B2B2"/>
      </bottom>
      <diagonal/>
    </border>
    <border>
      <left style="thin">
        <color theme="3"/>
      </left>
      <right style="thin">
        <color rgb="FFB2B2B2"/>
      </right>
      <top/>
      <bottom style="thin">
        <color indexed="64"/>
      </bottom>
      <diagonal/>
    </border>
    <border>
      <left style="thin">
        <color theme="3"/>
      </left>
      <right style="thin">
        <color auto="1"/>
      </right>
      <top/>
      <bottom style="thin">
        <color indexed="64"/>
      </bottom>
      <diagonal/>
    </border>
    <border>
      <left style="thin">
        <color theme="3"/>
      </left>
      <right style="thin">
        <color theme="3"/>
      </right>
      <top style="thin">
        <color theme="3"/>
      </top>
      <bottom style="thin">
        <color indexed="64"/>
      </bottom>
      <diagonal/>
    </border>
    <border>
      <left style="thin">
        <color theme="3"/>
      </left>
      <right style="thin">
        <color indexed="64"/>
      </right>
      <top/>
      <bottom/>
      <diagonal/>
    </border>
    <border>
      <left style="thin">
        <color rgb="FF7F7F7F"/>
      </left>
      <right style="thin">
        <color rgb="FF7F7F7F"/>
      </right>
      <top style="thin">
        <color auto="1"/>
      </top>
      <bottom style="thin">
        <color rgb="FF7F7F7F"/>
      </bottom>
      <diagonal/>
    </border>
    <border>
      <left/>
      <right style="thin">
        <color rgb="FF7F7F7F"/>
      </right>
      <top style="thin">
        <color rgb="FF7F7F7F"/>
      </top>
      <bottom style="thin">
        <color auto="1"/>
      </bottom>
      <diagonal/>
    </border>
    <border>
      <left style="thin">
        <color auto="1"/>
      </left>
      <right style="thin">
        <color theme="3"/>
      </right>
      <top style="thin">
        <color indexed="64"/>
      </top>
      <bottom/>
      <diagonal/>
    </border>
    <border>
      <left style="thin">
        <color rgb="FF7F7F7F"/>
      </left>
      <right style="thin">
        <color indexed="64"/>
      </right>
      <top/>
      <bottom/>
      <diagonal/>
    </border>
    <border>
      <left style="thin">
        <color indexed="22"/>
      </left>
      <right style="thin">
        <color indexed="22"/>
      </right>
      <top style="thin">
        <color indexed="22"/>
      </top>
      <bottom style="thin">
        <color indexed="22"/>
      </bottom>
      <diagonal/>
    </border>
    <border>
      <left style="thin">
        <color auto="1"/>
      </left>
      <right style="thin">
        <color indexed="64"/>
      </right>
      <top style="thin">
        <color auto="1"/>
      </top>
      <bottom style="thin">
        <color indexed="64"/>
      </bottom>
      <diagonal/>
    </border>
    <border>
      <left style="thin">
        <color rgb="FF7F7F7F"/>
      </left>
      <right style="thin">
        <color indexed="64"/>
      </right>
      <top style="thin">
        <color auto="1"/>
      </top>
      <bottom style="thin">
        <color indexed="64"/>
      </bottom>
      <diagonal/>
    </border>
    <border>
      <left style="medium">
        <color auto="1"/>
      </left>
      <right style="thin">
        <color auto="1"/>
      </right>
      <top style="thin">
        <color auto="1"/>
      </top>
      <bottom style="thin">
        <color indexed="64"/>
      </bottom>
      <diagonal/>
    </border>
    <border>
      <left/>
      <right style="medium">
        <color auto="1"/>
      </right>
      <top style="thin">
        <color auto="1"/>
      </top>
      <bottom style="thin">
        <color indexed="64"/>
      </bottom>
      <diagonal/>
    </border>
    <border>
      <left/>
      <right style="thin">
        <color indexed="64"/>
      </right>
      <top style="thin">
        <color auto="1"/>
      </top>
      <bottom style="thin">
        <color auto="1"/>
      </bottom>
      <diagonal/>
    </border>
    <border>
      <left/>
      <right style="thin">
        <color indexed="64"/>
      </right>
      <top style="thin">
        <color auto="1"/>
      </top>
      <bottom style="thin">
        <color rgb="FF7F7F7F"/>
      </bottom>
      <diagonal/>
    </border>
    <border>
      <left style="medium">
        <color indexed="64"/>
      </left>
      <right/>
      <top style="thin">
        <color auto="1"/>
      </top>
      <bottom style="thin">
        <color auto="1"/>
      </bottom>
      <diagonal/>
    </border>
    <border>
      <left/>
      <right/>
      <top style="thin">
        <color auto="1"/>
      </top>
      <bottom style="thin">
        <color auto="1"/>
      </bottom>
      <diagonal/>
    </border>
    <border>
      <left style="thin">
        <color auto="1"/>
      </left>
      <right style="medium">
        <color indexed="64"/>
      </right>
      <top style="thin">
        <color auto="1"/>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s>
  <cellStyleXfs count="63">
    <xf numFmtId="0" fontId="0" fillId="0" borderId="0"/>
    <xf numFmtId="0" fontId="8" fillId="0" borderId="0"/>
    <xf numFmtId="0" fontId="14" fillId="6" borderId="0" applyNumberFormat="0" applyBorder="0" applyAlignment="0" applyProtection="0"/>
    <xf numFmtId="0" fontId="14" fillId="7" borderId="0" applyNumberFormat="0" applyBorder="0" applyAlignment="0" applyProtection="0"/>
    <xf numFmtId="0" fontId="14" fillId="8"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8" borderId="0" applyNumberFormat="0" applyBorder="0" applyAlignment="0" applyProtection="0"/>
    <xf numFmtId="0" fontId="14" fillId="10" borderId="0" applyNumberFormat="0" applyBorder="0" applyAlignment="0" applyProtection="0"/>
    <xf numFmtId="0" fontId="14" fillId="7" borderId="0" applyNumberFormat="0" applyBorder="0" applyAlignment="0" applyProtection="0"/>
    <xf numFmtId="0" fontId="14" fillId="11" borderId="0" applyNumberFormat="0" applyBorder="0" applyAlignment="0" applyProtection="0"/>
    <xf numFmtId="0" fontId="14" fillId="12" borderId="0" applyNumberFormat="0" applyBorder="0" applyAlignment="0" applyProtection="0"/>
    <xf numFmtId="0" fontId="14" fillId="10" borderId="0" applyNumberFormat="0" applyBorder="0" applyAlignment="0" applyProtection="0"/>
    <xf numFmtId="0" fontId="14" fillId="8" borderId="0" applyNumberFormat="0" applyBorder="0" applyAlignment="0" applyProtection="0"/>
    <xf numFmtId="0" fontId="15" fillId="10" borderId="0" applyNumberFormat="0" applyBorder="0" applyAlignment="0" applyProtection="0"/>
    <xf numFmtId="0" fontId="15" fillId="13" borderId="0" applyNumberFormat="0" applyBorder="0" applyAlignment="0" applyProtection="0"/>
    <xf numFmtId="0" fontId="15" fillId="14" borderId="0" applyNumberFormat="0" applyBorder="0" applyAlignment="0" applyProtection="0"/>
    <xf numFmtId="0" fontId="15" fillId="12" borderId="0" applyNumberFormat="0" applyBorder="0" applyAlignment="0" applyProtection="0"/>
    <xf numFmtId="0" fontId="15" fillId="10" borderId="0" applyNumberFormat="0" applyBorder="0" applyAlignment="0" applyProtection="0"/>
    <xf numFmtId="0" fontId="15" fillId="7" borderId="0" applyNumberFormat="0" applyBorder="0" applyAlignment="0" applyProtection="0"/>
    <xf numFmtId="0" fontId="15" fillId="15" borderId="0" applyNumberFormat="0" applyBorder="0" applyAlignment="0" applyProtection="0"/>
    <xf numFmtId="0" fontId="15" fillId="13" borderId="0" applyNumberFormat="0" applyBorder="0" applyAlignment="0" applyProtection="0"/>
    <xf numFmtId="0" fontId="15" fillId="14" borderId="0" applyNumberFormat="0" applyBorder="0" applyAlignment="0" applyProtection="0"/>
    <xf numFmtId="0" fontId="15" fillId="16" borderId="0" applyNumberFormat="0" applyBorder="0" applyAlignment="0" applyProtection="0"/>
    <xf numFmtId="0" fontId="15" fillId="17" borderId="0" applyNumberFormat="0" applyBorder="0" applyAlignment="0" applyProtection="0"/>
    <xf numFmtId="0" fontId="15" fillId="18" borderId="0" applyNumberFormat="0" applyBorder="0" applyAlignment="0" applyProtection="0"/>
    <xf numFmtId="0" fontId="16" fillId="19" borderId="0" applyNumberFormat="0" applyBorder="0" applyAlignment="0" applyProtection="0"/>
    <xf numFmtId="0" fontId="17" fillId="20" borderId="4" applyNumberFormat="0" applyAlignment="0" applyProtection="0"/>
    <xf numFmtId="0" fontId="18" fillId="21" borderId="5" applyNumberFormat="0" applyAlignment="0" applyProtection="0"/>
    <xf numFmtId="180" fontId="8" fillId="0" borderId="0" applyFont="0" applyFill="0" applyBorder="0" applyAlignment="0" applyProtection="0"/>
    <xf numFmtId="0" fontId="19" fillId="0" borderId="0" applyNumberFormat="0" applyFill="0" applyBorder="0" applyAlignment="0" applyProtection="0"/>
    <xf numFmtId="0" fontId="20" fillId="10" borderId="0" applyNumberFormat="0" applyBorder="0" applyAlignment="0" applyProtection="0"/>
    <xf numFmtId="0" fontId="9" fillId="0" borderId="6" applyNumberFormat="0" applyFill="0" applyAlignment="0" applyProtection="0"/>
    <xf numFmtId="0" fontId="10" fillId="0" borderId="7" applyNumberFormat="0" applyFill="0" applyAlignment="0" applyProtection="0"/>
    <xf numFmtId="0" fontId="11" fillId="0" borderId="8" applyNumberFormat="0" applyFill="0" applyAlignment="0" applyProtection="0"/>
    <xf numFmtId="0" fontId="11" fillId="0" borderId="0" applyNumberFormat="0" applyFill="0" applyBorder="0" applyAlignment="0" applyProtection="0"/>
    <xf numFmtId="0" fontId="21" fillId="11" borderId="4" applyNumberFormat="0" applyAlignment="0" applyProtection="0"/>
    <xf numFmtId="0" fontId="12" fillId="0" borderId="9" applyNumberFormat="0" applyFill="0" applyAlignment="0" applyProtection="0"/>
    <xf numFmtId="0" fontId="22" fillId="11" borderId="0" applyNumberFormat="0" applyBorder="0" applyAlignment="0" applyProtection="0"/>
    <xf numFmtId="0" fontId="8" fillId="8" borderId="10" applyNumberFormat="0" applyFont="0" applyAlignment="0" applyProtection="0"/>
    <xf numFmtId="0" fontId="23" fillId="20" borderId="11" applyNumberFormat="0" applyAlignment="0" applyProtection="0"/>
    <xf numFmtId="9" fontId="8" fillId="0" borderId="0" applyFont="0" applyFill="0" applyBorder="0" applyAlignment="0" applyProtection="0"/>
    <xf numFmtId="0" fontId="13" fillId="0" borderId="0" applyNumberFormat="0" applyFill="0" applyBorder="0" applyAlignment="0" applyProtection="0"/>
    <xf numFmtId="0" fontId="24" fillId="0" borderId="12" applyNumberFormat="0" applyFill="0" applyAlignment="0" applyProtection="0"/>
    <xf numFmtId="0" fontId="12" fillId="0" borderId="0" applyNumberFormat="0" applyFill="0" applyBorder="0" applyAlignment="0" applyProtection="0"/>
    <xf numFmtId="0" fontId="25" fillId="0" borderId="0" applyNumberFormat="0" applyFill="0" applyBorder="0" applyAlignment="0" applyProtection="0"/>
    <xf numFmtId="180" fontId="27" fillId="0" borderId="0" applyFont="0" applyFill="0" applyBorder="0" applyAlignment="0" applyProtection="0"/>
    <xf numFmtId="9" fontId="27" fillId="0" borderId="0" applyFont="0" applyFill="0" applyBorder="0" applyAlignment="0" applyProtection="0"/>
    <xf numFmtId="0" fontId="28" fillId="22" borderId="0" applyNumberFormat="0" applyBorder="0" applyAlignment="0" applyProtection="0"/>
    <xf numFmtId="0" fontId="29" fillId="23" borderId="0" applyNumberFormat="0" applyBorder="0" applyAlignment="0" applyProtection="0"/>
    <xf numFmtId="0" fontId="30" fillId="24" borderId="20" applyNumberFormat="0" applyAlignment="0" applyProtection="0"/>
    <xf numFmtId="0" fontId="44" fillId="0" borderId="30" applyNumberFormat="0" applyFill="0" applyAlignment="0" applyProtection="0"/>
    <xf numFmtId="0" fontId="27" fillId="25" borderId="21" applyNumberFormat="0" applyFont="0" applyAlignment="0" applyProtection="0"/>
    <xf numFmtId="0" fontId="6" fillId="26" borderId="0" applyNumberFormat="0" applyBorder="0" applyAlignment="0" applyProtection="0"/>
    <xf numFmtId="0" fontId="49" fillId="27" borderId="20" applyNumberFormat="0" applyAlignment="0" applyProtection="0"/>
    <xf numFmtId="0" fontId="5" fillId="28" borderId="0" applyNumberFormat="0" applyBorder="0" applyAlignment="0" applyProtection="0"/>
    <xf numFmtId="0" fontId="5" fillId="29" borderId="0" applyNumberFormat="0" applyBorder="0" applyAlignment="0" applyProtection="0"/>
    <xf numFmtId="179" fontId="27" fillId="0" borderId="0" applyFont="0" applyFill="0" applyBorder="0" applyAlignment="0" applyProtection="0"/>
    <xf numFmtId="0" fontId="56" fillId="31" borderId="0" applyNumberFormat="0" applyBorder="0" applyAlignment="0" applyProtection="0"/>
    <xf numFmtId="0" fontId="74" fillId="0" borderId="0" applyNumberFormat="0" applyFill="0" applyBorder="0" applyAlignment="0" applyProtection="0"/>
    <xf numFmtId="0" fontId="4" fillId="45" borderId="0" applyNumberFormat="0" applyBorder="0" applyAlignment="0" applyProtection="0"/>
    <xf numFmtId="0" fontId="101" fillId="46" borderId="268" applyNumberFormat="0" applyAlignment="0" applyProtection="0"/>
    <xf numFmtId="0" fontId="104" fillId="0" borderId="271" applyNumberFormat="0" applyFill="0" applyAlignment="0" applyProtection="0"/>
  </cellStyleXfs>
  <cellXfs count="1869">
    <xf numFmtId="0" fontId="0" fillId="0" borderId="0" xfId="0"/>
    <xf numFmtId="0" fontId="0" fillId="0" borderId="0" xfId="0" applyAlignment="1">
      <alignment horizontal="center"/>
    </xf>
    <xf numFmtId="0" fontId="7" fillId="0" borderId="0" xfId="0" applyFont="1"/>
    <xf numFmtId="0" fontId="0" fillId="0" borderId="22" xfId="0" applyBorder="1"/>
    <xf numFmtId="0" fontId="0" fillId="0" borderId="23" xfId="0" applyBorder="1"/>
    <xf numFmtId="0" fontId="0" fillId="0" borderId="24" xfId="0" applyBorder="1"/>
    <xf numFmtId="0" fontId="0" fillId="0" borderId="18" xfId="0" applyBorder="1"/>
    <xf numFmtId="0" fontId="0" fillId="0" borderId="25" xfId="0" applyBorder="1"/>
    <xf numFmtId="0" fontId="31" fillId="0" borderId="0" xfId="0" applyFont="1"/>
    <xf numFmtId="0" fontId="33" fillId="0" borderId="0" xfId="0" applyFont="1"/>
    <xf numFmtId="182" fontId="0" fillId="0" borderId="0" xfId="0" applyNumberFormat="1"/>
    <xf numFmtId="0" fontId="0" fillId="0" borderId="23" xfId="0" applyBorder="1" applyAlignment="1">
      <alignment wrapText="1"/>
    </xf>
    <xf numFmtId="181" fontId="0" fillId="0" borderId="18" xfId="47" applyNumberFormat="1" applyFont="1" applyBorder="1"/>
    <xf numFmtId="181" fontId="0" fillId="0" borderId="25" xfId="47" applyNumberFormat="1" applyFont="1" applyBorder="1"/>
    <xf numFmtId="10" fontId="0" fillId="0" borderId="25" xfId="0" applyNumberFormat="1" applyBorder="1"/>
    <xf numFmtId="0" fontId="0" fillId="0" borderId="29" xfId="0" applyBorder="1"/>
    <xf numFmtId="183" fontId="0" fillId="0" borderId="24" xfId="46" applyNumberFormat="1" applyFont="1" applyBorder="1"/>
    <xf numFmtId="183" fontId="0" fillId="0" borderId="18" xfId="46" applyNumberFormat="1" applyFont="1" applyBorder="1"/>
    <xf numFmtId="183" fontId="0" fillId="0" borderId="18" xfId="46" applyNumberFormat="1" applyFont="1" applyFill="1" applyBorder="1"/>
    <xf numFmtId="183" fontId="0" fillId="0" borderId="25" xfId="46" applyNumberFormat="1" applyFont="1" applyBorder="1"/>
    <xf numFmtId="0" fontId="41" fillId="22" borderId="26" xfId="48" applyFont="1" applyBorder="1"/>
    <xf numFmtId="0" fontId="41" fillId="22" borderId="0" xfId="48" applyFont="1" applyBorder="1"/>
    <xf numFmtId="0" fontId="27" fillId="0" borderId="0" xfId="0" applyFont="1"/>
    <xf numFmtId="0" fontId="41" fillId="22" borderId="24" xfId="48" applyFont="1" applyBorder="1"/>
    <xf numFmtId="9" fontId="41" fillId="22" borderId="18" xfId="48" applyNumberFormat="1" applyFont="1" applyBorder="1"/>
    <xf numFmtId="9" fontId="27" fillId="0" borderId="18" xfId="0" applyNumberFormat="1" applyFont="1" applyBorder="1"/>
    <xf numFmtId="0" fontId="44" fillId="0" borderId="30" xfId="51"/>
    <xf numFmtId="10" fontId="0" fillId="0" borderId="0" xfId="0" applyNumberFormat="1"/>
    <xf numFmtId="0" fontId="0" fillId="0" borderId="27" xfId="0" applyBorder="1"/>
    <xf numFmtId="0" fontId="0" fillId="0" borderId="32" xfId="0" applyBorder="1"/>
    <xf numFmtId="0" fontId="45" fillId="24" borderId="33" xfId="50" applyFont="1" applyBorder="1"/>
    <xf numFmtId="0" fontId="45" fillId="24" borderId="34" xfId="50" applyFont="1" applyBorder="1"/>
    <xf numFmtId="0" fontId="45" fillId="24" borderId="35" xfId="50" applyFont="1" applyBorder="1"/>
    <xf numFmtId="0" fontId="0" fillId="0" borderId="1" xfId="0" applyBorder="1"/>
    <xf numFmtId="0" fontId="0" fillId="0" borderId="3" xfId="0" applyBorder="1"/>
    <xf numFmtId="0" fontId="0" fillId="0" borderId="31" xfId="0" applyBorder="1"/>
    <xf numFmtId="181" fontId="27" fillId="25" borderId="36" xfId="47" applyNumberFormat="1" applyFont="1" applyFill="1" applyBorder="1"/>
    <xf numFmtId="0" fontId="0" fillId="0" borderId="28" xfId="0" applyBorder="1"/>
    <xf numFmtId="9" fontId="0" fillId="0" borderId="18" xfId="0" applyNumberFormat="1" applyBorder="1"/>
    <xf numFmtId="181" fontId="0" fillId="25" borderId="40" xfId="52" applyNumberFormat="1" applyFont="1" applyBorder="1"/>
    <xf numFmtId="181" fontId="0" fillId="25" borderId="38" xfId="52" applyNumberFormat="1" applyFont="1" applyBorder="1"/>
    <xf numFmtId="181" fontId="0" fillId="0" borderId="0" xfId="0" applyNumberFormat="1"/>
    <xf numFmtId="181" fontId="0" fillId="25" borderId="37" xfId="52" applyNumberFormat="1" applyFont="1" applyBorder="1"/>
    <xf numFmtId="181" fontId="0" fillId="0" borderId="18" xfId="0" applyNumberFormat="1" applyBorder="1"/>
    <xf numFmtId="181" fontId="0" fillId="25" borderId="36" xfId="52" applyNumberFormat="1" applyFont="1" applyBorder="1"/>
    <xf numFmtId="1" fontId="0" fillId="25" borderId="36" xfId="52" applyNumberFormat="1" applyFont="1" applyBorder="1"/>
    <xf numFmtId="1" fontId="0" fillId="25" borderId="41" xfId="52" applyNumberFormat="1" applyFont="1" applyBorder="1"/>
    <xf numFmtId="181" fontId="0" fillId="25" borderId="41" xfId="52" applyNumberFormat="1" applyFont="1" applyBorder="1"/>
    <xf numFmtId="0" fontId="0" fillId="0" borderId="2" xfId="0" applyBorder="1" applyAlignment="1">
      <alignment wrapText="1"/>
    </xf>
    <xf numFmtId="181" fontId="0" fillId="0" borderId="42" xfId="0" applyNumberFormat="1" applyBorder="1"/>
    <xf numFmtId="180" fontId="0" fillId="0" borderId="0" xfId="0" applyNumberFormat="1"/>
    <xf numFmtId="0" fontId="0" fillId="0" borderId="32" xfId="0" applyBorder="1" applyAlignment="1">
      <alignment horizontal="left" indent="1"/>
    </xf>
    <xf numFmtId="0" fontId="0" fillId="0" borderId="32" xfId="0" applyBorder="1" applyAlignment="1">
      <alignment horizontal="left" indent="2"/>
    </xf>
    <xf numFmtId="0" fontId="0" fillId="0" borderId="32" xfId="0" applyBorder="1" applyAlignment="1">
      <alignment horizontal="left"/>
    </xf>
    <xf numFmtId="0" fontId="0" fillId="0" borderId="29" xfId="0" applyBorder="1" applyAlignment="1">
      <alignment horizontal="left"/>
    </xf>
    <xf numFmtId="0" fontId="0" fillId="0" borderId="29" xfId="0" applyBorder="1" applyAlignment="1">
      <alignment horizontal="left" indent="2"/>
    </xf>
    <xf numFmtId="0" fontId="0" fillId="5" borderId="0" xfId="0" applyFill="1"/>
    <xf numFmtId="183" fontId="50" fillId="27" borderId="47" xfId="54" applyNumberFormat="1" applyFont="1" applyBorder="1"/>
    <xf numFmtId="0" fontId="0" fillId="0" borderId="51" xfId="0" applyBorder="1"/>
    <xf numFmtId="183" fontId="50" fillId="27" borderId="54" xfId="54" applyNumberFormat="1" applyFont="1" applyBorder="1"/>
    <xf numFmtId="184" fontId="50" fillId="27" borderId="44" xfId="54" applyNumberFormat="1" applyFont="1" applyBorder="1"/>
    <xf numFmtId="184" fontId="50" fillId="27" borderId="45" xfId="54" applyNumberFormat="1" applyFont="1" applyBorder="1"/>
    <xf numFmtId="0" fontId="52" fillId="0" borderId="0" xfId="0" applyFont="1"/>
    <xf numFmtId="184" fontId="50" fillId="27" borderId="54" xfId="54" applyNumberFormat="1" applyFont="1" applyBorder="1"/>
    <xf numFmtId="0" fontId="45" fillId="24" borderId="49" xfId="50" applyFont="1" applyBorder="1"/>
    <xf numFmtId="0" fontId="27" fillId="26" borderId="66" xfId="53" applyFont="1" applyBorder="1"/>
    <xf numFmtId="0" fontId="45" fillId="24" borderId="46" xfId="50" applyFont="1" applyBorder="1"/>
    <xf numFmtId="181" fontId="27" fillId="25" borderId="41" xfId="47" applyNumberFormat="1" applyFont="1" applyFill="1" applyBorder="1"/>
    <xf numFmtId="0" fontId="45" fillId="24" borderId="20" xfId="50" applyFont="1"/>
    <xf numFmtId="0" fontId="45" fillId="24" borderId="53" xfId="50" applyFont="1" applyBorder="1"/>
    <xf numFmtId="0" fontId="45" fillId="24" borderId="47" xfId="50" applyFont="1" applyBorder="1"/>
    <xf numFmtId="0" fontId="45" fillId="24" borderId="48" xfId="50" applyFont="1" applyBorder="1"/>
    <xf numFmtId="0" fontId="45" fillId="24" borderId="76" xfId="50" applyFont="1" applyBorder="1"/>
    <xf numFmtId="0" fontId="45" fillId="24" borderId="77" xfId="50" applyFont="1" applyBorder="1"/>
    <xf numFmtId="0" fontId="45" fillId="24" borderId="45" xfId="50" applyFont="1" applyBorder="1"/>
    <xf numFmtId="0" fontId="45" fillId="24" borderId="74" xfId="50" applyFont="1" applyBorder="1"/>
    <xf numFmtId="0" fontId="45" fillId="24" borderId="78" xfId="50" applyFont="1" applyBorder="1"/>
    <xf numFmtId="9" fontId="45" fillId="24" borderId="33" xfId="47" applyFont="1" applyFill="1" applyBorder="1"/>
    <xf numFmtId="9" fontId="45" fillId="24" borderId="34" xfId="47" applyFont="1" applyFill="1" applyBorder="1"/>
    <xf numFmtId="0" fontId="0" fillId="0" borderId="2" xfId="0" applyBorder="1"/>
    <xf numFmtId="0" fontId="0" fillId="0" borderId="18" xfId="0" applyBorder="1" applyAlignment="1">
      <alignment horizontal="center"/>
    </xf>
    <xf numFmtId="0" fontId="0" fillId="0" borderId="96" xfId="0" applyBorder="1"/>
    <xf numFmtId="0" fontId="39" fillId="0" borderId="0" xfId="49" applyFont="1" applyFill="1" applyBorder="1" applyAlignment="1">
      <alignment wrapText="1"/>
    </xf>
    <xf numFmtId="0" fontId="0" fillId="0" borderId="26" xfId="0" applyBorder="1"/>
    <xf numFmtId="0" fontId="0" fillId="0" borderId="120" xfId="0" applyBorder="1"/>
    <xf numFmtId="0" fontId="0" fillId="0" borderId="121" xfId="0" applyBorder="1"/>
    <xf numFmtId="0" fontId="0" fillId="0" borderId="122" xfId="0" applyBorder="1"/>
    <xf numFmtId="0" fontId="0" fillId="0" borderId="87" xfId="0" applyBorder="1"/>
    <xf numFmtId="0" fontId="0" fillId="0" borderId="126" xfId="0" applyBorder="1"/>
    <xf numFmtId="0" fontId="0" fillId="0" borderId="127" xfId="0" applyBorder="1"/>
    <xf numFmtId="0" fontId="0" fillId="0" borderId="124" xfId="0" applyBorder="1"/>
    <xf numFmtId="0" fontId="0" fillId="0" borderId="130" xfId="0" applyBorder="1"/>
    <xf numFmtId="182" fontId="50" fillId="27" borderId="54" xfId="54" applyNumberFormat="1" applyFont="1" applyBorder="1"/>
    <xf numFmtId="0" fontId="0" fillId="0" borderId="128" xfId="0" applyBorder="1"/>
    <xf numFmtId="0" fontId="0" fillId="0" borderId="131" xfId="0" applyBorder="1"/>
    <xf numFmtId="179" fontId="50" fillId="27" borderId="56" xfId="57" applyFont="1" applyFill="1" applyBorder="1"/>
    <xf numFmtId="179" fontId="50" fillId="27" borderId="57" xfId="57" applyFont="1" applyFill="1" applyBorder="1"/>
    <xf numFmtId="184" fontId="50" fillId="27" borderId="140" xfId="54" applyNumberFormat="1" applyFont="1" applyBorder="1"/>
    <xf numFmtId="0" fontId="27" fillId="0" borderId="142" xfId="0" applyFont="1" applyBorder="1"/>
    <xf numFmtId="179" fontId="50" fillId="27" borderId="44" xfId="57" applyFont="1" applyFill="1" applyBorder="1"/>
    <xf numFmtId="179" fontId="50" fillId="27" borderId="45" xfId="57" applyFont="1" applyFill="1" applyBorder="1"/>
    <xf numFmtId="179" fontId="50" fillId="27" borderId="46" xfId="57" applyFont="1" applyFill="1" applyBorder="1"/>
    <xf numFmtId="179" fontId="50" fillId="27" borderId="55" xfId="57" applyFont="1" applyFill="1" applyBorder="1"/>
    <xf numFmtId="179" fontId="50" fillId="27" borderId="59" xfId="57" applyFont="1" applyFill="1" applyBorder="1"/>
    <xf numFmtId="179" fontId="50" fillId="27" borderId="58" xfId="57" applyFont="1" applyFill="1" applyBorder="1"/>
    <xf numFmtId="179" fontId="50" fillId="27" borderId="29" xfId="57" applyFont="1" applyFill="1" applyBorder="1"/>
    <xf numFmtId="9" fontId="45" fillId="24" borderId="35" xfId="47" applyFont="1" applyFill="1" applyBorder="1"/>
    <xf numFmtId="9" fontId="45" fillId="24" borderId="39" xfId="47" applyFont="1" applyFill="1" applyBorder="1"/>
    <xf numFmtId="179" fontId="50" fillId="27" borderId="144" xfId="57" applyFont="1" applyFill="1" applyBorder="1"/>
    <xf numFmtId="179" fontId="50" fillId="27" borderId="145" xfId="57" applyFont="1" applyFill="1" applyBorder="1"/>
    <xf numFmtId="0" fontId="0" fillId="0" borderId="0" xfId="0" applyAlignment="1" applyProtection="1">
      <alignment horizontal="center"/>
      <protection locked="0"/>
    </xf>
    <xf numFmtId="0" fontId="0" fillId="0" borderId="0" xfId="0" applyProtection="1">
      <protection locked="0"/>
    </xf>
    <xf numFmtId="0" fontId="0" fillId="0" borderId="0" xfId="0" applyAlignment="1" applyProtection="1">
      <alignment horizontal="left" vertical="top" wrapText="1"/>
      <protection locked="0"/>
    </xf>
    <xf numFmtId="0" fontId="27" fillId="26" borderId="66" xfId="53" applyFont="1" applyBorder="1" applyProtection="1">
      <protection locked="0"/>
    </xf>
    <xf numFmtId="0" fontId="25" fillId="0" borderId="0" xfId="45" applyProtection="1">
      <protection locked="0"/>
    </xf>
    <xf numFmtId="0" fontId="52" fillId="0" borderId="0" xfId="0" applyFont="1" applyProtection="1">
      <protection locked="0"/>
    </xf>
    <xf numFmtId="187" fontId="0" fillId="0" borderId="0" xfId="0" applyNumberFormat="1" applyProtection="1">
      <protection locked="0"/>
    </xf>
    <xf numFmtId="0" fontId="71" fillId="0" borderId="0" xfId="0" applyFont="1" applyProtection="1">
      <protection locked="0"/>
    </xf>
    <xf numFmtId="0" fontId="0" fillId="0" borderId="149" xfId="0" applyBorder="1" applyProtection="1">
      <protection locked="0"/>
    </xf>
    <xf numFmtId="2" fontId="0" fillId="0" borderId="0" xfId="0" applyNumberFormat="1" applyProtection="1">
      <protection locked="0"/>
    </xf>
    <xf numFmtId="0" fontId="0" fillId="5" borderId="0" xfId="0" applyFill="1" applyProtection="1">
      <protection locked="0"/>
    </xf>
    <xf numFmtId="0" fontId="0" fillId="0" borderId="18" xfId="0" applyBorder="1" applyProtection="1">
      <protection locked="0"/>
    </xf>
    <xf numFmtId="0" fontId="0" fillId="0" borderId="154" xfId="0" applyBorder="1" applyProtection="1">
      <protection locked="0"/>
    </xf>
    <xf numFmtId="0" fontId="27" fillId="0" borderId="0" xfId="0" applyFont="1" applyProtection="1">
      <protection locked="0"/>
    </xf>
    <xf numFmtId="0" fontId="27" fillId="0" borderId="17" xfId="0" applyFont="1" applyBorder="1" applyProtection="1">
      <protection locked="0"/>
    </xf>
    <xf numFmtId="184" fontId="27" fillId="29" borderId="17" xfId="56" applyNumberFormat="1" applyFont="1" applyBorder="1" applyProtection="1">
      <protection locked="0"/>
    </xf>
    <xf numFmtId="0" fontId="0" fillId="0" borderId="156" xfId="0" applyBorder="1" applyProtection="1">
      <protection locked="0"/>
    </xf>
    <xf numFmtId="183" fontId="27" fillId="29" borderId="17" xfId="46" applyNumberFormat="1" applyFont="1" applyFill="1" applyBorder="1" applyProtection="1">
      <protection locked="0"/>
    </xf>
    <xf numFmtId="0" fontId="0" fillId="0" borderId="155" xfId="0" applyBorder="1" applyProtection="1">
      <protection locked="0"/>
    </xf>
    <xf numFmtId="183" fontId="27" fillId="29" borderId="150" xfId="46" applyNumberFormat="1" applyFont="1" applyFill="1" applyBorder="1" applyProtection="1">
      <protection locked="0"/>
    </xf>
    <xf numFmtId="179" fontId="27" fillId="29" borderId="157" xfId="57" applyFont="1" applyFill="1" applyBorder="1" applyProtection="1">
      <protection locked="0"/>
    </xf>
    <xf numFmtId="184" fontId="27" fillId="29" borderId="158" xfId="56" applyNumberFormat="1" applyFont="1" applyBorder="1" applyProtection="1">
      <protection locked="0"/>
    </xf>
    <xf numFmtId="182" fontId="27" fillId="29" borderId="158" xfId="56" applyNumberFormat="1" applyFont="1" applyBorder="1" applyProtection="1">
      <protection locked="0"/>
    </xf>
    <xf numFmtId="0" fontId="7" fillId="0" borderId="0" xfId="0" applyFont="1" applyProtection="1">
      <protection locked="0"/>
    </xf>
    <xf numFmtId="0" fontId="0" fillId="28" borderId="31" xfId="55" applyFont="1" applyBorder="1" applyProtection="1">
      <protection locked="0"/>
    </xf>
    <xf numFmtId="0" fontId="0" fillId="28" borderId="32" xfId="55" applyFont="1" applyBorder="1" applyProtection="1">
      <protection locked="0"/>
    </xf>
    <xf numFmtId="0" fontId="27" fillId="28" borderId="32" xfId="55" applyFont="1" applyBorder="1" applyProtection="1">
      <protection locked="0"/>
    </xf>
    <xf numFmtId="184" fontId="27" fillId="28" borderId="32" xfId="55" applyNumberFormat="1" applyFont="1" applyBorder="1" applyProtection="1">
      <protection locked="0"/>
    </xf>
    <xf numFmtId="0" fontId="27" fillId="28" borderId="29" xfId="55" applyFont="1" applyBorder="1" applyProtection="1">
      <protection locked="0"/>
    </xf>
    <xf numFmtId="183" fontId="27" fillId="29" borderId="27" xfId="46" applyNumberFormat="1" applyFont="1" applyFill="1" applyBorder="1" applyProtection="1">
      <protection locked="0"/>
    </xf>
    <xf numFmtId="183" fontId="27" fillId="28" borderId="32" xfId="46" applyNumberFormat="1" applyFont="1" applyFill="1" applyBorder="1" applyProtection="1">
      <protection locked="0"/>
    </xf>
    <xf numFmtId="179" fontId="27" fillId="28" borderId="116" xfId="57" applyFont="1" applyFill="1" applyBorder="1" applyProtection="1">
      <protection locked="0"/>
    </xf>
    <xf numFmtId="0" fontId="44" fillId="0" borderId="30" xfId="51" applyProtection="1">
      <protection locked="0"/>
    </xf>
    <xf numFmtId="0" fontId="0" fillId="0" borderId="31" xfId="0" applyBorder="1" applyProtection="1">
      <protection locked="0"/>
    </xf>
    <xf numFmtId="0" fontId="0" fillId="0" borderId="2" xfId="0" applyBorder="1" applyProtection="1">
      <protection locked="0"/>
    </xf>
    <xf numFmtId="0" fontId="0" fillId="0" borderId="1" xfId="0" applyBorder="1" applyProtection="1">
      <protection locked="0"/>
    </xf>
    <xf numFmtId="0" fontId="0" fillId="0" borderId="3" xfId="0" applyBorder="1" applyProtection="1">
      <protection locked="0"/>
    </xf>
    <xf numFmtId="0" fontId="0" fillId="0" borderId="32" xfId="0" applyBorder="1" applyProtection="1">
      <protection locked="0"/>
    </xf>
    <xf numFmtId="0" fontId="45" fillId="24" borderId="35" xfId="50" applyFont="1" applyBorder="1" applyProtection="1">
      <protection locked="0"/>
    </xf>
    <xf numFmtId="0" fontId="0" fillId="0" borderId="29" xfId="0" applyBorder="1" applyProtection="1">
      <protection locked="0"/>
    </xf>
    <xf numFmtId="0" fontId="27" fillId="0" borderId="18" xfId="0" applyFont="1" applyBorder="1" applyProtection="1">
      <protection locked="0"/>
    </xf>
    <xf numFmtId="0" fontId="45" fillId="24" borderId="34" xfId="50" applyFont="1" applyBorder="1" applyProtection="1">
      <protection locked="0"/>
    </xf>
    <xf numFmtId="181" fontId="27" fillId="0" borderId="0" xfId="47" applyNumberFormat="1" applyFont="1" applyBorder="1" applyProtection="1">
      <protection locked="0"/>
    </xf>
    <xf numFmtId="181" fontId="0" fillId="0" borderId="0" xfId="47" applyNumberFormat="1" applyFont="1" applyProtection="1">
      <protection locked="0"/>
    </xf>
    <xf numFmtId="181" fontId="0" fillId="0" borderId="0" xfId="0" applyNumberFormat="1" applyProtection="1">
      <protection locked="0"/>
    </xf>
    <xf numFmtId="9" fontId="45" fillId="24" borderId="35" xfId="47" applyFont="1" applyFill="1" applyBorder="1" applyProtection="1">
      <protection locked="0"/>
    </xf>
    <xf numFmtId="9" fontId="45" fillId="24" borderId="33" xfId="47" applyFont="1" applyFill="1" applyBorder="1" applyProtection="1">
      <protection locked="0"/>
    </xf>
    <xf numFmtId="181" fontId="27" fillId="0" borderId="18" xfId="47" applyNumberFormat="1" applyFont="1" applyBorder="1" applyProtection="1">
      <protection locked="0"/>
    </xf>
    <xf numFmtId="9" fontId="45" fillId="24" borderId="34" xfId="47" applyFont="1" applyFill="1" applyBorder="1" applyProtection="1">
      <protection locked="0"/>
    </xf>
    <xf numFmtId="0" fontId="0" fillId="0" borderId="26" xfId="0" applyBorder="1" applyProtection="1">
      <protection locked="0"/>
    </xf>
    <xf numFmtId="0" fontId="45" fillId="24" borderId="71" xfId="50" applyFont="1" applyBorder="1" applyProtection="1">
      <protection locked="0"/>
    </xf>
    <xf numFmtId="9" fontId="45" fillId="24" borderId="56" xfId="47" applyFont="1" applyFill="1" applyBorder="1" applyProtection="1">
      <protection locked="0"/>
    </xf>
    <xf numFmtId="9" fontId="45" fillId="24" borderId="57" xfId="47" applyFont="1" applyFill="1" applyBorder="1" applyProtection="1">
      <protection locked="0"/>
    </xf>
    <xf numFmtId="9" fontId="0" fillId="0" borderId="18" xfId="0" applyNumberFormat="1" applyBorder="1" applyProtection="1">
      <protection locked="0"/>
    </xf>
    <xf numFmtId="9" fontId="45" fillId="24" borderId="39" xfId="47" applyFont="1" applyFill="1" applyBorder="1" applyProtection="1">
      <protection locked="0"/>
    </xf>
    <xf numFmtId="181" fontId="0" fillId="0" borderId="18" xfId="0" applyNumberFormat="1" applyBorder="1" applyProtection="1">
      <protection locked="0"/>
    </xf>
    <xf numFmtId="10" fontId="0" fillId="0" borderId="0" xfId="0" applyNumberFormat="1" applyProtection="1">
      <protection locked="0"/>
    </xf>
    <xf numFmtId="0" fontId="0" fillId="0" borderId="28" xfId="0" applyBorder="1" applyProtection="1">
      <protection locked="0"/>
    </xf>
    <xf numFmtId="0" fontId="0" fillId="0" borderId="18" xfId="0" applyBorder="1" applyAlignment="1" applyProtection="1">
      <alignment horizontal="center"/>
      <protection locked="0"/>
    </xf>
    <xf numFmtId="0" fontId="0" fillId="0" borderId="25" xfId="0" applyBorder="1" applyProtection="1">
      <protection locked="0"/>
    </xf>
    <xf numFmtId="181" fontId="0" fillId="0" borderId="42" xfId="0" applyNumberFormat="1" applyBorder="1" applyProtection="1">
      <protection locked="0"/>
    </xf>
    <xf numFmtId="0" fontId="0" fillId="0" borderId="2" xfId="0" applyBorder="1" applyAlignment="1" applyProtection="1">
      <alignment wrapText="1"/>
      <protection locked="0"/>
    </xf>
    <xf numFmtId="0" fontId="0" fillId="0" borderId="3" xfId="0" applyBorder="1" applyAlignment="1" applyProtection="1">
      <alignment wrapText="1"/>
      <protection locked="0"/>
    </xf>
    <xf numFmtId="184" fontId="50" fillId="27" borderId="44" xfId="54" applyNumberFormat="1" applyFont="1" applyBorder="1" applyProtection="1">
      <protection locked="0"/>
    </xf>
    <xf numFmtId="184" fontId="50" fillId="27" borderId="45" xfId="54" applyNumberFormat="1" applyFont="1" applyBorder="1" applyProtection="1">
      <protection locked="0"/>
    </xf>
    <xf numFmtId="184" fontId="50" fillId="27" borderId="46" xfId="54" applyNumberFormat="1" applyFont="1" applyBorder="1" applyProtection="1">
      <protection locked="0"/>
    </xf>
    <xf numFmtId="0" fontId="0" fillId="0" borderId="51" xfId="0" applyBorder="1" applyProtection="1">
      <protection locked="0"/>
    </xf>
    <xf numFmtId="184" fontId="50" fillId="27" borderId="43" xfId="54" applyNumberFormat="1" applyFont="1" applyBorder="1" applyProtection="1">
      <protection locked="0"/>
    </xf>
    <xf numFmtId="184" fontId="50" fillId="27" borderId="20" xfId="54" applyNumberFormat="1" applyFont="1" applyProtection="1">
      <protection locked="0"/>
    </xf>
    <xf numFmtId="184" fontId="50" fillId="27" borderId="33" xfId="54" applyNumberFormat="1" applyFont="1" applyBorder="1" applyProtection="1">
      <protection locked="0"/>
    </xf>
    <xf numFmtId="184" fontId="0" fillId="0" borderId="0" xfId="0" applyNumberFormat="1" applyProtection="1">
      <protection locked="0"/>
    </xf>
    <xf numFmtId="184" fontId="50" fillId="27" borderId="50" xfId="54" applyNumberFormat="1" applyFont="1" applyBorder="1" applyProtection="1">
      <protection locked="0"/>
    </xf>
    <xf numFmtId="182" fontId="50" fillId="27" borderId="44" xfId="54" applyNumberFormat="1" applyFont="1" applyBorder="1" applyProtection="1">
      <protection locked="0"/>
    </xf>
    <xf numFmtId="182" fontId="50" fillId="27" borderId="45" xfId="54" applyNumberFormat="1" applyFont="1" applyBorder="1" applyProtection="1">
      <protection locked="0"/>
    </xf>
    <xf numFmtId="182" fontId="50" fillId="27" borderId="46" xfId="54" applyNumberFormat="1" applyFont="1" applyBorder="1" applyProtection="1">
      <protection locked="0"/>
    </xf>
    <xf numFmtId="183" fontId="50" fillId="27" borderId="20" xfId="46" applyNumberFormat="1" applyFont="1" applyFill="1" applyBorder="1" applyProtection="1">
      <protection locked="0"/>
    </xf>
    <xf numFmtId="183" fontId="50" fillId="27" borderId="33" xfId="54" applyNumberFormat="1" applyFont="1" applyBorder="1" applyProtection="1">
      <protection locked="0"/>
    </xf>
    <xf numFmtId="183" fontId="50" fillId="27" borderId="47" xfId="46" applyNumberFormat="1" applyFont="1" applyFill="1" applyBorder="1" applyProtection="1">
      <protection locked="0"/>
    </xf>
    <xf numFmtId="183" fontId="50" fillId="27" borderId="48" xfId="54" applyNumberFormat="1" applyFont="1" applyBorder="1" applyProtection="1">
      <protection locked="0"/>
    </xf>
    <xf numFmtId="183" fontId="50" fillId="27" borderId="34" xfId="54" applyNumberFormat="1" applyFont="1" applyBorder="1" applyProtection="1">
      <protection locked="0"/>
    </xf>
    <xf numFmtId="179" fontId="50" fillId="27" borderId="44" xfId="57" applyFont="1" applyFill="1" applyBorder="1" applyProtection="1">
      <protection locked="0"/>
    </xf>
    <xf numFmtId="179" fontId="50" fillId="27" borderId="45" xfId="57" applyFont="1" applyFill="1" applyBorder="1" applyProtection="1">
      <protection locked="0"/>
    </xf>
    <xf numFmtId="179" fontId="50" fillId="27" borderId="46" xfId="57" applyFont="1" applyFill="1" applyBorder="1" applyProtection="1">
      <protection locked="0"/>
    </xf>
    <xf numFmtId="0" fontId="0" fillId="0" borderId="22" xfId="0" applyBorder="1" applyProtection="1">
      <protection locked="0"/>
    </xf>
    <xf numFmtId="0" fontId="0" fillId="0" borderId="19" xfId="0" applyBorder="1" applyAlignment="1" applyProtection="1">
      <alignment wrapText="1"/>
      <protection locked="0"/>
    </xf>
    <xf numFmtId="0" fontId="0" fillId="0" borderId="23" xfId="0" applyBorder="1" applyAlignment="1" applyProtection="1">
      <alignment wrapText="1"/>
      <protection locked="0"/>
    </xf>
    <xf numFmtId="183" fontId="50" fillId="27" borderId="44" xfId="54" applyNumberFormat="1" applyFont="1" applyBorder="1" applyProtection="1">
      <protection locked="0"/>
    </xf>
    <xf numFmtId="183" fontId="50" fillId="27" borderId="45" xfId="54" applyNumberFormat="1" applyFont="1" applyBorder="1" applyProtection="1">
      <protection locked="0"/>
    </xf>
    <xf numFmtId="183" fontId="50" fillId="27" borderId="46" xfId="54" applyNumberFormat="1" applyFont="1" applyBorder="1" applyProtection="1">
      <protection locked="0"/>
    </xf>
    <xf numFmtId="186" fontId="50" fillId="27" borderId="52" xfId="54" applyNumberFormat="1" applyFont="1" applyBorder="1" applyProtection="1">
      <protection locked="0"/>
    </xf>
    <xf numFmtId="186" fontId="50" fillId="27" borderId="53" xfId="54" applyNumberFormat="1" applyFont="1" applyBorder="1" applyProtection="1">
      <protection locked="0"/>
    </xf>
    <xf numFmtId="186" fontId="50" fillId="27" borderId="49" xfId="54" applyNumberFormat="1" applyFont="1" applyBorder="1" applyProtection="1">
      <protection locked="0"/>
    </xf>
    <xf numFmtId="183" fontId="50" fillId="27" borderId="54" xfId="54" applyNumberFormat="1" applyFont="1" applyBorder="1" applyProtection="1">
      <protection locked="0"/>
    </xf>
    <xf numFmtId="183" fontId="50" fillId="27" borderId="20" xfId="54" applyNumberFormat="1" applyFont="1" applyProtection="1">
      <protection locked="0"/>
    </xf>
    <xf numFmtId="2" fontId="50" fillId="27" borderId="54" xfId="54" applyNumberFormat="1" applyFont="1" applyBorder="1" applyProtection="1">
      <protection locked="0"/>
    </xf>
    <xf numFmtId="183" fontId="50" fillId="27" borderId="47" xfId="54" applyNumberFormat="1" applyFont="1" applyBorder="1" applyProtection="1">
      <protection locked="0"/>
    </xf>
    <xf numFmtId="179" fontId="50" fillId="27" borderId="55" xfId="57" applyFont="1" applyFill="1" applyBorder="1" applyProtection="1">
      <protection locked="0"/>
    </xf>
    <xf numFmtId="179" fontId="50" fillId="27" borderId="56" xfId="57" applyFont="1" applyFill="1" applyBorder="1" applyProtection="1">
      <protection locked="0"/>
    </xf>
    <xf numFmtId="179" fontId="50" fillId="27" borderId="57" xfId="57" applyFont="1" applyFill="1" applyBorder="1" applyProtection="1">
      <protection locked="0"/>
    </xf>
    <xf numFmtId="0" fontId="0" fillId="0" borderId="32" xfId="0" applyBorder="1" applyAlignment="1" applyProtection="1">
      <alignment horizontal="left" indent="1"/>
      <protection locked="0"/>
    </xf>
    <xf numFmtId="179" fontId="50" fillId="27" borderId="59" xfId="57" applyFont="1" applyFill="1" applyBorder="1" applyProtection="1">
      <protection locked="0"/>
    </xf>
    <xf numFmtId="0" fontId="0" fillId="0" borderId="32" xfId="0" applyBorder="1" applyAlignment="1" applyProtection="1">
      <alignment horizontal="left" indent="2"/>
      <protection locked="0"/>
    </xf>
    <xf numFmtId="0" fontId="0" fillId="0" borderId="29" xfId="0" applyBorder="1" applyAlignment="1" applyProtection="1">
      <alignment horizontal="left" indent="2"/>
      <protection locked="0"/>
    </xf>
    <xf numFmtId="179" fontId="50" fillId="27" borderId="58" xfId="57" applyFont="1" applyFill="1" applyBorder="1" applyProtection="1">
      <protection locked="0"/>
    </xf>
    <xf numFmtId="0" fontId="0" fillId="0" borderId="32" xfId="0" applyBorder="1" applyAlignment="1" applyProtection="1">
      <alignment horizontal="left"/>
      <protection locked="0"/>
    </xf>
    <xf numFmtId="0" fontId="0" fillId="0" borderId="29" xfId="0" applyBorder="1" applyAlignment="1" applyProtection="1">
      <alignment horizontal="left"/>
      <protection locked="0"/>
    </xf>
    <xf numFmtId="179" fontId="50" fillId="27" borderId="29" xfId="57" applyFont="1" applyFill="1" applyBorder="1" applyProtection="1">
      <protection locked="0"/>
    </xf>
    <xf numFmtId="0" fontId="7" fillId="0" borderId="0" xfId="0" applyFont="1" applyAlignment="1" applyProtection="1">
      <alignment horizontal="left"/>
      <protection locked="0"/>
    </xf>
    <xf numFmtId="0" fontId="0" fillId="0" borderId="0" xfId="0" applyAlignment="1" applyProtection="1">
      <alignment horizontal="left"/>
      <protection locked="0"/>
    </xf>
    <xf numFmtId="184" fontId="50" fillId="27" borderId="55" xfId="54" applyNumberFormat="1" applyFont="1" applyBorder="1" applyProtection="1">
      <protection locked="0"/>
    </xf>
    <xf numFmtId="184" fontId="50" fillId="27" borderId="56" xfId="54" applyNumberFormat="1" applyFont="1" applyBorder="1" applyProtection="1">
      <protection locked="0"/>
    </xf>
    <xf numFmtId="0" fontId="0" fillId="0" borderId="24" xfId="0" applyBorder="1" applyProtection="1">
      <protection locked="0"/>
    </xf>
    <xf numFmtId="184" fontId="50" fillId="27" borderId="57" xfId="54" applyNumberFormat="1" applyFont="1" applyBorder="1" applyProtection="1">
      <protection locked="0"/>
    </xf>
    <xf numFmtId="2" fontId="0" fillId="5" borderId="0" xfId="0" applyNumberFormat="1" applyFill="1" applyProtection="1">
      <protection locked="0"/>
    </xf>
    <xf numFmtId="184" fontId="50" fillId="27" borderId="58" xfId="54" applyNumberFormat="1" applyFont="1" applyBorder="1" applyProtection="1">
      <protection locked="0"/>
    </xf>
    <xf numFmtId="184" fontId="0" fillId="5" borderId="0" xfId="0" applyNumberFormat="1" applyFill="1" applyProtection="1">
      <protection locked="0"/>
    </xf>
    <xf numFmtId="184" fontId="50" fillId="27" borderId="32" xfId="54" applyNumberFormat="1" applyFont="1" applyBorder="1" applyProtection="1">
      <protection locked="0"/>
    </xf>
    <xf numFmtId="184" fontId="50" fillId="27" borderId="64" xfId="54" applyNumberFormat="1" applyFont="1" applyBorder="1" applyProtection="1">
      <protection locked="0"/>
    </xf>
    <xf numFmtId="184" fontId="50" fillId="27" borderId="65" xfId="54" applyNumberFormat="1" applyFont="1" applyBorder="1" applyProtection="1">
      <protection locked="0"/>
    </xf>
    <xf numFmtId="0" fontId="0" fillId="0" borderId="26" xfId="0" applyBorder="1" applyAlignment="1" applyProtection="1">
      <alignment horizontal="left" vertical="center"/>
      <protection locked="0"/>
    </xf>
    <xf numFmtId="0" fontId="0" fillId="0" borderId="27" xfId="0" applyBorder="1" applyProtection="1">
      <protection locked="0"/>
    </xf>
    <xf numFmtId="0" fontId="45" fillId="24" borderId="33" xfId="50" applyFont="1" applyBorder="1" applyProtection="1">
      <protection locked="0"/>
    </xf>
    <xf numFmtId="0" fontId="0" fillId="0" borderId="24" xfId="0" applyBorder="1" applyAlignment="1" applyProtection="1">
      <alignment horizontal="left" vertical="center"/>
      <protection locked="0"/>
    </xf>
    <xf numFmtId="183" fontId="0" fillId="0" borderId="0" xfId="0" applyNumberFormat="1" applyProtection="1">
      <protection locked="0"/>
    </xf>
    <xf numFmtId="0" fontId="0" fillId="0" borderId="1" xfId="0" applyBorder="1" applyAlignment="1" applyProtection="1">
      <alignment wrapText="1"/>
      <protection locked="0"/>
    </xf>
    <xf numFmtId="0" fontId="0" fillId="0" borderId="19" xfId="0" applyBorder="1" applyProtection="1">
      <protection locked="0"/>
    </xf>
    <xf numFmtId="0" fontId="0" fillId="0" borderId="23" xfId="0" applyBorder="1" applyProtection="1">
      <protection locked="0"/>
    </xf>
    <xf numFmtId="184" fontId="50" fillId="27" borderId="54" xfId="54" applyNumberFormat="1" applyFont="1" applyBorder="1" applyProtection="1">
      <protection locked="0"/>
    </xf>
    <xf numFmtId="184" fontId="50" fillId="27" borderId="61" xfId="54" applyNumberFormat="1" applyFont="1" applyBorder="1" applyProtection="1">
      <protection locked="0"/>
    </xf>
    <xf numFmtId="11" fontId="50" fillId="27" borderId="44" xfId="54" applyNumberFormat="1" applyFont="1" applyBorder="1" applyProtection="1">
      <protection locked="0"/>
    </xf>
    <xf numFmtId="11" fontId="50" fillId="27" borderId="45" xfId="54" applyNumberFormat="1" applyFont="1" applyBorder="1" applyProtection="1">
      <protection locked="0"/>
    </xf>
    <xf numFmtId="11" fontId="50" fillId="27" borderId="46" xfId="54" applyNumberFormat="1" applyFont="1" applyBorder="1" applyProtection="1">
      <protection locked="0"/>
    </xf>
    <xf numFmtId="184" fontId="50" fillId="27" borderId="60" xfId="54" applyNumberFormat="1" applyFont="1" applyBorder="1" applyProtection="1">
      <protection locked="0"/>
    </xf>
    <xf numFmtId="184" fontId="50" fillId="27" borderId="35" xfId="54" applyNumberFormat="1" applyFont="1" applyBorder="1" applyProtection="1">
      <protection locked="0"/>
    </xf>
    <xf numFmtId="0" fontId="44" fillId="0" borderId="30" xfId="51" applyAlignment="1" applyProtection="1">
      <alignment horizontal="center"/>
      <protection locked="0"/>
    </xf>
    <xf numFmtId="0" fontId="75" fillId="35" borderId="30" xfId="51" applyFont="1" applyFill="1" applyProtection="1">
      <protection locked="0"/>
    </xf>
    <xf numFmtId="0" fontId="27" fillId="26" borderId="125" xfId="53" applyFont="1" applyBorder="1" applyProtection="1">
      <protection locked="0"/>
    </xf>
    <xf numFmtId="0" fontId="0" fillId="0" borderId="125" xfId="0" applyBorder="1" applyProtection="1">
      <protection locked="0"/>
    </xf>
    <xf numFmtId="1" fontId="0" fillId="25" borderId="36" xfId="47" applyNumberFormat="1" applyFont="1" applyFill="1" applyBorder="1" applyProtection="1">
      <protection locked="0"/>
    </xf>
    <xf numFmtId="0" fontId="45" fillId="24" borderId="132" xfId="50" applyFont="1" applyBorder="1" applyProtection="1">
      <protection locked="0"/>
    </xf>
    <xf numFmtId="181" fontId="50" fillId="27" borderId="20" xfId="54" applyNumberFormat="1" applyFont="1" applyProtection="1">
      <protection locked="0"/>
    </xf>
    <xf numFmtId="183" fontId="0" fillId="25" borderId="36" xfId="46" applyNumberFormat="1" applyFont="1" applyFill="1" applyBorder="1" applyProtection="1">
      <protection locked="0"/>
    </xf>
    <xf numFmtId="183" fontId="0" fillId="0" borderId="0" xfId="46" applyNumberFormat="1" applyFont="1" applyFill="1" applyBorder="1" applyProtection="1">
      <protection locked="0"/>
    </xf>
    <xf numFmtId="0" fontId="0" fillId="0" borderId="87" xfId="0" applyBorder="1" applyProtection="1">
      <protection locked="0"/>
    </xf>
    <xf numFmtId="184" fontId="27" fillId="29" borderId="32" xfId="56" applyNumberFormat="1" applyFont="1" applyBorder="1" applyProtection="1">
      <protection locked="0"/>
    </xf>
    <xf numFmtId="181" fontId="50" fillId="27" borderId="48" xfId="54" applyNumberFormat="1" applyFont="1" applyBorder="1" applyProtection="1">
      <protection locked="0"/>
    </xf>
    <xf numFmtId="179" fontId="0" fillId="0" borderId="19" xfId="57" applyFont="1" applyBorder="1" applyProtection="1">
      <protection locked="0"/>
    </xf>
    <xf numFmtId="179" fontId="45" fillId="24" borderId="49" xfId="57" applyFont="1" applyFill="1" applyBorder="1" applyProtection="1">
      <protection locked="0"/>
    </xf>
    <xf numFmtId="179" fontId="0" fillId="0" borderId="0" xfId="57" applyFont="1" applyBorder="1" applyProtection="1">
      <protection locked="0"/>
    </xf>
    <xf numFmtId="179" fontId="45" fillId="24" borderId="33" xfId="57" applyFont="1" applyFill="1" applyBorder="1" applyProtection="1">
      <protection locked="0"/>
    </xf>
    <xf numFmtId="179" fontId="45" fillId="24" borderId="50" xfId="57" applyFont="1" applyFill="1" applyBorder="1" applyProtection="1">
      <protection locked="0"/>
    </xf>
    <xf numFmtId="0" fontId="25" fillId="0" borderId="0" xfId="45" applyAlignment="1" applyProtection="1">
      <alignment horizontal="center"/>
      <protection locked="0"/>
    </xf>
    <xf numFmtId="0" fontId="73" fillId="0" borderId="0" xfId="0" applyFont="1" applyProtection="1">
      <protection locked="0"/>
    </xf>
    <xf numFmtId="0" fontId="55" fillId="0" borderId="27" xfId="30" applyFont="1" applyBorder="1" applyProtection="1">
      <protection locked="0"/>
    </xf>
    <xf numFmtId="0" fontId="55" fillId="0" borderId="146" xfId="30" applyFont="1" applyBorder="1" applyProtection="1">
      <protection locked="0"/>
    </xf>
    <xf numFmtId="0" fontId="55" fillId="0" borderId="32" xfId="30" applyFont="1" applyBorder="1" applyProtection="1">
      <protection locked="0"/>
    </xf>
    <xf numFmtId="0" fontId="53" fillId="0" borderId="0" xfId="0" applyFont="1" applyProtection="1">
      <protection locked="0"/>
    </xf>
    <xf numFmtId="0" fontId="0" fillId="0" borderId="69" xfId="0" applyBorder="1" applyProtection="1">
      <protection locked="0"/>
    </xf>
    <xf numFmtId="179" fontId="0" fillId="0" borderId="99" xfId="57" applyFont="1" applyBorder="1" applyProtection="1">
      <protection locked="0"/>
    </xf>
    <xf numFmtId="179" fontId="45" fillId="24" borderId="100" xfId="57" applyFont="1" applyFill="1" applyBorder="1" applyProtection="1">
      <protection locked="0"/>
    </xf>
    <xf numFmtId="0" fontId="55" fillId="0" borderId="27" xfId="30" applyFont="1" applyFill="1" applyBorder="1" applyProtection="1">
      <protection locked="0"/>
    </xf>
    <xf numFmtId="0" fontId="55" fillId="0" borderId="32" xfId="30" applyFont="1" applyFill="1" applyBorder="1" applyProtection="1">
      <protection locked="0"/>
    </xf>
    <xf numFmtId="179" fontId="0" fillId="0" borderId="0" xfId="57" applyFont="1" applyProtection="1">
      <protection locked="0"/>
    </xf>
    <xf numFmtId="0" fontId="0" fillId="26" borderId="66" xfId="53" applyFont="1" applyBorder="1" applyProtection="1">
      <protection locked="0"/>
    </xf>
    <xf numFmtId="179" fontId="45" fillId="24" borderId="20" xfId="57" applyFont="1" applyFill="1" applyBorder="1" applyProtection="1">
      <protection locked="0"/>
    </xf>
    <xf numFmtId="179" fontId="27" fillId="0" borderId="0" xfId="57" applyFont="1" applyBorder="1" applyProtection="1">
      <protection locked="0"/>
    </xf>
    <xf numFmtId="0" fontId="55" fillId="0" borderId="29" xfId="30" applyFont="1" applyBorder="1" applyProtection="1">
      <protection locked="0"/>
    </xf>
    <xf numFmtId="0" fontId="55" fillId="0" borderId="87" xfId="30" applyFont="1" applyBorder="1" applyProtection="1">
      <protection locked="0"/>
    </xf>
    <xf numFmtId="0" fontId="0" fillId="0" borderId="96" xfId="0" applyBorder="1" applyProtection="1">
      <protection locked="0"/>
    </xf>
    <xf numFmtId="0" fontId="0" fillId="0" borderId="28" xfId="0" applyBorder="1" applyAlignment="1" applyProtection="1">
      <alignment horizontal="center" vertical="center"/>
      <protection locked="0"/>
    </xf>
    <xf numFmtId="0" fontId="0" fillId="0" borderId="29" xfId="0" applyBorder="1" applyAlignment="1" applyProtection="1">
      <alignment horizontal="center" vertical="center"/>
      <protection locked="0"/>
    </xf>
    <xf numFmtId="188" fontId="27" fillId="0" borderId="0" xfId="0" applyNumberFormat="1" applyFont="1" applyProtection="1">
      <protection locked="0"/>
    </xf>
    <xf numFmtId="2" fontId="45" fillId="24" borderId="35" xfId="50" applyNumberFormat="1" applyFont="1" applyBorder="1" applyProtection="1">
      <protection locked="0"/>
    </xf>
    <xf numFmtId="0" fontId="0" fillId="0" borderId="31" xfId="0" applyBorder="1" applyAlignment="1" applyProtection="1">
      <alignment horizontal="center"/>
      <protection locked="0"/>
    </xf>
    <xf numFmtId="2" fontId="45" fillId="24" borderId="33" xfId="50" applyNumberFormat="1" applyFont="1" applyBorder="1" applyProtection="1">
      <protection locked="0"/>
    </xf>
    <xf numFmtId="2" fontId="45" fillId="24" borderId="50" xfId="50" applyNumberFormat="1" applyFont="1" applyBorder="1" applyProtection="1">
      <protection locked="0"/>
    </xf>
    <xf numFmtId="0" fontId="27" fillId="26" borderId="137" xfId="53" applyFont="1" applyBorder="1" applyProtection="1">
      <protection locked="0"/>
    </xf>
    <xf numFmtId="188" fontId="27" fillId="0" borderId="147" xfId="0" applyNumberFormat="1" applyFont="1" applyBorder="1" applyProtection="1">
      <protection locked="0"/>
    </xf>
    <xf numFmtId="2" fontId="45" fillId="24" borderId="34" xfId="50" applyNumberFormat="1" applyFont="1" applyBorder="1" applyProtection="1">
      <protection locked="0"/>
    </xf>
    <xf numFmtId="0" fontId="54" fillId="0" borderId="1" xfId="30" applyFont="1" applyBorder="1" applyProtection="1">
      <protection locked="0"/>
    </xf>
    <xf numFmtId="0" fontId="7" fillId="0" borderId="68" xfId="0" applyFont="1" applyBorder="1" applyProtection="1">
      <protection locked="0"/>
    </xf>
    <xf numFmtId="0" fontId="45" fillId="24" borderId="55" xfId="50" applyFont="1" applyBorder="1" applyProtection="1">
      <protection locked="0"/>
    </xf>
    <xf numFmtId="2" fontId="45" fillId="24" borderId="75" xfId="50" applyNumberFormat="1" applyFont="1" applyBorder="1" applyProtection="1">
      <protection locked="0"/>
    </xf>
    <xf numFmtId="0" fontId="25" fillId="0" borderId="19" xfId="45" applyBorder="1" applyProtection="1">
      <protection locked="0"/>
    </xf>
    <xf numFmtId="0" fontId="45" fillId="24" borderId="79" xfId="50" applyFont="1" applyBorder="1" applyProtection="1">
      <protection locked="0"/>
    </xf>
    <xf numFmtId="2" fontId="45" fillId="24" borderId="79" xfId="50" applyNumberFormat="1" applyFont="1" applyBorder="1" applyProtection="1">
      <protection locked="0"/>
    </xf>
    <xf numFmtId="0" fontId="25" fillId="0" borderId="18" xfId="45" applyBorder="1" applyProtection="1">
      <protection locked="0"/>
    </xf>
    <xf numFmtId="2" fontId="45" fillId="24" borderId="81" xfId="50" applyNumberFormat="1" applyFont="1" applyBorder="1" applyProtection="1">
      <protection locked="0"/>
    </xf>
    <xf numFmtId="0" fontId="25" fillId="0" borderId="0" xfId="45" applyBorder="1" applyProtection="1">
      <protection locked="0"/>
    </xf>
    <xf numFmtId="2" fontId="45" fillId="24" borderId="57" xfId="50" applyNumberFormat="1" applyFont="1" applyBorder="1" applyProtection="1">
      <protection locked="0"/>
    </xf>
    <xf numFmtId="188" fontId="0" fillId="0" borderId="0" xfId="0" applyNumberFormat="1" applyProtection="1">
      <protection locked="0"/>
    </xf>
    <xf numFmtId="0" fontId="45" fillId="24" borderId="49" xfId="50" applyFont="1" applyBorder="1" applyProtection="1">
      <protection locked="0"/>
    </xf>
    <xf numFmtId="0" fontId="45" fillId="24" borderId="46" xfId="50" applyFont="1" applyBorder="1" applyProtection="1">
      <protection locked="0"/>
    </xf>
    <xf numFmtId="0" fontId="0" fillId="0" borderId="82" xfId="0" applyBorder="1" applyProtection="1">
      <protection locked="0"/>
    </xf>
    <xf numFmtId="1" fontId="45" fillId="24" borderId="57" xfId="50" applyNumberFormat="1" applyFont="1" applyBorder="1" applyProtection="1">
      <protection locked="0"/>
    </xf>
    <xf numFmtId="0" fontId="27" fillId="26" borderId="84" xfId="53" applyFont="1" applyBorder="1" applyProtection="1">
      <protection locked="0"/>
    </xf>
    <xf numFmtId="0" fontId="0" fillId="0" borderId="85" xfId="0" applyBorder="1" applyAlignment="1" applyProtection="1">
      <alignment horizontal="center"/>
      <protection locked="0"/>
    </xf>
    <xf numFmtId="184" fontId="45" fillId="24" borderId="97" xfId="47" applyNumberFormat="1" applyFont="1" applyFill="1" applyBorder="1" applyProtection="1">
      <protection locked="0"/>
    </xf>
    <xf numFmtId="184" fontId="45" fillId="24" borderId="56" xfId="47" applyNumberFormat="1" applyFont="1" applyFill="1" applyBorder="1" applyProtection="1">
      <protection locked="0"/>
    </xf>
    <xf numFmtId="184" fontId="45" fillId="24" borderId="57" xfId="47" applyNumberFormat="1" applyFont="1" applyFill="1" applyBorder="1" applyProtection="1">
      <protection locked="0"/>
    </xf>
    <xf numFmtId="0" fontId="0" fillId="5" borderId="0" xfId="0" applyFill="1" applyAlignment="1" applyProtection="1">
      <alignment horizontal="center"/>
      <protection locked="0"/>
    </xf>
    <xf numFmtId="184" fontId="50" fillId="27" borderId="49" xfId="54" applyNumberFormat="1" applyFont="1" applyBorder="1" applyProtection="1">
      <protection locked="0"/>
    </xf>
    <xf numFmtId="183" fontId="50" fillId="27" borderId="67" xfId="46" applyNumberFormat="1" applyFont="1" applyFill="1" applyBorder="1" applyProtection="1">
      <protection locked="0"/>
    </xf>
    <xf numFmtId="183" fontId="50" fillId="27" borderId="34" xfId="46" applyNumberFormat="1" applyFont="1" applyFill="1" applyBorder="1" applyProtection="1">
      <protection locked="0"/>
    </xf>
    <xf numFmtId="9" fontId="0" fillId="0" borderId="0" xfId="0" applyNumberFormat="1" applyProtection="1">
      <protection locked="0"/>
    </xf>
    <xf numFmtId="9" fontId="0" fillId="0" borderId="0" xfId="0" applyNumberFormat="1" applyAlignment="1" applyProtection="1">
      <alignment horizontal="center"/>
      <protection locked="0"/>
    </xf>
    <xf numFmtId="0" fontId="50" fillId="27" borderId="20" xfId="54" applyFont="1" applyProtection="1">
      <protection locked="0"/>
    </xf>
    <xf numFmtId="0" fontId="50" fillId="27" borderId="43" xfId="54" applyFont="1" applyBorder="1" applyProtection="1">
      <protection locked="0"/>
    </xf>
    <xf numFmtId="182" fontId="50" fillId="27" borderId="88" xfId="54" applyNumberFormat="1" applyFont="1" applyBorder="1" applyProtection="1">
      <protection locked="0"/>
    </xf>
    <xf numFmtId="184" fontId="50" fillId="27" borderId="86" xfId="54" applyNumberFormat="1" applyFont="1" applyBorder="1" applyProtection="1">
      <protection locked="0"/>
    </xf>
    <xf numFmtId="184" fontId="50" fillId="27" borderId="80" xfId="54" applyNumberFormat="1" applyFont="1" applyBorder="1" applyProtection="1">
      <protection locked="0"/>
    </xf>
    <xf numFmtId="183" fontId="50" fillId="27" borderId="44" xfId="46" applyNumberFormat="1" applyFont="1" applyFill="1" applyBorder="1" applyProtection="1">
      <protection locked="0"/>
    </xf>
    <xf numFmtId="183" fontId="50" fillId="27" borderId="35" xfId="46" applyNumberFormat="1" applyFont="1" applyFill="1" applyBorder="1" applyProtection="1">
      <protection locked="0"/>
    </xf>
    <xf numFmtId="183" fontId="50" fillId="27" borderId="48" xfId="46" applyNumberFormat="1" applyFont="1" applyFill="1" applyBorder="1" applyProtection="1">
      <protection locked="0"/>
    </xf>
    <xf numFmtId="0" fontId="0" fillId="0" borderId="89" xfId="0" applyBorder="1" applyProtection="1">
      <protection locked="0"/>
    </xf>
    <xf numFmtId="0" fontId="0" fillId="0" borderId="102" xfId="0" applyBorder="1" applyProtection="1">
      <protection locked="0"/>
    </xf>
    <xf numFmtId="0" fontId="0" fillId="0" borderId="103" xfId="0" applyBorder="1" applyProtection="1">
      <protection locked="0"/>
    </xf>
    <xf numFmtId="181" fontId="50" fillId="27" borderId="105" xfId="54" applyNumberFormat="1" applyFont="1" applyBorder="1" applyProtection="1">
      <protection locked="0"/>
    </xf>
    <xf numFmtId="181" fontId="50" fillId="27" borderId="105" xfId="54" applyNumberFormat="1" applyFont="1" applyBorder="1" applyAlignment="1" applyProtection="1">
      <protection locked="0"/>
    </xf>
    <xf numFmtId="181" fontId="50" fillId="27" borderId="47" xfId="54" applyNumberFormat="1" applyFont="1" applyBorder="1" applyProtection="1">
      <protection locked="0"/>
    </xf>
    <xf numFmtId="181" fontId="50" fillId="27" borderId="48" xfId="54" applyNumberFormat="1" applyFont="1" applyBorder="1" applyAlignment="1" applyProtection="1">
      <protection locked="0"/>
    </xf>
    <xf numFmtId="181" fontId="50" fillId="27" borderId="34" xfId="54" applyNumberFormat="1" applyFont="1" applyBorder="1" applyAlignment="1" applyProtection="1">
      <protection locked="0"/>
    </xf>
    <xf numFmtId="0" fontId="0" fillId="0" borderId="90" xfId="0" applyBorder="1" applyProtection="1">
      <protection locked="0"/>
    </xf>
    <xf numFmtId="0" fontId="0" fillId="0" borderId="91" xfId="0" applyBorder="1" applyAlignment="1" applyProtection="1">
      <alignment horizontal="center"/>
      <protection locked="0"/>
    </xf>
    <xf numFmtId="179" fontId="50" fillId="27" borderId="93" xfId="57" applyFont="1" applyFill="1" applyBorder="1" applyProtection="1">
      <protection locked="0"/>
    </xf>
    <xf numFmtId="179" fontId="50" fillId="27" borderId="94" xfId="57" applyFont="1" applyFill="1" applyBorder="1" applyProtection="1">
      <protection locked="0"/>
    </xf>
    <xf numFmtId="179" fontId="50" fillId="27" borderId="94" xfId="57" applyFont="1" applyFill="1" applyBorder="1" applyAlignment="1" applyProtection="1">
      <alignment horizontal="center"/>
      <protection locked="0"/>
    </xf>
    <xf numFmtId="179" fontId="50" fillId="27" borderId="95" xfId="57" applyFont="1" applyFill="1" applyBorder="1" applyAlignment="1" applyProtection="1">
      <alignment horizontal="center"/>
      <protection locked="0"/>
    </xf>
    <xf numFmtId="183" fontId="50" fillId="27" borderId="33" xfId="46" applyNumberFormat="1" applyFont="1" applyFill="1" applyBorder="1" applyProtection="1">
      <protection locked="0"/>
    </xf>
    <xf numFmtId="0" fontId="0" fillId="0" borderId="26" xfId="0" applyBorder="1" applyAlignment="1" applyProtection="1">
      <alignment horizontal="left" indent="3"/>
      <protection locked="0"/>
    </xf>
    <xf numFmtId="0" fontId="0" fillId="0" borderId="26" xfId="0" applyBorder="1" applyAlignment="1" applyProtection="1">
      <alignment horizontal="left" indent="2"/>
      <protection locked="0"/>
    </xf>
    <xf numFmtId="0" fontId="0" fillId="0" borderId="26" xfId="0" applyBorder="1" applyAlignment="1" applyProtection="1">
      <alignment horizontal="left" indent="1"/>
      <protection locked="0"/>
    </xf>
    <xf numFmtId="0" fontId="0" fillId="0" borderId="90" xfId="0" applyBorder="1" applyAlignment="1" applyProtection="1">
      <alignment horizontal="center"/>
      <protection locked="0"/>
    </xf>
    <xf numFmtId="0" fontId="0" fillId="0" borderId="26" xfId="0" applyBorder="1" applyAlignment="1" applyProtection="1">
      <alignment horizontal="left"/>
      <protection locked="0"/>
    </xf>
    <xf numFmtId="181" fontId="50" fillId="27" borderId="61" xfId="54" applyNumberFormat="1" applyFont="1" applyBorder="1" applyProtection="1">
      <protection locked="0"/>
    </xf>
    <xf numFmtId="181" fontId="50" fillId="27" borderId="43" xfId="54" applyNumberFormat="1" applyFont="1" applyBorder="1" applyProtection="1">
      <protection locked="0"/>
    </xf>
    <xf numFmtId="181" fontId="50" fillId="27" borderId="43" xfId="54" applyNumberFormat="1" applyFont="1" applyBorder="1" applyAlignment="1" applyProtection="1">
      <protection locked="0"/>
    </xf>
    <xf numFmtId="181" fontId="50" fillId="27" borderId="50" xfId="54" applyNumberFormat="1" applyFont="1" applyBorder="1" applyAlignment="1" applyProtection="1">
      <protection locked="0"/>
    </xf>
    <xf numFmtId="199" fontId="50" fillId="27" borderId="33" xfId="57" applyNumberFormat="1" applyFont="1" applyFill="1" applyBorder="1" applyProtection="1">
      <protection locked="0"/>
    </xf>
    <xf numFmtId="0" fontId="0" fillId="0" borderId="139" xfId="0" applyBorder="1" applyAlignment="1" applyProtection="1">
      <alignment horizontal="left"/>
      <protection locked="0"/>
    </xf>
    <xf numFmtId="0" fontId="0" fillId="0" borderId="114" xfId="0" applyBorder="1" applyProtection="1">
      <protection locked="0"/>
    </xf>
    <xf numFmtId="0" fontId="0" fillId="0" borderId="146" xfId="0" applyBorder="1" applyProtection="1">
      <protection locked="0"/>
    </xf>
    <xf numFmtId="0" fontId="0" fillId="0" borderId="138" xfId="0" applyBorder="1" applyProtection="1">
      <protection locked="0"/>
    </xf>
    <xf numFmtId="0" fontId="70" fillId="0" borderId="0" xfId="0" applyFont="1" applyProtection="1">
      <protection locked="0"/>
    </xf>
    <xf numFmtId="0" fontId="52" fillId="0" borderId="0" xfId="0" applyFont="1" applyAlignment="1" applyProtection="1">
      <alignment horizontal="right"/>
      <protection locked="0"/>
    </xf>
    <xf numFmtId="0" fontId="7" fillId="0" borderId="0" xfId="0" applyFont="1" applyAlignment="1" applyProtection="1">
      <alignment horizontal="right"/>
      <protection locked="0"/>
    </xf>
    <xf numFmtId="0" fontId="0" fillId="32" borderId="14" xfId="0" applyFill="1" applyBorder="1" applyProtection="1">
      <protection locked="0"/>
    </xf>
    <xf numFmtId="0" fontId="53" fillId="32" borderId="15" xfId="0" applyFont="1" applyFill="1" applyBorder="1" applyProtection="1">
      <protection locked="0"/>
    </xf>
    <xf numFmtId="0" fontId="0" fillId="32" borderId="15" xfId="0" applyFill="1" applyBorder="1" applyProtection="1">
      <protection locked="0"/>
    </xf>
    <xf numFmtId="0" fontId="0" fillId="32" borderId="16" xfId="0" applyFill="1" applyBorder="1" applyProtection="1">
      <protection locked="0"/>
    </xf>
    <xf numFmtId="0" fontId="0" fillId="32" borderId="13" xfId="0" applyFill="1" applyBorder="1" applyProtection="1">
      <protection locked="0"/>
    </xf>
    <xf numFmtId="1" fontId="39" fillId="32" borderId="0" xfId="0" applyNumberFormat="1" applyFont="1" applyFill="1" applyProtection="1">
      <protection locked="0"/>
    </xf>
    <xf numFmtId="0" fontId="0" fillId="32" borderId="0" xfId="0" applyFill="1" applyProtection="1">
      <protection locked="0"/>
    </xf>
    <xf numFmtId="0" fontId="0" fillId="32" borderId="17" xfId="0" applyFill="1" applyBorder="1" applyProtection="1">
      <protection locked="0"/>
    </xf>
    <xf numFmtId="0" fontId="39" fillId="32" borderId="0" xfId="0" applyFont="1" applyFill="1" applyProtection="1">
      <protection locked="0"/>
    </xf>
    <xf numFmtId="2" fontId="39" fillId="32" borderId="0" xfId="0" applyNumberFormat="1" applyFont="1" applyFill="1" applyProtection="1">
      <protection locked="0"/>
    </xf>
    <xf numFmtId="1" fontId="0" fillId="32" borderId="0" xfId="0" applyNumberFormat="1" applyFill="1" applyProtection="1">
      <protection locked="0"/>
    </xf>
    <xf numFmtId="9" fontId="0" fillId="32" borderId="0" xfId="47" applyFont="1" applyFill="1" applyBorder="1" applyProtection="1">
      <protection locked="0"/>
    </xf>
    <xf numFmtId="0" fontId="0" fillId="32" borderId="0" xfId="0" applyFill="1" applyAlignment="1" applyProtection="1">
      <alignment horizontal="right"/>
      <protection locked="0"/>
    </xf>
    <xf numFmtId="3" fontId="0" fillId="32" borderId="0" xfId="0" applyNumberFormat="1" applyFill="1" applyProtection="1">
      <protection locked="0"/>
    </xf>
    <xf numFmtId="0" fontId="70" fillId="32" borderId="13" xfId="0" applyFont="1" applyFill="1" applyBorder="1" applyProtection="1">
      <protection locked="0"/>
    </xf>
    <xf numFmtId="182" fontId="0" fillId="32" borderId="0" xfId="0" applyNumberFormat="1" applyFill="1" applyProtection="1">
      <protection locked="0"/>
    </xf>
    <xf numFmtId="0" fontId="53" fillId="32" borderId="0" xfId="52" applyFont="1" applyFill="1" applyBorder="1" applyProtection="1">
      <protection locked="0"/>
    </xf>
    <xf numFmtId="200" fontId="0" fillId="32" borderId="0" xfId="57" applyNumberFormat="1" applyFont="1" applyFill="1" applyBorder="1" applyProtection="1">
      <protection locked="0"/>
    </xf>
    <xf numFmtId="2" fontId="0" fillId="32" borderId="0" xfId="0" applyNumberFormat="1" applyFill="1" applyProtection="1">
      <protection locked="0"/>
    </xf>
    <xf numFmtId="201" fontId="0" fillId="32" borderId="0" xfId="57" applyNumberFormat="1" applyFont="1" applyFill="1" applyBorder="1" applyProtection="1">
      <protection locked="0"/>
    </xf>
    <xf numFmtId="179" fontId="0" fillId="32" borderId="0" xfId="57" applyFont="1" applyFill="1" applyBorder="1" applyProtection="1">
      <protection locked="0"/>
    </xf>
    <xf numFmtId="0" fontId="0" fillId="32" borderId="148" xfId="0" applyFill="1" applyBorder="1" applyProtection="1">
      <protection locked="0"/>
    </xf>
    <xf numFmtId="0" fontId="0" fillId="32" borderId="149" xfId="0" applyFill="1" applyBorder="1" applyProtection="1">
      <protection locked="0"/>
    </xf>
    <xf numFmtId="0" fontId="0" fillId="32" borderId="150" xfId="0" applyFill="1" applyBorder="1" applyProtection="1">
      <protection locked="0"/>
    </xf>
    <xf numFmtId="0" fontId="0" fillId="32" borderId="133" xfId="0" applyFill="1" applyBorder="1" applyProtection="1">
      <protection locked="0"/>
    </xf>
    <xf numFmtId="0" fontId="0" fillId="32" borderId="134" xfId="0" applyFill="1" applyBorder="1" applyProtection="1">
      <protection locked="0"/>
    </xf>
    <xf numFmtId="0" fontId="0" fillId="32" borderId="135" xfId="0" applyFill="1" applyBorder="1" applyProtection="1">
      <protection locked="0"/>
    </xf>
    <xf numFmtId="179" fontId="39" fillId="32" borderId="0" xfId="57" applyFont="1" applyFill="1" applyBorder="1" applyProtection="1">
      <protection locked="0"/>
    </xf>
    <xf numFmtId="183" fontId="53" fillId="32" borderId="0" xfId="0" applyNumberFormat="1" applyFont="1" applyFill="1" applyProtection="1">
      <protection locked="0"/>
    </xf>
    <xf numFmtId="183" fontId="0" fillId="32" borderId="0" xfId="0" applyNumberFormat="1" applyFill="1" applyProtection="1">
      <protection locked="0"/>
    </xf>
    <xf numFmtId="199" fontId="39" fillId="32" borderId="0" xfId="57" applyNumberFormat="1" applyFont="1" applyFill="1" applyBorder="1" applyProtection="1">
      <protection locked="0"/>
    </xf>
    <xf numFmtId="184" fontId="0" fillId="32" borderId="0" xfId="0" applyNumberFormat="1" applyFill="1" applyProtection="1">
      <protection locked="0"/>
    </xf>
    <xf numFmtId="0" fontId="0" fillId="32" borderId="0" xfId="0" applyFill="1" applyAlignment="1" applyProtection="1">
      <alignment horizontal="left"/>
      <protection locked="0"/>
    </xf>
    <xf numFmtId="0" fontId="39" fillId="32" borderId="0" xfId="52" applyFont="1" applyFill="1" applyBorder="1" applyProtection="1">
      <protection locked="0"/>
    </xf>
    <xf numFmtId="199" fontId="0" fillId="32" borderId="0" xfId="57" applyNumberFormat="1" applyFont="1" applyFill="1" applyBorder="1" applyAlignment="1" applyProtection="1">
      <alignment horizontal="center" vertical="center"/>
      <protection locked="0"/>
    </xf>
    <xf numFmtId="9" fontId="0" fillId="32" borderId="0" xfId="47" applyFont="1" applyFill="1" applyBorder="1" applyAlignment="1" applyProtection="1">
      <alignment horizontal="center" vertical="center"/>
      <protection locked="0"/>
    </xf>
    <xf numFmtId="199" fontId="0" fillId="32" borderId="0" xfId="57" applyNumberFormat="1" applyFont="1" applyFill="1" applyBorder="1" applyProtection="1">
      <protection locked="0"/>
    </xf>
    <xf numFmtId="199" fontId="0" fillId="32" borderId="149" xfId="57" applyNumberFormat="1" applyFont="1" applyFill="1" applyBorder="1" applyProtection="1">
      <protection locked="0"/>
    </xf>
    <xf numFmtId="9" fontId="0" fillId="32" borderId="149" xfId="47" applyFont="1" applyFill="1" applyBorder="1" applyProtection="1">
      <protection locked="0"/>
    </xf>
    <xf numFmtId="199" fontId="0" fillId="32" borderId="134" xfId="57" applyNumberFormat="1" applyFont="1" applyFill="1" applyBorder="1" applyProtection="1">
      <protection locked="0"/>
    </xf>
    <xf numFmtId="9" fontId="0" fillId="32" borderId="134" xfId="47" applyFont="1" applyFill="1" applyBorder="1" applyProtection="1">
      <protection locked="0"/>
    </xf>
    <xf numFmtId="0" fontId="0" fillId="32" borderId="0" xfId="47" applyNumberFormat="1" applyFont="1" applyFill="1" applyBorder="1" applyAlignment="1" applyProtection="1">
      <alignment horizontal="left"/>
      <protection locked="0"/>
    </xf>
    <xf numFmtId="9" fontId="0" fillId="32" borderId="17" xfId="47" applyFont="1" applyFill="1" applyBorder="1" applyProtection="1">
      <protection locked="0"/>
    </xf>
    <xf numFmtId="0" fontId="53" fillId="0" borderId="0" xfId="0" applyFont="1" applyAlignment="1" applyProtection="1">
      <alignment horizontal="right"/>
      <protection locked="0"/>
    </xf>
    <xf numFmtId="0" fontId="0" fillId="0" borderId="0" xfId="52" applyFont="1" applyFill="1" applyBorder="1" applyAlignment="1" applyProtection="1">
      <alignment horizontal="center"/>
      <protection locked="0"/>
    </xf>
    <xf numFmtId="0" fontId="53" fillId="0" borderId="0" xfId="52" applyFont="1" applyFill="1" applyBorder="1" applyAlignment="1" applyProtection="1">
      <alignment horizontal="left"/>
      <protection locked="0"/>
    </xf>
    <xf numFmtId="190" fontId="56" fillId="0" borderId="0" xfId="58" applyNumberFormat="1" applyFill="1" applyBorder="1" applyAlignment="1" applyProtection="1">
      <alignment horizontal="center"/>
      <protection locked="0"/>
    </xf>
    <xf numFmtId="190" fontId="56" fillId="0" borderId="0" xfId="58" applyNumberFormat="1" applyFill="1" applyBorder="1" applyAlignment="1" applyProtection="1">
      <alignment horizontal="left"/>
      <protection locked="0"/>
    </xf>
    <xf numFmtId="0" fontId="53" fillId="0" borderId="0" xfId="0" applyFont="1" applyAlignment="1" applyProtection="1">
      <alignment horizontal="left"/>
      <protection locked="0"/>
    </xf>
    <xf numFmtId="2" fontId="57" fillId="0" borderId="0" xfId="0" applyNumberFormat="1" applyFont="1" applyAlignment="1" applyProtection="1">
      <alignment horizontal="left"/>
      <protection locked="0"/>
    </xf>
    <xf numFmtId="191" fontId="58" fillId="0" borderId="0" xfId="0" applyNumberFormat="1" applyFont="1" applyAlignment="1" applyProtection="1">
      <alignment horizontal="left"/>
      <protection locked="0"/>
    </xf>
    <xf numFmtId="0" fontId="39" fillId="0" borderId="0" xfId="0" applyFont="1" applyProtection="1">
      <protection locked="0"/>
    </xf>
    <xf numFmtId="3" fontId="0" fillId="0" borderId="0" xfId="0" applyNumberFormat="1" applyProtection="1">
      <protection locked="0"/>
    </xf>
    <xf numFmtId="182" fontId="0" fillId="0" borderId="0" xfId="0" applyNumberFormat="1" applyProtection="1">
      <protection locked="0"/>
    </xf>
    <xf numFmtId="0" fontId="26" fillId="0" borderId="0" xfId="0" applyFont="1" applyAlignment="1" applyProtection="1">
      <alignment horizontal="center" vertical="center"/>
      <protection locked="0"/>
    </xf>
    <xf numFmtId="0" fontId="0" fillId="0" borderId="0" xfId="0" applyAlignment="1" applyProtection="1">
      <alignment horizontal="right"/>
      <protection locked="0"/>
    </xf>
    <xf numFmtId="1" fontId="0" fillId="32" borderId="0" xfId="47" applyNumberFormat="1" applyFont="1" applyFill="1" applyBorder="1" applyProtection="1">
      <protection locked="0"/>
    </xf>
    <xf numFmtId="0" fontId="0" fillId="32" borderId="17" xfId="0" applyFill="1" applyBorder="1" applyAlignment="1" applyProtection="1">
      <alignment horizontal="right"/>
      <protection locked="0"/>
    </xf>
    <xf numFmtId="179" fontId="0" fillId="32" borderId="0" xfId="57" applyFont="1" applyFill="1" applyBorder="1" applyAlignment="1" applyProtection="1">
      <alignment horizontal="right"/>
      <protection locked="0"/>
    </xf>
    <xf numFmtId="0" fontId="0" fillId="32" borderId="92" xfId="0" applyFill="1" applyBorder="1" applyProtection="1">
      <protection locked="0"/>
    </xf>
    <xf numFmtId="0" fontId="0" fillId="32" borderId="18" xfId="0" applyFill="1" applyBorder="1" applyProtection="1">
      <protection locked="0"/>
    </xf>
    <xf numFmtId="199" fontId="0" fillId="32" borderId="18" xfId="57" applyNumberFormat="1" applyFont="1" applyFill="1" applyBorder="1" applyProtection="1">
      <protection locked="0"/>
    </xf>
    <xf numFmtId="9" fontId="0" fillId="32" borderId="18" xfId="47" applyFont="1" applyFill="1" applyBorder="1" applyProtection="1">
      <protection locked="0"/>
    </xf>
    <xf numFmtId="0" fontId="0" fillId="32" borderId="101" xfId="0" applyFill="1" applyBorder="1" applyProtection="1">
      <protection locked="0"/>
    </xf>
    <xf numFmtId="184" fontId="0" fillId="0" borderId="0" xfId="0" applyNumberFormat="1" applyAlignment="1" applyProtection="1">
      <alignment horizontal="center"/>
      <protection locked="0"/>
    </xf>
    <xf numFmtId="0" fontId="70" fillId="32" borderId="0" xfId="0" applyFont="1" applyFill="1" applyProtection="1">
      <protection locked="0"/>
    </xf>
    <xf numFmtId="0" fontId="0" fillId="32" borderId="0" xfId="57" applyNumberFormat="1" applyFont="1" applyFill="1" applyBorder="1" applyProtection="1">
      <protection locked="0"/>
    </xf>
    <xf numFmtId="181" fontId="0" fillId="32" borderId="17" xfId="47" applyNumberFormat="1" applyFont="1" applyFill="1" applyBorder="1" applyAlignment="1" applyProtection="1">
      <alignment horizontal="center"/>
      <protection locked="0"/>
    </xf>
    <xf numFmtId="0" fontId="72" fillId="32" borderId="13" xfId="0" applyFont="1" applyFill="1" applyBorder="1" applyProtection="1">
      <protection locked="0"/>
    </xf>
    <xf numFmtId="181" fontId="0" fillId="32" borderId="17" xfId="0" applyNumberFormat="1" applyFill="1" applyBorder="1" applyAlignment="1" applyProtection="1">
      <alignment horizontal="center"/>
      <protection locked="0"/>
    </xf>
    <xf numFmtId="179" fontId="0" fillId="32" borderId="149" xfId="57" applyFont="1" applyFill="1" applyBorder="1" applyProtection="1">
      <protection locked="0"/>
    </xf>
    <xf numFmtId="179" fontId="0" fillId="32" borderId="134" xfId="57" applyFont="1" applyFill="1" applyBorder="1" applyProtection="1">
      <protection locked="0"/>
    </xf>
    <xf numFmtId="9" fontId="76" fillId="32" borderId="0" xfId="47" applyFont="1" applyFill="1" applyBorder="1" applyAlignment="1" applyProtection="1">
      <alignment horizontal="center" vertical="center"/>
      <protection locked="0"/>
    </xf>
    <xf numFmtId="179" fontId="0" fillId="0" borderId="0" xfId="57" applyFont="1" applyFill="1" applyBorder="1" applyProtection="1">
      <protection locked="0"/>
    </xf>
    <xf numFmtId="9" fontId="0" fillId="0" borderId="0" xfId="47" applyFont="1" applyFill="1" applyBorder="1" applyProtection="1">
      <protection locked="0"/>
    </xf>
    <xf numFmtId="0" fontId="60" fillId="5" borderId="14" xfId="0" applyFont="1" applyFill="1" applyBorder="1" applyProtection="1">
      <protection locked="0"/>
    </xf>
    <xf numFmtId="4" fontId="60" fillId="5" borderId="15" xfId="0" applyNumberFormat="1" applyFont="1" applyFill="1" applyBorder="1" applyProtection="1">
      <protection locked="0"/>
    </xf>
    <xf numFmtId="182" fontId="0" fillId="5" borderId="15" xfId="0" applyNumberFormat="1" applyFill="1" applyBorder="1" applyProtection="1">
      <protection locked="0"/>
    </xf>
    <xf numFmtId="0" fontId="0" fillId="5" borderId="15" xfId="0" applyFill="1" applyBorder="1" applyProtection="1">
      <protection locked="0"/>
    </xf>
    <xf numFmtId="0" fontId="0" fillId="5" borderId="16" xfId="0" applyFill="1" applyBorder="1" applyProtection="1">
      <protection locked="0"/>
    </xf>
    <xf numFmtId="0" fontId="0" fillId="5" borderId="13" xfId="0" applyFill="1" applyBorder="1" applyProtection="1">
      <protection locked="0"/>
    </xf>
    <xf numFmtId="4" fontId="0" fillId="5" borderId="0" xfId="0" applyNumberFormat="1" applyFill="1" applyAlignment="1" applyProtection="1">
      <alignment vertical="center"/>
      <protection locked="0"/>
    </xf>
    <xf numFmtId="182" fontId="0" fillId="5" borderId="0" xfId="0" applyNumberFormat="1" applyFill="1" applyAlignment="1" applyProtection="1">
      <alignment vertical="center"/>
      <protection locked="0"/>
    </xf>
    <xf numFmtId="182" fontId="0" fillId="5" borderId="17" xfId="0" applyNumberFormat="1" applyFill="1" applyBorder="1" applyAlignment="1" applyProtection="1">
      <alignment vertical="center"/>
      <protection locked="0"/>
    </xf>
    <xf numFmtId="0" fontId="0" fillId="5" borderId="17" xfId="0" applyFill="1" applyBorder="1" applyProtection="1">
      <protection locked="0"/>
    </xf>
    <xf numFmtId="0" fontId="0" fillId="5" borderId="13" xfId="0" applyFill="1" applyBorder="1" applyAlignment="1" applyProtection="1">
      <alignment horizontal="left" vertical="top" wrapText="1"/>
      <protection locked="0"/>
    </xf>
    <xf numFmtId="9" fontId="0" fillId="5" borderId="0" xfId="47" applyFont="1" applyFill="1" applyBorder="1" applyAlignment="1" applyProtection="1">
      <alignment horizontal="right" vertical="center" wrapText="1"/>
      <protection locked="0"/>
    </xf>
    <xf numFmtId="0" fontId="0" fillId="5" borderId="0" xfId="0" applyFill="1" applyAlignment="1" applyProtection="1">
      <alignment horizontal="left" vertical="top" wrapText="1"/>
      <protection locked="0"/>
    </xf>
    <xf numFmtId="0" fontId="53" fillId="0" borderId="0" xfId="52" applyFont="1" applyFill="1" applyBorder="1" applyProtection="1">
      <protection locked="0"/>
    </xf>
    <xf numFmtId="0" fontId="0" fillId="5" borderId="0" xfId="0" applyFill="1" applyAlignment="1" applyProtection="1">
      <alignment horizontal="right" vertical="center" wrapText="1"/>
      <protection locked="0"/>
    </xf>
    <xf numFmtId="0" fontId="39" fillId="5" borderId="0" xfId="52" applyFont="1" applyFill="1" applyBorder="1" applyProtection="1">
      <protection locked="0"/>
    </xf>
    <xf numFmtId="0" fontId="0" fillId="5" borderId="0" xfId="0" applyFill="1" applyAlignment="1" applyProtection="1">
      <alignment horizontal="left" vertical="center" wrapText="1"/>
      <protection locked="0"/>
    </xf>
    <xf numFmtId="0" fontId="39" fillId="0" borderId="0" xfId="0" applyFont="1" applyAlignment="1" applyProtection="1">
      <alignment horizontal="center"/>
      <protection locked="0"/>
    </xf>
    <xf numFmtId="0" fontId="70" fillId="5" borderId="13" xfId="0" applyFont="1" applyFill="1" applyBorder="1" applyProtection="1">
      <protection locked="0"/>
    </xf>
    <xf numFmtId="0" fontId="0" fillId="5" borderId="148" xfId="0" applyFill="1" applyBorder="1" applyAlignment="1" applyProtection="1">
      <alignment horizontal="left" vertical="top" wrapText="1"/>
      <protection locked="0"/>
    </xf>
    <xf numFmtId="0" fontId="0" fillId="5" borderId="149" xfId="0" applyFill="1" applyBorder="1" applyAlignment="1" applyProtection="1">
      <alignment horizontal="left" vertical="center" wrapText="1"/>
      <protection locked="0"/>
    </xf>
    <xf numFmtId="0" fontId="0" fillId="5" borderId="149" xfId="0" applyFill="1" applyBorder="1" applyAlignment="1" applyProtection="1">
      <alignment horizontal="left" vertical="top" wrapText="1"/>
      <protection locked="0"/>
    </xf>
    <xf numFmtId="0" fontId="0" fillId="5" borderId="150" xfId="0" applyFill="1" applyBorder="1" applyProtection="1">
      <protection locked="0"/>
    </xf>
    <xf numFmtId="182" fontId="0" fillId="5" borderId="0" xfId="0" applyNumberFormat="1" applyFill="1" applyProtection="1">
      <protection locked="0"/>
    </xf>
    <xf numFmtId="0" fontId="53" fillId="5" borderId="0" xfId="52" applyFont="1" applyFill="1" applyBorder="1" applyProtection="1">
      <protection locked="0"/>
    </xf>
    <xf numFmtId="0" fontId="0" fillId="5" borderId="92" xfId="0" applyFill="1" applyBorder="1" applyProtection="1">
      <protection locked="0"/>
    </xf>
    <xf numFmtId="0" fontId="0" fillId="5" borderId="18" xfId="0" applyFill="1" applyBorder="1" applyProtection="1">
      <protection locked="0"/>
    </xf>
    <xf numFmtId="0" fontId="0" fillId="5" borderId="101" xfId="0" applyFill="1" applyBorder="1" applyProtection="1">
      <protection locked="0"/>
    </xf>
    <xf numFmtId="0" fontId="39" fillId="5" borderId="0" xfId="0" applyFont="1" applyFill="1" applyProtection="1">
      <protection locked="0"/>
    </xf>
    <xf numFmtId="2" fontId="53" fillId="0" borderId="0" xfId="0" applyNumberFormat="1" applyFont="1" applyProtection="1">
      <protection locked="0"/>
    </xf>
    <xf numFmtId="2" fontId="39" fillId="0" borderId="0" xfId="0" applyNumberFormat="1" applyFont="1" applyProtection="1">
      <protection locked="0"/>
    </xf>
    <xf numFmtId="190" fontId="56" fillId="0" borderId="0" xfId="58" applyNumberFormat="1" applyFill="1" applyBorder="1" applyProtection="1">
      <protection locked="0"/>
    </xf>
    <xf numFmtId="0" fontId="63" fillId="0" borderId="0" xfId="0" applyFont="1" applyProtection="1">
      <protection locked="0"/>
    </xf>
    <xf numFmtId="0" fontId="63" fillId="0" borderId="0" xfId="0" applyFont="1" applyAlignment="1" applyProtection="1">
      <alignment horizontal="center"/>
      <protection locked="0"/>
    </xf>
    <xf numFmtId="1" fontId="53" fillId="0" borderId="0" xfId="0" applyNumberFormat="1" applyFont="1" applyProtection="1">
      <protection locked="0"/>
    </xf>
    <xf numFmtId="1" fontId="53" fillId="5" borderId="0" xfId="0" applyNumberFormat="1" applyFont="1" applyFill="1" applyProtection="1">
      <protection locked="0"/>
    </xf>
    <xf numFmtId="0" fontId="0" fillId="5" borderId="0" xfId="0" applyFill="1" applyAlignment="1" applyProtection="1">
      <alignment horizontal="right"/>
      <protection locked="0"/>
    </xf>
    <xf numFmtId="199" fontId="0" fillId="5" borderId="0" xfId="57" applyNumberFormat="1" applyFont="1" applyFill="1" applyBorder="1" applyAlignment="1" applyProtection="1">
      <alignment horizontal="center" vertical="center"/>
      <protection locked="0"/>
    </xf>
    <xf numFmtId="9" fontId="0" fillId="5" borderId="0" xfId="47" applyFont="1" applyFill="1" applyBorder="1" applyAlignment="1" applyProtection="1">
      <alignment horizontal="center" vertical="center"/>
      <protection locked="0"/>
    </xf>
    <xf numFmtId="9" fontId="53" fillId="0" borderId="0" xfId="47" applyFont="1" applyFill="1" applyBorder="1" applyProtection="1">
      <protection locked="0"/>
    </xf>
    <xf numFmtId="9" fontId="53" fillId="5" borderId="0" xfId="47" applyFont="1" applyFill="1" applyBorder="1" applyProtection="1">
      <protection locked="0"/>
    </xf>
    <xf numFmtId="199" fontId="0" fillId="5" borderId="0" xfId="57" applyNumberFormat="1" applyFont="1" applyFill="1" applyBorder="1" applyProtection="1">
      <protection locked="0"/>
    </xf>
    <xf numFmtId="9" fontId="0" fillId="5" borderId="0" xfId="47" applyFont="1" applyFill="1" applyBorder="1" applyProtection="1">
      <protection locked="0"/>
    </xf>
    <xf numFmtId="191" fontId="58" fillId="0" borderId="0" xfId="0" applyNumberFormat="1" applyFont="1" applyProtection="1">
      <protection locked="0"/>
    </xf>
    <xf numFmtId="191" fontId="58" fillId="5" borderId="0" xfId="0" applyNumberFormat="1" applyFont="1" applyFill="1" applyProtection="1">
      <protection locked="0"/>
    </xf>
    <xf numFmtId="0" fontId="70" fillId="5" borderId="92" xfId="0" applyFont="1" applyFill="1" applyBorder="1" applyProtection="1">
      <protection locked="0"/>
    </xf>
    <xf numFmtId="0" fontId="0" fillId="5" borderId="18" xfId="0" applyFill="1" applyBorder="1" applyAlignment="1" applyProtection="1">
      <alignment horizontal="right"/>
      <protection locked="0"/>
    </xf>
    <xf numFmtId="2" fontId="39" fillId="5" borderId="18" xfId="0" applyNumberFormat="1" applyFont="1" applyFill="1" applyBorder="1" applyProtection="1">
      <protection locked="0"/>
    </xf>
    <xf numFmtId="0" fontId="0" fillId="5" borderId="18" xfId="0" applyFill="1" applyBorder="1" applyAlignment="1" applyProtection="1">
      <alignment horizontal="center" vertical="center"/>
      <protection locked="0"/>
    </xf>
    <xf numFmtId="2" fontId="39" fillId="5" borderId="0" xfId="0" applyNumberFormat="1" applyFont="1" applyFill="1" applyProtection="1">
      <protection locked="0"/>
    </xf>
    <xf numFmtId="0" fontId="0" fillId="5" borderId="0" xfId="0" applyFill="1" applyAlignment="1" applyProtection="1">
      <alignment horizontal="center" vertical="center"/>
      <protection locked="0"/>
    </xf>
    <xf numFmtId="182" fontId="53" fillId="0" borderId="0" xfId="0" applyNumberFormat="1" applyFont="1" applyProtection="1">
      <protection locked="0"/>
    </xf>
    <xf numFmtId="4" fontId="0" fillId="5" borderId="0" xfId="0" applyNumberFormat="1" applyFill="1" applyProtection="1">
      <protection locked="0"/>
    </xf>
    <xf numFmtId="179" fontId="0" fillId="5" borderId="0" xfId="57" applyFont="1" applyFill="1" applyBorder="1" applyAlignment="1" applyProtection="1">
      <alignment horizontal="right"/>
      <protection locked="0"/>
    </xf>
    <xf numFmtId="2" fontId="61" fillId="0" borderId="0" xfId="0" applyNumberFormat="1" applyFont="1" applyProtection="1">
      <protection locked="0"/>
    </xf>
    <xf numFmtId="1" fontId="0" fillId="0" borderId="0" xfId="0" applyNumberFormat="1" applyAlignment="1" applyProtection="1">
      <alignment horizontal="center"/>
      <protection locked="0"/>
    </xf>
    <xf numFmtId="182" fontId="39" fillId="0" borderId="0" xfId="0" applyNumberFormat="1" applyFont="1" applyAlignment="1" applyProtection="1">
      <alignment horizontal="center"/>
      <protection locked="0"/>
    </xf>
    <xf numFmtId="182" fontId="0" fillId="0" borderId="0" xfId="0" applyNumberFormat="1" applyAlignment="1" applyProtection="1">
      <alignment horizontal="center"/>
      <protection locked="0"/>
    </xf>
    <xf numFmtId="2" fontId="0" fillId="0" borderId="0" xfId="0" applyNumberFormat="1" applyAlignment="1" applyProtection="1">
      <alignment horizontal="center"/>
      <protection locked="0"/>
    </xf>
    <xf numFmtId="0" fontId="0" fillId="5" borderId="17" xfId="0" applyFill="1" applyBorder="1" applyAlignment="1" applyProtection="1">
      <alignment horizontal="left"/>
      <protection locked="0"/>
    </xf>
    <xf numFmtId="0" fontId="61" fillId="0" borderId="0" xfId="0" applyFont="1" applyProtection="1">
      <protection locked="0"/>
    </xf>
    <xf numFmtId="0" fontId="0" fillId="5" borderId="148" xfId="0" applyFill="1" applyBorder="1" applyProtection="1">
      <protection locked="0"/>
    </xf>
    <xf numFmtId="0" fontId="0" fillId="5" borderId="149" xfId="0" applyFill="1" applyBorder="1" applyProtection="1">
      <protection locked="0"/>
    </xf>
    <xf numFmtId="0" fontId="60" fillId="5" borderId="13" xfId="0" applyFont="1" applyFill="1" applyBorder="1" applyProtection="1">
      <protection locked="0"/>
    </xf>
    <xf numFmtId="4" fontId="60" fillId="5" borderId="0" xfId="0" applyNumberFormat="1" applyFont="1" applyFill="1" applyProtection="1">
      <protection locked="0"/>
    </xf>
    <xf numFmtId="182" fontId="39" fillId="0" borderId="0" xfId="0" applyNumberFormat="1" applyFont="1" applyProtection="1">
      <protection locked="0"/>
    </xf>
    <xf numFmtId="182" fontId="62" fillId="0" borderId="0" xfId="0" applyNumberFormat="1" applyFont="1" applyProtection="1">
      <protection locked="0"/>
    </xf>
    <xf numFmtId="3" fontId="53" fillId="0" borderId="0" xfId="0" applyNumberFormat="1" applyFont="1" applyProtection="1">
      <protection locked="0"/>
    </xf>
    <xf numFmtId="3" fontId="39" fillId="0" borderId="0" xfId="0" applyNumberFormat="1" applyFont="1" applyProtection="1">
      <protection locked="0"/>
    </xf>
    <xf numFmtId="11" fontId="0" fillId="0" borderId="0" xfId="0" applyNumberFormat="1" applyProtection="1">
      <protection locked="0"/>
    </xf>
    <xf numFmtId="192" fontId="53" fillId="0" borderId="0" xfId="0" applyNumberFormat="1" applyFont="1" applyProtection="1">
      <protection locked="0"/>
    </xf>
    <xf numFmtId="191" fontId="0" fillId="0" borderId="0" xfId="0" applyNumberFormat="1" applyProtection="1">
      <protection locked="0"/>
    </xf>
    <xf numFmtId="9" fontId="53" fillId="0" borderId="0" xfId="0" applyNumberFormat="1" applyFont="1" applyProtection="1">
      <protection locked="0"/>
    </xf>
    <xf numFmtId="0" fontId="59" fillId="0" borderId="0" xfId="0" applyFont="1" applyAlignment="1" applyProtection="1">
      <alignment horizontal="center"/>
      <protection locked="0"/>
    </xf>
    <xf numFmtId="182" fontId="61" fillId="0" borderId="0" xfId="0" applyNumberFormat="1" applyFont="1" applyProtection="1">
      <protection locked="0"/>
    </xf>
    <xf numFmtId="178" fontId="0" fillId="0" borderId="0" xfId="0" applyNumberFormat="1" applyAlignment="1" applyProtection="1">
      <alignment horizontal="center"/>
      <protection locked="0"/>
    </xf>
    <xf numFmtId="182" fontId="57" fillId="0" borderId="0" xfId="0" applyNumberFormat="1" applyFont="1" applyProtection="1">
      <protection locked="0"/>
    </xf>
    <xf numFmtId="1" fontId="57" fillId="0" borderId="0" xfId="0" applyNumberFormat="1" applyFont="1" applyProtection="1">
      <protection locked="0"/>
    </xf>
    <xf numFmtId="1" fontId="63" fillId="0" borderId="0" xfId="0" applyNumberFormat="1" applyFont="1" applyProtection="1">
      <protection locked="0"/>
    </xf>
    <xf numFmtId="182" fontId="63" fillId="0" borderId="0" xfId="0" applyNumberFormat="1" applyFont="1" applyProtection="1">
      <protection locked="0"/>
    </xf>
    <xf numFmtId="2" fontId="63" fillId="0" borderId="0" xfId="0" applyNumberFormat="1" applyFont="1" applyProtection="1">
      <protection locked="0"/>
    </xf>
    <xf numFmtId="1" fontId="39" fillId="0" borderId="0" xfId="0" applyNumberFormat="1" applyFont="1" applyProtection="1">
      <protection locked="0"/>
    </xf>
    <xf numFmtId="2" fontId="7" fillId="0" borderId="0" xfId="0" applyNumberFormat="1" applyFont="1" applyAlignment="1" applyProtection="1">
      <alignment horizontal="center"/>
      <protection locked="0"/>
    </xf>
    <xf numFmtId="193" fontId="0" fillId="0" borderId="0" xfId="0" applyNumberFormat="1" applyProtection="1">
      <protection locked="0"/>
    </xf>
    <xf numFmtId="1" fontId="0" fillId="0" borderId="0" xfId="0" applyNumberFormat="1" applyProtection="1">
      <protection locked="0"/>
    </xf>
    <xf numFmtId="184" fontId="53" fillId="0" borderId="0" xfId="0" applyNumberFormat="1" applyFont="1" applyProtection="1">
      <protection locked="0"/>
    </xf>
    <xf numFmtId="184" fontId="39" fillId="0" borderId="0" xfId="0" applyNumberFormat="1" applyFont="1" applyProtection="1">
      <protection locked="0"/>
    </xf>
    <xf numFmtId="3" fontId="57" fillId="0" borderId="0" xfId="0" applyNumberFormat="1" applyFont="1" applyProtection="1">
      <protection locked="0"/>
    </xf>
    <xf numFmtId="192" fontId="57" fillId="0" borderId="0" xfId="0" applyNumberFormat="1" applyFont="1" applyProtection="1">
      <protection locked="0"/>
    </xf>
    <xf numFmtId="185" fontId="0" fillId="0" borderId="0" xfId="0" applyNumberFormat="1" applyProtection="1">
      <protection locked="0"/>
    </xf>
    <xf numFmtId="194" fontId="39" fillId="0" borderId="0" xfId="0" applyNumberFormat="1" applyFont="1" applyProtection="1">
      <protection locked="0"/>
    </xf>
    <xf numFmtId="0" fontId="57" fillId="0" borderId="0" xfId="0" applyFont="1" applyProtection="1">
      <protection locked="0"/>
    </xf>
    <xf numFmtId="181" fontId="53" fillId="0" borderId="0" xfId="0" applyNumberFormat="1" applyFont="1" applyProtection="1">
      <protection locked="0"/>
    </xf>
    <xf numFmtId="2" fontId="57" fillId="0" borderId="0" xfId="0" applyNumberFormat="1" applyFont="1" applyProtection="1">
      <protection locked="0"/>
    </xf>
    <xf numFmtId="190" fontId="0" fillId="0" borderId="0" xfId="0" applyNumberFormat="1" applyProtection="1">
      <protection locked="0"/>
    </xf>
    <xf numFmtId="0" fontId="51" fillId="0" borderId="0" xfId="0" applyFont="1" applyProtection="1">
      <protection locked="0"/>
    </xf>
    <xf numFmtId="1" fontId="64" fillId="0" borderId="0" xfId="0" applyNumberFormat="1" applyFont="1" applyProtection="1">
      <protection locked="0"/>
    </xf>
    <xf numFmtId="184" fontId="57" fillId="0" borderId="0" xfId="0" applyNumberFormat="1" applyFont="1" applyProtection="1">
      <protection locked="0"/>
    </xf>
    <xf numFmtId="4" fontId="0" fillId="0" borderId="0" xfId="0" applyNumberFormat="1" applyProtection="1">
      <protection locked="0"/>
    </xf>
    <xf numFmtId="195" fontId="53" fillId="0" borderId="0" xfId="0" applyNumberFormat="1" applyFont="1" applyProtection="1">
      <protection locked="0"/>
    </xf>
    <xf numFmtId="191" fontId="65" fillId="0" borderId="0" xfId="0" applyNumberFormat="1" applyFont="1" applyProtection="1">
      <protection locked="0"/>
    </xf>
    <xf numFmtId="181" fontId="0" fillId="0" borderId="0" xfId="47" applyNumberFormat="1" applyFont="1" applyFill="1" applyBorder="1" applyProtection="1">
      <protection locked="0"/>
    </xf>
    <xf numFmtId="196" fontId="0" fillId="0" borderId="0" xfId="0" applyNumberFormat="1" applyProtection="1">
      <protection locked="0"/>
    </xf>
    <xf numFmtId="191" fontId="53" fillId="0" borderId="0" xfId="0" applyNumberFormat="1" applyFont="1" applyProtection="1">
      <protection locked="0"/>
    </xf>
    <xf numFmtId="3" fontId="0" fillId="0" borderId="0" xfId="0" applyNumberFormat="1" applyAlignment="1" applyProtection="1">
      <alignment horizontal="left"/>
      <protection locked="0"/>
    </xf>
    <xf numFmtId="3" fontId="0" fillId="0" borderId="0" xfId="0" applyNumberFormat="1" applyAlignment="1" applyProtection="1">
      <alignment horizontal="right"/>
      <protection locked="0"/>
    </xf>
    <xf numFmtId="192" fontId="0" fillId="0" borderId="0" xfId="0" applyNumberFormat="1" applyProtection="1">
      <protection locked="0"/>
    </xf>
    <xf numFmtId="0" fontId="29" fillId="0" borderId="0" xfId="49" applyFill="1" applyBorder="1" applyProtection="1">
      <protection locked="0"/>
    </xf>
    <xf numFmtId="197" fontId="29" fillId="0" borderId="0" xfId="49" applyNumberFormat="1" applyFill="1" applyBorder="1" applyProtection="1">
      <protection locked="0"/>
    </xf>
    <xf numFmtId="197" fontId="0" fillId="0" borderId="0" xfId="0" applyNumberFormat="1" applyProtection="1">
      <protection locked="0"/>
    </xf>
    <xf numFmtId="0" fontId="8" fillId="0" borderId="0" xfId="0" applyFont="1" applyProtection="1">
      <protection locked="0"/>
    </xf>
    <xf numFmtId="9" fontId="66" fillId="0" borderId="0" xfId="0" applyNumberFormat="1" applyFont="1" applyProtection="1">
      <protection locked="0"/>
    </xf>
    <xf numFmtId="198" fontId="0" fillId="0" borderId="0" xfId="0" applyNumberFormat="1" applyProtection="1">
      <protection locked="0"/>
    </xf>
    <xf numFmtId="9" fontId="53" fillId="0" borderId="0" xfId="49" applyNumberFormat="1" applyFont="1" applyFill="1" applyBorder="1" applyProtection="1">
      <protection locked="0"/>
    </xf>
    <xf numFmtId="198" fontId="29" fillId="0" borderId="0" xfId="49" applyNumberFormat="1" applyFill="1" applyBorder="1" applyProtection="1">
      <protection locked="0"/>
    </xf>
    <xf numFmtId="176" fontId="29" fillId="0" borderId="0" xfId="49" applyNumberFormat="1" applyFill="1" applyBorder="1" applyProtection="1">
      <protection locked="0"/>
    </xf>
    <xf numFmtId="9" fontId="67" fillId="0" borderId="0" xfId="0" applyNumberFormat="1" applyFont="1" applyProtection="1">
      <protection locked="0"/>
    </xf>
    <xf numFmtId="9" fontId="68" fillId="0" borderId="0" xfId="0" applyNumberFormat="1" applyFont="1" applyProtection="1">
      <protection locked="0"/>
    </xf>
    <xf numFmtId="176" fontId="0" fillId="0" borderId="0" xfId="0" applyNumberFormat="1" applyProtection="1">
      <protection locked="0"/>
    </xf>
    <xf numFmtId="178" fontId="0" fillId="0" borderId="0" xfId="0" applyNumberFormat="1" applyProtection="1">
      <protection locked="0"/>
    </xf>
    <xf numFmtId="0" fontId="0" fillId="0" borderId="0" xfId="0" applyAlignment="1" applyProtection="1">
      <alignment wrapText="1"/>
      <protection locked="0"/>
    </xf>
    <xf numFmtId="0" fontId="69" fillId="0" borderId="0" xfId="0" applyFont="1" applyProtection="1">
      <protection locked="0"/>
    </xf>
    <xf numFmtId="0" fontId="0" fillId="0" borderId="108" xfId="0" applyBorder="1" applyProtection="1">
      <protection locked="0"/>
    </xf>
    <xf numFmtId="0" fontId="0" fillId="0" borderId="117" xfId="0" applyBorder="1" applyProtection="1">
      <protection locked="0"/>
    </xf>
    <xf numFmtId="0" fontId="0" fillId="0" borderId="118" xfId="0" applyBorder="1" applyProtection="1">
      <protection locked="0"/>
    </xf>
    <xf numFmtId="0" fontId="0" fillId="0" borderId="127" xfId="0" applyBorder="1" applyProtection="1">
      <protection locked="0"/>
    </xf>
    <xf numFmtId="0" fontId="0" fillId="0" borderId="124" xfId="0" applyBorder="1" applyProtection="1">
      <protection locked="0"/>
    </xf>
    <xf numFmtId="0" fontId="0" fillId="0" borderId="128" xfId="0" applyBorder="1" applyProtection="1">
      <protection locked="0"/>
    </xf>
    <xf numFmtId="0" fontId="0" fillId="0" borderId="120" xfId="0" applyBorder="1" applyProtection="1">
      <protection locked="0"/>
    </xf>
    <xf numFmtId="0" fontId="0" fillId="0" borderId="115" xfId="0" applyBorder="1" applyProtection="1">
      <protection locked="0"/>
    </xf>
    <xf numFmtId="179" fontId="50" fillId="27" borderId="123" xfId="57" applyFont="1" applyFill="1" applyBorder="1" applyProtection="1">
      <protection locked="0"/>
    </xf>
    <xf numFmtId="183" fontId="50" fillId="27" borderId="54" xfId="46" applyNumberFormat="1" applyFont="1" applyFill="1" applyBorder="1" applyProtection="1">
      <protection locked="0"/>
    </xf>
    <xf numFmtId="183" fontId="50" fillId="27" borderId="56" xfId="46" applyNumberFormat="1" applyFont="1" applyFill="1" applyBorder="1" applyProtection="1">
      <protection locked="0"/>
    </xf>
    <xf numFmtId="183" fontId="50" fillId="27" borderId="57" xfId="46" applyNumberFormat="1" applyFont="1" applyFill="1" applyBorder="1" applyProtection="1">
      <protection locked="0"/>
    </xf>
    <xf numFmtId="179" fontId="27" fillId="0" borderId="129" xfId="57" applyFont="1" applyBorder="1" applyProtection="1">
      <protection locked="0"/>
    </xf>
    <xf numFmtId="0" fontId="45" fillId="24" borderId="50" xfId="50" applyFont="1" applyBorder="1" applyProtection="1">
      <protection locked="0"/>
    </xf>
    <xf numFmtId="0" fontId="45" fillId="24" borderId="100" xfId="50" applyFont="1" applyBorder="1" applyProtection="1">
      <protection locked="0"/>
    </xf>
    <xf numFmtId="0" fontId="0" fillId="3" borderId="0" xfId="0" applyFill="1" applyAlignment="1" applyProtection="1">
      <alignment horizontal="center"/>
      <protection locked="0"/>
    </xf>
    <xf numFmtId="0" fontId="26" fillId="0" borderId="0" xfId="0" applyFont="1" applyAlignment="1" applyProtection="1">
      <alignment horizontal="center"/>
      <protection locked="0"/>
    </xf>
    <xf numFmtId="0" fontId="51" fillId="0" borderId="0" xfId="0" applyFont="1" applyAlignment="1" applyProtection="1">
      <alignment horizontal="center"/>
      <protection locked="0"/>
    </xf>
    <xf numFmtId="0" fontId="0" fillId="0" borderId="0" xfId="0" applyAlignment="1" applyProtection="1">
      <alignment horizontal="center" vertical="center" textRotation="90"/>
      <protection locked="0"/>
    </xf>
    <xf numFmtId="0" fontId="0" fillId="3" borderId="0" xfId="0" applyFill="1" applyProtection="1">
      <protection locked="0"/>
    </xf>
    <xf numFmtId="9" fontId="0" fillId="3" borderId="0" xfId="47" applyFont="1" applyFill="1" applyBorder="1" applyAlignment="1" applyProtection="1">
      <alignment horizontal="right" vertical="center" wrapText="1"/>
      <protection locked="0"/>
    </xf>
    <xf numFmtId="0" fontId="7" fillId="0" borderId="0" xfId="0" applyFont="1" applyAlignment="1" applyProtection="1">
      <alignment horizontal="center" vertical="center" textRotation="90"/>
      <protection locked="0"/>
    </xf>
    <xf numFmtId="184" fontId="0" fillId="3" borderId="0" xfId="0" applyNumberFormat="1" applyFill="1" applyProtection="1">
      <protection locked="0"/>
    </xf>
    <xf numFmtId="0" fontId="31" fillId="0" borderId="0" xfId="0" applyFont="1" applyProtection="1">
      <protection locked="0"/>
    </xf>
    <xf numFmtId="184" fontId="0" fillId="0" borderId="27" xfId="0" applyNumberFormat="1" applyBorder="1" applyProtection="1">
      <protection locked="0"/>
    </xf>
    <xf numFmtId="0" fontId="0" fillId="4" borderId="0" xfId="0" applyFill="1" applyProtection="1">
      <protection locked="0"/>
    </xf>
    <xf numFmtId="183" fontId="0" fillId="4" borderId="0" xfId="46" applyNumberFormat="1" applyFont="1" applyFill="1" applyProtection="1">
      <protection locked="0"/>
    </xf>
    <xf numFmtId="185" fontId="0" fillId="0" borderId="26" xfId="0" applyNumberFormat="1" applyBorder="1" applyProtection="1">
      <protection locked="0"/>
    </xf>
    <xf numFmtId="185" fontId="0" fillId="0" borderId="27" xfId="0" applyNumberFormat="1" applyBorder="1" applyProtection="1">
      <protection locked="0"/>
    </xf>
    <xf numFmtId="3" fontId="0" fillId="0" borderId="26" xfId="0" applyNumberFormat="1" applyBorder="1" applyProtection="1">
      <protection locked="0"/>
    </xf>
    <xf numFmtId="3" fontId="0" fillId="0" borderId="27" xfId="0" applyNumberFormat="1" applyBorder="1" applyProtection="1">
      <protection locked="0"/>
    </xf>
    <xf numFmtId="3" fontId="0" fillId="0" borderId="32" xfId="0" applyNumberFormat="1" applyBorder="1" applyProtection="1">
      <protection locked="0"/>
    </xf>
    <xf numFmtId="185" fontId="0" fillId="0" borderId="32" xfId="0" applyNumberFormat="1" applyBorder="1" applyProtection="1">
      <protection locked="0"/>
    </xf>
    <xf numFmtId="0" fontId="39" fillId="0" borderId="0" xfId="48" applyFont="1" applyFill="1" applyProtection="1">
      <protection locked="0"/>
    </xf>
    <xf numFmtId="0" fontId="39" fillId="0" borderId="0" xfId="49" applyFont="1" applyFill="1" applyProtection="1">
      <protection locked="0"/>
    </xf>
    <xf numFmtId="185" fontId="39" fillId="0" borderId="0" xfId="48" applyNumberFormat="1" applyFont="1" applyFill="1" applyProtection="1">
      <protection locked="0"/>
    </xf>
    <xf numFmtId="185" fontId="39" fillId="0" borderId="0" xfId="49" applyNumberFormat="1" applyFont="1" applyFill="1" applyProtection="1">
      <protection locked="0"/>
    </xf>
    <xf numFmtId="3" fontId="39" fillId="0" borderId="0" xfId="48" applyNumberFormat="1" applyFont="1" applyFill="1" applyProtection="1">
      <protection locked="0"/>
    </xf>
    <xf numFmtId="3" fontId="39" fillId="0" borderId="0" xfId="49" applyNumberFormat="1" applyFont="1" applyFill="1" applyProtection="1">
      <protection locked="0"/>
    </xf>
    <xf numFmtId="183" fontId="0" fillId="0" borderId="0" xfId="46" applyNumberFormat="1" applyFont="1" applyProtection="1">
      <protection locked="0"/>
    </xf>
    <xf numFmtId="183" fontId="39" fillId="0" borderId="0" xfId="46" applyNumberFormat="1" applyFont="1" applyFill="1" applyProtection="1">
      <protection locked="0"/>
    </xf>
    <xf numFmtId="185" fontId="39" fillId="0" borderId="0" xfId="49" applyNumberFormat="1" applyFont="1" applyFill="1" applyBorder="1" applyProtection="1">
      <protection locked="0"/>
    </xf>
    <xf numFmtId="185" fontId="39" fillId="0" borderId="0" xfId="48" applyNumberFormat="1" applyFont="1" applyFill="1" applyBorder="1" applyProtection="1">
      <protection locked="0"/>
    </xf>
    <xf numFmtId="184" fontId="0" fillId="0" borderId="18" xfId="0" applyNumberFormat="1" applyBorder="1" applyProtection="1">
      <protection locked="0"/>
    </xf>
    <xf numFmtId="2" fontId="0" fillId="0" borderId="27" xfId="0" applyNumberFormat="1" applyBorder="1" applyProtection="1">
      <protection locked="0"/>
    </xf>
    <xf numFmtId="0" fontId="27" fillId="25" borderId="36" xfId="52" applyFont="1" applyBorder="1" applyProtection="1"/>
    <xf numFmtId="181" fontId="27" fillId="25" borderId="36" xfId="47" applyNumberFormat="1" applyFont="1" applyFill="1" applyBorder="1" applyProtection="1"/>
    <xf numFmtId="181" fontId="27" fillId="25" borderId="41" xfId="47" applyNumberFormat="1" applyFont="1" applyFill="1" applyBorder="1" applyProtection="1"/>
    <xf numFmtId="181" fontId="0" fillId="25" borderId="40" xfId="52" applyNumberFormat="1" applyFont="1" applyBorder="1" applyProtection="1"/>
    <xf numFmtId="181" fontId="0" fillId="25" borderId="36" xfId="52" applyNumberFormat="1" applyFont="1" applyBorder="1" applyProtection="1"/>
    <xf numFmtId="181" fontId="0" fillId="25" borderId="38" xfId="52" applyNumberFormat="1" applyFont="1" applyBorder="1" applyProtection="1"/>
    <xf numFmtId="181" fontId="0" fillId="25" borderId="37" xfId="52" applyNumberFormat="1" applyFont="1" applyBorder="1" applyProtection="1"/>
    <xf numFmtId="1" fontId="0" fillId="25" borderId="36" xfId="52" applyNumberFormat="1" applyFont="1" applyBorder="1" applyProtection="1"/>
    <xf numFmtId="1" fontId="0" fillId="25" borderId="41" xfId="52" applyNumberFormat="1" applyFont="1" applyBorder="1" applyProtection="1"/>
    <xf numFmtId="181" fontId="0" fillId="25" borderId="41" xfId="52" applyNumberFormat="1" applyFont="1" applyBorder="1" applyProtection="1"/>
    <xf numFmtId="0" fontId="27" fillId="25" borderId="37" xfId="52" applyFont="1" applyBorder="1" applyProtection="1"/>
    <xf numFmtId="181" fontId="0" fillId="25" borderId="36" xfId="47" applyNumberFormat="1" applyFont="1" applyFill="1" applyBorder="1" applyProtection="1"/>
    <xf numFmtId="181" fontId="0" fillId="25" borderId="38" xfId="47" applyNumberFormat="1" applyFont="1" applyFill="1" applyBorder="1" applyProtection="1"/>
    <xf numFmtId="181" fontId="0" fillId="25" borderId="37" xfId="47" applyNumberFormat="1" applyFont="1" applyFill="1" applyBorder="1" applyProtection="1"/>
    <xf numFmtId="179" fontId="0" fillId="25" borderId="63" xfId="57" applyFont="1" applyFill="1" applyBorder="1" applyProtection="1"/>
    <xf numFmtId="179" fontId="0" fillId="25" borderId="36" xfId="57" applyFont="1" applyFill="1" applyBorder="1" applyProtection="1"/>
    <xf numFmtId="179" fontId="0" fillId="25" borderId="73" xfId="57" applyFont="1" applyFill="1" applyBorder="1" applyProtection="1"/>
    <xf numFmtId="196" fontId="0" fillId="25" borderId="63" xfId="47" applyNumberFormat="1" applyFont="1" applyFill="1" applyBorder="1" applyProtection="1"/>
    <xf numFmtId="196" fontId="0" fillId="25" borderId="73" xfId="52" applyNumberFormat="1" applyFont="1" applyBorder="1" applyProtection="1"/>
    <xf numFmtId="203" fontId="0" fillId="25" borderId="98" xfId="47" applyNumberFormat="1" applyFont="1" applyFill="1" applyBorder="1" applyProtection="1"/>
    <xf numFmtId="1" fontId="0" fillId="25" borderId="36" xfId="47" applyNumberFormat="1" applyFont="1" applyFill="1" applyBorder="1" applyProtection="1"/>
    <xf numFmtId="183" fontId="0" fillId="25" borderId="36" xfId="46" applyNumberFormat="1" applyFont="1" applyFill="1" applyBorder="1" applyProtection="1"/>
    <xf numFmtId="188" fontId="0" fillId="25" borderId="36" xfId="47" applyNumberFormat="1" applyFont="1" applyFill="1" applyBorder="1" applyProtection="1"/>
    <xf numFmtId="188" fontId="0" fillId="25" borderId="136" xfId="47" applyNumberFormat="1" applyFont="1" applyFill="1" applyBorder="1" applyProtection="1"/>
    <xf numFmtId="0" fontId="0" fillId="0" borderId="114" xfId="0" applyBorder="1"/>
    <xf numFmtId="0" fontId="0" fillId="0" borderId="106" xfId="0" applyBorder="1"/>
    <xf numFmtId="0" fontId="0" fillId="0" borderId="110" xfId="0" applyBorder="1"/>
    <xf numFmtId="0" fontId="0" fillId="0" borderId="108" xfId="0" applyBorder="1"/>
    <xf numFmtId="0" fontId="0" fillId="0" borderId="109" xfId="0" applyBorder="1"/>
    <xf numFmtId="0" fontId="0" fillId="0" borderId="111" xfId="0" applyBorder="1"/>
    <xf numFmtId="2" fontId="0" fillId="0" borderId="151" xfId="0" applyNumberFormat="1" applyBorder="1"/>
    <xf numFmtId="0" fontId="0" fillId="0" borderId="112" xfId="0" applyBorder="1"/>
    <xf numFmtId="0" fontId="0" fillId="0" borderId="107" xfId="0" applyBorder="1"/>
    <xf numFmtId="184" fontId="0" fillId="0" borderId="151" xfId="0" applyNumberFormat="1" applyBorder="1"/>
    <xf numFmtId="179" fontId="27" fillId="25" borderId="21" xfId="57" applyFont="1" applyFill="1" applyBorder="1" applyProtection="1"/>
    <xf numFmtId="179" fontId="27" fillId="25" borderId="41" xfId="57" applyFont="1" applyFill="1" applyBorder="1" applyProtection="1"/>
    <xf numFmtId="184" fontId="27" fillId="29" borderId="27" xfId="56" applyNumberFormat="1" applyFont="1" applyBorder="1" applyProtection="1">
      <protection locked="0"/>
    </xf>
    <xf numFmtId="0" fontId="51" fillId="0" borderId="149" xfId="0" applyFont="1" applyBorder="1" applyProtection="1">
      <protection locked="0"/>
    </xf>
    <xf numFmtId="183" fontId="50" fillId="27" borderId="56" xfId="54" applyNumberFormat="1" applyFont="1" applyBorder="1" applyProtection="1">
      <protection locked="0"/>
    </xf>
    <xf numFmtId="2" fontId="50" fillId="27" borderId="56" xfId="54" applyNumberFormat="1" applyFont="1" applyBorder="1" applyProtection="1">
      <protection locked="0"/>
    </xf>
    <xf numFmtId="183" fontId="50" fillId="27" borderId="57" xfId="54" applyNumberFormat="1" applyFont="1" applyBorder="1" applyProtection="1">
      <protection locked="0"/>
    </xf>
    <xf numFmtId="0" fontId="0" fillId="0" borderId="163" xfId="0" applyBorder="1" applyProtection="1">
      <protection locked="0"/>
    </xf>
    <xf numFmtId="200" fontId="0" fillId="25" borderId="98" xfId="57" applyNumberFormat="1" applyFont="1" applyFill="1" applyBorder="1" applyProtection="1"/>
    <xf numFmtId="0" fontId="0" fillId="0" borderId="164" xfId="0" applyBorder="1" applyProtection="1">
      <protection locked="0"/>
    </xf>
    <xf numFmtId="200" fontId="0" fillId="0" borderId="99" xfId="57" applyNumberFormat="1" applyFont="1" applyFill="1" applyBorder="1" applyProtection="1">
      <protection locked="0"/>
    </xf>
    <xf numFmtId="184" fontId="27" fillId="28" borderId="164" xfId="55" applyNumberFormat="1" applyFont="1" applyBorder="1" applyProtection="1">
      <protection locked="0"/>
    </xf>
    <xf numFmtId="183" fontId="27" fillId="28" borderId="138" xfId="46" applyNumberFormat="1" applyFont="1" applyFill="1" applyBorder="1" applyProtection="1">
      <protection locked="0"/>
    </xf>
    <xf numFmtId="182" fontId="50" fillId="27" borderId="143" xfId="54" applyNumberFormat="1" applyFont="1" applyBorder="1" applyProtection="1">
      <protection locked="0"/>
    </xf>
    <xf numFmtId="179" fontId="0" fillId="0" borderId="0" xfId="0" applyNumberFormat="1" applyProtection="1">
      <protection locked="0"/>
    </xf>
    <xf numFmtId="199" fontId="0" fillId="0" borderId="0" xfId="0" applyNumberFormat="1" applyProtection="1">
      <protection locked="0"/>
    </xf>
    <xf numFmtId="183" fontId="27" fillId="29" borderId="32" xfId="46" applyNumberFormat="1" applyFont="1" applyFill="1" applyBorder="1" applyProtection="1">
      <protection locked="0"/>
    </xf>
    <xf numFmtId="0" fontId="44" fillId="0" borderId="30" xfId="51" applyFill="1"/>
    <xf numFmtId="0" fontId="31" fillId="28" borderId="13" xfId="55" applyFont="1" applyBorder="1" applyAlignment="1" applyProtection="1">
      <alignment horizontal="center"/>
      <protection locked="0"/>
    </xf>
    <xf numFmtId="0" fontId="31" fillId="28" borderId="17" xfId="55" applyFont="1" applyBorder="1" applyAlignment="1" applyProtection="1">
      <alignment horizontal="center"/>
      <protection locked="0"/>
    </xf>
    <xf numFmtId="0" fontId="0" fillId="0" borderId="171" xfId="0" applyBorder="1" applyProtection="1">
      <protection locked="0"/>
    </xf>
    <xf numFmtId="0" fontId="0" fillId="0" borderId="175" xfId="0" applyBorder="1" applyProtection="1">
      <protection locked="0"/>
    </xf>
    <xf numFmtId="0" fontId="0" fillId="0" borderId="182" xfId="0" applyBorder="1" applyProtection="1">
      <protection locked="0"/>
    </xf>
    <xf numFmtId="0" fontId="0" fillId="0" borderId="183" xfId="0" applyBorder="1" applyProtection="1">
      <protection locked="0"/>
    </xf>
    <xf numFmtId="189" fontId="0" fillId="0" borderId="0" xfId="47" applyNumberFormat="1" applyFont="1" applyProtection="1">
      <protection locked="0"/>
    </xf>
    <xf numFmtId="189" fontId="0" fillId="0" borderId="173" xfId="47" applyNumberFormat="1" applyFont="1" applyBorder="1" applyProtection="1">
      <protection locked="0"/>
    </xf>
    <xf numFmtId="189" fontId="45" fillId="24" borderId="83" xfId="47" applyNumberFormat="1" applyFont="1" applyFill="1" applyBorder="1" applyProtection="1">
      <protection locked="0"/>
    </xf>
    <xf numFmtId="189" fontId="45" fillId="24" borderId="33" xfId="47" applyNumberFormat="1" applyFont="1" applyFill="1" applyBorder="1" applyProtection="1">
      <protection locked="0"/>
    </xf>
    <xf numFmtId="189" fontId="45" fillId="24" borderId="34" xfId="47" applyNumberFormat="1" applyFont="1" applyFill="1" applyBorder="1" applyProtection="1">
      <protection locked="0"/>
    </xf>
    <xf numFmtId="189" fontId="27" fillId="29" borderId="17" xfId="56" applyNumberFormat="1" applyFont="1" applyBorder="1" applyProtection="1">
      <protection locked="0"/>
    </xf>
    <xf numFmtId="189" fontId="27" fillId="0" borderId="174" xfId="0" applyNumberFormat="1" applyFont="1" applyBorder="1" applyProtection="1">
      <protection locked="0"/>
    </xf>
    <xf numFmtId="183" fontId="0" fillId="32" borderId="0" xfId="46" applyNumberFormat="1" applyFont="1" applyFill="1" applyBorder="1" applyProtection="1">
      <protection locked="0"/>
    </xf>
    <xf numFmtId="183" fontId="0" fillId="34" borderId="0" xfId="46" applyNumberFormat="1" applyFont="1" applyFill="1" applyBorder="1" applyProtection="1">
      <protection locked="0"/>
    </xf>
    <xf numFmtId="0" fontId="0" fillId="0" borderId="179" xfId="0" applyBorder="1" applyAlignment="1" applyProtection="1">
      <alignment horizontal="center"/>
      <protection locked="0"/>
    </xf>
    <xf numFmtId="0" fontId="0" fillId="0" borderId="180" xfId="0" applyBorder="1" applyAlignment="1" applyProtection="1">
      <alignment horizontal="center"/>
      <protection locked="0"/>
    </xf>
    <xf numFmtId="0" fontId="0" fillId="0" borderId="181" xfId="0" applyBorder="1" applyAlignment="1" applyProtection="1">
      <alignment horizontal="center"/>
      <protection locked="0"/>
    </xf>
    <xf numFmtId="0" fontId="0" fillId="0" borderId="184" xfId="0" applyBorder="1" applyProtection="1">
      <protection locked="0"/>
    </xf>
    <xf numFmtId="0" fontId="0" fillId="0" borderId="181" xfId="0" applyBorder="1" applyProtection="1">
      <protection locked="0"/>
    </xf>
    <xf numFmtId="0" fontId="0" fillId="0" borderId="180" xfId="0" applyBorder="1"/>
    <xf numFmtId="0" fontId="78" fillId="0" borderId="0" xfId="0" applyFont="1" applyProtection="1">
      <protection locked="0"/>
    </xf>
    <xf numFmtId="184" fontId="50" fillId="27" borderId="20" xfId="54" applyNumberFormat="1" applyFont="1" applyProtection="1"/>
    <xf numFmtId="189" fontId="50" fillId="27" borderId="20" xfId="54" applyNumberFormat="1" applyFont="1" applyProtection="1"/>
    <xf numFmtId="182" fontId="50" fillId="27" borderId="20" xfId="54" applyNumberFormat="1" applyFont="1" applyProtection="1"/>
    <xf numFmtId="202" fontId="50" fillId="27" borderId="20" xfId="54" applyNumberFormat="1" applyFont="1" applyProtection="1"/>
    <xf numFmtId="0" fontId="50" fillId="27" borderId="20" xfId="54" applyFont="1" applyProtection="1"/>
    <xf numFmtId="183" fontId="50" fillId="27" borderId="20" xfId="54" applyNumberFormat="1" applyFont="1" applyProtection="1"/>
    <xf numFmtId="0" fontId="0" fillId="0" borderId="176" xfId="0" applyBorder="1"/>
    <xf numFmtId="0" fontId="0" fillId="0" borderId="177" xfId="0" applyBorder="1" applyProtection="1">
      <protection locked="0"/>
    </xf>
    <xf numFmtId="0" fontId="0" fillId="0" borderId="170" xfId="0" applyBorder="1" applyProtection="1">
      <protection locked="0"/>
    </xf>
    <xf numFmtId="188" fontId="0" fillId="0" borderId="176" xfId="0" applyNumberFormat="1" applyBorder="1"/>
    <xf numFmtId="182" fontId="50" fillId="27" borderId="56" xfId="54" applyNumberFormat="1" applyFont="1" applyBorder="1" applyProtection="1">
      <protection locked="0"/>
    </xf>
    <xf numFmtId="189" fontId="50" fillId="27" borderId="185" xfId="54" applyNumberFormat="1" applyFont="1" applyBorder="1" applyProtection="1">
      <protection locked="0"/>
    </xf>
    <xf numFmtId="189" fontId="50" fillId="27" borderId="186" xfId="54" applyNumberFormat="1" applyFont="1" applyBorder="1" applyProtection="1">
      <protection locked="0"/>
    </xf>
    <xf numFmtId="189" fontId="50" fillId="27" borderId="187" xfId="54" applyNumberFormat="1" applyFont="1" applyBorder="1" applyProtection="1">
      <protection locked="0"/>
    </xf>
    <xf numFmtId="189" fontId="50" fillId="27" borderId="54" xfId="54" applyNumberFormat="1" applyFont="1" applyBorder="1" applyProtection="1">
      <protection locked="0"/>
    </xf>
    <xf numFmtId="189" fontId="50" fillId="27" borderId="20" xfId="54" applyNumberFormat="1" applyFont="1" applyProtection="1">
      <protection locked="0"/>
    </xf>
    <xf numFmtId="189" fontId="50" fillId="27" borderId="33" xfId="54" applyNumberFormat="1" applyFont="1" applyBorder="1" applyProtection="1">
      <protection locked="0"/>
    </xf>
    <xf numFmtId="189" fontId="50" fillId="27" borderId="47" xfId="54" applyNumberFormat="1" applyFont="1" applyBorder="1" applyProtection="1">
      <protection locked="0"/>
    </xf>
    <xf numFmtId="189" fontId="50" fillId="27" borderId="48" xfId="54" applyNumberFormat="1" applyFont="1" applyBorder="1" applyProtection="1">
      <protection locked="0"/>
    </xf>
    <xf numFmtId="189" fontId="50" fillId="27" borderId="34" xfId="54" applyNumberFormat="1" applyFont="1" applyBorder="1" applyProtection="1">
      <protection locked="0"/>
    </xf>
    <xf numFmtId="183" fontId="27" fillId="0" borderId="176" xfId="56" applyNumberFormat="1" applyFont="1" applyFill="1" applyBorder="1" applyAlignment="1" applyProtection="1">
      <alignment horizontal="right" vertical="center"/>
    </xf>
    <xf numFmtId="183" fontId="27" fillId="0" borderId="180" xfId="56" applyNumberFormat="1" applyFont="1" applyFill="1" applyBorder="1" applyAlignment="1" applyProtection="1">
      <alignment horizontal="right" vertical="center"/>
    </xf>
    <xf numFmtId="183" fontId="27" fillId="0" borderId="181" xfId="56" applyNumberFormat="1" applyFont="1" applyFill="1" applyBorder="1" applyAlignment="1" applyProtection="1">
      <alignment horizontal="right" vertical="center"/>
    </xf>
    <xf numFmtId="183" fontId="0" fillId="0" borderId="32" xfId="56" applyNumberFormat="1" applyFont="1" applyFill="1" applyBorder="1" applyAlignment="1" applyProtection="1">
      <alignment horizontal="right" vertical="center"/>
    </xf>
    <xf numFmtId="183" fontId="0" fillId="0" borderId="138" xfId="56" applyNumberFormat="1" applyFont="1" applyFill="1" applyBorder="1" applyAlignment="1" applyProtection="1">
      <alignment horizontal="right" vertical="center"/>
    </xf>
    <xf numFmtId="180" fontId="50" fillId="27" borderId="185" xfId="54" applyNumberFormat="1" applyFont="1" applyBorder="1" applyAlignment="1" applyProtection="1">
      <alignment horizontal="right" vertical="center"/>
    </xf>
    <xf numFmtId="180" fontId="50" fillId="27" borderId="189" xfId="54" applyNumberFormat="1" applyFont="1" applyBorder="1" applyAlignment="1" applyProtection="1">
      <alignment horizontal="right" vertical="center"/>
    </xf>
    <xf numFmtId="0" fontId="0" fillId="0" borderId="191" xfId="0" applyBorder="1"/>
    <xf numFmtId="0" fontId="0" fillId="0" borderId="192" xfId="0" applyBorder="1"/>
    <xf numFmtId="0" fontId="0" fillId="0" borderId="193" xfId="0" applyBorder="1"/>
    <xf numFmtId="0" fontId="0" fillId="0" borderId="184" xfId="0" applyBorder="1"/>
    <xf numFmtId="0" fontId="0" fillId="0" borderId="138" xfId="0" applyBorder="1"/>
    <xf numFmtId="183" fontId="0" fillId="0" borderId="32" xfId="0" applyNumberFormat="1" applyBorder="1"/>
    <xf numFmtId="0" fontId="0" fillId="0" borderId="172" xfId="0" applyBorder="1"/>
    <xf numFmtId="0" fontId="0" fillId="0" borderId="194" xfId="0" applyBorder="1"/>
    <xf numFmtId="0" fontId="0" fillId="0" borderId="191" xfId="0" applyBorder="1" applyAlignment="1">
      <alignment horizontal="center"/>
    </xf>
    <xf numFmtId="0" fontId="0" fillId="0" borderId="192" xfId="0" applyBorder="1" applyAlignment="1">
      <alignment horizontal="center"/>
    </xf>
    <xf numFmtId="0" fontId="0" fillId="0" borderId="193" xfId="0" applyBorder="1" applyAlignment="1">
      <alignment horizontal="center"/>
    </xf>
    <xf numFmtId="183" fontId="0" fillId="0" borderId="138" xfId="0" applyNumberFormat="1" applyBorder="1"/>
    <xf numFmtId="0" fontId="0" fillId="38" borderId="108" xfId="0" applyFill="1" applyBorder="1"/>
    <xf numFmtId="0" fontId="0" fillId="38" borderId="109" xfId="0" applyFill="1" applyBorder="1"/>
    <xf numFmtId="0" fontId="0" fillId="38" borderId="110" xfId="0" applyFill="1" applyBorder="1"/>
    <xf numFmtId="183" fontId="0" fillId="0" borderId="184" xfId="0" applyNumberFormat="1" applyBorder="1"/>
    <xf numFmtId="182" fontId="0" fillId="0" borderId="151" xfId="0" applyNumberFormat="1" applyBorder="1"/>
    <xf numFmtId="186" fontId="27" fillId="0" borderId="0" xfId="46" applyNumberFormat="1" applyFont="1" applyBorder="1" applyProtection="1">
      <protection locked="0"/>
    </xf>
    <xf numFmtId="186" fontId="27" fillId="0" borderId="173" xfId="46" applyNumberFormat="1" applyFont="1" applyBorder="1" applyProtection="1">
      <protection locked="0"/>
    </xf>
    <xf numFmtId="186" fontId="0" fillId="25" borderId="70" xfId="46" applyNumberFormat="1" applyFont="1" applyFill="1" applyBorder="1" applyProtection="1"/>
    <xf numFmtId="186" fontId="45" fillId="24" borderId="35" xfId="46" applyNumberFormat="1" applyFont="1" applyFill="1" applyBorder="1" applyProtection="1">
      <protection locked="0"/>
    </xf>
    <xf numFmtId="186" fontId="0" fillId="25" borderId="195" xfId="46" applyNumberFormat="1" applyFont="1" applyFill="1" applyBorder="1" applyProtection="1"/>
    <xf numFmtId="186" fontId="45" fillId="24" borderId="34" xfId="46" applyNumberFormat="1" applyFont="1" applyFill="1" applyBorder="1" applyProtection="1">
      <protection locked="0"/>
    </xf>
    <xf numFmtId="186" fontId="50" fillId="27" borderId="185" xfId="46" applyNumberFormat="1" applyFont="1" applyFill="1" applyBorder="1"/>
    <xf numFmtId="186" fontId="50" fillId="27" borderId="186" xfId="46" applyNumberFormat="1" applyFont="1" applyFill="1" applyBorder="1"/>
    <xf numFmtId="186" fontId="50" fillId="27" borderId="186" xfId="54" applyNumberFormat="1" applyFont="1" applyBorder="1"/>
    <xf numFmtId="186" fontId="50" fillId="27" borderId="187" xfId="54" applyNumberFormat="1" applyFont="1" applyBorder="1"/>
    <xf numFmtId="186" fontId="50" fillId="27" borderId="20" xfId="46" applyNumberFormat="1" applyFont="1" applyFill="1" applyBorder="1"/>
    <xf numFmtId="186" fontId="50" fillId="27" borderId="20" xfId="54" applyNumberFormat="1" applyFont="1"/>
    <xf numFmtId="186" fontId="50" fillId="27" borderId="33" xfId="54" applyNumberFormat="1" applyFont="1" applyBorder="1"/>
    <xf numFmtId="186" fontId="50" fillId="27" borderId="54" xfId="46" applyNumberFormat="1" applyFont="1" applyFill="1" applyBorder="1"/>
    <xf numFmtId="186" fontId="50" fillId="27" borderId="47" xfId="46" applyNumberFormat="1" applyFont="1" applyFill="1" applyBorder="1"/>
    <xf numFmtId="186" fontId="50" fillId="27" borderId="48" xfId="46" applyNumberFormat="1" applyFont="1" applyFill="1" applyBorder="1"/>
    <xf numFmtId="186" fontId="50" fillId="27" borderId="48" xfId="54" applyNumberFormat="1" applyFont="1" applyBorder="1"/>
    <xf numFmtId="186" fontId="50" fillId="27" borderId="34" xfId="54" applyNumberFormat="1" applyFont="1" applyBorder="1"/>
    <xf numFmtId="0" fontId="52" fillId="0" borderId="0" xfId="0" applyFont="1" applyAlignment="1">
      <alignment horizontal="right"/>
    </xf>
    <xf numFmtId="0" fontId="7" fillId="0" borderId="0" xfId="0" applyFont="1" applyAlignment="1">
      <alignment horizontal="right"/>
    </xf>
    <xf numFmtId="0" fontId="53" fillId="0" borderId="0" xfId="0" applyFont="1"/>
    <xf numFmtId="0" fontId="59" fillId="0" borderId="0" xfId="0" applyFont="1"/>
    <xf numFmtId="0" fontId="39" fillId="0" borderId="0" xfId="0" applyFont="1"/>
    <xf numFmtId="3" fontId="0" fillId="0" borderId="0" xfId="0" applyNumberFormat="1"/>
    <xf numFmtId="184" fontId="0" fillId="0" borderId="0" xfId="0" applyNumberFormat="1"/>
    <xf numFmtId="4" fontId="0" fillId="0" borderId="0" xfId="0" applyNumberFormat="1"/>
    <xf numFmtId="0" fontId="60" fillId="0" borderId="0" xfId="0" applyFont="1"/>
    <xf numFmtId="0" fontId="53" fillId="25" borderId="21" xfId="52" applyFont="1"/>
    <xf numFmtId="2" fontId="0" fillId="0" borderId="0" xfId="0" applyNumberFormat="1"/>
    <xf numFmtId="2" fontId="53" fillId="0" borderId="0" xfId="0" applyNumberFormat="1" applyFont="1"/>
    <xf numFmtId="2" fontId="39" fillId="0" borderId="0" xfId="0" applyNumberFormat="1" applyFont="1"/>
    <xf numFmtId="190" fontId="56" fillId="31" borderId="21" xfId="58" applyNumberFormat="1" applyBorder="1"/>
    <xf numFmtId="1" fontId="53" fillId="0" borderId="0" xfId="0" applyNumberFormat="1" applyFont="1"/>
    <xf numFmtId="9" fontId="53" fillId="0" borderId="0" xfId="47" applyFont="1"/>
    <xf numFmtId="191" fontId="58" fillId="0" borderId="0" xfId="0" applyNumberFormat="1" applyFont="1"/>
    <xf numFmtId="182" fontId="53" fillId="0" borderId="0" xfId="0" applyNumberFormat="1" applyFont="1"/>
    <xf numFmtId="2" fontId="61" fillId="0" borderId="0" xfId="0" applyNumberFormat="1" applyFont="1"/>
    <xf numFmtId="0" fontId="61" fillId="0" borderId="0" xfId="0" applyFont="1"/>
    <xf numFmtId="182" fontId="39" fillId="0" borderId="0" xfId="0" applyNumberFormat="1" applyFont="1"/>
    <xf numFmtId="182" fontId="62" fillId="0" borderId="0" xfId="0" applyNumberFormat="1" applyFont="1"/>
    <xf numFmtId="0" fontId="62" fillId="0" borderId="0" xfId="0" applyFont="1"/>
    <xf numFmtId="3" fontId="53" fillId="0" borderId="0" xfId="0" applyNumberFormat="1" applyFont="1"/>
    <xf numFmtId="3" fontId="39" fillId="0" borderId="0" xfId="0" applyNumberFormat="1" applyFont="1"/>
    <xf numFmtId="0" fontId="0" fillId="39" borderId="0" xfId="0" applyFill="1"/>
    <xf numFmtId="11" fontId="0" fillId="0" borderId="0" xfId="0" applyNumberFormat="1"/>
    <xf numFmtId="192" fontId="53" fillId="0" borderId="0" xfId="0" applyNumberFormat="1" applyFont="1"/>
    <xf numFmtId="191" fontId="0" fillId="0" borderId="0" xfId="0" applyNumberFormat="1"/>
    <xf numFmtId="9" fontId="53" fillId="0" borderId="0" xfId="0" applyNumberFormat="1" applyFont="1"/>
    <xf numFmtId="9" fontId="0" fillId="0" borderId="0" xfId="0" applyNumberFormat="1"/>
    <xf numFmtId="182" fontId="61" fillId="0" borderId="0" xfId="0" applyNumberFormat="1" applyFont="1"/>
    <xf numFmtId="182" fontId="57" fillId="0" borderId="0" xfId="0" applyNumberFormat="1" applyFont="1"/>
    <xf numFmtId="0" fontId="57" fillId="0" borderId="0" xfId="0" applyFont="1"/>
    <xf numFmtId="1" fontId="57" fillId="0" borderId="0" xfId="0" applyNumberFormat="1" applyFont="1"/>
    <xf numFmtId="1" fontId="0" fillId="0" borderId="0" xfId="0" applyNumberFormat="1"/>
    <xf numFmtId="0" fontId="63" fillId="0" borderId="0" xfId="0" applyFont="1"/>
    <xf numFmtId="1" fontId="63" fillId="0" borderId="0" xfId="0" applyNumberFormat="1" applyFont="1"/>
    <xf numFmtId="182" fontId="63" fillId="0" borderId="0" xfId="0" applyNumberFormat="1" applyFont="1"/>
    <xf numFmtId="2" fontId="63" fillId="40" borderId="0" xfId="0" applyNumberFormat="1" applyFont="1" applyFill="1"/>
    <xf numFmtId="2" fontId="63" fillId="0" borderId="0" xfId="0" applyNumberFormat="1" applyFont="1"/>
    <xf numFmtId="9" fontId="53" fillId="0" borderId="0" xfId="47" applyFont="1" applyFill="1"/>
    <xf numFmtId="1" fontId="39" fillId="0" borderId="0" xfId="0" applyNumberFormat="1" applyFont="1"/>
    <xf numFmtId="193" fontId="0" fillId="0" borderId="0" xfId="0" applyNumberFormat="1"/>
    <xf numFmtId="184" fontId="53" fillId="0" borderId="0" xfId="0" applyNumberFormat="1" applyFont="1"/>
    <xf numFmtId="3" fontId="57" fillId="0" borderId="0" xfId="0" applyNumberFormat="1" applyFont="1"/>
    <xf numFmtId="192" fontId="57" fillId="0" borderId="0" xfId="0" applyNumberFormat="1" applyFont="1"/>
    <xf numFmtId="0" fontId="57" fillId="36" borderId="0" xfId="0" applyFont="1" applyFill="1"/>
    <xf numFmtId="192" fontId="57" fillId="36" borderId="0" xfId="0" applyNumberFormat="1" applyFont="1" applyFill="1"/>
    <xf numFmtId="0" fontId="87" fillId="0" borderId="0" xfId="0" applyFont="1"/>
    <xf numFmtId="0" fontId="91" fillId="0" borderId="0" xfId="0" applyFont="1"/>
    <xf numFmtId="185" fontId="0" fillId="0" borderId="0" xfId="0" applyNumberFormat="1"/>
    <xf numFmtId="194" fontId="39" fillId="0" borderId="0" xfId="0" applyNumberFormat="1" applyFont="1"/>
    <xf numFmtId="181" fontId="53" fillId="0" borderId="0" xfId="0" applyNumberFormat="1" applyFont="1"/>
    <xf numFmtId="2" fontId="57" fillId="0" borderId="0" xfId="0" applyNumberFormat="1" applyFont="1"/>
    <xf numFmtId="0" fontId="51" fillId="0" borderId="0" xfId="0" applyFont="1"/>
    <xf numFmtId="1" fontId="64" fillId="0" borderId="0" xfId="0" applyNumberFormat="1" applyFont="1"/>
    <xf numFmtId="184" fontId="57" fillId="0" borderId="0" xfId="0" applyNumberFormat="1" applyFont="1"/>
    <xf numFmtId="195" fontId="53" fillId="0" borderId="0" xfId="0" applyNumberFormat="1" applyFont="1"/>
    <xf numFmtId="191" fontId="65" fillId="0" borderId="0" xfId="0" applyNumberFormat="1" applyFont="1"/>
    <xf numFmtId="181" fontId="0" fillId="0" borderId="0" xfId="47" applyNumberFormat="1" applyFont="1"/>
    <xf numFmtId="191" fontId="53" fillId="0" borderId="0" xfId="0" applyNumberFormat="1" applyFont="1"/>
    <xf numFmtId="0" fontId="0" fillId="36" borderId="0" xfId="0" applyFill="1"/>
    <xf numFmtId="2" fontId="53" fillId="36" borderId="0" xfId="0" applyNumberFormat="1" applyFont="1" applyFill="1"/>
    <xf numFmtId="3" fontId="0" fillId="0" borderId="0" xfId="0" applyNumberFormat="1" applyAlignment="1">
      <alignment horizontal="left"/>
    </xf>
    <xf numFmtId="0" fontId="0" fillId="0" borderId="0" xfId="0" applyAlignment="1">
      <alignment horizontal="left"/>
    </xf>
    <xf numFmtId="0" fontId="0" fillId="0" borderId="0" xfId="0" applyAlignment="1">
      <alignment horizontal="right"/>
    </xf>
    <xf numFmtId="3" fontId="0" fillId="0" borderId="0" xfId="0" applyNumberFormat="1" applyAlignment="1">
      <alignment horizontal="right"/>
    </xf>
    <xf numFmtId="192" fontId="0" fillId="0" borderId="0" xfId="0" applyNumberFormat="1"/>
    <xf numFmtId="0" fontId="29" fillId="23" borderId="0" xfId="49"/>
    <xf numFmtId="197" fontId="29" fillId="23" borderId="0" xfId="49" applyNumberFormat="1"/>
    <xf numFmtId="197" fontId="0" fillId="0" borderId="0" xfId="0" applyNumberFormat="1"/>
    <xf numFmtId="0" fontId="8" fillId="0" borderId="0" xfId="0" applyFont="1"/>
    <xf numFmtId="9" fontId="66" fillId="0" borderId="0" xfId="0" applyNumberFormat="1" applyFont="1"/>
    <xf numFmtId="198" fontId="0" fillId="0" borderId="0" xfId="0" applyNumberFormat="1"/>
    <xf numFmtId="198" fontId="0" fillId="41" borderId="0" xfId="0" applyNumberFormat="1" applyFill="1"/>
    <xf numFmtId="9" fontId="53" fillId="23" borderId="0" xfId="49" applyNumberFormat="1" applyFont="1"/>
    <xf numFmtId="198" fontId="29" fillId="23" borderId="0" xfId="49" applyNumberFormat="1"/>
    <xf numFmtId="197" fontId="29" fillId="41" borderId="0" xfId="49" applyNumberFormat="1" applyFill="1"/>
    <xf numFmtId="176" fontId="29" fillId="23" borderId="0" xfId="49" applyNumberFormat="1"/>
    <xf numFmtId="9" fontId="67" fillId="0" borderId="0" xfId="0" applyNumberFormat="1" applyFont="1"/>
    <xf numFmtId="9" fontId="68" fillId="0" borderId="0" xfId="0" applyNumberFormat="1" applyFont="1"/>
    <xf numFmtId="197" fontId="0" fillId="41" borderId="0" xfId="0" applyNumberFormat="1" applyFill="1"/>
    <xf numFmtId="197" fontId="0" fillId="39" borderId="0" xfId="0" applyNumberFormat="1" applyFill="1"/>
    <xf numFmtId="176" fontId="0" fillId="0" borderId="0" xfId="0" applyNumberFormat="1"/>
    <xf numFmtId="178" fontId="0" fillId="0" borderId="0" xfId="0" applyNumberFormat="1"/>
    <xf numFmtId="186" fontId="45" fillId="24" borderId="39" xfId="46" applyNumberFormat="1" applyFont="1" applyFill="1" applyBorder="1" applyProtection="1">
      <protection locked="0"/>
    </xf>
    <xf numFmtId="199" fontId="50" fillId="27" borderId="35" xfId="57" applyNumberFormat="1" applyFont="1" applyFill="1" applyBorder="1" applyProtection="1">
      <protection locked="0"/>
    </xf>
    <xf numFmtId="0" fontId="69" fillId="0" borderId="0" xfId="0" applyFont="1"/>
    <xf numFmtId="184" fontId="0" fillId="0" borderId="67" xfId="0" applyNumberFormat="1" applyBorder="1"/>
    <xf numFmtId="204" fontId="0" fillId="25" borderId="192" xfId="46" applyNumberFormat="1" applyFont="1" applyFill="1" applyBorder="1" applyProtection="1"/>
    <xf numFmtId="204" fontId="27" fillId="0" borderId="192" xfId="46" applyNumberFormat="1" applyFont="1" applyBorder="1" applyProtection="1">
      <protection locked="0"/>
    </xf>
    <xf numFmtId="204" fontId="0" fillId="0" borderId="197" xfId="0" applyNumberFormat="1" applyBorder="1"/>
    <xf numFmtId="204" fontId="45" fillId="24" borderId="198" xfId="46" applyNumberFormat="1" applyFont="1" applyFill="1" applyBorder="1" applyProtection="1">
      <protection locked="0"/>
    </xf>
    <xf numFmtId="197" fontId="14" fillId="9" borderId="0" xfId="5" applyNumberFormat="1"/>
    <xf numFmtId="9" fontId="66" fillId="0" borderId="0" xfId="47" applyFont="1"/>
    <xf numFmtId="0" fontId="27" fillId="0" borderId="192" xfId="0" applyFont="1" applyBorder="1" applyProtection="1">
      <protection locked="0"/>
    </xf>
    <xf numFmtId="0" fontId="27" fillId="0" borderId="200" xfId="0" applyFont="1" applyBorder="1" applyProtection="1">
      <protection locked="0"/>
    </xf>
    <xf numFmtId="0" fontId="0" fillId="0" borderId="201" xfId="0" applyBorder="1" applyProtection="1">
      <protection locked="0"/>
    </xf>
    <xf numFmtId="182" fontId="27" fillId="29" borderId="184" xfId="56" applyNumberFormat="1" applyFont="1" applyBorder="1" applyProtection="1">
      <protection locked="0"/>
    </xf>
    <xf numFmtId="183" fontId="50" fillId="27" borderId="184" xfId="46" applyNumberFormat="1" applyFont="1" applyFill="1" applyBorder="1"/>
    <xf numFmtId="183" fontId="50" fillId="27" borderId="185" xfId="46" applyNumberFormat="1" applyFont="1" applyFill="1" applyBorder="1"/>
    <xf numFmtId="183" fontId="50" fillId="27" borderId="189" xfId="46" applyNumberFormat="1" applyFont="1" applyFill="1" applyBorder="1"/>
    <xf numFmtId="183" fontId="50" fillId="27" borderId="188" xfId="46" applyNumberFormat="1" applyFont="1" applyFill="1" applyBorder="1"/>
    <xf numFmtId="182" fontId="50" fillId="27" borderId="140" xfId="54" applyNumberFormat="1" applyFont="1" applyBorder="1"/>
    <xf numFmtId="178" fontId="50" fillId="27" borderId="144" xfId="57" applyNumberFormat="1" applyFont="1" applyFill="1" applyBorder="1"/>
    <xf numFmtId="0" fontId="0" fillId="0" borderId="202" xfId="0" applyBorder="1"/>
    <xf numFmtId="179" fontId="0" fillId="0" borderId="18" xfId="57" applyFont="1" applyBorder="1"/>
    <xf numFmtId="179" fontId="0" fillId="0" borderId="18" xfId="57" applyFont="1" applyFill="1" applyBorder="1"/>
    <xf numFmtId="179" fontId="50" fillId="27" borderId="203" xfId="54" applyNumberFormat="1" applyFont="1" applyBorder="1" applyProtection="1"/>
    <xf numFmtId="179" fontId="50" fillId="27" borderId="204" xfId="54" applyNumberFormat="1" applyFont="1" applyBorder="1" applyProtection="1"/>
    <xf numFmtId="179" fontId="50" fillId="27" borderId="205" xfId="54" applyNumberFormat="1" applyFont="1" applyBorder="1" applyProtection="1"/>
    <xf numFmtId="2" fontId="92" fillId="0" borderId="0" xfId="0" applyNumberFormat="1" applyFont="1"/>
    <xf numFmtId="0" fontId="92" fillId="0" borderId="0" xfId="0" applyFont="1"/>
    <xf numFmtId="0" fontId="0" fillId="0" borderId="173" xfId="0" applyBorder="1" applyProtection="1">
      <protection locked="0"/>
    </xf>
    <xf numFmtId="0" fontId="0" fillId="0" borderId="172" xfId="0" applyBorder="1" applyProtection="1">
      <protection locked="0"/>
    </xf>
    <xf numFmtId="0" fontId="0" fillId="0" borderId="174" xfId="0" applyBorder="1" applyProtection="1">
      <protection locked="0"/>
    </xf>
    <xf numFmtId="179" fontId="27" fillId="29" borderId="184" xfId="56" applyNumberFormat="1" applyFont="1" applyBorder="1" applyProtection="1">
      <protection locked="0"/>
    </xf>
    <xf numFmtId="179" fontId="27" fillId="29" borderId="193" xfId="56" applyNumberFormat="1" applyFont="1" applyBorder="1" applyProtection="1">
      <protection locked="0"/>
    </xf>
    <xf numFmtId="179" fontId="27" fillId="29" borderId="200" xfId="56" applyNumberFormat="1" applyFont="1" applyBorder="1" applyProtection="1">
      <protection locked="0"/>
    </xf>
    <xf numFmtId="0" fontId="0" fillId="0" borderId="199" xfId="0" applyBorder="1" applyProtection="1">
      <protection locked="0"/>
    </xf>
    <xf numFmtId="182" fontId="27" fillId="29" borderId="193" xfId="56" applyNumberFormat="1" applyFont="1" applyBorder="1" applyProtection="1">
      <protection locked="0"/>
    </xf>
    <xf numFmtId="0" fontId="27" fillId="0" borderId="193" xfId="0" applyFont="1" applyBorder="1" applyProtection="1">
      <protection locked="0"/>
    </xf>
    <xf numFmtId="0" fontId="0" fillId="0" borderId="206" xfId="0" applyBorder="1" applyProtection="1">
      <protection locked="0"/>
    </xf>
    <xf numFmtId="183" fontId="27" fillId="29" borderId="207" xfId="46" applyNumberFormat="1" applyFont="1" applyFill="1" applyBorder="1" applyProtection="1">
      <protection locked="0"/>
    </xf>
    <xf numFmtId="183" fontId="27" fillId="29" borderId="208" xfId="46" applyNumberFormat="1" applyFont="1" applyFill="1" applyBorder="1" applyProtection="1">
      <protection locked="0"/>
    </xf>
    <xf numFmtId="183" fontId="27" fillId="29" borderId="209" xfId="46" applyNumberFormat="1" applyFont="1" applyFill="1" applyBorder="1" applyProtection="1">
      <protection locked="0"/>
    </xf>
    <xf numFmtId="2" fontId="14" fillId="9" borderId="0" xfId="5" applyNumberFormat="1"/>
    <xf numFmtId="186" fontId="0" fillId="25" borderId="173" xfId="46" applyNumberFormat="1" applyFont="1" applyFill="1" applyBorder="1" applyProtection="1"/>
    <xf numFmtId="0" fontId="27" fillId="0" borderId="174" xfId="0" applyFont="1" applyBorder="1" applyProtection="1">
      <protection locked="0"/>
    </xf>
    <xf numFmtId="182" fontId="50" fillId="27" borderId="211" xfId="54" applyNumberFormat="1" applyFont="1" applyBorder="1" applyProtection="1">
      <protection locked="0"/>
    </xf>
    <xf numFmtId="184" fontId="50" fillId="27" borderId="213" xfId="54" applyNumberFormat="1" applyFont="1" applyBorder="1" applyProtection="1">
      <protection locked="0"/>
    </xf>
    <xf numFmtId="182" fontId="50" fillId="27" borderId="214" xfId="54" applyNumberFormat="1" applyFont="1" applyBorder="1" applyProtection="1">
      <protection locked="0"/>
    </xf>
    <xf numFmtId="0" fontId="0" fillId="0" borderId="190" xfId="0" applyBorder="1" applyProtection="1">
      <protection locked="0"/>
    </xf>
    <xf numFmtId="184" fontId="50" fillId="27" borderId="216" xfId="54" applyNumberFormat="1" applyFont="1" applyBorder="1" applyProtection="1">
      <protection locked="0"/>
    </xf>
    <xf numFmtId="184" fontId="50" fillId="27" borderId="217" xfId="54" applyNumberFormat="1" applyFont="1" applyBorder="1" applyProtection="1">
      <protection locked="0"/>
    </xf>
    <xf numFmtId="184" fontId="50" fillId="27" borderId="218" xfId="54" applyNumberFormat="1" applyFont="1" applyBorder="1" applyProtection="1">
      <protection locked="0"/>
    </xf>
    <xf numFmtId="182" fontId="50" fillId="27" borderId="210" xfId="54" applyNumberFormat="1" applyFont="1" applyBorder="1" applyProtection="1">
      <protection locked="0"/>
    </xf>
    <xf numFmtId="182" fontId="50" fillId="27" borderId="191" xfId="54" applyNumberFormat="1" applyFont="1" applyBorder="1" applyProtection="1">
      <protection locked="0"/>
    </xf>
    <xf numFmtId="182" fontId="50" fillId="27" borderId="218" xfId="54" applyNumberFormat="1" applyFont="1" applyBorder="1" applyProtection="1">
      <protection locked="0"/>
    </xf>
    <xf numFmtId="183" fontId="50" fillId="27" borderId="216" xfId="46" applyNumberFormat="1" applyFont="1" applyFill="1" applyBorder="1" applyProtection="1">
      <protection locked="0"/>
    </xf>
    <xf numFmtId="183" fontId="50" fillId="27" borderId="79" xfId="46" applyNumberFormat="1" applyFont="1" applyFill="1" applyBorder="1" applyProtection="1">
      <protection locked="0"/>
    </xf>
    <xf numFmtId="0" fontId="50" fillId="27" borderId="216" xfId="54" applyFont="1" applyBorder="1" applyProtection="1">
      <protection locked="0"/>
    </xf>
    <xf numFmtId="0" fontId="50" fillId="27" borderId="217" xfId="54" applyFont="1" applyBorder="1" applyProtection="1">
      <protection locked="0"/>
    </xf>
    <xf numFmtId="182" fontId="50" fillId="27" borderId="212" xfId="54" applyNumberFormat="1" applyFont="1" applyBorder="1" applyProtection="1">
      <protection locked="0"/>
    </xf>
    <xf numFmtId="184" fontId="50" fillId="27" borderId="215" xfId="54" applyNumberFormat="1" applyFont="1" applyBorder="1" applyProtection="1">
      <protection locked="0"/>
    </xf>
    <xf numFmtId="185" fontId="0" fillId="30" borderId="0" xfId="0" applyNumberFormat="1" applyFill="1"/>
    <xf numFmtId="0" fontId="0" fillId="42" borderId="0" xfId="0" applyFill="1"/>
    <xf numFmtId="182" fontId="0" fillId="42" borderId="0" xfId="0" applyNumberFormat="1" applyFill="1"/>
    <xf numFmtId="0" fontId="53" fillId="42" borderId="0" xfId="0" applyFont="1" applyFill="1"/>
    <xf numFmtId="2" fontId="39" fillId="42" borderId="0" xfId="0" applyNumberFormat="1" applyFont="1" applyFill="1"/>
    <xf numFmtId="0" fontId="41" fillId="22" borderId="27" xfId="48" applyFont="1" applyBorder="1"/>
    <xf numFmtId="9" fontId="41" fillId="22" borderId="178" xfId="48" applyNumberFormat="1" applyFont="1" applyBorder="1"/>
    <xf numFmtId="9" fontId="41" fillId="22" borderId="172" xfId="48" applyNumberFormat="1" applyFont="1" applyBorder="1"/>
    <xf numFmtId="181" fontId="41" fillId="22" borderId="178" xfId="48" applyNumberFormat="1" applyFont="1" applyBorder="1"/>
    <xf numFmtId="0" fontId="42" fillId="23" borderId="26" xfId="49" applyFont="1" applyBorder="1"/>
    <xf numFmtId="0" fontId="42" fillId="23" borderId="27" xfId="49" applyFont="1" applyBorder="1"/>
    <xf numFmtId="9" fontId="42" fillId="23" borderId="178" xfId="49" applyNumberFormat="1" applyFont="1" applyBorder="1"/>
    <xf numFmtId="9" fontId="42" fillId="23" borderId="172" xfId="49" applyNumberFormat="1" applyFont="1" applyBorder="1"/>
    <xf numFmtId="0" fontId="42" fillId="23" borderId="222" xfId="49" applyFont="1" applyBorder="1" applyAlignment="1">
      <alignment wrapText="1"/>
    </xf>
    <xf numFmtId="0" fontId="42" fillId="23" borderId="32" xfId="49" applyFont="1" applyBorder="1"/>
    <xf numFmtId="1" fontId="42" fillId="23" borderId="138" xfId="49" applyNumberFormat="1" applyFont="1" applyBorder="1"/>
    <xf numFmtId="0" fontId="27" fillId="0" borderId="219" xfId="0" applyFont="1" applyBorder="1"/>
    <xf numFmtId="0" fontId="27" fillId="0" borderId="32" xfId="0" applyFont="1" applyBorder="1"/>
    <xf numFmtId="10" fontId="27" fillId="0" borderId="138" xfId="0" applyNumberFormat="1" applyFont="1" applyBorder="1"/>
    <xf numFmtId="0" fontId="93" fillId="0" borderId="0" xfId="0" applyFont="1"/>
    <xf numFmtId="0" fontId="94" fillId="32" borderId="17" xfId="0" applyFont="1" applyFill="1" applyBorder="1" applyProtection="1">
      <protection locked="0"/>
    </xf>
    <xf numFmtId="179" fontId="45" fillId="24" borderId="132" xfId="50" applyNumberFormat="1" applyFont="1" applyBorder="1" applyProtection="1">
      <protection locked="0"/>
    </xf>
    <xf numFmtId="179" fontId="45" fillId="24" borderId="212" xfId="50" applyNumberFormat="1" applyFont="1" applyBorder="1" applyProtection="1">
      <protection locked="0"/>
    </xf>
    <xf numFmtId="182" fontId="57" fillId="43" borderId="0" xfId="0" applyNumberFormat="1" applyFont="1" applyFill="1"/>
    <xf numFmtId="1" fontId="63" fillId="43" borderId="0" xfId="0" applyNumberFormat="1" applyFont="1" applyFill="1"/>
    <xf numFmtId="0" fontId="95" fillId="0" borderId="0" xfId="0" applyFont="1"/>
    <xf numFmtId="182" fontId="39" fillId="43" borderId="0" xfId="0" applyNumberFormat="1" applyFont="1" applyFill="1"/>
    <xf numFmtId="184" fontId="39" fillId="43" borderId="0" xfId="0" applyNumberFormat="1" applyFont="1" applyFill="1"/>
    <xf numFmtId="184" fontId="0" fillId="42" borderId="0" xfId="0" applyNumberFormat="1" applyFill="1"/>
    <xf numFmtId="3" fontId="57" fillId="43" borderId="0" xfId="0" applyNumberFormat="1" applyFont="1" applyFill="1"/>
    <xf numFmtId="0" fontId="0" fillId="0" borderId="178" xfId="0" applyBorder="1"/>
    <xf numFmtId="9" fontId="0" fillId="0" borderId="173" xfId="47" applyFont="1" applyBorder="1"/>
    <xf numFmtId="9" fontId="45" fillId="24" borderId="20" xfId="50" applyNumberFormat="1" applyFont="1"/>
    <xf numFmtId="0" fontId="0" fillId="0" borderId="226" xfId="0" applyBorder="1"/>
    <xf numFmtId="0" fontId="0" fillId="0" borderId="227" xfId="0" applyBorder="1"/>
    <xf numFmtId="0" fontId="0" fillId="0" borderId="228" xfId="0" applyBorder="1"/>
    <xf numFmtId="0" fontId="0" fillId="0" borderId="229" xfId="0" applyBorder="1"/>
    <xf numFmtId="199" fontId="0" fillId="0" borderId="0" xfId="57" applyNumberFormat="1" applyFont="1" applyBorder="1"/>
    <xf numFmtId="199" fontId="0" fillId="25" borderId="233" xfId="57" applyNumberFormat="1" applyFont="1" applyFill="1" applyBorder="1"/>
    <xf numFmtId="9" fontId="0" fillId="25" borderId="113" xfId="47" applyFont="1" applyFill="1" applyBorder="1"/>
    <xf numFmtId="179" fontId="45" fillId="24" borderId="20" xfId="57" applyFont="1" applyFill="1" applyBorder="1"/>
    <xf numFmtId="0" fontId="0" fillId="0" borderId="235" xfId="0" applyBorder="1"/>
    <xf numFmtId="0" fontId="0" fillId="0" borderId="236" xfId="0" applyBorder="1"/>
    <xf numFmtId="0" fontId="0" fillId="0" borderId="237" xfId="0" applyBorder="1"/>
    <xf numFmtId="0" fontId="0" fillId="0" borderId="234" xfId="0" applyBorder="1"/>
    <xf numFmtId="199" fontId="0" fillId="5" borderId="0" xfId="57" applyNumberFormat="1" applyFont="1" applyFill="1" applyBorder="1"/>
    <xf numFmtId="9" fontId="0" fillId="5" borderId="173" xfId="47" applyFont="1" applyFill="1" applyBorder="1"/>
    <xf numFmtId="179" fontId="0" fillId="0" borderId="238" xfId="57" applyFont="1" applyBorder="1"/>
    <xf numFmtId="179" fontId="0" fillId="0" borderId="231" xfId="57" applyFont="1" applyBorder="1"/>
    <xf numFmtId="179" fontId="0" fillId="0" borderId="240" xfId="57" applyFont="1" applyBorder="1"/>
    <xf numFmtId="179" fontId="0" fillId="0" borderId="26" xfId="57" applyFont="1" applyBorder="1"/>
    <xf numFmtId="179" fontId="0" fillId="0" borderId="0" xfId="57" applyFont="1" applyBorder="1"/>
    <xf numFmtId="179" fontId="0" fillId="0" borderId="27" xfId="57" applyFont="1" applyBorder="1"/>
    <xf numFmtId="179" fontId="0" fillId="0" borderId="178" xfId="57" applyFont="1" applyBorder="1"/>
    <xf numFmtId="179" fontId="0" fillId="0" borderId="173" xfId="57" applyFont="1" applyBorder="1"/>
    <xf numFmtId="179" fontId="0" fillId="5" borderId="0" xfId="57" applyFont="1" applyFill="1" applyBorder="1"/>
    <xf numFmtId="179" fontId="0" fillId="5" borderId="172" xfId="57" applyFont="1" applyFill="1" applyBorder="1"/>
    <xf numFmtId="179" fontId="0" fillId="5" borderId="27" xfId="57" applyFont="1" applyFill="1" applyBorder="1"/>
    <xf numFmtId="179" fontId="0" fillId="5" borderId="173" xfId="57" applyFont="1" applyFill="1" applyBorder="1"/>
    <xf numFmtId="179" fontId="0" fillId="5" borderId="26" xfId="57" applyFont="1" applyFill="1" applyBorder="1"/>
    <xf numFmtId="179" fontId="0" fillId="5" borderId="178" xfId="57" applyFont="1" applyFill="1" applyBorder="1"/>
    <xf numFmtId="179" fontId="0" fillId="0" borderId="231" xfId="57" applyFont="1" applyFill="1" applyBorder="1"/>
    <xf numFmtId="0" fontId="0" fillId="0" borderId="241" xfId="0" applyBorder="1"/>
    <xf numFmtId="9" fontId="0" fillId="25" borderId="233" xfId="47" applyFont="1" applyFill="1" applyBorder="1"/>
    <xf numFmtId="9" fontId="0" fillId="0" borderId="0" xfId="47" applyFont="1" applyBorder="1"/>
    <xf numFmtId="9" fontId="0" fillId="5" borderId="0" xfId="47" applyFont="1" applyFill="1" applyBorder="1"/>
    <xf numFmtId="0" fontId="0" fillId="0" borderId="242" xfId="0" applyBorder="1"/>
    <xf numFmtId="179" fontId="0" fillId="25" borderId="233" xfId="57" applyFont="1" applyFill="1" applyBorder="1"/>
    <xf numFmtId="199" fontId="45" fillId="24" borderId="60" xfId="57" applyNumberFormat="1" applyFont="1" applyFill="1" applyBorder="1"/>
    <xf numFmtId="200" fontId="0" fillId="25" borderId="233" xfId="57" applyNumberFormat="1" applyFont="1" applyFill="1" applyBorder="1"/>
    <xf numFmtId="200" fontId="0" fillId="25" borderId="113" xfId="57" applyNumberFormat="1" applyFont="1" applyFill="1" applyBorder="1"/>
    <xf numFmtId="200" fontId="0" fillId="5" borderId="0" xfId="57" applyNumberFormat="1" applyFont="1" applyFill="1" applyBorder="1"/>
    <xf numFmtId="200" fontId="0" fillId="5" borderId="243" xfId="57" applyNumberFormat="1" applyFont="1" applyFill="1" applyBorder="1"/>
    <xf numFmtId="200" fontId="0" fillId="0" borderId="0" xfId="57" applyNumberFormat="1" applyFont="1" applyFill="1" applyBorder="1"/>
    <xf numFmtId="179" fontId="0" fillId="0" borderId="0" xfId="57" applyFont="1" applyFill="1" applyBorder="1"/>
    <xf numFmtId="9" fontId="45" fillId="24" borderId="244" xfId="47" applyFont="1" applyFill="1" applyBorder="1"/>
    <xf numFmtId="179" fontId="45" fillId="24" borderId="33" xfId="57" applyFont="1" applyFill="1" applyBorder="1"/>
    <xf numFmtId="200" fontId="45" fillId="24" borderId="33" xfId="57" applyNumberFormat="1" applyFont="1" applyFill="1" applyBorder="1"/>
    <xf numFmtId="200" fontId="45" fillId="24" borderId="34" xfId="57" applyNumberFormat="1" applyFont="1" applyFill="1" applyBorder="1"/>
    <xf numFmtId="179" fontId="0" fillId="0" borderId="0" xfId="0" applyNumberFormat="1"/>
    <xf numFmtId="179" fontId="0" fillId="32" borderId="0" xfId="0" applyNumberFormat="1" applyFill="1" applyProtection="1">
      <protection locked="0"/>
    </xf>
    <xf numFmtId="9" fontId="45" fillId="24" borderId="20" xfId="47" applyFont="1" applyFill="1" applyBorder="1"/>
    <xf numFmtId="9" fontId="45" fillId="24" borderId="43" xfId="47" applyFont="1" applyFill="1" applyBorder="1"/>
    <xf numFmtId="3" fontId="0" fillId="0" borderId="242" xfId="0" applyNumberFormat="1" applyBorder="1"/>
    <xf numFmtId="3" fontId="0" fillId="0" borderId="235" xfId="0" applyNumberFormat="1" applyBorder="1"/>
    <xf numFmtId="3" fontId="0" fillId="0" borderId="243" xfId="0" applyNumberFormat="1" applyBorder="1"/>
    <xf numFmtId="3" fontId="0" fillId="0" borderId="236" xfId="0" applyNumberFormat="1" applyBorder="1"/>
    <xf numFmtId="183" fontId="50" fillId="27" borderId="20" xfId="46" applyNumberFormat="1" applyFont="1" applyFill="1" applyBorder="1"/>
    <xf numFmtId="10" fontId="45" fillId="24" borderId="20" xfId="47" applyNumberFormat="1" applyFont="1" applyFill="1" applyBorder="1"/>
    <xf numFmtId="187" fontId="50" fillId="27" borderId="210" xfId="54" applyNumberFormat="1" applyFont="1" applyBorder="1"/>
    <xf numFmtId="189" fontId="50" fillId="27" borderId="60" xfId="54" applyNumberFormat="1" applyFont="1" applyBorder="1"/>
    <xf numFmtId="189" fontId="50" fillId="27" borderId="20" xfId="54" applyNumberFormat="1" applyFont="1"/>
    <xf numFmtId="183" fontId="50" fillId="27" borderId="218" xfId="46" applyNumberFormat="1" applyFont="1" applyFill="1" applyBorder="1" applyProtection="1">
      <protection locked="0"/>
    </xf>
    <xf numFmtId="179" fontId="0" fillId="0" borderId="243" xfId="57" applyFont="1" applyBorder="1" applyProtection="1">
      <protection locked="0"/>
    </xf>
    <xf numFmtId="179" fontId="0" fillId="0" borderId="234" xfId="57" applyFont="1" applyBorder="1" applyProtection="1">
      <protection locked="0"/>
    </xf>
    <xf numFmtId="0" fontId="31" fillId="28" borderId="171" xfId="55" applyFont="1" applyBorder="1" applyAlignment="1" applyProtection="1">
      <alignment horizontal="center"/>
      <protection locked="0"/>
    </xf>
    <xf numFmtId="0" fontId="31" fillId="28" borderId="246" xfId="55" applyFont="1" applyBorder="1" applyAlignment="1" applyProtection="1">
      <alignment horizontal="center"/>
      <protection locked="0"/>
    </xf>
    <xf numFmtId="0" fontId="31" fillId="28" borderId="247" xfId="55" applyFont="1" applyBorder="1" applyAlignment="1" applyProtection="1">
      <alignment horizontal="center"/>
      <protection locked="0"/>
    </xf>
    <xf numFmtId="179" fontId="27" fillId="29" borderId="247" xfId="57" applyFont="1" applyFill="1" applyBorder="1" applyProtection="1">
      <protection locked="0"/>
    </xf>
    <xf numFmtId="184" fontId="27" fillId="29" borderId="248" xfId="56" applyNumberFormat="1" applyFont="1" applyBorder="1" applyProtection="1">
      <protection locked="0"/>
    </xf>
    <xf numFmtId="184" fontId="27" fillId="29" borderId="0" xfId="56" applyNumberFormat="1" applyFont="1" applyBorder="1" applyProtection="1">
      <protection locked="0"/>
    </xf>
    <xf numFmtId="182" fontId="27" fillId="29" borderId="247" xfId="56" applyNumberFormat="1" applyFont="1" applyBorder="1" applyProtection="1">
      <protection locked="0"/>
    </xf>
    <xf numFmtId="0" fontId="27" fillId="0" borderId="243" xfId="0" applyFont="1" applyBorder="1" applyProtection="1">
      <protection locked="0"/>
    </xf>
    <xf numFmtId="183" fontId="27" fillId="29" borderId="0" xfId="46" applyNumberFormat="1" applyFont="1" applyFill="1" applyBorder="1" applyProtection="1">
      <protection locked="0"/>
    </xf>
    <xf numFmtId="183" fontId="27" fillId="29" borderId="249" xfId="46" applyNumberFormat="1" applyFont="1" applyFill="1" applyBorder="1" applyProtection="1">
      <protection locked="0"/>
    </xf>
    <xf numFmtId="0" fontId="31" fillId="28" borderId="250" xfId="55" applyFont="1" applyBorder="1" applyAlignment="1" applyProtection="1">
      <alignment horizontal="center"/>
      <protection locked="0"/>
    </xf>
    <xf numFmtId="0" fontId="31" fillId="28" borderId="159" xfId="55" applyFont="1" applyBorder="1" applyAlignment="1" applyProtection="1">
      <protection locked="0"/>
    </xf>
    <xf numFmtId="0" fontId="31" fillId="28" borderId="251" xfId="55" applyFont="1" applyBorder="1" applyAlignment="1" applyProtection="1">
      <alignment horizontal="center"/>
      <protection locked="0"/>
    </xf>
    <xf numFmtId="0" fontId="31" fillId="28" borderId="252" xfId="55" applyFont="1" applyBorder="1" applyAlignment="1" applyProtection="1">
      <alignment horizontal="center"/>
      <protection locked="0"/>
    </xf>
    <xf numFmtId="179" fontId="27" fillId="29" borderId="246" xfId="57" applyFont="1" applyFill="1" applyBorder="1" applyProtection="1">
      <protection locked="0"/>
    </xf>
    <xf numFmtId="179" fontId="27" fillId="29" borderId="251" xfId="57" applyFont="1" applyFill="1" applyBorder="1" applyProtection="1">
      <protection locked="0"/>
    </xf>
    <xf numFmtId="179" fontId="27" fillId="29" borderId="252" xfId="57" applyFont="1" applyFill="1" applyBorder="1" applyProtection="1">
      <protection locked="0"/>
    </xf>
    <xf numFmtId="0" fontId="27" fillId="0" borderId="251" xfId="0" applyFont="1" applyBorder="1" applyProtection="1">
      <protection locked="0"/>
    </xf>
    <xf numFmtId="0" fontId="0" fillId="0" borderId="253" xfId="0" applyBorder="1" applyProtection="1">
      <protection locked="0"/>
    </xf>
    <xf numFmtId="182" fontId="27" fillId="29" borderId="246" xfId="56" applyNumberFormat="1" applyFont="1" applyBorder="1" applyProtection="1">
      <protection locked="0"/>
    </xf>
    <xf numFmtId="182" fontId="27" fillId="29" borderId="252" xfId="56" applyNumberFormat="1" applyFont="1" applyBorder="1" applyProtection="1">
      <protection locked="0"/>
    </xf>
    <xf numFmtId="0" fontId="0" fillId="0" borderId="254" xfId="0" applyBorder="1" applyProtection="1">
      <protection locked="0"/>
    </xf>
    <xf numFmtId="183" fontId="27" fillId="29" borderId="255" xfId="46" applyNumberFormat="1" applyFont="1" applyFill="1" applyBorder="1" applyProtection="1">
      <protection locked="0"/>
    </xf>
    <xf numFmtId="184" fontId="27" fillId="29" borderId="257" xfId="56" applyNumberFormat="1" applyFont="1" applyBorder="1" applyProtection="1">
      <protection locked="0"/>
    </xf>
    <xf numFmtId="184" fontId="27" fillId="29" borderId="258" xfId="56" applyNumberFormat="1" applyFont="1" applyBorder="1" applyProtection="1">
      <protection locked="0"/>
    </xf>
    <xf numFmtId="183" fontId="27" fillId="29" borderId="258" xfId="46" applyNumberFormat="1" applyFont="1" applyFill="1" applyBorder="1" applyProtection="1">
      <protection locked="0"/>
    </xf>
    <xf numFmtId="183" fontId="27" fillId="29" borderId="259" xfId="46" applyNumberFormat="1" applyFont="1" applyFill="1" applyBorder="1" applyProtection="1">
      <protection locked="0"/>
    </xf>
    <xf numFmtId="199" fontId="0" fillId="0" borderId="0" xfId="57" applyNumberFormat="1" applyFont="1" applyFill="1" applyBorder="1"/>
    <xf numFmtId="179" fontId="0" fillId="0" borderId="0" xfId="57" applyFont="1"/>
    <xf numFmtId="179" fontId="27" fillId="25" borderId="36" xfId="57" applyFont="1" applyFill="1" applyBorder="1" applyProtection="1"/>
    <xf numFmtId="179" fontId="45" fillId="24" borderId="34" xfId="57" applyFont="1" applyFill="1" applyBorder="1" applyProtection="1">
      <protection locked="0"/>
    </xf>
    <xf numFmtId="0" fontId="0" fillId="0" borderId="201" xfId="0" applyBorder="1" applyAlignment="1" applyProtection="1">
      <alignment horizontal="left"/>
      <protection locked="0"/>
    </xf>
    <xf numFmtId="0" fontId="0" fillId="0" borderId="156" xfId="0" applyBorder="1" applyAlignment="1" applyProtection="1">
      <alignment horizontal="left"/>
      <protection locked="0"/>
    </xf>
    <xf numFmtId="0" fontId="0" fillId="0" borderId="253" xfId="0" applyBorder="1" applyAlignment="1" applyProtection="1">
      <alignment horizontal="left"/>
      <protection locked="0"/>
    </xf>
    <xf numFmtId="0" fontId="51" fillId="26" borderId="260" xfId="53" applyFont="1" applyBorder="1" applyProtection="1">
      <protection locked="0"/>
    </xf>
    <xf numFmtId="179" fontId="0" fillId="44" borderId="0" xfId="57" applyFont="1" applyFill="1" applyProtection="1">
      <protection locked="0"/>
    </xf>
    <xf numFmtId="179" fontId="0" fillId="44" borderId="0" xfId="0" applyNumberFormat="1" applyFill="1" applyProtection="1">
      <protection locked="0"/>
    </xf>
    <xf numFmtId="0" fontId="51" fillId="0" borderId="261" xfId="0" applyFont="1" applyBorder="1" applyProtection="1">
      <protection locked="0"/>
    </xf>
    <xf numFmtId="0" fontId="51" fillId="0" borderId="262" xfId="0" applyFont="1" applyBorder="1" applyProtection="1">
      <protection locked="0"/>
    </xf>
    <xf numFmtId="0" fontId="0" fillId="0" borderId="263" xfId="0" applyBorder="1" applyProtection="1">
      <protection locked="0"/>
    </xf>
    <xf numFmtId="0" fontId="25" fillId="0" borderId="0" xfId="45" applyFill="1" applyProtection="1">
      <protection locked="0"/>
    </xf>
    <xf numFmtId="202" fontId="27" fillId="29" borderId="200" xfId="56" applyNumberFormat="1" applyFont="1" applyBorder="1" applyProtection="1">
      <protection locked="0"/>
    </xf>
    <xf numFmtId="189" fontId="27" fillId="29" borderId="27" xfId="56" applyNumberFormat="1" applyFont="1" applyBorder="1" applyProtection="1">
      <protection locked="0"/>
    </xf>
    <xf numFmtId="202" fontId="27" fillId="29" borderId="246" xfId="56" applyNumberFormat="1" applyFont="1" applyBorder="1" applyProtection="1">
      <protection locked="0"/>
    </xf>
    <xf numFmtId="184" fontId="50" fillId="27" borderId="189" xfId="54" applyNumberFormat="1" applyFont="1" applyBorder="1"/>
    <xf numFmtId="182" fontId="50" fillId="27" borderId="189" xfId="54" applyNumberFormat="1" applyFont="1" applyBorder="1"/>
    <xf numFmtId="0" fontId="7" fillId="0" borderId="31" xfId="0" applyFont="1" applyBorder="1" applyProtection="1">
      <protection locked="0"/>
    </xf>
    <xf numFmtId="0" fontId="7" fillId="0" borderId="125" xfId="0" applyFont="1" applyBorder="1" applyProtection="1">
      <protection locked="0"/>
    </xf>
    <xf numFmtId="179" fontId="45" fillId="24" borderId="212" xfId="57" applyFont="1" applyFill="1" applyBorder="1" applyProtection="1">
      <protection locked="0"/>
    </xf>
    <xf numFmtId="179" fontId="45" fillId="24" borderId="244" xfId="57" applyFont="1" applyFill="1" applyBorder="1" applyProtection="1">
      <protection locked="0"/>
    </xf>
    <xf numFmtId="179" fontId="45" fillId="24" borderId="132" xfId="57" applyFont="1" applyFill="1" applyBorder="1" applyProtection="1">
      <protection locked="0"/>
    </xf>
    <xf numFmtId="199" fontId="0" fillId="0" borderId="0" xfId="57" applyNumberFormat="1" applyFont="1" applyProtection="1">
      <protection locked="0"/>
    </xf>
    <xf numFmtId="1" fontId="0" fillId="5" borderId="0" xfId="0" applyNumberFormat="1" applyFill="1" applyProtection="1">
      <protection locked="0"/>
    </xf>
    <xf numFmtId="0" fontId="0" fillId="25" borderId="21" xfId="52" applyFont="1" applyProtection="1">
      <protection locked="0"/>
    </xf>
    <xf numFmtId="0" fontId="0" fillId="25" borderId="21" xfId="52" applyFont="1" applyAlignment="1" applyProtection="1">
      <alignment horizontal="center"/>
      <protection locked="0"/>
    </xf>
    <xf numFmtId="0" fontId="27" fillId="45" borderId="0" xfId="60" applyFont="1" applyProtection="1">
      <protection locked="0"/>
    </xf>
    <xf numFmtId="179" fontId="27" fillId="45" borderId="0" xfId="60" applyNumberFormat="1" applyFont="1" applyProtection="1">
      <protection locked="0"/>
    </xf>
    <xf numFmtId="0" fontId="41" fillId="22" borderId="0" xfId="48" applyFont="1" applyProtection="1">
      <protection locked="0"/>
    </xf>
    <xf numFmtId="0" fontId="0" fillId="8" borderId="265" xfId="39" applyFont="1" applyBorder="1" applyProtection="1">
      <protection locked="0"/>
    </xf>
    <xf numFmtId="0" fontId="99" fillId="0" borderId="0" xfId="0" applyFont="1" applyProtection="1">
      <protection locked="0"/>
    </xf>
    <xf numFmtId="1" fontId="0" fillId="25" borderId="21" xfId="52" applyNumberFormat="1" applyFont="1" applyProtection="1">
      <protection locked="0"/>
    </xf>
    <xf numFmtId="0" fontId="100" fillId="0" borderId="0" xfId="0" applyFont="1" applyProtection="1">
      <protection locked="0"/>
    </xf>
    <xf numFmtId="0" fontId="101" fillId="46" borderId="268" xfId="61" applyProtection="1">
      <protection locked="0"/>
    </xf>
    <xf numFmtId="0" fontId="0" fillId="8" borderId="269" xfId="39" applyFont="1" applyBorder="1" applyProtection="1">
      <protection locked="0"/>
    </xf>
    <xf numFmtId="0" fontId="27" fillId="8" borderId="269" xfId="39" applyFont="1" applyBorder="1" applyProtection="1">
      <protection locked="0"/>
    </xf>
    <xf numFmtId="2" fontId="14" fillId="9" borderId="270" xfId="5" applyNumberFormat="1" applyBorder="1"/>
    <xf numFmtId="2" fontId="0" fillId="4" borderId="0" xfId="0" applyNumberFormat="1" applyFill="1"/>
    <xf numFmtId="2" fontId="0" fillId="42" borderId="0" xfId="0" applyNumberFormat="1" applyFill="1"/>
    <xf numFmtId="182" fontId="57" fillId="42" borderId="0" xfId="0" applyNumberFormat="1" applyFont="1" applyFill="1"/>
    <xf numFmtId="182" fontId="39" fillId="42" borderId="0" xfId="0" applyNumberFormat="1" applyFont="1" applyFill="1"/>
    <xf numFmtId="3" fontId="57" fillId="42" borderId="0" xfId="0" applyNumberFormat="1" applyFont="1" applyFill="1"/>
    <xf numFmtId="177" fontId="53" fillId="0" borderId="0" xfId="0" applyNumberFormat="1" applyFont="1"/>
    <xf numFmtId="177" fontId="0" fillId="0" borderId="0" xfId="0" applyNumberFormat="1"/>
    <xf numFmtId="192" fontId="57" fillId="42" borderId="0" xfId="0" applyNumberFormat="1" applyFont="1" applyFill="1"/>
    <xf numFmtId="0" fontId="87" fillId="42" borderId="0" xfId="0" applyFont="1" applyFill="1"/>
    <xf numFmtId="2" fontId="53" fillId="42" borderId="0" xfId="0" applyNumberFormat="1" applyFont="1" applyFill="1"/>
    <xf numFmtId="185" fontId="0" fillId="42" borderId="0" xfId="0" applyNumberFormat="1" applyFill="1"/>
    <xf numFmtId="186" fontId="27" fillId="0" borderId="243" xfId="46" applyNumberFormat="1" applyFont="1" applyBorder="1" applyProtection="1">
      <protection locked="0"/>
    </xf>
    <xf numFmtId="200" fontId="0" fillId="32" borderId="149" xfId="0" applyNumberFormat="1" applyFill="1" applyBorder="1" applyProtection="1">
      <protection locked="0"/>
    </xf>
    <xf numFmtId="2" fontId="39" fillId="32" borderId="149" xfId="0" applyNumberFormat="1" applyFont="1" applyFill="1" applyBorder="1" applyProtection="1">
      <protection locked="0"/>
    </xf>
    <xf numFmtId="183" fontId="0" fillId="32" borderId="149" xfId="46" applyNumberFormat="1" applyFont="1" applyFill="1" applyBorder="1" applyProtection="1">
      <protection locked="0"/>
    </xf>
    <xf numFmtId="3" fontId="0" fillId="0" borderId="26" xfId="46" applyNumberFormat="1" applyFont="1" applyBorder="1" applyProtection="1">
      <protection locked="0"/>
    </xf>
    <xf numFmtId="3" fontId="0" fillId="0" borderId="0" xfId="46" applyNumberFormat="1" applyFont="1" applyBorder="1" applyProtection="1">
      <protection locked="0"/>
    </xf>
    <xf numFmtId="3" fontId="0" fillId="0" borderId="27" xfId="46" applyNumberFormat="1" applyFont="1" applyBorder="1" applyProtection="1">
      <protection locked="0"/>
    </xf>
    <xf numFmtId="3" fontId="0" fillId="0" borderId="32" xfId="46" applyNumberFormat="1" applyFont="1" applyBorder="1" applyProtection="1">
      <protection locked="0"/>
    </xf>
    <xf numFmtId="3" fontId="0" fillId="0" borderId="172" xfId="0" applyNumberFormat="1" applyBorder="1" applyProtection="1">
      <protection locked="0"/>
    </xf>
    <xf numFmtId="185" fontId="0" fillId="0" borderId="172" xfId="0" applyNumberFormat="1" applyBorder="1" applyProtection="1">
      <protection locked="0"/>
    </xf>
    <xf numFmtId="3" fontId="39" fillId="0" borderId="0" xfId="46" applyNumberFormat="1" applyFont="1" applyFill="1" applyProtection="1">
      <protection locked="0"/>
    </xf>
    <xf numFmtId="3" fontId="0" fillId="0" borderId="0" xfId="46" applyNumberFormat="1" applyFont="1" applyProtection="1">
      <protection locked="0"/>
    </xf>
    <xf numFmtId="186" fontId="0" fillId="0" borderId="0" xfId="0" applyNumberFormat="1" applyProtection="1">
      <protection locked="0"/>
    </xf>
    <xf numFmtId="179" fontId="0" fillId="0" borderId="0" xfId="0" applyNumberFormat="1" applyAlignment="1" applyProtection="1">
      <alignment horizontal="center"/>
      <protection locked="0"/>
    </xf>
    <xf numFmtId="178" fontId="105" fillId="0" borderId="271" xfId="62" applyNumberFormat="1" applyFont="1"/>
    <xf numFmtId="0" fontId="44" fillId="2" borderId="30" xfId="51" applyFill="1"/>
    <xf numFmtId="9" fontId="0" fillId="0" borderId="0" xfId="47" applyFont="1"/>
    <xf numFmtId="0" fontId="0" fillId="0" borderId="272" xfId="0" applyBorder="1"/>
    <xf numFmtId="0" fontId="0" fillId="0" borderId="273" xfId="0" applyBorder="1"/>
    <xf numFmtId="184" fontId="27" fillId="0" borderId="18" xfId="0" applyNumberFormat="1" applyFont="1" applyBorder="1" applyProtection="1">
      <protection locked="0"/>
    </xf>
    <xf numFmtId="184" fontId="0" fillId="0" borderId="67" xfId="0" applyNumberFormat="1" applyBorder="1" applyProtection="1">
      <protection locked="0"/>
    </xf>
    <xf numFmtId="184" fontId="45" fillId="24" borderId="34" xfId="50" applyNumberFormat="1" applyFont="1" applyBorder="1" applyProtection="1">
      <protection locked="0"/>
    </xf>
    <xf numFmtId="184" fontId="27" fillId="25" borderId="36" xfId="52" applyNumberFormat="1" applyFont="1" applyBorder="1" applyProtection="1"/>
    <xf numFmtId="184" fontId="27" fillId="0" borderId="0" xfId="0" applyNumberFormat="1" applyFont="1" applyProtection="1">
      <protection locked="0"/>
    </xf>
    <xf numFmtId="184" fontId="45" fillId="24" borderId="35" xfId="50" applyNumberFormat="1" applyFont="1" applyBorder="1" applyProtection="1">
      <protection locked="0"/>
    </xf>
    <xf numFmtId="184" fontId="27" fillId="25" borderId="41" xfId="52" applyNumberFormat="1" applyFont="1" applyBorder="1" applyProtection="1"/>
    <xf numFmtId="181" fontId="0" fillId="0" borderId="26" xfId="47" applyNumberFormat="1" applyFont="1" applyBorder="1" applyProtection="1">
      <protection locked="0"/>
    </xf>
    <xf numFmtId="181" fontId="0" fillId="0" borderId="24" xfId="47" applyNumberFormat="1" applyFont="1" applyBorder="1" applyProtection="1">
      <protection locked="0"/>
    </xf>
    <xf numFmtId="182" fontId="0" fillId="25" borderId="70" xfId="52" applyNumberFormat="1" applyFont="1" applyBorder="1" applyProtection="1"/>
    <xf numFmtId="182" fontId="0" fillId="0" borderId="26" xfId="0" applyNumberFormat="1" applyBorder="1" applyProtection="1">
      <protection locked="0"/>
    </xf>
    <xf numFmtId="182" fontId="45" fillId="24" borderId="71" xfId="50" applyNumberFormat="1" applyFont="1" applyBorder="1" applyProtection="1">
      <protection locked="0"/>
    </xf>
    <xf numFmtId="181" fontId="0" fillId="25" borderId="72" xfId="47" applyNumberFormat="1" applyFont="1" applyFill="1" applyBorder="1" applyProtection="1"/>
    <xf numFmtId="181" fontId="0" fillId="25" borderId="29" xfId="47" applyNumberFormat="1" applyFont="1" applyFill="1" applyBorder="1" applyProtection="1"/>
    <xf numFmtId="182" fontId="0" fillId="0" borderId="222" xfId="47" applyNumberFormat="1" applyFont="1" applyBorder="1" applyProtection="1">
      <protection locked="0"/>
    </xf>
    <xf numFmtId="182" fontId="0" fillId="25" borderId="70" xfId="52" applyNumberFormat="1" applyFont="1" applyBorder="1"/>
    <xf numFmtId="181" fontId="0" fillId="25" borderId="72" xfId="47" applyNumberFormat="1" applyFont="1" applyFill="1" applyBorder="1"/>
    <xf numFmtId="181" fontId="0" fillId="25" borderId="29" xfId="47" applyNumberFormat="1" applyFont="1" applyFill="1" applyBorder="1"/>
    <xf numFmtId="189" fontId="50" fillId="27" borderId="61" xfId="54" applyNumberFormat="1" applyFont="1" applyBorder="1" applyProtection="1">
      <protection locked="0"/>
    </xf>
    <xf numFmtId="189" fontId="50" fillId="27" borderId="58" xfId="54" applyNumberFormat="1" applyFont="1" applyBorder="1" applyProtection="1">
      <protection locked="0"/>
    </xf>
    <xf numFmtId="189" fontId="50" fillId="27" borderId="62" xfId="54" applyNumberFormat="1" applyFont="1" applyBorder="1" applyProtection="1">
      <protection locked="0"/>
    </xf>
    <xf numFmtId="189" fontId="50" fillId="27" borderId="59" xfId="54" applyNumberFormat="1" applyFont="1" applyBorder="1" applyProtection="1">
      <protection locked="0"/>
    </xf>
    <xf numFmtId="0" fontId="106" fillId="0" borderId="0" xfId="0" applyFont="1" applyProtection="1">
      <protection locked="0"/>
    </xf>
    <xf numFmtId="0" fontId="26" fillId="0" borderId="14" xfId="0" applyFont="1" applyBorder="1" applyProtection="1">
      <protection locked="0"/>
    </xf>
    <xf numFmtId="0" fontId="26" fillId="0" borderId="13" xfId="0" applyFont="1" applyBorder="1" applyProtection="1">
      <protection locked="0"/>
    </xf>
    <xf numFmtId="0" fontId="26" fillId="0" borderId="148" xfId="0" applyFont="1" applyBorder="1" applyProtection="1">
      <protection locked="0"/>
    </xf>
    <xf numFmtId="0" fontId="26" fillId="26" borderId="152" xfId="53" applyFont="1" applyBorder="1" applyProtection="1">
      <protection locked="0"/>
    </xf>
    <xf numFmtId="0" fontId="26" fillId="26" borderId="151" xfId="53" applyFont="1" applyBorder="1" applyProtection="1">
      <protection locked="0"/>
    </xf>
    <xf numFmtId="0" fontId="26" fillId="26" borderId="153" xfId="53" applyFont="1" applyBorder="1" applyProtection="1">
      <protection locked="0"/>
    </xf>
    <xf numFmtId="0" fontId="26" fillId="0" borderId="15" xfId="0" applyFont="1" applyBorder="1" applyProtection="1">
      <protection locked="0"/>
    </xf>
    <xf numFmtId="0" fontId="26" fillId="0" borderId="16" xfId="0" applyFont="1" applyBorder="1" applyProtection="1">
      <protection locked="0"/>
    </xf>
    <xf numFmtId="0" fontId="26" fillId="0" borderId="17" xfId="0" applyFont="1" applyBorder="1" applyProtection="1">
      <protection locked="0"/>
    </xf>
    <xf numFmtId="0" fontId="26" fillId="0" borderId="150" xfId="0" applyFont="1" applyBorder="1" applyProtection="1">
      <protection locked="0"/>
    </xf>
    <xf numFmtId="0" fontId="14" fillId="47" borderId="0" xfId="6" applyFill="1" applyBorder="1"/>
    <xf numFmtId="0" fontId="14" fillId="47" borderId="276" xfId="6" applyFill="1" applyBorder="1"/>
    <xf numFmtId="0" fontId="14" fillId="47" borderId="26" xfId="6" applyFill="1" applyBorder="1"/>
    <xf numFmtId="0" fontId="14" fillId="47" borderId="27" xfId="6" applyFill="1" applyBorder="1"/>
    <xf numFmtId="0" fontId="14" fillId="47" borderId="242" xfId="6" applyFill="1" applyBorder="1"/>
    <xf numFmtId="0" fontId="14" fillId="47" borderId="172" xfId="6" applyFill="1" applyBorder="1"/>
    <xf numFmtId="0" fontId="14" fillId="47" borderId="278" xfId="6" applyFill="1" applyBorder="1"/>
    <xf numFmtId="0" fontId="14" fillId="47" borderId="243" xfId="6" applyFill="1" applyBorder="1"/>
    <xf numFmtId="189" fontId="27" fillId="47" borderId="87" xfId="56" applyNumberFormat="1" applyFont="1" applyFill="1" applyBorder="1" applyProtection="1"/>
    <xf numFmtId="179" fontId="27" fillId="47" borderId="120" xfId="57" applyFont="1" applyFill="1" applyBorder="1" applyProtection="1"/>
    <xf numFmtId="0" fontId="27" fillId="47" borderId="104" xfId="56" applyFont="1" applyFill="1" applyBorder="1" applyProtection="1"/>
    <xf numFmtId="205" fontId="27" fillId="47" borderId="114" xfId="47" applyNumberFormat="1" applyFont="1" applyFill="1" applyBorder="1" applyProtection="1"/>
    <xf numFmtId="184" fontId="27" fillId="47" borderId="119" xfId="56" applyNumberFormat="1" applyFont="1" applyFill="1" applyBorder="1" applyProtection="1"/>
    <xf numFmtId="184" fontId="27" fillId="47" borderId="32" xfId="56" applyNumberFormat="1" applyFont="1" applyFill="1" applyBorder="1" applyProtection="1"/>
    <xf numFmtId="182" fontId="27" fillId="47" borderId="116" xfId="56" applyNumberFormat="1" applyFont="1" applyFill="1" applyBorder="1" applyProtection="1"/>
    <xf numFmtId="183" fontId="27" fillId="47" borderId="32" xfId="56" applyNumberFormat="1" applyFont="1" applyFill="1" applyBorder="1" applyProtection="1"/>
    <xf numFmtId="183" fontId="27" fillId="47" borderId="138" xfId="46" applyNumberFormat="1" applyFont="1" applyFill="1" applyBorder="1" applyProtection="1"/>
    <xf numFmtId="187" fontId="27" fillId="47" borderId="28" xfId="56" applyNumberFormat="1" applyFont="1" applyFill="1" applyBorder="1"/>
    <xf numFmtId="0" fontId="0" fillId="0" borderId="242" xfId="0" applyBorder="1" applyProtection="1">
      <protection locked="0"/>
    </xf>
    <xf numFmtId="179" fontId="45" fillId="24" borderId="48" xfId="57" applyFont="1" applyFill="1" applyBorder="1" applyProtection="1">
      <protection locked="0"/>
    </xf>
    <xf numFmtId="179" fontId="0" fillId="0" borderId="243" xfId="57" applyFont="1" applyFill="1" applyBorder="1"/>
    <xf numFmtId="179" fontId="0" fillId="0" borderId="172" xfId="57" applyFont="1" applyFill="1" applyBorder="1"/>
    <xf numFmtId="0" fontId="25" fillId="0" borderId="0" xfId="45" applyAlignment="1" applyProtection="1">
      <alignment horizontal="left"/>
      <protection locked="0"/>
    </xf>
    <xf numFmtId="0" fontId="25" fillId="0" borderId="245" xfId="45" applyBorder="1" applyAlignment="1"/>
    <xf numFmtId="0" fontId="25" fillId="0" borderId="0" xfId="45" applyAlignment="1"/>
    <xf numFmtId="0" fontId="109" fillId="0" borderId="0" xfId="0" applyFont="1" applyProtection="1">
      <protection locked="0"/>
    </xf>
    <xf numFmtId="187" fontId="45" fillId="24" borderId="20" xfId="50" applyNumberFormat="1" applyFont="1" applyProtection="1">
      <protection locked="0"/>
    </xf>
    <xf numFmtId="187" fontId="45" fillId="24" borderId="141" xfId="50" applyNumberFormat="1" applyFont="1" applyBorder="1" applyProtection="1">
      <protection locked="0"/>
    </xf>
    <xf numFmtId="187" fontId="45" fillId="24" borderId="33" xfId="50" applyNumberFormat="1" applyFont="1" applyBorder="1" applyProtection="1">
      <protection locked="0"/>
    </xf>
    <xf numFmtId="187" fontId="45" fillId="24" borderId="47" xfId="50" applyNumberFormat="1" applyFont="1" applyBorder="1" applyProtection="1">
      <protection locked="0"/>
    </xf>
    <xf numFmtId="187" fontId="45" fillId="24" borderId="48" xfId="50" applyNumberFormat="1" applyFont="1" applyBorder="1" applyProtection="1">
      <protection locked="0"/>
    </xf>
    <xf numFmtId="187" fontId="45" fillId="24" borderId="34" xfId="50" applyNumberFormat="1" applyFont="1" applyBorder="1" applyProtection="1">
      <protection locked="0"/>
    </xf>
    <xf numFmtId="0" fontId="110" fillId="0" borderId="0" xfId="45" applyFont="1" applyProtection="1">
      <protection locked="0"/>
    </xf>
    <xf numFmtId="183" fontId="14" fillId="47" borderId="277" xfId="46" applyNumberFormat="1" applyFont="1" applyFill="1" applyBorder="1"/>
    <xf numFmtId="0" fontId="26" fillId="0" borderId="0" xfId="0" applyFont="1"/>
    <xf numFmtId="0" fontId="112" fillId="0" borderId="0" xfId="0" applyFont="1"/>
    <xf numFmtId="0" fontId="113" fillId="0" borderId="0" xfId="0" applyFont="1"/>
    <xf numFmtId="0" fontId="112" fillId="26" borderId="260" xfId="53" applyFont="1" applyBorder="1" applyProtection="1">
      <protection locked="0"/>
    </xf>
    <xf numFmtId="0" fontId="114" fillId="0" borderId="0" xfId="0" applyFont="1"/>
    <xf numFmtId="178" fontId="50" fillId="27" borderId="143" xfId="57" applyNumberFormat="1" applyFont="1" applyFill="1" applyBorder="1"/>
    <xf numFmtId="0" fontId="115" fillId="0" borderId="0" xfId="0" applyFont="1" applyAlignment="1">
      <alignment horizontal="center" vertical="center"/>
    </xf>
    <xf numFmtId="0" fontId="115" fillId="0" borderId="0" xfId="0" applyFont="1" applyAlignment="1">
      <alignment vertical="center"/>
    </xf>
    <xf numFmtId="0" fontId="116" fillId="0" borderId="0" xfId="0" applyFont="1"/>
    <xf numFmtId="0" fontId="117" fillId="27" borderId="58" xfId="54" applyFont="1" applyBorder="1"/>
    <xf numFmtId="0" fontId="118" fillId="0" borderId="32" xfId="0" applyFont="1" applyBorder="1"/>
    <xf numFmtId="0" fontId="116" fillId="0" borderId="0" xfId="0" applyFont="1" applyAlignment="1">
      <alignment horizontal="center"/>
    </xf>
    <xf numFmtId="0" fontId="119" fillId="24" borderId="282" xfId="50" applyFont="1" applyBorder="1"/>
    <xf numFmtId="0" fontId="116" fillId="0" borderId="280" xfId="0" applyFont="1" applyBorder="1" applyAlignment="1">
      <alignment horizontal="center"/>
    </xf>
    <xf numFmtId="0" fontId="116" fillId="0" borderId="281" xfId="0" applyFont="1" applyBorder="1"/>
    <xf numFmtId="0" fontId="116" fillId="26" borderId="279" xfId="53" applyFont="1" applyBorder="1"/>
    <xf numFmtId="0" fontId="116" fillId="0" borderId="27" xfId="0" applyFont="1" applyBorder="1"/>
    <xf numFmtId="0" fontId="116" fillId="25" borderId="72" xfId="52" applyFont="1" applyBorder="1"/>
    <xf numFmtId="0" fontId="116" fillId="0" borderId="279" xfId="0" applyFont="1" applyBorder="1"/>
    <xf numFmtId="0" fontId="120" fillId="47" borderId="279" xfId="6" applyFont="1" applyFill="1" applyBorder="1"/>
    <xf numFmtId="0" fontId="116" fillId="5" borderId="32" xfId="0" applyFont="1" applyFill="1" applyBorder="1"/>
    <xf numFmtId="0" fontId="121" fillId="0" borderId="241" xfId="45" applyFont="1" applyBorder="1"/>
    <xf numFmtId="0" fontId="116" fillId="0" borderId="243" xfId="0" applyFont="1" applyBorder="1" applyAlignment="1">
      <alignment horizontal="center"/>
    </xf>
    <xf numFmtId="0" fontId="116" fillId="0" borderId="172" xfId="0" applyFont="1" applyBorder="1"/>
    <xf numFmtId="0" fontId="51" fillId="2" borderId="26" xfId="0" applyFont="1" applyFill="1" applyBorder="1"/>
    <xf numFmtId="0" fontId="51" fillId="0" borderId="0" xfId="0" applyFont="1" applyAlignment="1">
      <alignment horizontal="left"/>
    </xf>
    <xf numFmtId="0" fontId="51" fillId="48" borderId="242" xfId="0" applyFont="1" applyFill="1" applyBorder="1"/>
    <xf numFmtId="0" fontId="51" fillId="0" borderId="243" xfId="0" applyFont="1" applyBorder="1"/>
    <xf numFmtId="0" fontId="115" fillId="0" borderId="0" xfId="0" applyFont="1" applyAlignment="1">
      <alignment horizontal="left" vertical="center"/>
    </xf>
    <xf numFmtId="0" fontId="121" fillId="0" borderId="0" xfId="45" applyFont="1" applyBorder="1"/>
    <xf numFmtId="0" fontId="3" fillId="0" borderId="0" xfId="0" applyFont="1" applyAlignment="1">
      <alignment vertical="center"/>
    </xf>
    <xf numFmtId="0" fontId="101" fillId="33" borderId="283" xfId="0" applyFont="1" applyFill="1" applyBorder="1"/>
    <xf numFmtId="0" fontId="51" fillId="0" borderId="284" xfId="0" applyFont="1" applyBorder="1" applyAlignment="1">
      <alignment horizontal="left"/>
    </xf>
    <xf numFmtId="0" fontId="51" fillId="0" borderId="284" xfId="0" applyFont="1" applyBorder="1"/>
    <xf numFmtId="0" fontId="0" fillId="0" borderId="285" xfId="0" applyBorder="1"/>
    <xf numFmtId="206" fontId="0" fillId="32" borderId="0" xfId="0" applyNumberFormat="1" applyFill="1" applyProtection="1">
      <protection locked="0"/>
    </xf>
    <xf numFmtId="9" fontId="14" fillId="47" borderId="27" xfId="47" applyFont="1" applyFill="1" applyBorder="1"/>
    <xf numFmtId="2" fontId="0" fillId="0" borderId="176" xfId="0" applyNumberFormat="1" applyBorder="1"/>
    <xf numFmtId="0" fontId="0" fillId="0" borderId="288" xfId="0" applyBorder="1" applyProtection="1">
      <protection locked="0"/>
    </xf>
    <xf numFmtId="0" fontId="0" fillId="0" borderId="286" xfId="0" applyBorder="1"/>
    <xf numFmtId="2" fontId="0" fillId="5" borderId="151" xfId="0" applyNumberFormat="1" applyFill="1" applyBorder="1"/>
    <xf numFmtId="0" fontId="14" fillId="47" borderId="286" xfId="6" applyFill="1" applyBorder="1"/>
    <xf numFmtId="183" fontId="14" fillId="47" borderId="286" xfId="46" applyNumberFormat="1" applyFont="1" applyFill="1" applyBorder="1"/>
    <xf numFmtId="179" fontId="14" fillId="47" borderId="286" xfId="6" applyNumberFormat="1" applyFill="1" applyBorder="1"/>
    <xf numFmtId="0" fontId="0" fillId="0" borderId="289" xfId="0" applyBorder="1" applyProtection="1">
      <protection locked="0"/>
    </xf>
    <xf numFmtId="0" fontId="0" fillId="0" borderId="241" xfId="0" applyBorder="1" applyProtection="1">
      <protection locked="0"/>
    </xf>
    <xf numFmtId="0" fontId="122" fillId="0" borderId="0" xfId="0" applyFont="1"/>
    <xf numFmtId="0" fontId="124" fillId="0" borderId="0" xfId="0" applyFont="1"/>
    <xf numFmtId="182" fontId="124" fillId="0" borderId="0" xfId="0" applyNumberFormat="1" applyFont="1"/>
    <xf numFmtId="0" fontId="127" fillId="0" borderId="0" xfId="0" applyFont="1"/>
    <xf numFmtId="0" fontId="128" fillId="0" borderId="0" xfId="0" applyFont="1"/>
    <xf numFmtId="0" fontId="129" fillId="0" borderId="0" xfId="0" applyFont="1"/>
    <xf numFmtId="1" fontId="124" fillId="0" borderId="0" xfId="0" applyNumberFormat="1" applyFont="1"/>
    <xf numFmtId="0" fontId="131" fillId="0" borderId="0" xfId="0" applyFont="1"/>
    <xf numFmtId="3" fontId="124" fillId="0" borderId="0" xfId="0" applyNumberFormat="1" applyFont="1"/>
    <xf numFmtId="185" fontId="124" fillId="0" borderId="0" xfId="0" applyNumberFormat="1" applyFont="1"/>
    <xf numFmtId="194" fontId="124" fillId="0" borderId="0" xfId="0" applyNumberFormat="1" applyFont="1"/>
    <xf numFmtId="9" fontId="124" fillId="0" borderId="0" xfId="47" applyFont="1"/>
    <xf numFmtId="191" fontId="124" fillId="0" borderId="0" xfId="0" applyNumberFormat="1" applyFont="1"/>
    <xf numFmtId="2" fontId="124" fillId="0" borderId="0" xfId="0" applyNumberFormat="1" applyFont="1"/>
    <xf numFmtId="184" fontId="124" fillId="0" borderId="0" xfId="0" applyNumberFormat="1" applyFont="1"/>
    <xf numFmtId="182" fontId="0" fillId="50" borderId="151" xfId="0" applyNumberFormat="1" applyFill="1" applyBorder="1"/>
    <xf numFmtId="2" fontId="0" fillId="50" borderId="179" xfId="0" applyNumberFormat="1" applyFill="1" applyBorder="1"/>
    <xf numFmtId="2" fontId="0" fillId="50" borderId="181" xfId="0" applyNumberFormat="1" applyFill="1" applyBorder="1"/>
    <xf numFmtId="2" fontId="0" fillId="50" borderId="151" xfId="0" applyNumberFormat="1" applyFill="1" applyBorder="1"/>
    <xf numFmtId="2" fontId="0" fillId="50" borderId="178" xfId="0" applyNumberFormat="1" applyFill="1" applyBorder="1"/>
    <xf numFmtId="2" fontId="0" fillId="50" borderId="172" xfId="0" applyNumberFormat="1" applyFill="1" applyBorder="1"/>
    <xf numFmtId="180" fontId="50" fillId="27" borderId="54" xfId="54" applyNumberFormat="1" applyFont="1" applyBorder="1" applyProtection="1">
      <protection locked="0"/>
    </xf>
    <xf numFmtId="183" fontId="0" fillId="0" borderId="0" xfId="46" applyNumberFormat="1" applyFont="1" applyBorder="1" applyProtection="1">
      <protection locked="0"/>
    </xf>
    <xf numFmtId="181" fontId="0" fillId="0" borderId="0" xfId="47" applyNumberFormat="1" applyFont="1" applyBorder="1" applyProtection="1">
      <protection locked="0"/>
    </xf>
    <xf numFmtId="184" fontId="0" fillId="0" borderId="172" xfId="0" applyNumberFormat="1" applyBorder="1" applyProtection="1">
      <protection locked="0"/>
    </xf>
    <xf numFmtId="3" fontId="0" fillId="0" borderId="27" xfId="46" applyNumberFormat="1" applyFont="1" applyFill="1" applyBorder="1" applyProtection="1">
      <protection locked="0"/>
    </xf>
    <xf numFmtId="181" fontId="0" fillId="5" borderId="0" xfId="47" applyNumberFormat="1" applyFont="1" applyFill="1" applyProtection="1">
      <protection locked="0"/>
    </xf>
    <xf numFmtId="0" fontId="0" fillId="0" borderId="274" xfId="0" applyBorder="1" applyAlignment="1">
      <alignment wrapText="1"/>
    </xf>
    <xf numFmtId="0" fontId="0" fillId="0" borderId="263" xfId="0" applyBorder="1" applyAlignment="1">
      <alignment wrapText="1"/>
    </xf>
    <xf numFmtId="0" fontId="0" fillId="0" borderId="287" xfId="0" applyBorder="1" applyAlignment="1">
      <alignment wrapText="1"/>
    </xf>
    <xf numFmtId="0" fontId="0" fillId="0" borderId="287" xfId="0" applyBorder="1"/>
    <xf numFmtId="0" fontId="39" fillId="0" borderId="287" xfId="0" applyFont="1" applyBorder="1"/>
    <xf numFmtId="179" fontId="0" fillId="0" borderId="287" xfId="57" applyFont="1" applyFill="1" applyBorder="1" applyAlignment="1">
      <alignment wrapText="1"/>
    </xf>
    <xf numFmtId="0" fontId="0" fillId="0" borderId="275" xfId="0" applyBorder="1"/>
    <xf numFmtId="2" fontId="0" fillId="0" borderId="172" xfId="0" applyNumberFormat="1" applyBorder="1" applyProtection="1">
      <protection locked="0"/>
    </xf>
    <xf numFmtId="2" fontId="0" fillId="50" borderId="0" xfId="0" applyNumberFormat="1" applyFill="1" applyProtection="1">
      <protection locked="0"/>
    </xf>
    <xf numFmtId="2" fontId="0" fillId="50" borderId="147" xfId="0" applyNumberFormat="1" applyFill="1" applyBorder="1" applyProtection="1">
      <protection locked="0"/>
    </xf>
    <xf numFmtId="2" fontId="0" fillId="50" borderId="264" xfId="0" applyNumberFormat="1" applyFill="1" applyBorder="1" applyProtection="1">
      <protection locked="0"/>
    </xf>
    <xf numFmtId="204" fontId="0" fillId="5" borderId="0" xfId="46" applyNumberFormat="1" applyFont="1" applyFill="1" applyProtection="1">
      <protection locked="0"/>
    </xf>
    <xf numFmtId="193" fontId="0" fillId="5" borderId="0" xfId="0" applyNumberFormat="1" applyFill="1" applyProtection="1">
      <protection locked="0"/>
    </xf>
    <xf numFmtId="193" fontId="0" fillId="5" borderId="0" xfId="0" applyNumberFormat="1" applyFill="1"/>
    <xf numFmtId="179" fontId="0" fillId="0" borderId="275" xfId="57" applyFont="1" applyFill="1" applyBorder="1" applyAlignment="1">
      <alignment wrapText="1"/>
    </xf>
    <xf numFmtId="0" fontId="0" fillId="0" borderId="275" xfId="0" applyBorder="1" applyAlignment="1">
      <alignment wrapText="1"/>
    </xf>
    <xf numFmtId="183" fontId="0" fillId="0" borderId="287" xfId="46" applyNumberFormat="1" applyFont="1" applyBorder="1"/>
    <xf numFmtId="183" fontId="0" fillId="0" borderId="275" xfId="46" applyNumberFormat="1" applyFont="1" applyBorder="1"/>
    <xf numFmtId="184" fontId="27" fillId="25" borderId="36" xfId="52" applyNumberFormat="1" applyFont="1" applyBorder="1"/>
    <xf numFmtId="184" fontId="27" fillId="25" borderId="41" xfId="52" applyNumberFormat="1" applyFont="1" applyBorder="1"/>
    <xf numFmtId="0" fontId="0" fillId="0" borderId="289" xfId="0" applyBorder="1"/>
    <xf numFmtId="0" fontId="27" fillId="0" borderId="286" xfId="0" applyFont="1" applyBorder="1"/>
    <xf numFmtId="183" fontId="50" fillId="27" borderId="286" xfId="46" applyNumberFormat="1" applyFont="1" applyFill="1" applyBorder="1"/>
    <xf numFmtId="178" fontId="50" fillId="27" borderId="212" xfId="57" applyNumberFormat="1" applyFont="1" applyFill="1" applyBorder="1"/>
    <xf numFmtId="179" fontId="45" fillId="24" borderId="39" xfId="57" applyFont="1" applyFill="1" applyBorder="1" applyProtection="1">
      <protection locked="0"/>
    </xf>
    <xf numFmtId="179" fontId="0" fillId="25" borderId="21" xfId="52" applyNumberFormat="1" applyFont="1" applyProtection="1"/>
    <xf numFmtId="179" fontId="0" fillId="25" borderId="113" xfId="52" applyNumberFormat="1" applyFont="1" applyBorder="1" applyProtection="1"/>
    <xf numFmtId="9" fontId="0" fillId="5" borderId="0" xfId="47" applyFont="1" applyFill="1" applyProtection="1">
      <protection locked="0"/>
    </xf>
    <xf numFmtId="9" fontId="0" fillId="5" borderId="0" xfId="47" applyFont="1" applyFill="1" applyAlignment="1" applyProtection="1">
      <alignment horizontal="center"/>
      <protection locked="0"/>
    </xf>
    <xf numFmtId="200" fontId="0" fillId="50" borderId="99" xfId="57" applyNumberFormat="1" applyFont="1" applyFill="1" applyBorder="1" applyProtection="1">
      <protection locked="0"/>
    </xf>
    <xf numFmtId="179" fontId="27" fillId="0" borderId="0" xfId="57" applyFont="1" applyFill="1" applyBorder="1" applyProtection="1">
      <protection locked="0"/>
    </xf>
    <xf numFmtId="49" fontId="0" fillId="0" borderId="0" xfId="0" applyNumberFormat="1" applyProtection="1">
      <protection locked="0"/>
    </xf>
    <xf numFmtId="0" fontId="39" fillId="8" borderId="269" xfId="39" applyFont="1" applyBorder="1" applyProtection="1">
      <protection locked="0"/>
    </xf>
    <xf numFmtId="0" fontId="0" fillId="49" borderId="0" xfId="0" applyFill="1" applyProtection="1">
      <protection locked="0"/>
    </xf>
    <xf numFmtId="0" fontId="0" fillId="0" borderId="264" xfId="0" applyBorder="1" applyProtection="1">
      <protection locked="0"/>
    </xf>
    <xf numFmtId="0" fontId="0" fillId="49" borderId="264" xfId="0" applyFill="1" applyBorder="1" applyProtection="1">
      <protection locked="0"/>
    </xf>
    <xf numFmtId="0" fontId="0" fillId="51" borderId="264" xfId="0" applyFill="1" applyBorder="1" applyProtection="1">
      <protection locked="0"/>
    </xf>
    <xf numFmtId="0" fontId="0" fillId="51" borderId="0" xfId="0" applyFill="1" applyProtection="1">
      <protection locked="0"/>
    </xf>
    <xf numFmtId="0" fontId="0" fillId="8" borderId="290" xfId="39" applyFont="1" applyBorder="1" applyAlignment="1" applyProtection="1">
      <protection locked="0"/>
    </xf>
    <xf numFmtId="0" fontId="0" fillId="8" borderId="290" xfId="39" applyFont="1" applyBorder="1" applyProtection="1">
      <protection locked="0"/>
    </xf>
    <xf numFmtId="180" fontId="0" fillId="32" borderId="0" xfId="0" applyNumberFormat="1" applyFill="1" applyProtection="1">
      <protection locked="0"/>
    </xf>
    <xf numFmtId="196" fontId="50" fillId="27" borderId="33" xfId="57" applyNumberFormat="1" applyFont="1" applyFill="1" applyBorder="1" applyProtection="1">
      <protection locked="0"/>
    </xf>
    <xf numFmtId="196" fontId="50" fillId="27" borderId="34" xfId="57" applyNumberFormat="1" applyFont="1" applyFill="1" applyBorder="1" applyProtection="1">
      <protection locked="0"/>
    </xf>
    <xf numFmtId="197" fontId="33" fillId="41" borderId="0" xfId="49" applyNumberFormat="1" applyFont="1" applyFill="1"/>
    <xf numFmtId="179" fontId="0" fillId="25" borderId="98" xfId="57" applyFont="1" applyFill="1" applyBorder="1" applyProtection="1"/>
    <xf numFmtId="179" fontId="0" fillId="25" borderId="38" xfId="57" applyFont="1" applyFill="1" applyBorder="1" applyProtection="1"/>
    <xf numFmtId="179" fontId="0" fillId="25" borderId="37" xfId="57" applyFont="1" applyFill="1" applyBorder="1" applyProtection="1"/>
    <xf numFmtId="179" fontId="0" fillId="0" borderId="172" xfId="57" applyFont="1" applyBorder="1" applyProtection="1">
      <protection locked="0"/>
    </xf>
    <xf numFmtId="179" fontId="50" fillId="27" borderId="34" xfId="57" applyFont="1" applyFill="1" applyBorder="1" applyProtection="1">
      <protection locked="0"/>
    </xf>
    <xf numFmtId="199" fontId="39" fillId="0" borderId="0" xfId="57" applyNumberFormat="1" applyFont="1"/>
    <xf numFmtId="177" fontId="0" fillId="0" borderId="0" xfId="0" applyNumberFormat="1" applyProtection="1">
      <protection locked="0"/>
    </xf>
    <xf numFmtId="2" fontId="0" fillId="25" borderId="21" xfId="52" applyNumberFormat="1" applyFont="1" applyProtection="1">
      <protection locked="0"/>
    </xf>
    <xf numFmtId="184" fontId="0" fillId="25" borderId="21" xfId="52" applyNumberFormat="1" applyFont="1" applyProtection="1">
      <protection locked="0"/>
    </xf>
    <xf numFmtId="1" fontId="101" fillId="46" borderId="268" xfId="61" applyNumberFormat="1" applyProtection="1">
      <protection locked="0"/>
    </xf>
    <xf numFmtId="182" fontId="0" fillId="25" borderId="21" xfId="52" applyNumberFormat="1" applyFont="1" applyProtection="1">
      <protection locked="0"/>
    </xf>
    <xf numFmtId="179" fontId="0" fillId="25" borderId="38" xfId="52" applyNumberFormat="1" applyFont="1" applyBorder="1" applyProtection="1"/>
    <xf numFmtId="179" fontId="27" fillId="25" borderId="38" xfId="57" applyFont="1" applyFill="1" applyBorder="1" applyProtection="1"/>
    <xf numFmtId="179" fontId="0" fillId="25" borderId="291" xfId="52" applyNumberFormat="1" applyFont="1" applyBorder="1" applyProtection="1"/>
    <xf numFmtId="179" fontId="0" fillId="25" borderId="40" xfId="52" applyNumberFormat="1" applyFont="1" applyBorder="1" applyProtection="1"/>
    <xf numFmtId="0" fontId="133" fillId="0" borderId="0" xfId="0" applyFont="1" applyProtection="1">
      <protection locked="0"/>
    </xf>
    <xf numFmtId="0" fontId="134" fillId="0" borderId="0" xfId="0" applyFont="1"/>
    <xf numFmtId="2" fontId="0" fillId="0" borderId="0" xfId="57" applyNumberFormat="1" applyFont="1"/>
    <xf numFmtId="0" fontId="51" fillId="0" borderId="0" xfId="0" applyFont="1" applyAlignment="1">
      <alignment wrapText="1"/>
    </xf>
    <xf numFmtId="0" fontId="2" fillId="0" borderId="0" xfId="0" applyFont="1" applyAlignment="1" applyProtection="1">
      <alignment horizontal="left"/>
      <protection locked="0"/>
    </xf>
    <xf numFmtId="184" fontId="45" fillId="24" borderId="33" xfId="50" applyNumberFormat="1" applyFont="1" applyBorder="1" applyProtection="1">
      <protection locked="0"/>
    </xf>
    <xf numFmtId="189" fontId="27" fillId="0" borderId="0" xfId="0" applyNumberFormat="1" applyFont="1" applyProtection="1">
      <protection locked="0"/>
    </xf>
    <xf numFmtId="2" fontId="45" fillId="24" borderId="81" xfId="50" applyNumberFormat="1" applyFont="1" applyBorder="1" applyAlignment="1" applyProtection="1">
      <alignment horizontal="center"/>
      <protection locked="0"/>
    </xf>
    <xf numFmtId="2" fontId="45" fillId="24" borderId="56" xfId="50" applyNumberFormat="1" applyFont="1" applyBorder="1" applyAlignment="1" applyProtection="1">
      <alignment horizontal="center"/>
      <protection locked="0"/>
    </xf>
    <xf numFmtId="2" fontId="45" fillId="24" borderId="57" xfId="50" applyNumberFormat="1" applyFont="1" applyBorder="1" applyAlignment="1" applyProtection="1">
      <alignment horizontal="center"/>
      <protection locked="0"/>
    </xf>
    <xf numFmtId="0" fontId="73" fillId="0" borderId="0" xfId="0" applyFont="1"/>
    <xf numFmtId="2" fontId="0" fillId="50" borderId="297" xfId="0" applyNumberFormat="1" applyFill="1" applyBorder="1"/>
    <xf numFmtId="0" fontId="0" fillId="0" borderId="297" xfId="0" applyBorder="1"/>
    <xf numFmtId="1" fontId="0" fillId="0" borderId="151" xfId="0" applyNumberFormat="1" applyBorder="1"/>
    <xf numFmtId="0" fontId="44" fillId="0" borderId="30" xfId="51" applyFill="1" applyProtection="1">
      <protection locked="0"/>
    </xf>
    <xf numFmtId="184" fontId="45" fillId="24" borderId="39" xfId="50" applyNumberFormat="1" applyFont="1" applyBorder="1" applyProtection="1">
      <protection locked="0"/>
    </xf>
    <xf numFmtId="1" fontId="27" fillId="0" borderId="0" xfId="0" applyNumberFormat="1" applyFont="1" applyProtection="1">
      <protection locked="0"/>
    </xf>
    <xf numFmtId="1" fontId="27" fillId="0" borderId="243" xfId="0" applyNumberFormat="1" applyFont="1" applyBorder="1" applyProtection="1">
      <protection locked="0"/>
    </xf>
    <xf numFmtId="1" fontId="27" fillId="25" borderId="36" xfId="52" applyNumberFormat="1" applyFont="1" applyBorder="1" applyProtection="1"/>
    <xf numFmtId="2" fontId="27" fillId="0" borderId="0" xfId="47" applyNumberFormat="1" applyFont="1" applyBorder="1" applyProtection="1">
      <protection locked="0"/>
    </xf>
    <xf numFmtId="2" fontId="0" fillId="0" borderId="0" xfId="47" applyNumberFormat="1" applyFont="1" applyProtection="1">
      <protection locked="0"/>
    </xf>
    <xf numFmtId="2" fontId="27" fillId="0" borderId="243" xfId="47" applyNumberFormat="1" applyFont="1" applyBorder="1" applyProtection="1">
      <protection locked="0"/>
    </xf>
    <xf numFmtId="2" fontId="0" fillId="0" borderId="243" xfId="47" applyNumberFormat="1" applyFont="1" applyBorder="1" applyProtection="1">
      <protection locked="0"/>
    </xf>
    <xf numFmtId="2" fontId="0" fillId="0" borderId="243" xfId="0" applyNumberFormat="1" applyBorder="1" applyProtection="1">
      <protection locked="0"/>
    </xf>
    <xf numFmtId="1" fontId="27" fillId="0" borderId="0" xfId="47" applyNumberFormat="1" applyFont="1" applyBorder="1" applyProtection="1">
      <protection locked="0"/>
    </xf>
    <xf numFmtId="1" fontId="0" fillId="0" borderId="0" xfId="47" applyNumberFormat="1" applyFont="1" applyProtection="1">
      <protection locked="0"/>
    </xf>
    <xf numFmtId="1" fontId="27" fillId="0" borderId="243" xfId="47" applyNumberFormat="1" applyFont="1" applyBorder="1" applyProtection="1">
      <protection locked="0"/>
    </xf>
    <xf numFmtId="1" fontId="0" fillId="0" borderId="243" xfId="47" applyNumberFormat="1" applyFont="1" applyBorder="1" applyProtection="1">
      <protection locked="0"/>
    </xf>
    <xf numFmtId="1" fontId="0" fillId="0" borderId="243" xfId="0" applyNumberFormat="1" applyBorder="1" applyProtection="1">
      <protection locked="0"/>
    </xf>
    <xf numFmtId="2" fontId="45" fillId="24" borderId="33" xfId="47" applyNumberFormat="1" applyFont="1" applyFill="1" applyBorder="1" applyProtection="1">
      <protection locked="0"/>
    </xf>
    <xf numFmtId="2" fontId="45" fillId="24" borderId="34" xfId="47" applyNumberFormat="1" applyFont="1" applyFill="1" applyBorder="1" applyProtection="1">
      <protection locked="0"/>
    </xf>
    <xf numFmtId="1" fontId="45" fillId="24" borderId="35" xfId="47" applyNumberFormat="1" applyFont="1" applyFill="1" applyBorder="1" applyProtection="1">
      <protection locked="0"/>
    </xf>
    <xf numFmtId="1" fontId="45" fillId="24" borderId="33" xfId="47" applyNumberFormat="1" applyFont="1" applyFill="1" applyBorder="1" applyProtection="1">
      <protection locked="0"/>
    </xf>
    <xf numFmtId="1" fontId="45" fillId="24" borderId="34" xfId="47" applyNumberFormat="1" applyFont="1" applyFill="1" applyBorder="1" applyProtection="1">
      <protection locked="0"/>
    </xf>
    <xf numFmtId="2" fontId="27" fillId="25" borderId="36" xfId="47" applyNumberFormat="1" applyFont="1" applyFill="1" applyBorder="1" applyProtection="1"/>
    <xf numFmtId="1" fontId="27" fillId="25" borderId="36" xfId="47" applyNumberFormat="1" applyFont="1" applyFill="1" applyBorder="1" applyProtection="1"/>
    <xf numFmtId="1" fontId="27" fillId="25" borderId="41" xfId="47" applyNumberFormat="1" applyFont="1" applyFill="1" applyBorder="1" applyProtection="1"/>
    <xf numFmtId="179" fontId="45" fillId="24" borderId="35" xfId="57" applyFont="1" applyFill="1" applyBorder="1" applyProtection="1">
      <protection locked="0"/>
    </xf>
    <xf numFmtId="179" fontId="27" fillId="0" borderId="243" xfId="57" applyFont="1" applyBorder="1" applyProtection="1">
      <protection locked="0"/>
    </xf>
    <xf numFmtId="179" fontId="27" fillId="25" borderId="40" xfId="57" applyFont="1" applyFill="1" applyBorder="1" applyProtection="1"/>
    <xf numFmtId="182" fontId="0" fillId="25" borderId="243" xfId="52" applyNumberFormat="1" applyFont="1" applyBorder="1" applyProtection="1"/>
    <xf numFmtId="182" fontId="0" fillId="0" borderId="242" xfId="0" applyNumberFormat="1" applyBorder="1" applyProtection="1">
      <protection locked="0"/>
    </xf>
    <xf numFmtId="182" fontId="0" fillId="0" borderId="289" xfId="0" applyNumberFormat="1" applyBorder="1" applyProtection="1">
      <protection locked="0"/>
    </xf>
    <xf numFmtId="0" fontId="0" fillId="0" borderId="298" xfId="0" applyBorder="1"/>
    <xf numFmtId="0" fontId="0" fillId="0" borderId="287" xfId="0" applyBorder="1" applyAlignment="1" applyProtection="1">
      <alignment wrapText="1"/>
      <protection locked="0"/>
    </xf>
    <xf numFmtId="0" fontId="0" fillId="0" borderId="297" xfId="0" applyBorder="1" applyProtection="1">
      <protection locked="0"/>
    </xf>
    <xf numFmtId="179" fontId="50" fillId="27" borderId="139" xfId="57" applyFont="1" applyFill="1" applyBorder="1" applyProtection="1">
      <protection locked="0"/>
    </xf>
    <xf numFmtId="179" fontId="50" fillId="27" borderId="299" xfId="57" applyFont="1" applyFill="1" applyBorder="1" applyProtection="1">
      <protection locked="0"/>
    </xf>
    <xf numFmtId="179" fontId="50" fillId="27" borderId="39" xfId="57" applyFont="1" applyFill="1" applyBorder="1" applyProtection="1">
      <protection locked="0"/>
    </xf>
    <xf numFmtId="0" fontId="0" fillId="0" borderId="297" xfId="0" applyBorder="1" applyAlignment="1" applyProtection="1">
      <alignment wrapText="1"/>
      <protection locked="0"/>
    </xf>
    <xf numFmtId="0" fontId="0" fillId="0" borderId="298" xfId="0" applyBorder="1" applyAlignment="1">
      <alignment wrapText="1"/>
    </xf>
    <xf numFmtId="0" fontId="0" fillId="0" borderId="296" xfId="0" applyBorder="1" applyAlignment="1">
      <alignment wrapText="1"/>
    </xf>
    <xf numFmtId="0" fontId="0" fillId="0" borderId="296" xfId="0" applyBorder="1"/>
    <xf numFmtId="183" fontId="0" fillId="0" borderId="298" xfId="46" applyNumberFormat="1" applyFont="1" applyBorder="1"/>
    <xf numFmtId="183" fontId="0" fillId="0" borderId="297" xfId="46" applyNumberFormat="1" applyFont="1" applyBorder="1"/>
    <xf numFmtId="0" fontId="31" fillId="28" borderId="300" xfId="55" applyFont="1" applyBorder="1" applyAlignment="1" applyProtection="1">
      <alignment horizontal="center"/>
      <protection locked="0"/>
    </xf>
    <xf numFmtId="179" fontId="27" fillId="29" borderId="302" xfId="56" applyNumberFormat="1" applyFont="1" applyBorder="1" applyProtection="1">
      <protection locked="0"/>
    </xf>
    <xf numFmtId="0" fontId="27" fillId="0" borderId="302" xfId="0" applyFont="1" applyBorder="1" applyProtection="1">
      <protection locked="0"/>
    </xf>
    <xf numFmtId="184" fontId="27" fillId="29" borderId="303" xfId="56" applyNumberFormat="1" applyFont="1" applyBorder="1" applyProtection="1">
      <protection locked="0"/>
    </xf>
    <xf numFmtId="183" fontId="27" fillId="29" borderId="303" xfId="46" applyNumberFormat="1" applyFont="1" applyFill="1" applyBorder="1" applyProtection="1">
      <protection locked="0"/>
    </xf>
    <xf numFmtId="183" fontId="27" fillId="29" borderId="304" xfId="46" applyNumberFormat="1" applyFont="1" applyFill="1" applyBorder="1" applyProtection="1">
      <protection locked="0"/>
    </xf>
    <xf numFmtId="184" fontId="27" fillId="29" borderId="305" xfId="56" applyNumberFormat="1" applyFont="1" applyBorder="1" applyProtection="1">
      <protection locked="0"/>
    </xf>
    <xf numFmtId="182" fontId="0" fillId="25" borderId="36" xfId="52" applyNumberFormat="1" applyFont="1" applyBorder="1" applyProtection="1"/>
    <xf numFmtId="182" fontId="45" fillId="24" borderId="35" xfId="47" applyNumberFormat="1" applyFont="1" applyFill="1" applyBorder="1" applyProtection="1">
      <protection locked="0"/>
    </xf>
    <xf numFmtId="182" fontId="0" fillId="25" borderId="38" xfId="52" applyNumberFormat="1" applyFont="1" applyBorder="1" applyProtection="1"/>
    <xf numFmtId="182" fontId="45" fillId="24" borderId="33" xfId="47" applyNumberFormat="1" applyFont="1" applyFill="1" applyBorder="1" applyProtection="1">
      <protection locked="0"/>
    </xf>
    <xf numFmtId="1" fontId="0" fillId="25" borderId="38" xfId="52" applyNumberFormat="1" applyFont="1" applyBorder="1" applyProtection="1"/>
    <xf numFmtId="0" fontId="0" fillId="0" borderId="306" xfId="0" applyBorder="1" applyProtection="1">
      <protection locked="0"/>
    </xf>
    <xf numFmtId="1" fontId="0" fillId="25" borderId="37" xfId="52" applyNumberFormat="1" applyFont="1" applyBorder="1" applyProtection="1"/>
    <xf numFmtId="1" fontId="0" fillId="0" borderId="307" xfId="0" applyNumberFormat="1" applyBorder="1" applyProtection="1">
      <protection locked="0"/>
    </xf>
    <xf numFmtId="2" fontId="27" fillId="25" borderId="36" xfId="57" applyNumberFormat="1" applyFont="1" applyFill="1" applyBorder="1" applyProtection="1"/>
    <xf numFmtId="2" fontId="27" fillId="0" borderId="0" xfId="57" applyNumberFormat="1" applyFont="1" applyBorder="1" applyProtection="1">
      <protection locked="0"/>
    </xf>
    <xf numFmtId="2" fontId="45" fillId="24" borderId="35" xfId="57" applyNumberFormat="1" applyFont="1" applyFill="1" applyBorder="1" applyProtection="1">
      <protection locked="0"/>
    </xf>
    <xf numFmtId="2" fontId="27" fillId="25" borderId="41" xfId="57" applyNumberFormat="1" applyFont="1" applyFill="1" applyBorder="1" applyProtection="1"/>
    <xf numFmtId="2" fontId="27" fillId="0" borderId="243" xfId="57" applyNumberFormat="1" applyFont="1" applyBorder="1" applyProtection="1">
      <protection locked="0"/>
    </xf>
    <xf numFmtId="2" fontId="45" fillId="24" borderId="39" xfId="57" applyNumberFormat="1" applyFont="1" applyFill="1" applyBorder="1" applyProtection="1">
      <protection locked="0"/>
    </xf>
    <xf numFmtId="179" fontId="0" fillId="0" borderId="308" xfId="57" applyFont="1" applyBorder="1" applyProtection="1">
      <protection locked="0"/>
    </xf>
    <xf numFmtId="179" fontId="50" fillId="27" borderId="20" xfId="57" applyFont="1" applyFill="1" applyBorder="1"/>
    <xf numFmtId="182" fontId="0" fillId="25" borderId="37" xfId="52" applyNumberFormat="1" applyFont="1" applyBorder="1" applyProtection="1"/>
    <xf numFmtId="182" fontId="0" fillId="0" borderId="307" xfId="0" applyNumberFormat="1" applyBorder="1" applyProtection="1">
      <protection locked="0"/>
    </xf>
    <xf numFmtId="182" fontId="45" fillId="24" borderId="34" xfId="47" applyNumberFormat="1" applyFont="1" applyFill="1" applyBorder="1" applyProtection="1">
      <protection locked="0"/>
    </xf>
    <xf numFmtId="179" fontId="27" fillId="25" borderId="309" xfId="57" applyFont="1" applyFill="1" applyBorder="1" applyProtection="1"/>
    <xf numFmtId="179" fontId="27" fillId="25" borderId="310" xfId="57" applyFont="1" applyFill="1" applyBorder="1" applyProtection="1"/>
    <xf numFmtId="179" fontId="27" fillId="25" borderId="311" xfId="57" applyFont="1" applyFill="1" applyBorder="1" applyProtection="1"/>
    <xf numFmtId="179" fontId="45" fillId="24" borderId="312" xfId="57" applyFont="1" applyFill="1" applyBorder="1" applyProtection="1">
      <protection locked="0"/>
    </xf>
    <xf numFmtId="179" fontId="50" fillId="27" borderId="293" xfId="57" applyFont="1" applyFill="1" applyBorder="1" applyProtection="1">
      <protection locked="0"/>
    </xf>
    <xf numFmtId="0" fontId="138" fillId="0" borderId="0" xfId="0" applyFont="1" applyProtection="1">
      <protection locked="0"/>
    </xf>
    <xf numFmtId="0" fontId="31" fillId="28" borderId="306" xfId="55" applyFont="1" applyBorder="1" applyAlignment="1" applyProtection="1">
      <alignment horizontal="center"/>
      <protection locked="0"/>
    </xf>
    <xf numFmtId="1" fontId="27" fillId="25" borderId="36" xfId="57" applyNumberFormat="1" applyFont="1" applyFill="1" applyBorder="1" applyProtection="1"/>
    <xf numFmtId="1" fontId="27" fillId="0" borderId="0" xfId="57" applyNumberFormat="1" applyFont="1" applyBorder="1" applyProtection="1">
      <protection locked="0"/>
    </xf>
    <xf numFmtId="0" fontId="1" fillId="0" borderId="0" xfId="0" applyFont="1" applyProtection="1">
      <protection locked="0"/>
    </xf>
    <xf numFmtId="0" fontId="109" fillId="0" borderId="0" xfId="0" applyFont="1" applyAlignment="1" applyProtection="1">
      <alignment wrapText="1"/>
      <protection locked="0"/>
    </xf>
    <xf numFmtId="179" fontId="0" fillId="0" borderId="172" xfId="57" applyFont="1" applyBorder="1"/>
    <xf numFmtId="182" fontId="50" fillId="27" borderId="297" xfId="54" applyNumberFormat="1" applyFont="1" applyBorder="1" applyProtection="1">
      <protection locked="0"/>
    </xf>
    <xf numFmtId="9" fontId="14" fillId="47" borderId="172" xfId="47" applyFont="1" applyFill="1" applyBorder="1"/>
    <xf numFmtId="186" fontId="50" fillId="27" borderId="313" xfId="54" applyNumberFormat="1" applyFont="1" applyBorder="1" applyProtection="1">
      <protection locked="0"/>
    </xf>
    <xf numFmtId="0" fontId="0" fillId="0" borderId="298" xfId="0" applyBorder="1" applyAlignment="1" applyProtection="1">
      <alignment horizontal="center"/>
      <protection locked="0"/>
    </xf>
    <xf numFmtId="0" fontId="0" fillId="0" borderId="295" xfId="0" applyBorder="1" applyAlignment="1" applyProtection="1">
      <alignment horizontal="center"/>
      <protection locked="0"/>
    </xf>
    <xf numFmtId="0" fontId="0" fillId="0" borderId="296" xfId="0" applyBorder="1" applyAlignment="1" applyProtection="1">
      <alignment horizontal="center"/>
      <protection locked="0"/>
    </xf>
    <xf numFmtId="2" fontId="50" fillId="27" borderId="314" xfId="54" applyNumberFormat="1" applyFont="1" applyBorder="1"/>
    <xf numFmtId="2" fontId="50" fillId="27" borderId="315" xfId="54" applyNumberFormat="1" applyFont="1" applyBorder="1" applyProtection="1">
      <protection locked="0"/>
    </xf>
    <xf numFmtId="2" fontId="50" fillId="27" borderId="315" xfId="54" applyNumberFormat="1" applyFont="1" applyBorder="1"/>
    <xf numFmtId="2" fontId="50" fillId="27" borderId="312" xfId="54" applyNumberFormat="1" applyFont="1" applyBorder="1"/>
    <xf numFmtId="2" fontId="50" fillId="27" borderId="312" xfId="54" applyNumberFormat="1" applyFont="1" applyBorder="1" applyProtection="1">
      <protection locked="0"/>
    </xf>
    <xf numFmtId="183" fontId="50" fillId="27" borderId="297" xfId="46" applyNumberFormat="1" applyFont="1" applyFill="1" applyBorder="1"/>
    <xf numFmtId="180" fontId="50" fillId="27" borderId="316" xfId="54" applyNumberFormat="1" applyFont="1" applyBorder="1"/>
    <xf numFmtId="180" fontId="50" fillId="27" borderId="313" xfId="54" applyNumberFormat="1" applyFont="1" applyBorder="1"/>
    <xf numFmtId="183" fontId="50" fillId="27" borderId="47" xfId="46" applyNumberFormat="1" applyFont="1" applyFill="1" applyBorder="1"/>
    <xf numFmtId="183" fontId="50" fillId="27" borderId="34" xfId="46" applyNumberFormat="1" applyFont="1" applyFill="1" applyBorder="1"/>
    <xf numFmtId="179" fontId="50" fillId="27" borderId="314" xfId="57" applyFont="1" applyFill="1" applyBorder="1"/>
    <xf numFmtId="179" fontId="50" fillId="27" borderId="315" xfId="57" applyFont="1" applyFill="1" applyBorder="1"/>
    <xf numFmtId="179" fontId="50" fillId="27" borderId="312" xfId="57" applyFont="1" applyFill="1" applyBorder="1"/>
    <xf numFmtId="0" fontId="31" fillId="28" borderId="158" xfId="55" applyFont="1" applyBorder="1" applyAlignment="1" applyProtection="1">
      <alignment horizontal="center"/>
      <protection locked="0"/>
    </xf>
    <xf numFmtId="0" fontId="0" fillId="0" borderId="317" xfId="0" applyBorder="1" applyAlignment="1" applyProtection="1">
      <alignment horizontal="left"/>
      <protection locked="0"/>
    </xf>
    <xf numFmtId="179" fontId="27" fillId="29" borderId="297" xfId="57" applyFont="1" applyFill="1" applyBorder="1" applyProtection="1">
      <protection locked="0"/>
    </xf>
    <xf numFmtId="179" fontId="27" fillId="29" borderId="318" xfId="57" applyFont="1" applyFill="1" applyBorder="1" applyProtection="1">
      <protection locked="0"/>
    </xf>
    <xf numFmtId="0" fontId="27" fillId="0" borderId="295" xfId="0" applyFont="1" applyBorder="1" applyProtection="1">
      <protection locked="0"/>
    </xf>
    <xf numFmtId="0" fontId="27" fillId="0" borderId="319" xfId="0" applyFont="1" applyBorder="1" applyProtection="1">
      <protection locked="0"/>
    </xf>
    <xf numFmtId="182" fontId="27" fillId="29" borderId="297" xfId="56" applyNumberFormat="1" applyFont="1" applyBorder="1" applyProtection="1">
      <protection locked="0"/>
    </xf>
    <xf numFmtId="182" fontId="27" fillId="29" borderId="318" xfId="56" applyNumberFormat="1" applyFont="1" applyBorder="1" applyProtection="1">
      <protection locked="0"/>
    </xf>
    <xf numFmtId="0" fontId="27" fillId="0" borderId="307" xfId="0" applyFont="1" applyBorder="1" applyProtection="1">
      <protection locked="0"/>
    </xf>
    <xf numFmtId="179" fontId="27" fillId="29" borderId="320" xfId="57" applyFont="1" applyFill="1" applyBorder="1" applyProtection="1">
      <protection locked="0"/>
    </xf>
    <xf numFmtId="179" fontId="27" fillId="29" borderId="321" xfId="57" applyFont="1" applyFill="1" applyBorder="1" applyProtection="1">
      <protection locked="0"/>
    </xf>
    <xf numFmtId="0" fontId="0" fillId="0" borderId="295" xfId="0" applyBorder="1" applyProtection="1">
      <protection locked="0"/>
    </xf>
    <xf numFmtId="0" fontId="0" fillId="0" borderId="296" xfId="0" applyBorder="1" applyProtection="1">
      <protection locked="0"/>
    </xf>
    <xf numFmtId="0" fontId="0" fillId="0" borderId="307" xfId="0" applyBorder="1" applyAlignment="1" applyProtection="1">
      <alignment wrapText="1"/>
      <protection locked="0"/>
    </xf>
    <xf numFmtId="0" fontId="0" fillId="0" borderId="242" xfId="0" applyBorder="1" applyAlignment="1" applyProtection="1">
      <alignment wrapText="1"/>
      <protection locked="0"/>
    </xf>
    <xf numFmtId="0" fontId="0" fillId="0" borderId="172" xfId="0" applyBorder="1" applyAlignment="1" applyProtection="1">
      <alignment wrapText="1"/>
      <protection locked="0"/>
    </xf>
    <xf numFmtId="0" fontId="0" fillId="0" borderId="306" xfId="0" applyBorder="1" applyAlignment="1" applyProtection="1">
      <alignment wrapText="1"/>
      <protection locked="0"/>
    </xf>
    <xf numFmtId="185" fontId="0" fillId="0" borderId="322" xfId="0" applyNumberFormat="1" applyBorder="1" applyProtection="1">
      <protection locked="0"/>
    </xf>
    <xf numFmtId="0" fontId="0" fillId="0" borderId="307" xfId="0" applyBorder="1" applyProtection="1">
      <protection locked="0"/>
    </xf>
    <xf numFmtId="183" fontId="0" fillId="0" borderId="242" xfId="46" applyNumberFormat="1" applyFont="1" applyBorder="1" applyProtection="1">
      <protection locked="0"/>
    </xf>
    <xf numFmtId="183" fontId="0" fillId="0" borderId="307" xfId="46" applyNumberFormat="1" applyFont="1" applyBorder="1" applyProtection="1">
      <protection locked="0"/>
    </xf>
    <xf numFmtId="183" fontId="0" fillId="0" borderId="172" xfId="46" applyNumberFormat="1" applyFont="1" applyBorder="1" applyProtection="1">
      <protection locked="0"/>
    </xf>
    <xf numFmtId="3" fontId="0" fillId="0" borderId="307" xfId="46" applyNumberFormat="1" applyFont="1" applyBorder="1" applyProtection="1">
      <protection locked="0"/>
    </xf>
    <xf numFmtId="3" fontId="0" fillId="0" borderId="306" xfId="46" applyNumberFormat="1" applyFont="1" applyBorder="1" applyProtection="1">
      <protection locked="0"/>
    </xf>
    <xf numFmtId="3" fontId="0" fillId="0" borderId="242" xfId="46" applyNumberFormat="1" applyFont="1" applyBorder="1" applyProtection="1">
      <protection locked="0"/>
    </xf>
    <xf numFmtId="3" fontId="0" fillId="0" borderId="172" xfId="46" applyNumberFormat="1" applyFont="1" applyBorder="1" applyProtection="1">
      <protection locked="0"/>
    </xf>
    <xf numFmtId="0" fontId="0" fillId="0" borderId="323" xfId="0" applyBorder="1" applyProtection="1">
      <protection locked="0"/>
    </xf>
    <xf numFmtId="0" fontId="0" fillId="0" borderId="323" xfId="0" applyBorder="1" applyAlignment="1" applyProtection="1">
      <alignment horizontal="center" vertical="center" wrapText="1"/>
      <protection locked="0"/>
    </xf>
    <xf numFmtId="3" fontId="0" fillId="0" borderId="295" xfId="0" applyNumberFormat="1" applyBorder="1" applyProtection="1">
      <protection locked="0"/>
    </xf>
    <xf numFmtId="3" fontId="0" fillId="0" borderId="298" xfId="0" applyNumberFormat="1" applyBorder="1" applyProtection="1">
      <protection locked="0"/>
    </xf>
    <xf numFmtId="3" fontId="0" fillId="0" borderId="296" xfId="0" applyNumberFormat="1" applyBorder="1" applyProtection="1">
      <protection locked="0"/>
    </xf>
    <xf numFmtId="3" fontId="0" fillId="0" borderId="307" xfId="0" applyNumberFormat="1" applyBorder="1" applyProtection="1">
      <protection locked="0"/>
    </xf>
    <xf numFmtId="3" fontId="0" fillId="0" borderId="242" xfId="0" applyNumberFormat="1" applyBorder="1" applyProtection="1">
      <protection locked="0"/>
    </xf>
    <xf numFmtId="185" fontId="0" fillId="0" borderId="324" xfId="0" applyNumberFormat="1" applyBorder="1" applyProtection="1">
      <protection locked="0"/>
    </xf>
    <xf numFmtId="185" fontId="0" fillId="0" borderId="323" xfId="0" applyNumberFormat="1" applyBorder="1" applyProtection="1">
      <protection locked="0"/>
    </xf>
    <xf numFmtId="185" fontId="0" fillId="0" borderId="307" xfId="0" applyNumberFormat="1" applyBorder="1" applyProtection="1">
      <protection locked="0"/>
    </xf>
    <xf numFmtId="185" fontId="0" fillId="0" borderId="242" xfId="0" applyNumberFormat="1" applyBorder="1" applyProtection="1">
      <protection locked="0"/>
    </xf>
    <xf numFmtId="0" fontId="0" fillId="0" borderId="298" xfId="0" applyBorder="1" applyProtection="1">
      <protection locked="0"/>
    </xf>
    <xf numFmtId="185" fontId="0" fillId="0" borderId="298" xfId="0" applyNumberFormat="1" applyBorder="1" applyProtection="1">
      <protection locked="0"/>
    </xf>
    <xf numFmtId="185" fontId="0" fillId="0" borderId="295" xfId="0" applyNumberFormat="1" applyBorder="1" applyProtection="1">
      <protection locked="0"/>
    </xf>
    <xf numFmtId="185" fontId="0" fillId="0" borderId="296" xfId="0" applyNumberFormat="1" applyBorder="1" applyProtection="1">
      <protection locked="0"/>
    </xf>
    <xf numFmtId="3" fontId="0" fillId="0" borderId="306" xfId="0" applyNumberFormat="1" applyBorder="1" applyProtection="1">
      <protection locked="0"/>
    </xf>
    <xf numFmtId="0" fontId="39" fillId="0" borderId="295" xfId="48" applyFont="1" applyFill="1" applyBorder="1" applyAlignment="1" applyProtection="1">
      <alignment wrapText="1"/>
      <protection locked="0"/>
    </xf>
    <xf numFmtId="0" fontId="39" fillId="0" borderId="295" xfId="48" applyFont="1" applyFill="1" applyBorder="1" applyProtection="1">
      <protection locked="0"/>
    </xf>
    <xf numFmtId="0" fontId="39" fillId="0" borderId="295" xfId="49" applyFont="1" applyFill="1" applyBorder="1" applyAlignment="1" applyProtection="1">
      <alignment wrapText="1"/>
      <protection locked="0"/>
    </xf>
    <xf numFmtId="0" fontId="0" fillId="0" borderId="295" xfId="0" applyBorder="1" applyAlignment="1">
      <alignment wrapText="1"/>
    </xf>
    <xf numFmtId="3" fontId="39" fillId="0" borderId="295" xfId="48" applyNumberFormat="1" applyFont="1" applyFill="1" applyBorder="1" applyProtection="1">
      <protection locked="0"/>
    </xf>
    <xf numFmtId="3" fontId="0" fillId="0" borderId="295" xfId="46" applyNumberFormat="1" applyFont="1" applyBorder="1" applyProtection="1">
      <protection locked="0"/>
    </xf>
    <xf numFmtId="185" fontId="39" fillId="0" borderId="295" xfId="48" applyNumberFormat="1" applyFont="1" applyFill="1" applyBorder="1" applyProtection="1">
      <protection locked="0"/>
    </xf>
    <xf numFmtId="185" fontId="39" fillId="0" borderId="295" xfId="49" applyNumberFormat="1" applyFont="1" applyFill="1" applyBorder="1" applyProtection="1">
      <protection locked="0"/>
    </xf>
    <xf numFmtId="185" fontId="39" fillId="0" borderId="0" xfId="0" applyNumberFormat="1" applyFont="1" applyProtection="1">
      <protection locked="0"/>
    </xf>
    <xf numFmtId="185" fontId="39" fillId="0" borderId="307" xfId="48" applyNumberFormat="1" applyFont="1" applyFill="1" applyBorder="1" applyProtection="1">
      <protection locked="0"/>
    </xf>
    <xf numFmtId="184" fontId="0" fillId="0" borderId="307" xfId="0" applyNumberFormat="1" applyBorder="1" applyProtection="1">
      <protection locked="0"/>
    </xf>
    <xf numFmtId="3" fontId="0" fillId="0" borderId="292" xfId="0" applyNumberFormat="1" applyBorder="1" applyProtection="1">
      <protection locked="0"/>
    </xf>
    <xf numFmtId="3" fontId="0" fillId="0" borderId="297" xfId="0" applyNumberFormat="1" applyBorder="1" applyProtection="1">
      <protection locked="0"/>
    </xf>
    <xf numFmtId="0" fontId="0" fillId="0" borderId="324" xfId="0" applyBorder="1" applyProtection="1">
      <protection locked="0"/>
    </xf>
    <xf numFmtId="2" fontId="0" fillId="0" borderId="322" xfId="0" applyNumberFormat="1" applyBorder="1" applyProtection="1">
      <protection locked="0"/>
    </xf>
    <xf numFmtId="0" fontId="0" fillId="0" borderId="295" xfId="0" applyBorder="1" applyAlignment="1" applyProtection="1">
      <alignment wrapText="1"/>
      <protection locked="0"/>
    </xf>
    <xf numFmtId="0" fontId="0" fillId="0" borderId="296" xfId="0" applyBorder="1" applyAlignment="1" applyProtection="1">
      <alignment wrapText="1"/>
      <protection locked="0"/>
    </xf>
    <xf numFmtId="0" fontId="0" fillId="0" borderId="292" xfId="0" applyBorder="1" applyProtection="1">
      <protection locked="0"/>
    </xf>
    <xf numFmtId="3" fontId="0" fillId="0" borderId="307" xfId="46" applyNumberFormat="1" applyFont="1" applyFill="1" applyBorder="1" applyProtection="1">
      <protection locked="0"/>
    </xf>
    <xf numFmtId="3" fontId="0" fillId="0" borderId="172" xfId="46" applyNumberFormat="1" applyFont="1" applyFill="1" applyBorder="1" applyProtection="1">
      <protection locked="0"/>
    </xf>
    <xf numFmtId="0" fontId="0" fillId="0" borderId="322" xfId="0" applyBorder="1" applyProtection="1">
      <protection locked="0"/>
    </xf>
    <xf numFmtId="181" fontId="0" fillId="0" borderId="307" xfId="47" applyNumberFormat="1" applyFont="1" applyBorder="1" applyProtection="1">
      <protection locked="0"/>
    </xf>
    <xf numFmtId="0" fontId="0" fillId="0" borderId="306" xfId="0" applyBorder="1" applyAlignment="1" applyProtection="1">
      <alignment horizontal="center"/>
      <protection locked="0"/>
    </xf>
    <xf numFmtId="183" fontId="45" fillId="24" borderId="325" xfId="46" applyNumberFormat="1" applyFont="1" applyFill="1" applyBorder="1" applyProtection="1">
      <protection locked="0"/>
    </xf>
    <xf numFmtId="9" fontId="0" fillId="0" borderId="297" xfId="46" applyNumberFormat="1" applyFont="1" applyBorder="1"/>
    <xf numFmtId="3" fontId="45" fillId="25" borderId="147" xfId="52" applyNumberFormat="1" applyFont="1" applyBorder="1" applyProtection="1">
      <protection locked="0"/>
    </xf>
    <xf numFmtId="183" fontId="45" fillId="24" borderId="172" xfId="46" applyNumberFormat="1" applyFont="1" applyFill="1" applyBorder="1" applyProtection="1">
      <protection locked="0"/>
    </xf>
    <xf numFmtId="0" fontId="27" fillId="26" borderId="326" xfId="53" applyFont="1" applyBorder="1" applyProtection="1">
      <protection locked="0"/>
    </xf>
    <xf numFmtId="0" fontId="27" fillId="26" borderId="327" xfId="53" applyFont="1" applyBorder="1" applyProtection="1">
      <protection locked="0"/>
    </xf>
    <xf numFmtId="0" fontId="27" fillId="26" borderId="260" xfId="53" applyFont="1" applyBorder="1" applyProtection="1">
      <protection locked="0"/>
    </xf>
    <xf numFmtId="183" fontId="45" fillId="24" borderId="71" xfId="46" applyNumberFormat="1" applyFont="1" applyFill="1" applyBorder="1" applyProtection="1">
      <protection locked="0"/>
    </xf>
    <xf numFmtId="0" fontId="0" fillId="0" borderId="292" xfId="0" applyBorder="1" applyAlignment="1" applyProtection="1">
      <alignment horizontal="center"/>
      <protection locked="0"/>
    </xf>
    <xf numFmtId="0" fontId="0" fillId="0" borderId="32" xfId="0" applyBorder="1" applyAlignment="1" applyProtection="1">
      <alignment horizontal="center"/>
      <protection locked="0"/>
    </xf>
    <xf numFmtId="0" fontId="0" fillId="0" borderId="297" xfId="0" applyBorder="1" applyAlignment="1" applyProtection="1">
      <alignment horizontal="center"/>
      <protection locked="0"/>
    </xf>
    <xf numFmtId="0" fontId="27" fillId="26" borderId="328" xfId="53" applyFont="1" applyBorder="1" applyProtection="1">
      <protection locked="0"/>
    </xf>
    <xf numFmtId="0" fontId="27" fillId="26" borderId="329" xfId="53" applyFont="1" applyBorder="1" applyProtection="1">
      <protection locked="0"/>
    </xf>
    <xf numFmtId="0" fontId="27" fillId="47" borderId="260" xfId="53" applyFont="1" applyFill="1" applyBorder="1" applyProtection="1">
      <protection locked="0"/>
    </xf>
    <xf numFmtId="0" fontId="108" fillId="47" borderId="242" xfId="52" applyFont="1" applyFill="1" applyBorder="1" applyProtection="1">
      <protection locked="0"/>
    </xf>
    <xf numFmtId="183" fontId="45" fillId="24" borderId="293" xfId="46" applyNumberFormat="1" applyFont="1" applyFill="1" applyBorder="1" applyProtection="1">
      <protection locked="0"/>
    </xf>
    <xf numFmtId="183" fontId="45" fillId="25" borderId="147" xfId="46" applyNumberFormat="1" applyFont="1" applyFill="1" applyBorder="1" applyProtection="1">
      <protection locked="0"/>
    </xf>
    <xf numFmtId="9" fontId="45" fillId="25" borderId="147" xfId="52" applyNumberFormat="1" applyFont="1" applyBorder="1" applyProtection="1">
      <protection locked="0"/>
    </xf>
    <xf numFmtId="9" fontId="45" fillId="24" borderId="59" xfId="46" applyNumberFormat="1" applyFont="1" applyFill="1" applyBorder="1" applyProtection="1">
      <protection locked="0"/>
    </xf>
    <xf numFmtId="9" fontId="45" fillId="24" borderId="306" xfId="46" applyNumberFormat="1" applyFont="1" applyFill="1" applyBorder="1" applyProtection="1">
      <protection locked="0"/>
    </xf>
    <xf numFmtId="9" fontId="107" fillId="27" borderId="20" xfId="54" applyNumberFormat="1" applyFont="1"/>
    <xf numFmtId="183" fontId="107" fillId="27" borderId="20" xfId="54" applyNumberFormat="1" applyFont="1"/>
    <xf numFmtId="0" fontId="14" fillId="47" borderId="324" xfId="6" applyFill="1" applyBorder="1"/>
    <xf numFmtId="2" fontId="107" fillId="27" borderId="293" xfId="54" applyNumberFormat="1" applyFont="1" applyBorder="1" applyProtection="1"/>
    <xf numFmtId="2" fontId="107" fillId="27" borderId="56" xfId="54" applyNumberFormat="1" applyFont="1" applyBorder="1" applyProtection="1"/>
    <xf numFmtId="182" fontId="107" fillId="27" borderId="56" xfId="54" applyNumberFormat="1" applyFont="1" applyBorder="1" applyProtection="1"/>
    <xf numFmtId="2" fontId="107" fillId="27" borderId="57" xfId="54" applyNumberFormat="1" applyFont="1" applyBorder="1" applyProtection="1"/>
    <xf numFmtId="179" fontId="27" fillId="0" borderId="324" xfId="57" applyFont="1" applyBorder="1" applyProtection="1">
      <protection locked="0"/>
    </xf>
    <xf numFmtId="200" fontId="0" fillId="0" borderId="147" xfId="57" applyNumberFormat="1" applyFont="1" applyFill="1" applyBorder="1"/>
    <xf numFmtId="200" fontId="0" fillId="5" borderId="307" xfId="57" applyNumberFormat="1" applyFont="1" applyFill="1" applyBorder="1"/>
    <xf numFmtId="0" fontId="0" fillId="0" borderId="292" xfId="0" applyBorder="1"/>
    <xf numFmtId="0" fontId="0" fillId="0" borderId="306" xfId="0" applyBorder="1"/>
    <xf numFmtId="2" fontId="0" fillId="0" borderId="307" xfId="0" applyNumberFormat="1" applyBorder="1"/>
    <xf numFmtId="2" fontId="0" fillId="0" borderId="172" xfId="0" applyNumberFormat="1" applyBorder="1"/>
    <xf numFmtId="9" fontId="0" fillId="0" borderId="296" xfId="47" applyFont="1" applyBorder="1"/>
    <xf numFmtId="0" fontId="141" fillId="0" borderId="274" xfId="0" applyFont="1" applyBorder="1" applyAlignment="1">
      <alignment wrapText="1"/>
    </xf>
    <xf numFmtId="183" fontId="0" fillId="0" borderId="242" xfId="46" applyNumberFormat="1" applyFont="1" applyBorder="1"/>
    <xf numFmtId="183" fontId="0" fillId="0" borderId="307" xfId="46" applyNumberFormat="1" applyFont="1" applyBorder="1"/>
    <xf numFmtId="183" fontId="0" fillId="0" borderId="307" xfId="46" applyNumberFormat="1" applyFont="1" applyFill="1" applyBorder="1"/>
    <xf numFmtId="183" fontId="0" fillId="0" borderId="172" xfId="46" applyNumberFormat="1" applyFont="1" applyBorder="1"/>
    <xf numFmtId="207" fontId="0" fillId="0" borderId="0" xfId="0" applyNumberFormat="1"/>
    <xf numFmtId="2" fontId="27" fillId="25" borderId="41" xfId="47" applyNumberFormat="1" applyFont="1" applyFill="1" applyBorder="1" applyProtection="1"/>
    <xf numFmtId="179" fontId="27" fillId="0" borderId="67" xfId="57" applyFont="1" applyBorder="1" applyProtection="1">
      <protection locked="0"/>
    </xf>
    <xf numFmtId="1" fontId="27" fillId="25" borderId="311" xfId="52" applyNumberFormat="1" applyFont="1" applyBorder="1" applyProtection="1"/>
    <xf numFmtId="1" fontId="27" fillId="0" borderId="295" xfId="0" applyNumberFormat="1" applyFont="1" applyBorder="1" applyProtection="1">
      <protection locked="0"/>
    </xf>
    <xf numFmtId="184" fontId="45" fillId="24" borderId="312" xfId="50" applyNumberFormat="1" applyFont="1" applyBorder="1" applyProtection="1">
      <protection locked="0"/>
    </xf>
    <xf numFmtId="0" fontId="14" fillId="47" borderId="306" xfId="6" applyFill="1" applyBorder="1"/>
    <xf numFmtId="0" fontId="14" fillId="47" borderId="32" xfId="6" applyFill="1" applyBorder="1"/>
    <xf numFmtId="1" fontId="27" fillId="25" borderId="309" xfId="52" applyNumberFormat="1" applyFont="1" applyBorder="1" applyProtection="1"/>
    <xf numFmtId="1" fontId="27" fillId="0" borderId="307" xfId="0" applyNumberFormat="1" applyFont="1" applyBorder="1" applyProtection="1">
      <protection locked="0"/>
    </xf>
    <xf numFmtId="182" fontId="50" fillId="27" borderId="54" xfId="54" applyNumberFormat="1" applyFont="1" applyBorder="1" applyProtection="1">
      <protection locked="0"/>
    </xf>
    <xf numFmtId="2" fontId="27" fillId="0" borderId="308" xfId="57" applyNumberFormat="1" applyFont="1" applyBorder="1" applyProtection="1">
      <protection locked="0"/>
    </xf>
    <xf numFmtId="184" fontId="0" fillId="0" borderId="295" xfId="0" applyNumberFormat="1" applyBorder="1" applyProtection="1">
      <protection locked="0"/>
    </xf>
    <xf numFmtId="0" fontId="47" fillId="0" borderId="0" xfId="0" applyFont="1" applyProtection="1">
      <protection locked="0"/>
    </xf>
    <xf numFmtId="0" fontId="46" fillId="0" borderId="0" xfId="0" applyFont="1" applyProtection="1">
      <protection locked="0"/>
    </xf>
    <xf numFmtId="179" fontId="0" fillId="0" borderId="307" xfId="57" applyFont="1" applyFill="1" applyBorder="1"/>
    <xf numFmtId="179" fontId="0" fillId="5" borderId="307" xfId="57" applyFont="1" applyFill="1" applyBorder="1"/>
    <xf numFmtId="179" fontId="45" fillId="24" borderId="34" xfId="57" applyFont="1" applyFill="1" applyBorder="1"/>
    <xf numFmtId="188" fontId="0" fillId="25" borderId="41" xfId="47" applyNumberFormat="1" applyFont="1" applyFill="1" applyBorder="1" applyProtection="1"/>
    <xf numFmtId="188" fontId="0" fillId="25" borderId="330" xfId="47" applyNumberFormat="1" applyFont="1" applyFill="1" applyBorder="1" applyProtection="1"/>
    <xf numFmtId="188" fontId="0" fillId="25" borderId="37" xfId="47" applyNumberFormat="1" applyFont="1" applyFill="1" applyBorder="1" applyProtection="1"/>
    <xf numFmtId="0" fontId="27" fillId="26" borderId="297" xfId="53" applyFont="1" applyBorder="1" applyProtection="1">
      <protection locked="0"/>
    </xf>
    <xf numFmtId="200" fontId="0" fillId="0" borderId="308" xfId="57" applyNumberFormat="1" applyFont="1" applyFill="1" applyBorder="1"/>
    <xf numFmtId="3" fontId="45" fillId="25" borderId="307" xfId="52" applyNumberFormat="1" applyFont="1" applyBorder="1" applyProtection="1">
      <protection locked="0"/>
    </xf>
    <xf numFmtId="0" fontId="27" fillId="26" borderId="332" xfId="53" applyFont="1" applyBorder="1" applyProtection="1">
      <protection locked="0"/>
    </xf>
    <xf numFmtId="0" fontId="27" fillId="26" borderId="333" xfId="53" applyFont="1" applyBorder="1" applyProtection="1">
      <protection locked="0"/>
    </xf>
    <xf numFmtId="0" fontId="27" fillId="26" borderId="334" xfId="53" applyFont="1" applyBorder="1" applyProtection="1">
      <protection locked="0"/>
    </xf>
    <xf numFmtId="204" fontId="107" fillId="27" borderId="20" xfId="46" applyNumberFormat="1" applyFont="1" applyFill="1" applyBorder="1"/>
    <xf numFmtId="192" fontId="45" fillId="25" borderId="147" xfId="52" applyNumberFormat="1" applyFont="1" applyBorder="1" applyProtection="1">
      <protection locked="0"/>
    </xf>
    <xf numFmtId="180" fontId="50" fillId="27" borderId="56" xfId="57" applyNumberFormat="1" applyFont="1" applyFill="1" applyBorder="1" applyProtection="1">
      <protection locked="0"/>
    </xf>
    <xf numFmtId="0" fontId="14" fillId="47" borderId="307" xfId="6" applyFill="1" applyBorder="1"/>
    <xf numFmtId="0" fontId="14" fillId="47" borderId="323" xfId="6" applyFill="1" applyBorder="1"/>
    <xf numFmtId="183" fontId="14" fillId="47" borderId="322" xfId="46" applyNumberFormat="1" applyFont="1" applyFill="1" applyBorder="1"/>
    <xf numFmtId="183" fontId="14" fillId="47" borderId="27" xfId="46" applyNumberFormat="1" applyFont="1" applyFill="1" applyBorder="1"/>
    <xf numFmtId="181" fontId="0" fillId="4" borderId="0" xfId="47" applyNumberFormat="1" applyFont="1" applyFill="1" applyProtection="1">
      <protection locked="0"/>
    </xf>
    <xf numFmtId="181" fontId="27" fillId="4" borderId="18" xfId="47" applyNumberFormat="1" applyFont="1" applyFill="1" applyBorder="1" applyProtection="1">
      <protection locked="0"/>
    </xf>
    <xf numFmtId="184" fontId="0" fillId="4" borderId="18" xfId="0" applyNumberFormat="1" applyFill="1" applyBorder="1" applyProtection="1">
      <protection locked="0"/>
    </xf>
    <xf numFmtId="1" fontId="0" fillId="4" borderId="0" xfId="47" applyNumberFormat="1" applyFont="1" applyFill="1" applyProtection="1">
      <protection locked="0"/>
    </xf>
    <xf numFmtId="1" fontId="0" fillId="4" borderId="243" xfId="47" applyNumberFormat="1" applyFont="1" applyFill="1" applyBorder="1" applyProtection="1">
      <protection locked="0"/>
    </xf>
    <xf numFmtId="2" fontId="0" fillId="4" borderId="0" xfId="47" applyNumberFormat="1" applyFont="1" applyFill="1" applyProtection="1">
      <protection locked="0"/>
    </xf>
    <xf numFmtId="2" fontId="0" fillId="4" borderId="243" xfId="47" applyNumberFormat="1" applyFont="1" applyFill="1" applyBorder="1" applyProtection="1">
      <protection locked="0"/>
    </xf>
    <xf numFmtId="182" fontId="0" fillId="4" borderId="26" xfId="0" applyNumberFormat="1" applyFill="1" applyBorder="1" applyProtection="1">
      <protection locked="0"/>
    </xf>
    <xf numFmtId="181" fontId="0" fillId="0" borderId="27" xfId="0" applyNumberFormat="1" applyBorder="1" applyProtection="1">
      <protection locked="0"/>
    </xf>
    <xf numFmtId="181" fontId="0" fillId="0" borderId="307" xfId="0" applyNumberFormat="1" applyBorder="1"/>
    <xf numFmtId="181" fontId="0" fillId="0" borderId="307" xfId="0" applyNumberFormat="1" applyBorder="1" applyProtection="1">
      <protection locked="0"/>
    </xf>
    <xf numFmtId="181" fontId="0" fillId="0" borderId="172" xfId="0" applyNumberFormat="1" applyBorder="1" applyProtection="1">
      <protection locked="0"/>
    </xf>
    <xf numFmtId="0" fontId="0" fillId="0" borderId="295" xfId="0" applyBorder="1"/>
    <xf numFmtId="181" fontId="0" fillId="4" borderId="0" xfId="0" applyNumberFormat="1" applyFill="1" applyProtection="1">
      <protection locked="0"/>
    </xf>
    <xf numFmtId="181" fontId="0" fillId="4" borderId="307" xfId="0" applyNumberFormat="1" applyFill="1" applyBorder="1" applyProtection="1">
      <protection locked="0"/>
    </xf>
    <xf numFmtId="0" fontId="141" fillId="0" borderId="0" xfId="0" applyFont="1" applyProtection="1">
      <protection locked="0"/>
    </xf>
    <xf numFmtId="181" fontId="50" fillId="27" borderId="0" xfId="54" applyNumberFormat="1" applyFont="1" applyBorder="1" applyProtection="1">
      <protection locked="0"/>
    </xf>
    <xf numFmtId="0" fontId="0" fillId="0" borderId="13" xfId="0" applyBorder="1"/>
    <xf numFmtId="9" fontId="45" fillId="24" borderId="335" xfId="47" applyFont="1" applyFill="1" applyBorder="1" applyProtection="1">
      <protection locked="0"/>
    </xf>
    <xf numFmtId="9" fontId="45" fillId="24" borderId="336" xfId="47" applyFont="1" applyFill="1" applyBorder="1" applyProtection="1">
      <protection locked="0"/>
    </xf>
    <xf numFmtId="0" fontId="0" fillId="0" borderId="148" xfId="0" applyBorder="1"/>
    <xf numFmtId="181" fontId="0" fillId="25" borderId="337" xfId="47" applyNumberFormat="1" applyFont="1" applyFill="1" applyBorder="1" applyProtection="1"/>
    <xf numFmtId="181" fontId="50" fillId="27" borderId="338" xfId="54" applyNumberFormat="1" applyFont="1" applyBorder="1" applyProtection="1">
      <protection locked="0"/>
    </xf>
    <xf numFmtId="9" fontId="45" fillId="24" borderId="339" xfId="47" applyFont="1" applyFill="1" applyBorder="1" applyProtection="1">
      <protection locked="0"/>
    </xf>
    <xf numFmtId="0" fontId="0" fillId="0" borderId="167" xfId="0" applyBorder="1" applyProtection="1">
      <protection locked="0"/>
    </xf>
    <xf numFmtId="0" fontId="0" fillId="0" borderId="168" xfId="0" applyBorder="1" applyProtection="1">
      <protection locked="0"/>
    </xf>
    <xf numFmtId="0" fontId="143" fillId="0" borderId="0" xfId="0" applyFont="1" applyProtection="1">
      <protection locked="0"/>
    </xf>
    <xf numFmtId="0" fontId="144" fillId="0" borderId="0" xfId="0" applyFont="1" applyProtection="1">
      <protection locked="0"/>
    </xf>
    <xf numFmtId="2" fontId="0" fillId="0" borderId="27" xfId="0" applyNumberFormat="1" applyBorder="1"/>
    <xf numFmtId="2" fontId="0" fillId="4" borderId="307" xfId="0" applyNumberFormat="1" applyFill="1" applyBorder="1"/>
    <xf numFmtId="0" fontId="14" fillId="47" borderId="322" xfId="6" applyFill="1" applyBorder="1"/>
    <xf numFmtId="183" fontId="14" fillId="47" borderId="0" xfId="46" applyNumberFormat="1" applyFont="1" applyFill="1" applyBorder="1"/>
    <xf numFmtId="9" fontId="14" fillId="47" borderId="0" xfId="47" applyFont="1" applyFill="1" applyBorder="1"/>
    <xf numFmtId="0" fontId="141" fillId="0" borderId="169" xfId="0" applyFont="1" applyBorder="1" applyProtection="1">
      <protection locked="0"/>
    </xf>
    <xf numFmtId="0" fontId="142" fillId="52" borderId="0" xfId="0" applyFont="1" applyFill="1" applyProtection="1">
      <protection locked="0"/>
    </xf>
    <xf numFmtId="179" fontId="0" fillId="0" borderId="307" xfId="57" applyFont="1" applyBorder="1" applyProtection="1">
      <protection locked="0"/>
    </xf>
    <xf numFmtId="179" fontId="0" fillId="25" borderId="41" xfId="57" applyFont="1" applyFill="1" applyBorder="1" applyProtection="1"/>
    <xf numFmtId="179" fontId="0" fillId="0" borderId="298" xfId="57" applyFont="1" applyBorder="1" applyProtection="1">
      <protection locked="0"/>
    </xf>
    <xf numFmtId="179" fontId="0" fillId="0" borderId="295" xfId="57" applyFont="1" applyBorder="1" applyProtection="1">
      <protection locked="0"/>
    </xf>
    <xf numFmtId="179" fontId="0" fillId="0" borderId="296" xfId="57" applyFont="1" applyBorder="1" applyProtection="1">
      <protection locked="0"/>
    </xf>
    <xf numFmtId="179" fontId="0" fillId="25" borderId="340" xfId="57" applyFont="1" applyFill="1" applyBorder="1" applyProtection="1"/>
    <xf numFmtId="179" fontId="0" fillId="0" borderId="242" xfId="57" applyFont="1" applyBorder="1" applyProtection="1">
      <protection locked="0"/>
    </xf>
    <xf numFmtId="179" fontId="27" fillId="0" borderId="307" xfId="57" applyFont="1" applyBorder="1" applyProtection="1">
      <protection locked="0"/>
    </xf>
    <xf numFmtId="0" fontId="44" fillId="43" borderId="30" xfId="51" applyFill="1" applyProtection="1">
      <protection locked="0"/>
    </xf>
    <xf numFmtId="183" fontId="0" fillId="25" borderId="310" xfId="46" applyNumberFormat="1" applyFont="1" applyFill="1" applyBorder="1" applyProtection="1"/>
    <xf numFmtId="183" fontId="0" fillId="0" borderId="307" xfId="46" applyNumberFormat="1" applyFont="1" applyFill="1" applyBorder="1" applyProtection="1">
      <protection locked="0"/>
    </xf>
    <xf numFmtId="181" fontId="50" fillId="27" borderId="55" xfId="47" applyNumberFormat="1" applyFont="1" applyFill="1" applyBorder="1" applyProtection="1">
      <protection locked="0"/>
    </xf>
    <xf numFmtId="181" fontId="50" fillId="27" borderId="297" xfId="47" applyNumberFormat="1" applyFont="1" applyFill="1" applyBorder="1" applyProtection="1">
      <protection locked="0"/>
    </xf>
    <xf numFmtId="188" fontId="0" fillId="25" borderId="341" xfId="47" applyNumberFormat="1" applyFont="1" applyFill="1" applyBorder="1" applyProtection="1"/>
    <xf numFmtId="188" fontId="27" fillId="0" borderId="67" xfId="0" applyNumberFormat="1" applyFont="1" applyBorder="1" applyProtection="1">
      <protection locked="0"/>
    </xf>
    <xf numFmtId="184" fontId="27" fillId="47" borderId="322" xfId="56" applyNumberFormat="1" applyFont="1" applyFill="1" applyBorder="1" applyProtection="1"/>
    <xf numFmtId="184" fontId="27" fillId="47" borderId="27" xfId="56" applyNumberFormat="1" applyFont="1" applyFill="1" applyBorder="1" applyProtection="1"/>
    <xf numFmtId="184" fontId="27" fillId="47" borderId="172" xfId="56" applyNumberFormat="1" applyFont="1" applyFill="1" applyBorder="1" applyProtection="1"/>
    <xf numFmtId="184" fontId="27" fillId="47" borderId="292" xfId="56" applyNumberFormat="1" applyFont="1" applyFill="1" applyBorder="1" applyProtection="1"/>
    <xf numFmtId="184" fontId="27" fillId="47" borderId="306" xfId="56" applyNumberFormat="1" applyFont="1" applyFill="1" applyBorder="1" applyProtection="1"/>
    <xf numFmtId="0" fontId="27" fillId="26" borderId="343" xfId="53" applyFont="1" applyBorder="1" applyProtection="1">
      <protection locked="0"/>
    </xf>
    <xf numFmtId="0" fontId="55" fillId="0" borderId="172" xfId="30" applyFont="1" applyBorder="1" applyProtection="1">
      <protection locked="0"/>
    </xf>
    <xf numFmtId="187" fontId="27" fillId="47" borderId="292" xfId="56" applyNumberFormat="1" applyFont="1" applyFill="1" applyBorder="1"/>
    <xf numFmtId="0" fontId="45" fillId="24" borderId="345" xfId="50" applyFont="1" applyBorder="1"/>
    <xf numFmtId="0" fontId="45" fillId="24" borderId="315" xfId="50" applyFont="1" applyBorder="1"/>
    <xf numFmtId="0" fontId="45" fillId="24" borderId="346" xfId="50" applyFont="1" applyBorder="1"/>
    <xf numFmtId="0" fontId="146" fillId="0" borderId="0" xfId="45" applyFont="1" applyAlignment="1" applyProtection="1">
      <alignment horizontal="center"/>
      <protection locked="0"/>
    </xf>
    <xf numFmtId="189" fontId="0" fillId="25" borderId="36" xfId="47" applyNumberFormat="1" applyFont="1" applyFill="1" applyBorder="1" applyProtection="1"/>
    <xf numFmtId="2" fontId="0" fillId="4" borderId="2" xfId="0" applyNumberFormat="1" applyFill="1" applyBorder="1" applyProtection="1">
      <protection locked="0"/>
    </xf>
    <xf numFmtId="189" fontId="0" fillId="25" borderId="136" xfId="47" applyNumberFormat="1" applyFont="1" applyFill="1" applyBorder="1" applyProtection="1"/>
    <xf numFmtId="181" fontId="45" fillId="24" borderId="33" xfId="47" applyNumberFormat="1" applyFont="1" applyFill="1" applyBorder="1" applyProtection="1">
      <protection locked="0"/>
    </xf>
    <xf numFmtId="181" fontId="0" fillId="25" borderId="41" xfId="47" applyNumberFormat="1" applyFont="1" applyFill="1" applyBorder="1" applyProtection="1"/>
    <xf numFmtId="181" fontId="45" fillId="24" borderId="34" xfId="47" applyNumberFormat="1" applyFont="1" applyFill="1" applyBorder="1" applyProtection="1">
      <protection locked="0"/>
    </xf>
    <xf numFmtId="0" fontId="147" fillId="0" borderId="344" xfId="0" applyFont="1" applyBorder="1" applyProtection="1">
      <protection locked="0"/>
    </xf>
    <xf numFmtId="182" fontId="50" fillId="27" borderId="20" xfId="54" applyNumberFormat="1" applyFont="1" applyProtection="1">
      <protection locked="0"/>
    </xf>
    <xf numFmtId="49" fontId="0" fillId="32" borderId="13" xfId="0" applyNumberFormat="1" applyFill="1" applyBorder="1" applyProtection="1">
      <protection locked="0"/>
    </xf>
    <xf numFmtId="183" fontId="45" fillId="24" borderId="33" xfId="46" applyNumberFormat="1" applyFont="1" applyFill="1" applyBorder="1" applyProtection="1">
      <protection locked="0"/>
    </xf>
    <xf numFmtId="183" fontId="45" fillId="24" borderId="34" xfId="46" applyNumberFormat="1" applyFont="1" applyFill="1" applyBorder="1" applyProtection="1">
      <protection locked="0"/>
    </xf>
    <xf numFmtId="9" fontId="0" fillId="0" borderId="0" xfId="47" applyFont="1" applyFill="1" applyBorder="1"/>
    <xf numFmtId="9" fontId="0" fillId="0" borderId="173" xfId="47" applyFont="1" applyFill="1" applyBorder="1"/>
    <xf numFmtId="0" fontId="55" fillId="0" borderId="342" xfId="30" applyFont="1" applyBorder="1" applyProtection="1">
      <protection locked="0"/>
    </xf>
    <xf numFmtId="9" fontId="45" fillId="24" borderId="81" xfId="47" applyFont="1" applyFill="1" applyBorder="1" applyProtection="1">
      <protection locked="0"/>
    </xf>
    <xf numFmtId="9" fontId="45" fillId="24" borderId="297" xfId="47" applyFont="1" applyFill="1" applyBorder="1" applyProtection="1">
      <protection locked="0"/>
    </xf>
    <xf numFmtId="0" fontId="70" fillId="32" borderId="14" xfId="0" applyFont="1" applyFill="1" applyBorder="1" applyProtection="1">
      <protection locked="0"/>
    </xf>
    <xf numFmtId="0" fontId="148" fillId="0" borderId="0" xfId="0" applyFont="1" applyProtection="1">
      <protection locked="0"/>
    </xf>
    <xf numFmtId="0" fontId="0" fillId="32" borderId="13" xfId="0" applyFill="1" applyBorder="1" applyAlignment="1" applyProtection="1">
      <alignment horizontal="left" indent="2"/>
      <protection locked="0"/>
    </xf>
    <xf numFmtId="0" fontId="0" fillId="0" borderId="324" xfId="0" applyBorder="1" applyAlignment="1" applyProtection="1">
      <alignment horizontal="left"/>
      <protection locked="0"/>
    </xf>
    <xf numFmtId="199" fontId="50" fillId="27" borderId="313" xfId="57" applyNumberFormat="1" applyFont="1" applyFill="1" applyBorder="1" applyProtection="1">
      <protection locked="0"/>
    </xf>
    <xf numFmtId="0" fontId="1" fillId="51" borderId="13" xfId="0" applyFont="1" applyFill="1" applyBorder="1" applyProtection="1">
      <protection locked="0"/>
    </xf>
    <xf numFmtId="199" fontId="0" fillId="51" borderId="0" xfId="57" applyNumberFormat="1" applyFont="1" applyFill="1" applyBorder="1" applyProtection="1">
      <protection locked="0"/>
    </xf>
    <xf numFmtId="0" fontId="0" fillId="51" borderId="17" xfId="0" applyFill="1" applyBorder="1" applyAlignment="1" applyProtection="1">
      <alignment horizontal="center" vertical="center"/>
      <protection locked="0"/>
    </xf>
    <xf numFmtId="0" fontId="0" fillId="51" borderId="13" xfId="0" applyFill="1" applyBorder="1" applyProtection="1">
      <protection locked="0"/>
    </xf>
    <xf numFmtId="0" fontId="0" fillId="51" borderId="0" xfId="0" applyFill="1" applyAlignment="1" applyProtection="1">
      <alignment horizontal="center" vertical="center"/>
      <protection locked="0"/>
    </xf>
    <xf numFmtId="199" fontId="143" fillId="51" borderId="0" xfId="57" applyNumberFormat="1" applyFont="1" applyFill="1" applyBorder="1" applyProtection="1">
      <protection locked="0"/>
    </xf>
    <xf numFmtId="0" fontId="0" fillId="32" borderId="13" xfId="0" applyFill="1" applyBorder="1" applyAlignment="1" applyProtection="1">
      <alignment horizontal="left" indent="1"/>
      <protection locked="0"/>
    </xf>
    <xf numFmtId="9" fontId="149" fillId="32" borderId="0" xfId="47" applyFont="1" applyFill="1" applyBorder="1" applyAlignment="1" applyProtection="1">
      <alignment horizontal="center" vertical="center"/>
      <protection locked="0"/>
    </xf>
    <xf numFmtId="199" fontId="149" fillId="32" borderId="17" xfId="0" applyNumberFormat="1" applyFont="1" applyFill="1" applyBorder="1" applyProtection="1">
      <protection locked="0"/>
    </xf>
    <xf numFmtId="0" fontId="150" fillId="0" borderId="0" xfId="0" applyFont="1"/>
    <xf numFmtId="0" fontId="151" fillId="0" borderId="0" xfId="0" applyFont="1" applyProtection="1">
      <protection locked="0"/>
    </xf>
    <xf numFmtId="1" fontId="151" fillId="0" borderId="0" xfId="57" applyNumberFormat="1" applyFont="1" applyFill="1" applyBorder="1" applyProtection="1">
      <protection locked="0"/>
    </xf>
    <xf numFmtId="9" fontId="76" fillId="51" borderId="0" xfId="47" applyFont="1" applyFill="1" applyBorder="1" applyAlignment="1" applyProtection="1">
      <alignment horizontal="center" vertical="center"/>
      <protection locked="0"/>
    </xf>
    <xf numFmtId="199" fontId="76" fillId="51" borderId="17" xfId="0" applyNumberFormat="1" applyFont="1" applyFill="1" applyBorder="1" applyAlignment="1" applyProtection="1">
      <alignment horizontal="center" vertical="center"/>
      <protection locked="0"/>
    </xf>
    <xf numFmtId="9" fontId="152" fillId="51" borderId="0" xfId="0" applyNumberFormat="1" applyFont="1" applyFill="1" applyAlignment="1" applyProtection="1">
      <alignment horizontal="center" vertical="center"/>
      <protection locked="0"/>
    </xf>
    <xf numFmtId="9" fontId="152" fillId="32" borderId="0" xfId="47" applyFont="1" applyFill="1" applyBorder="1" applyAlignment="1" applyProtection="1">
      <alignment horizontal="center" vertical="center"/>
      <protection locked="0"/>
    </xf>
    <xf numFmtId="0" fontId="0" fillId="51" borderId="148" xfId="0" applyFill="1" applyBorder="1" applyProtection="1">
      <protection locked="0"/>
    </xf>
    <xf numFmtId="0" fontId="0" fillId="51" borderId="149" xfId="0" applyFill="1" applyBorder="1" applyProtection="1">
      <protection locked="0"/>
    </xf>
    <xf numFmtId="9" fontId="0" fillId="51" borderId="149" xfId="47" applyFont="1" applyFill="1" applyBorder="1" applyAlignment="1" applyProtection="1">
      <alignment horizontal="center" vertical="center"/>
      <protection locked="0"/>
    </xf>
    <xf numFmtId="0" fontId="0" fillId="51" borderId="150" xfId="0" applyFill="1" applyBorder="1" applyProtection="1">
      <protection locked="0"/>
    </xf>
    <xf numFmtId="199" fontId="0" fillId="51" borderId="149" xfId="57" applyNumberFormat="1" applyFont="1" applyFill="1" applyBorder="1" applyProtection="1">
      <protection locked="0"/>
    </xf>
    <xf numFmtId="199" fontId="141" fillId="32" borderId="0" xfId="57" applyNumberFormat="1" applyFont="1" applyFill="1" applyBorder="1" applyProtection="1">
      <protection locked="0"/>
    </xf>
    <xf numFmtId="0" fontId="0" fillId="0" borderId="347" xfId="0" applyBorder="1" applyProtection="1">
      <protection locked="0"/>
    </xf>
    <xf numFmtId="183" fontId="14" fillId="47" borderId="32" xfId="46" applyNumberFormat="1" applyFont="1" applyFill="1" applyBorder="1"/>
    <xf numFmtId="183" fontId="14" fillId="47" borderId="306" xfId="46" applyNumberFormat="1" applyFont="1" applyFill="1" applyBorder="1"/>
    <xf numFmtId="0" fontId="14" fillId="47" borderId="297" xfId="6" applyFill="1" applyBorder="1"/>
    <xf numFmtId="0" fontId="45" fillId="24" borderId="313" xfId="50" applyFont="1" applyBorder="1" applyProtection="1">
      <protection locked="0"/>
    </xf>
    <xf numFmtId="181" fontId="45" fillId="24" borderId="50" xfId="47" applyNumberFormat="1" applyFont="1" applyFill="1" applyBorder="1" applyProtection="1">
      <protection locked="0"/>
    </xf>
    <xf numFmtId="9" fontId="45" fillId="24" borderId="292" xfId="47" applyFont="1" applyFill="1" applyBorder="1" applyProtection="1">
      <protection locked="0"/>
    </xf>
    <xf numFmtId="0" fontId="0" fillId="47" borderId="32" xfId="0" applyFill="1" applyBorder="1"/>
    <xf numFmtId="0" fontId="0" fillId="47" borderId="32" xfId="0" applyFill="1" applyBorder="1" applyProtection="1">
      <protection locked="0"/>
    </xf>
    <xf numFmtId="0" fontId="0" fillId="47" borderId="306" xfId="0" applyFill="1" applyBorder="1" applyProtection="1">
      <protection locked="0"/>
    </xf>
    <xf numFmtId="184" fontId="27" fillId="47" borderId="324" xfId="56" applyNumberFormat="1" applyFont="1" applyFill="1" applyBorder="1" applyProtection="1"/>
    <xf numFmtId="184" fontId="27" fillId="47" borderId="297" xfId="56" applyNumberFormat="1" applyFont="1" applyFill="1" applyBorder="1" applyProtection="1"/>
    <xf numFmtId="181" fontId="50" fillId="27" borderId="50" xfId="54" applyNumberFormat="1" applyFont="1" applyBorder="1" applyProtection="1">
      <protection locked="0"/>
    </xf>
    <xf numFmtId="181" fontId="50" fillId="27" borderId="34" xfId="54" applyNumberFormat="1" applyFont="1" applyBorder="1" applyProtection="1">
      <protection locked="0"/>
    </xf>
    <xf numFmtId="179" fontId="45" fillId="24" borderId="45" xfId="57" applyFont="1" applyFill="1" applyBorder="1"/>
    <xf numFmtId="179" fontId="45" fillId="24" borderId="315" xfId="57" applyFont="1" applyFill="1" applyBorder="1"/>
    <xf numFmtId="179" fontId="45" fillId="24" borderId="74" xfId="57" applyFont="1" applyFill="1" applyBorder="1"/>
    <xf numFmtId="179" fontId="45" fillId="24" borderId="46" xfId="57" applyFont="1" applyFill="1" applyBorder="1"/>
    <xf numFmtId="179" fontId="45" fillId="24" borderId="297" xfId="57" applyFont="1" applyFill="1" applyBorder="1" applyProtection="1">
      <protection locked="0"/>
    </xf>
    <xf numFmtId="183" fontId="0" fillId="32" borderId="0" xfId="46" applyNumberFormat="1" applyFont="1" applyFill="1" applyProtection="1">
      <protection locked="0"/>
    </xf>
    <xf numFmtId="0" fontId="0" fillId="0" borderId="296" xfId="0" applyBorder="1" applyAlignment="1" applyProtection="1">
      <alignment horizontal="left"/>
      <protection locked="0"/>
    </xf>
    <xf numFmtId="0" fontId="0" fillId="51" borderId="17" xfId="0" applyFill="1" applyBorder="1" applyAlignment="1" applyProtection="1">
      <alignment horizontal="left" vertical="center"/>
      <protection locked="0"/>
    </xf>
    <xf numFmtId="189" fontId="0" fillId="0" borderId="0" xfId="0" applyNumberFormat="1" applyProtection="1">
      <protection locked="0"/>
    </xf>
    <xf numFmtId="0" fontId="0" fillId="0" borderId="90" xfId="0" applyBorder="1" applyAlignment="1" applyProtection="1">
      <alignment horizontal="left"/>
      <protection locked="0"/>
    </xf>
    <xf numFmtId="0" fontId="0" fillId="32" borderId="17" xfId="0" applyFill="1" applyBorder="1" applyAlignment="1" applyProtection="1">
      <alignment horizontal="left"/>
      <protection locked="0"/>
    </xf>
    <xf numFmtId="183" fontId="0" fillId="25" borderId="310" xfId="46" applyNumberFormat="1" applyFont="1" applyFill="1" applyBorder="1" applyProtection="1">
      <protection locked="0"/>
    </xf>
    <xf numFmtId="181" fontId="50" fillId="27" borderId="348" xfId="54" applyNumberFormat="1" applyFont="1" applyBorder="1" applyAlignment="1" applyProtection="1">
      <protection locked="0"/>
    </xf>
    <xf numFmtId="0" fontId="27" fillId="53" borderId="0" xfId="60" applyFont="1" applyFill="1" applyProtection="1">
      <protection locked="0"/>
    </xf>
    <xf numFmtId="0" fontId="0" fillId="8" borderId="349" xfId="39" applyFont="1" applyBorder="1" applyProtection="1">
      <protection locked="0"/>
    </xf>
    <xf numFmtId="193" fontId="0" fillId="25" borderId="21" xfId="52" applyNumberFormat="1" applyFont="1" applyProtection="1">
      <protection locked="0"/>
    </xf>
    <xf numFmtId="2" fontId="0" fillId="0" borderId="2" xfId="0" applyNumberFormat="1" applyBorder="1" applyProtection="1">
      <protection locked="0"/>
    </xf>
    <xf numFmtId="0" fontId="0" fillId="0" borderId="91" xfId="0" applyBorder="1" applyAlignment="1" applyProtection="1">
      <alignment horizontal="center" wrapText="1"/>
      <protection locked="0"/>
    </xf>
    <xf numFmtId="180" fontId="50" fillId="27" borderId="314" xfId="54" applyNumberFormat="1" applyFont="1" applyBorder="1" applyAlignment="1" applyProtection="1">
      <alignment horizontal="right" vertical="center"/>
    </xf>
    <xf numFmtId="180" fontId="50" fillId="27" borderId="297" xfId="54" applyNumberFormat="1" applyFont="1" applyBorder="1" applyAlignment="1" applyProtection="1">
      <alignment horizontal="right" vertical="center"/>
    </xf>
    <xf numFmtId="207" fontId="0" fillId="0" borderId="0" xfId="0" applyNumberFormat="1" applyProtection="1">
      <protection locked="0"/>
    </xf>
    <xf numFmtId="201" fontId="0" fillId="0" borderId="0" xfId="0" applyNumberFormat="1" applyProtection="1">
      <protection locked="0"/>
    </xf>
    <xf numFmtId="179" fontId="27" fillId="0" borderId="295" xfId="57" applyFont="1" applyBorder="1" applyProtection="1">
      <protection locked="0"/>
    </xf>
    <xf numFmtId="179" fontId="45" fillId="24" borderId="350" xfId="57" applyFont="1" applyFill="1" applyBorder="1" applyProtection="1">
      <protection locked="0"/>
    </xf>
    <xf numFmtId="179" fontId="45" fillId="24" borderId="351" xfId="57" applyFont="1" applyFill="1" applyBorder="1" applyProtection="1">
      <protection locked="0"/>
    </xf>
    <xf numFmtId="0" fontId="0" fillId="0" borderId="352" xfId="0" applyBorder="1" applyProtection="1">
      <protection locked="0"/>
    </xf>
    <xf numFmtId="0" fontId="27" fillId="0" borderId="353" xfId="0" applyFont="1" applyBorder="1" applyProtection="1">
      <protection locked="0"/>
    </xf>
    <xf numFmtId="2" fontId="0" fillId="25" borderId="70" xfId="46" applyNumberFormat="1" applyFont="1" applyFill="1" applyBorder="1" applyProtection="1"/>
    <xf numFmtId="2" fontId="27" fillId="0" borderId="0" xfId="46" applyNumberFormat="1" applyFont="1" applyBorder="1" applyProtection="1">
      <protection locked="0"/>
    </xf>
    <xf numFmtId="2" fontId="0" fillId="0" borderId="196" xfId="0" applyNumberFormat="1" applyBorder="1"/>
    <xf numFmtId="2" fontId="0" fillId="25" borderId="195" xfId="46" applyNumberFormat="1" applyFont="1" applyFill="1" applyBorder="1" applyProtection="1"/>
    <xf numFmtId="2" fontId="27" fillId="0" borderId="173" xfId="46" applyNumberFormat="1" applyFont="1" applyBorder="1" applyProtection="1">
      <protection locked="0"/>
    </xf>
    <xf numFmtId="2" fontId="0" fillId="0" borderId="67" xfId="0" applyNumberFormat="1" applyBorder="1"/>
    <xf numFmtId="0" fontId="0" fillId="0" borderId="354" xfId="0" applyBorder="1" applyProtection="1">
      <protection locked="0"/>
    </xf>
    <xf numFmtId="181" fontId="50" fillId="27" borderId="57" xfId="54" applyNumberFormat="1" applyFont="1" applyBorder="1" applyProtection="1">
      <protection locked="0"/>
    </xf>
    <xf numFmtId="0" fontId="0" fillId="0" borderId="355" xfId="0" applyBorder="1"/>
    <xf numFmtId="0" fontId="0" fillId="0" borderId="354" xfId="0" applyBorder="1"/>
    <xf numFmtId="0" fontId="101" fillId="0" borderId="0" xfId="0" applyFont="1" applyProtection="1">
      <protection locked="0"/>
    </xf>
    <xf numFmtId="0" fontId="56" fillId="0" borderId="0" xfId="0" applyFont="1"/>
    <xf numFmtId="0" fontId="31" fillId="28" borderId="356" xfId="55" applyFont="1" applyBorder="1" applyAlignment="1" applyProtection="1">
      <alignment horizontal="center"/>
      <protection locked="0"/>
    </xf>
    <xf numFmtId="0" fontId="31" fillId="28" borderId="350" xfId="55" applyFont="1" applyBorder="1" applyAlignment="1" applyProtection="1">
      <alignment horizontal="center"/>
      <protection locked="0"/>
    </xf>
    <xf numFmtId="0" fontId="31" fillId="28" borderId="353" xfId="55" applyFont="1" applyBorder="1" applyAlignment="1" applyProtection="1">
      <alignment horizontal="center"/>
      <protection locked="0"/>
    </xf>
    <xf numFmtId="0" fontId="0" fillId="0" borderId="352" xfId="0" applyBorder="1" applyAlignment="1" applyProtection="1">
      <alignment horizontal="left"/>
      <protection locked="0"/>
    </xf>
    <xf numFmtId="179" fontId="27" fillId="29" borderId="350" xfId="57" applyFont="1" applyFill="1" applyBorder="1" applyProtection="1">
      <protection locked="0"/>
    </xf>
    <xf numFmtId="179" fontId="27" fillId="29" borderId="353" xfId="57" applyFont="1" applyFill="1" applyBorder="1" applyProtection="1">
      <protection locked="0"/>
    </xf>
    <xf numFmtId="0" fontId="0" fillId="0" borderId="356" xfId="0" applyBorder="1" applyProtection="1">
      <protection locked="0"/>
    </xf>
    <xf numFmtId="0" fontId="27" fillId="0" borderId="357" xfId="0" applyFont="1" applyBorder="1" applyProtection="1">
      <protection locked="0"/>
    </xf>
    <xf numFmtId="182" fontId="27" fillId="29" borderId="350" xfId="56" applyNumberFormat="1" applyFont="1" applyBorder="1" applyProtection="1">
      <protection locked="0"/>
    </xf>
    <xf numFmtId="182" fontId="27" fillId="29" borderId="358" xfId="56" applyNumberFormat="1" applyFont="1" applyBorder="1" applyProtection="1">
      <protection locked="0"/>
    </xf>
    <xf numFmtId="179" fontId="27" fillId="29" borderId="359" xfId="57" applyFont="1" applyFill="1" applyBorder="1" applyProtection="1">
      <protection locked="0"/>
    </xf>
    <xf numFmtId="179" fontId="27" fillId="29" borderId="360" xfId="57" applyFont="1" applyFill="1" applyBorder="1" applyProtection="1">
      <protection locked="0"/>
    </xf>
    <xf numFmtId="208" fontId="0" fillId="0" borderId="0" xfId="57" applyNumberFormat="1" applyFont="1"/>
    <xf numFmtId="0" fontId="154" fillId="0" borderId="0" xfId="0" applyFont="1" applyProtection="1">
      <protection locked="0"/>
    </xf>
    <xf numFmtId="0" fontId="0" fillId="0" borderId="298" xfId="0" applyBorder="1" applyAlignment="1" applyProtection="1">
      <alignment horizontal="center"/>
      <protection locked="0"/>
    </xf>
    <xf numFmtId="0" fontId="0" fillId="0" borderId="295" xfId="0" applyBorder="1" applyAlignment="1" applyProtection="1">
      <alignment horizontal="center"/>
      <protection locked="0"/>
    </xf>
    <xf numFmtId="0" fontId="0" fillId="0" borderId="296" xfId="0" applyBorder="1" applyAlignment="1" applyProtection="1">
      <alignment horizontal="center"/>
      <protection locked="0"/>
    </xf>
    <xf numFmtId="0" fontId="1" fillId="37" borderId="27" xfId="0" applyFont="1" applyFill="1" applyBorder="1" applyAlignment="1" applyProtection="1">
      <alignment horizontal="center" vertical="center"/>
      <protection locked="0"/>
    </xf>
    <xf numFmtId="0" fontId="77" fillId="37" borderId="27" xfId="0" applyFont="1" applyFill="1" applyBorder="1" applyAlignment="1" applyProtection="1">
      <alignment horizontal="center" vertical="center"/>
      <protection locked="0"/>
    </xf>
    <xf numFmtId="0" fontId="0" fillId="5" borderId="13" xfId="0" applyFill="1" applyBorder="1" applyAlignment="1" applyProtection="1">
      <alignment horizontal="left" vertical="top" wrapText="1"/>
      <protection locked="0"/>
    </xf>
    <xf numFmtId="0" fontId="0" fillId="5" borderId="0" xfId="0" applyFill="1" applyAlignment="1" applyProtection="1">
      <alignment horizontal="left" vertical="top" wrapText="1"/>
      <protection locked="0"/>
    </xf>
    <xf numFmtId="0" fontId="0" fillId="5" borderId="17" xfId="0" applyFill="1" applyBorder="1" applyAlignment="1" applyProtection="1">
      <alignment horizontal="left" vertical="top" wrapText="1"/>
      <protection locked="0"/>
    </xf>
    <xf numFmtId="0" fontId="44" fillId="36" borderId="30" xfId="51" applyFill="1" applyAlignment="1" applyProtection="1">
      <alignment horizontal="left"/>
      <protection locked="0"/>
    </xf>
    <xf numFmtId="0" fontId="44" fillId="3" borderId="30" xfId="51" applyFill="1" applyAlignment="1" applyProtection="1">
      <alignment horizontal="left"/>
      <protection locked="0"/>
    </xf>
    <xf numFmtId="0" fontId="0" fillId="0" borderId="298" xfId="0" applyBorder="1" applyAlignment="1">
      <alignment horizontal="center"/>
    </xf>
    <xf numFmtId="0" fontId="0" fillId="0" borderId="295" xfId="0" applyBorder="1" applyAlignment="1">
      <alignment horizontal="center"/>
    </xf>
    <xf numFmtId="0" fontId="0" fillId="0" borderId="296" xfId="0" applyBorder="1" applyAlignment="1">
      <alignment horizontal="center"/>
    </xf>
    <xf numFmtId="0" fontId="26" fillId="0" borderId="0" xfId="0" applyFont="1" applyAlignment="1">
      <alignment horizontal="center"/>
    </xf>
    <xf numFmtId="0" fontId="115" fillId="0" borderId="26" xfId="0" applyFont="1" applyBorder="1" applyAlignment="1">
      <alignment horizontal="center" vertical="center"/>
    </xf>
    <xf numFmtId="0" fontId="115" fillId="0" borderId="0" xfId="0" applyFont="1" applyAlignment="1">
      <alignment horizontal="center" vertical="center"/>
    </xf>
    <xf numFmtId="0" fontId="115" fillId="0" borderId="27" xfId="0" applyFont="1" applyBorder="1" applyAlignment="1">
      <alignment horizontal="center" vertical="center"/>
    </xf>
    <xf numFmtId="0" fontId="115" fillId="0" borderId="242" xfId="0" applyFont="1" applyBorder="1" applyAlignment="1">
      <alignment horizontal="left" vertical="center" wrapText="1"/>
    </xf>
    <xf numFmtId="0" fontId="115" fillId="0" borderId="243" xfId="0" applyFont="1" applyBorder="1" applyAlignment="1">
      <alignment horizontal="left" vertical="center" wrapText="1"/>
    </xf>
    <xf numFmtId="0" fontId="115" fillId="0" borderId="172" xfId="0" applyFont="1" applyBorder="1" applyAlignment="1">
      <alignment horizontal="left" vertical="center" wrapText="1"/>
    </xf>
    <xf numFmtId="0" fontId="116" fillId="0" borderId="283" xfId="0" applyFont="1" applyBorder="1" applyAlignment="1">
      <alignment horizontal="center" vertical="center" wrapText="1"/>
    </xf>
    <xf numFmtId="0" fontId="116" fillId="0" borderId="284" xfId="0" applyFont="1" applyBorder="1" applyAlignment="1">
      <alignment horizontal="center" vertical="center" wrapText="1"/>
    </xf>
    <xf numFmtId="0" fontId="116" fillId="0" borderId="285" xfId="0" applyFont="1" applyBorder="1" applyAlignment="1">
      <alignment horizontal="center" vertical="center" wrapText="1"/>
    </xf>
    <xf numFmtId="0" fontId="116" fillId="0" borderId="26" xfId="0" applyFont="1" applyBorder="1" applyAlignment="1">
      <alignment horizontal="center" vertical="center" wrapText="1"/>
    </xf>
    <xf numFmtId="0" fontId="116" fillId="0" borderId="0" xfId="0" applyFont="1" applyAlignment="1">
      <alignment horizontal="center" vertical="center" wrapText="1"/>
    </xf>
    <xf numFmtId="0" fontId="116" fillId="0" borderId="27" xfId="0" applyFont="1" applyBorder="1" applyAlignment="1">
      <alignment horizontal="center" vertical="center" wrapText="1"/>
    </xf>
    <xf numFmtId="0" fontId="116" fillId="0" borderId="242" xfId="0" applyFont="1" applyBorder="1" applyAlignment="1">
      <alignment horizontal="center" vertical="center" wrapText="1"/>
    </xf>
    <xf numFmtId="0" fontId="116" fillId="0" borderId="243" xfId="0" applyFont="1" applyBorder="1" applyAlignment="1">
      <alignment horizontal="center" vertical="center" wrapText="1"/>
    </xf>
    <xf numFmtId="0" fontId="116" fillId="0" borderId="172" xfId="0" applyFont="1" applyBorder="1" applyAlignment="1">
      <alignment horizontal="center" vertical="center" wrapText="1"/>
    </xf>
    <xf numFmtId="0" fontId="115" fillId="49" borderId="283" xfId="0" applyFont="1" applyFill="1" applyBorder="1" applyAlignment="1">
      <alignment horizontal="center" vertical="center" wrapText="1"/>
    </xf>
    <xf numFmtId="0" fontId="115" fillId="49" borderId="284" xfId="0" applyFont="1" applyFill="1" applyBorder="1" applyAlignment="1">
      <alignment horizontal="center" vertical="center" wrapText="1"/>
    </xf>
    <xf numFmtId="0" fontId="115" fillId="49" borderId="285" xfId="0" applyFont="1" applyFill="1" applyBorder="1" applyAlignment="1">
      <alignment horizontal="center" vertical="center" wrapText="1"/>
    </xf>
    <xf numFmtId="0" fontId="115" fillId="49" borderId="26" xfId="0" applyFont="1" applyFill="1" applyBorder="1" applyAlignment="1">
      <alignment horizontal="center" vertical="center" wrapText="1"/>
    </xf>
    <xf numFmtId="0" fontId="115" fillId="49" borderId="0" xfId="0" applyFont="1" applyFill="1" applyAlignment="1">
      <alignment horizontal="center" vertical="center" wrapText="1"/>
    </xf>
    <xf numFmtId="0" fontId="115" fillId="49" borderId="27" xfId="0" applyFont="1" applyFill="1" applyBorder="1" applyAlignment="1">
      <alignment horizontal="center" vertical="center" wrapText="1"/>
    </xf>
    <xf numFmtId="0" fontId="115" fillId="49" borderId="242" xfId="0" applyFont="1" applyFill="1" applyBorder="1" applyAlignment="1">
      <alignment horizontal="center" vertical="center" wrapText="1"/>
    </xf>
    <xf numFmtId="0" fontId="115" fillId="49" borderId="243" xfId="0" applyFont="1" applyFill="1" applyBorder="1" applyAlignment="1">
      <alignment horizontal="center" vertical="center" wrapText="1"/>
    </xf>
    <xf numFmtId="0" fontId="115" fillId="49" borderId="172" xfId="0" applyFont="1" applyFill="1" applyBorder="1" applyAlignment="1">
      <alignment horizontal="center" vertical="center" wrapText="1"/>
    </xf>
    <xf numFmtId="0" fontId="115" fillId="0" borderId="26" xfId="0" applyFont="1" applyBorder="1" applyAlignment="1">
      <alignment horizontal="left" vertical="center" wrapText="1"/>
    </xf>
    <xf numFmtId="0" fontId="115" fillId="0" borderId="0" xfId="0" applyFont="1" applyAlignment="1">
      <alignment horizontal="left" vertical="center" wrapText="1"/>
    </xf>
    <xf numFmtId="0" fontId="115" fillId="0" borderId="27" xfId="0" applyFont="1" applyBorder="1" applyAlignment="1">
      <alignment horizontal="left" vertical="center" wrapText="1"/>
    </xf>
    <xf numFmtId="0" fontId="0" fillId="0" borderId="0" xfId="0" quotePrefix="1" applyAlignment="1">
      <alignment horizontal="left" vertical="top"/>
    </xf>
    <xf numFmtId="0" fontId="0" fillId="0" borderId="0" xfId="0" applyAlignment="1">
      <alignment horizontal="left" vertical="top"/>
    </xf>
    <xf numFmtId="0" fontId="115" fillId="0" borderId="283" xfId="0" applyFont="1" applyBorder="1" applyAlignment="1">
      <alignment horizontal="center" vertical="center"/>
    </xf>
    <xf numFmtId="0" fontId="115" fillId="0" borderId="284" xfId="0" applyFont="1" applyBorder="1" applyAlignment="1">
      <alignment horizontal="center" vertical="center"/>
    </xf>
    <xf numFmtId="0" fontId="115" fillId="0" borderId="285" xfId="0" applyFont="1" applyBorder="1" applyAlignment="1">
      <alignment horizontal="center" vertical="center"/>
    </xf>
    <xf numFmtId="0" fontId="0" fillId="0" borderId="292" xfId="0" applyBorder="1" applyAlignment="1" applyProtection="1">
      <alignment horizontal="left" vertical="center"/>
      <protection locked="0"/>
    </xf>
    <xf numFmtId="0" fontId="0" fillId="0" borderId="306" xfId="0" applyBorder="1" applyAlignment="1" applyProtection="1">
      <alignment horizontal="left" vertical="center"/>
      <protection locked="0"/>
    </xf>
    <xf numFmtId="0" fontId="0" fillId="0" borderId="292" xfId="0" applyBorder="1" applyAlignment="1" applyProtection="1">
      <alignment horizontal="center" vertical="center"/>
      <protection locked="0"/>
    </xf>
    <xf numFmtId="0" fontId="0" fillId="0" borderId="306" xfId="0" applyBorder="1" applyAlignment="1" applyProtection="1">
      <alignment horizontal="center" vertical="center"/>
      <protection locked="0"/>
    </xf>
    <xf numFmtId="0" fontId="0" fillId="0" borderId="298" xfId="0" applyBorder="1" applyAlignment="1" applyProtection="1">
      <alignment horizontal="left"/>
      <protection locked="0"/>
    </xf>
    <xf numFmtId="0" fontId="0" fillId="0" borderId="296" xfId="0" applyBorder="1" applyAlignment="1" applyProtection="1">
      <alignment horizontal="left"/>
      <protection locked="0"/>
    </xf>
    <xf numFmtId="0" fontId="27" fillId="26" borderId="328" xfId="53" applyFont="1" applyBorder="1" applyAlignment="1" applyProtection="1">
      <alignment horizontal="left"/>
      <protection locked="0"/>
    </xf>
    <xf numFmtId="0" fontId="27" fillId="26" borderId="331" xfId="53" applyFont="1" applyBorder="1" applyAlignment="1" applyProtection="1">
      <alignment horizontal="left"/>
      <protection locked="0"/>
    </xf>
    <xf numFmtId="0" fontId="7" fillId="2" borderId="0" xfId="0" applyFont="1" applyFill="1" applyAlignment="1" applyProtection="1">
      <alignment horizontal="center" vertical="center"/>
      <protection locked="0"/>
    </xf>
    <xf numFmtId="0" fontId="0" fillId="0" borderId="292" xfId="0" applyBorder="1" applyAlignment="1">
      <alignment horizontal="left" vertical="center"/>
    </xf>
    <xf numFmtId="0" fontId="0" fillId="0" borderId="306" xfId="0" applyBorder="1" applyAlignment="1">
      <alignment horizontal="left" vertical="center"/>
    </xf>
    <xf numFmtId="0" fontId="0" fillId="0" borderId="322" xfId="0" applyBorder="1" applyAlignment="1">
      <alignment horizontal="center" vertical="center"/>
    </xf>
    <xf numFmtId="0" fontId="0" fillId="0" borderId="172" xfId="0" applyBorder="1" applyAlignment="1">
      <alignment horizontal="center" vertical="center"/>
    </xf>
    <xf numFmtId="0" fontId="139" fillId="0" borderId="26" xfId="0" applyFont="1" applyBorder="1" applyAlignment="1" applyProtection="1">
      <alignment horizontal="left"/>
      <protection locked="0"/>
    </xf>
    <xf numFmtId="0" fontId="139" fillId="0" borderId="0" xfId="0" applyFont="1" applyAlignment="1" applyProtection="1">
      <alignment horizontal="left"/>
      <protection locked="0"/>
    </xf>
    <xf numFmtId="0" fontId="111" fillId="0" borderId="0" xfId="0" applyFont="1" applyAlignment="1" applyProtection="1">
      <alignment horizontal="left" wrapText="1"/>
      <protection locked="0"/>
    </xf>
    <xf numFmtId="0" fontId="31" fillId="28" borderId="166" xfId="55" applyFont="1" applyBorder="1" applyAlignment="1" applyProtection="1">
      <alignment horizontal="center"/>
      <protection locked="0"/>
    </xf>
    <xf numFmtId="0" fontId="31" fillId="28" borderId="167" xfId="55" applyFont="1" applyBorder="1" applyAlignment="1" applyProtection="1">
      <alignment horizontal="center"/>
      <protection locked="0"/>
    </xf>
    <xf numFmtId="0" fontId="31" fillId="28" borderId="256" xfId="55" applyFont="1" applyBorder="1" applyAlignment="1" applyProtection="1">
      <alignment horizontal="center"/>
      <protection locked="0"/>
    </xf>
    <xf numFmtId="0" fontId="31" fillId="28" borderId="169" xfId="55" applyFont="1" applyBorder="1" applyAlignment="1" applyProtection="1">
      <alignment horizontal="center"/>
      <protection locked="0"/>
    </xf>
    <xf numFmtId="0" fontId="31" fillId="28" borderId="168" xfId="55" applyFont="1" applyBorder="1" applyAlignment="1" applyProtection="1">
      <alignment horizontal="center"/>
      <protection locked="0"/>
    </xf>
    <xf numFmtId="0" fontId="0" fillId="0" borderId="166" xfId="0" applyBorder="1" applyAlignment="1" applyProtection="1">
      <alignment horizontal="center"/>
      <protection locked="0"/>
    </xf>
    <xf numFmtId="0" fontId="0" fillId="0" borderId="167" xfId="0" applyBorder="1" applyAlignment="1" applyProtection="1">
      <alignment horizontal="center"/>
      <protection locked="0"/>
    </xf>
    <xf numFmtId="0" fontId="0" fillId="0" borderId="168" xfId="0" applyBorder="1" applyAlignment="1" applyProtection="1">
      <alignment horizontal="center"/>
      <protection locked="0"/>
    </xf>
    <xf numFmtId="0" fontId="31" fillId="28" borderId="160" xfId="55" applyFont="1" applyBorder="1" applyAlignment="1" applyProtection="1">
      <alignment horizontal="center"/>
      <protection locked="0"/>
    </xf>
    <xf numFmtId="0" fontId="31" fillId="28" borderId="161" xfId="55" applyFont="1" applyBorder="1" applyAlignment="1" applyProtection="1">
      <alignment horizontal="center"/>
      <protection locked="0"/>
    </xf>
    <xf numFmtId="0" fontId="31" fillId="28" borderId="162" xfId="55" applyFont="1" applyBorder="1" applyAlignment="1" applyProtection="1">
      <alignment horizontal="center"/>
      <protection locked="0"/>
    </xf>
    <xf numFmtId="0" fontId="31" fillId="28" borderId="14" xfId="55" applyFont="1" applyBorder="1" applyAlignment="1" applyProtection="1">
      <alignment horizontal="center"/>
      <protection locked="0"/>
    </xf>
    <xf numFmtId="0" fontId="31" fillId="28" borderId="16" xfId="55" applyFont="1" applyBorder="1" applyAlignment="1" applyProtection="1">
      <alignment horizontal="center"/>
      <protection locked="0"/>
    </xf>
    <xf numFmtId="0" fontId="51" fillId="0" borderId="295" xfId="0" applyFont="1" applyBorder="1" applyAlignment="1">
      <alignment horizontal="center"/>
    </xf>
    <xf numFmtId="0" fontId="51" fillId="0" borderId="296" xfId="0" applyFont="1" applyBorder="1" applyAlignment="1">
      <alignment horizontal="center"/>
    </xf>
    <xf numFmtId="0" fontId="0" fillId="0" borderId="165" xfId="0" applyBorder="1" applyAlignment="1" applyProtection="1">
      <alignment horizontal="center"/>
      <protection locked="0"/>
    </xf>
    <xf numFmtId="0" fontId="0" fillId="0" borderId="306" xfId="0" applyBorder="1" applyAlignment="1" applyProtection="1">
      <alignment horizontal="center"/>
      <protection locked="0"/>
    </xf>
    <xf numFmtId="0" fontId="0" fillId="0" borderId="301" xfId="0" applyBorder="1" applyAlignment="1" applyProtection="1">
      <alignment horizontal="center"/>
      <protection locked="0"/>
    </xf>
    <xf numFmtId="0" fontId="0" fillId="0" borderId="305" xfId="0" applyBorder="1" applyAlignment="1" applyProtection="1">
      <alignment horizontal="center"/>
      <protection locked="0"/>
    </xf>
    <xf numFmtId="0" fontId="0" fillId="0" borderId="287" xfId="0" applyBorder="1" applyAlignment="1" applyProtection="1">
      <alignment horizontal="center"/>
      <protection locked="0"/>
    </xf>
    <xf numFmtId="0" fontId="0" fillId="0" borderId="275" xfId="0" applyBorder="1" applyAlignment="1" applyProtection="1">
      <alignment horizontal="center"/>
      <protection locked="0"/>
    </xf>
    <xf numFmtId="0" fontId="0" fillId="0" borderId="294" xfId="0" applyBorder="1" applyAlignment="1" applyProtection="1">
      <alignment horizontal="center"/>
      <protection locked="0"/>
    </xf>
    <xf numFmtId="0" fontId="0" fillId="0" borderId="179" xfId="0" applyBorder="1" applyAlignment="1" applyProtection="1">
      <alignment horizontal="center"/>
      <protection locked="0"/>
    </xf>
    <xf numFmtId="0" fontId="0" fillId="0" borderId="180" xfId="0" applyBorder="1" applyAlignment="1" applyProtection="1">
      <alignment horizontal="center"/>
      <protection locked="0"/>
    </xf>
    <xf numFmtId="0" fontId="0" fillId="0" borderId="181" xfId="0" applyBorder="1" applyAlignment="1" applyProtection="1">
      <alignment horizontal="center"/>
      <protection locked="0"/>
    </xf>
    <xf numFmtId="0" fontId="44" fillId="52" borderId="30" xfId="51" applyFill="1" applyAlignment="1" applyProtection="1">
      <alignment horizontal="left"/>
      <protection locked="0"/>
    </xf>
    <xf numFmtId="0" fontId="0" fillId="0" borderId="191" xfId="0" applyBorder="1" applyAlignment="1" applyProtection="1">
      <alignment horizontal="center"/>
      <protection locked="0"/>
    </xf>
    <xf numFmtId="0" fontId="0" fillId="0" borderId="192" xfId="0" applyBorder="1" applyAlignment="1" applyProtection="1">
      <alignment horizontal="center"/>
      <protection locked="0"/>
    </xf>
    <xf numFmtId="0" fontId="0" fillId="0" borderId="193" xfId="0" applyBorder="1" applyAlignment="1" applyProtection="1">
      <alignment horizontal="center"/>
      <protection locked="0"/>
    </xf>
    <xf numFmtId="0" fontId="0" fillId="0" borderId="190" xfId="0" applyBorder="1" applyAlignment="1" applyProtection="1">
      <alignment horizontal="center"/>
      <protection locked="0"/>
    </xf>
    <xf numFmtId="0" fontId="0" fillId="0" borderId="173" xfId="0" applyBorder="1" applyAlignment="1" applyProtection="1">
      <alignment horizontal="center"/>
      <protection locked="0"/>
    </xf>
    <xf numFmtId="0" fontId="0" fillId="0" borderId="194" xfId="0" applyBorder="1" applyAlignment="1" applyProtection="1">
      <alignment horizontal="center"/>
      <protection locked="0"/>
    </xf>
    <xf numFmtId="0" fontId="0" fillId="0" borderId="138" xfId="0" applyBorder="1" applyAlignment="1" applyProtection="1">
      <alignment horizontal="center"/>
      <protection locked="0"/>
    </xf>
    <xf numFmtId="0" fontId="0" fillId="0" borderId="0" xfId="0" applyAlignment="1" applyProtection="1">
      <alignment horizontal="center"/>
      <protection locked="0"/>
    </xf>
    <xf numFmtId="0" fontId="0" fillId="25" borderId="21" xfId="52" applyFont="1" applyAlignment="1" applyProtection="1">
      <alignment horizontal="center"/>
      <protection locked="0"/>
    </xf>
    <xf numFmtId="0" fontId="0" fillId="0" borderId="70" xfId="0" applyBorder="1" applyAlignment="1" applyProtection="1">
      <alignment horizontal="center"/>
      <protection locked="0"/>
    </xf>
    <xf numFmtId="0" fontId="0" fillId="25" borderId="266" xfId="52" applyFont="1" applyBorder="1" applyAlignment="1" applyProtection="1">
      <alignment horizontal="center"/>
      <protection locked="0"/>
    </xf>
    <xf numFmtId="0" fontId="0" fillId="25" borderId="267" xfId="52" applyFont="1" applyBorder="1" applyAlignment="1" applyProtection="1">
      <alignment horizontal="center"/>
      <protection locked="0"/>
    </xf>
    <xf numFmtId="0" fontId="0" fillId="25" borderId="38" xfId="52" applyFont="1" applyBorder="1" applyAlignment="1" applyProtection="1">
      <alignment horizontal="center"/>
      <protection locked="0"/>
    </xf>
    <xf numFmtId="0" fontId="0" fillId="5" borderId="92" xfId="0" applyFill="1" applyBorder="1" applyAlignment="1" applyProtection="1">
      <alignment horizontal="left" vertical="top" wrapText="1"/>
      <protection locked="0"/>
    </xf>
    <xf numFmtId="0" fontId="0" fillId="5" borderId="18" xfId="0" applyFill="1" applyBorder="1" applyAlignment="1" applyProtection="1">
      <alignment horizontal="left" vertical="top" wrapText="1"/>
      <protection locked="0"/>
    </xf>
    <xf numFmtId="0" fontId="0" fillId="5" borderId="101" xfId="0" applyFill="1" applyBorder="1" applyAlignment="1" applyProtection="1">
      <alignment horizontal="left" vertical="top" wrapText="1"/>
      <protection locked="0"/>
    </xf>
    <xf numFmtId="0" fontId="0" fillId="0" borderId="248" xfId="0" applyBorder="1" applyAlignment="1">
      <alignment horizontal="center" vertical="center" wrapText="1"/>
    </xf>
    <xf numFmtId="0" fontId="0" fillId="0" borderId="26" xfId="0" applyBorder="1" applyAlignment="1">
      <alignment horizontal="center" vertical="center" wrapText="1"/>
    </xf>
    <xf numFmtId="0" fontId="0" fillId="0" borderId="242" xfId="0" applyBorder="1" applyAlignment="1">
      <alignment horizontal="center" vertical="center" wrapText="1"/>
    </xf>
    <xf numFmtId="0" fontId="0" fillId="0" borderId="248" xfId="0" applyBorder="1" applyAlignment="1">
      <alignment horizontal="center" vertical="center"/>
    </xf>
    <xf numFmtId="0" fontId="0" fillId="0" borderId="26" xfId="0" applyBorder="1" applyAlignment="1">
      <alignment horizontal="center" vertical="center"/>
    </xf>
    <xf numFmtId="0" fontId="0" fillId="0" borderId="242" xfId="0" applyBorder="1" applyAlignment="1">
      <alignment horizontal="center" vertical="center"/>
    </xf>
    <xf numFmtId="0" fontId="0" fillId="0" borderId="0" xfId="0" applyAlignment="1">
      <alignment horizontal="center"/>
    </xf>
    <xf numFmtId="0" fontId="25" fillId="0" borderId="245" xfId="45" applyBorder="1" applyAlignment="1">
      <alignment horizontal="left"/>
    </xf>
    <xf numFmtId="0" fontId="25" fillId="0" borderId="0" xfId="45" applyAlignment="1">
      <alignment horizontal="left"/>
    </xf>
    <xf numFmtId="0" fontId="0" fillId="0" borderId="235" xfId="0" applyBorder="1" applyAlignment="1">
      <alignment horizontal="center"/>
    </xf>
    <xf numFmtId="0" fontId="0" fillId="0" borderId="236" xfId="0" applyBorder="1" applyAlignment="1">
      <alignment horizontal="center"/>
    </xf>
    <xf numFmtId="0" fontId="0" fillId="0" borderId="237" xfId="0" applyBorder="1" applyAlignment="1">
      <alignment horizontal="center"/>
    </xf>
    <xf numFmtId="0" fontId="0" fillId="0" borderId="235" xfId="0" applyBorder="1" applyAlignment="1" applyProtection="1">
      <alignment horizontal="left"/>
      <protection locked="0"/>
    </xf>
    <xf numFmtId="0" fontId="0" fillId="0" borderId="236" xfId="0" applyBorder="1" applyAlignment="1" applyProtection="1">
      <alignment horizontal="left"/>
      <protection locked="0"/>
    </xf>
    <xf numFmtId="0" fontId="0" fillId="0" borderId="237" xfId="0" applyBorder="1" applyAlignment="1" applyProtection="1">
      <alignment horizontal="left"/>
      <protection locked="0"/>
    </xf>
    <xf numFmtId="0" fontId="0" fillId="0" borderId="238" xfId="0" applyBorder="1" applyAlignment="1">
      <alignment horizontal="center"/>
    </xf>
    <xf numFmtId="0" fontId="0" fillId="0" borderId="26" xfId="0" applyBorder="1" applyAlignment="1">
      <alignment horizontal="center"/>
    </xf>
    <xf numFmtId="0" fontId="0" fillId="0" borderId="242" xfId="0" applyBorder="1" applyAlignment="1">
      <alignment horizontal="center"/>
    </xf>
    <xf numFmtId="0" fontId="0" fillId="0" borderId="239" xfId="0" applyBorder="1" applyAlignment="1">
      <alignment horizontal="center"/>
    </xf>
    <xf numFmtId="0" fontId="0" fillId="0" borderId="243" xfId="0" applyBorder="1" applyAlignment="1">
      <alignment horizontal="center"/>
    </xf>
    <xf numFmtId="0" fontId="0" fillId="0" borderId="26" xfId="0" applyBorder="1" applyProtection="1">
      <protection locked="0"/>
    </xf>
    <xf numFmtId="0" fontId="0" fillId="0" borderId="0" xfId="0" applyProtection="1">
      <protection locked="0"/>
    </xf>
    <xf numFmtId="0" fontId="0" fillId="0" borderId="27" xfId="0" applyBorder="1" applyProtection="1">
      <protection locked="0"/>
    </xf>
    <xf numFmtId="0" fontId="0" fillId="0" borderId="24" xfId="0" applyBorder="1" applyProtection="1">
      <protection locked="0"/>
    </xf>
    <xf numFmtId="0" fontId="0" fillId="0" borderId="18" xfId="0" applyBorder="1" applyProtection="1">
      <protection locked="0"/>
    </xf>
    <xf numFmtId="0" fontId="0" fillId="0" borderId="25" xfId="0" applyBorder="1" applyProtection="1">
      <protection locked="0"/>
    </xf>
    <xf numFmtId="0" fontId="0" fillId="0" borderId="240" xfId="0" applyBorder="1" applyAlignment="1">
      <alignment horizontal="center"/>
    </xf>
    <xf numFmtId="0" fontId="0" fillId="0" borderId="172" xfId="0" applyBorder="1" applyAlignment="1">
      <alignment horizontal="center"/>
    </xf>
    <xf numFmtId="0" fontId="0" fillId="0" borderId="1" xfId="0" applyBorder="1" applyProtection="1">
      <protection locked="0"/>
    </xf>
    <xf numFmtId="0" fontId="0" fillId="0" borderId="2" xfId="0" applyBorder="1" applyProtection="1">
      <protection locked="0"/>
    </xf>
    <xf numFmtId="0" fontId="0" fillId="0" borderId="3" xfId="0" applyBorder="1" applyProtection="1">
      <protection locked="0"/>
    </xf>
    <xf numFmtId="0" fontId="0" fillId="0" borderId="22" xfId="0" applyBorder="1" applyProtection="1">
      <protection locked="0"/>
    </xf>
    <xf numFmtId="0" fontId="0" fillId="0" borderId="19" xfId="0" applyBorder="1" applyProtection="1">
      <protection locked="0"/>
    </xf>
    <xf numFmtId="0" fontId="0" fillId="0" borderId="23" xfId="0" applyBorder="1" applyProtection="1">
      <protection locked="0"/>
    </xf>
    <xf numFmtId="0" fontId="0" fillId="0" borderId="238" xfId="0" applyBorder="1" applyAlignment="1" applyProtection="1">
      <alignment horizontal="center"/>
      <protection locked="0"/>
    </xf>
    <xf numFmtId="0" fontId="0" fillId="0" borderId="239" xfId="0" applyBorder="1" applyAlignment="1" applyProtection="1">
      <alignment horizontal="center"/>
      <protection locked="0"/>
    </xf>
    <xf numFmtId="0" fontId="0" fillId="0" borderId="240" xfId="0" applyBorder="1" applyAlignment="1" applyProtection="1">
      <alignment horizontal="center"/>
      <protection locked="0"/>
    </xf>
    <xf numFmtId="0" fontId="0" fillId="0" borderId="242" xfId="0" applyBorder="1" applyAlignment="1" applyProtection="1">
      <alignment horizontal="center"/>
      <protection locked="0"/>
    </xf>
    <xf numFmtId="0" fontId="0" fillId="0" borderId="243" xfId="0" applyBorder="1" applyAlignment="1" applyProtection="1">
      <alignment horizontal="center"/>
      <protection locked="0"/>
    </xf>
    <xf numFmtId="0" fontId="0" fillId="0" borderId="172" xfId="0" applyBorder="1" applyAlignment="1" applyProtection="1">
      <alignment horizontal="center"/>
      <protection locked="0"/>
    </xf>
    <xf numFmtId="0" fontId="0" fillId="0" borderId="1" xfId="0" applyBorder="1" applyAlignment="1" applyProtection="1">
      <alignment horizontal="center"/>
      <protection locked="0"/>
    </xf>
    <xf numFmtId="0" fontId="0" fillId="0" borderId="2" xfId="0" applyBorder="1" applyAlignment="1" applyProtection="1">
      <alignment horizontal="center"/>
      <protection locked="0"/>
    </xf>
    <xf numFmtId="0" fontId="0" fillId="0" borderId="3" xfId="0" applyBorder="1" applyAlignment="1" applyProtection="1">
      <alignment horizontal="center"/>
      <protection locked="0"/>
    </xf>
    <xf numFmtId="0" fontId="0" fillId="0" borderId="22" xfId="0" applyBorder="1" applyAlignment="1" applyProtection="1">
      <alignment horizontal="center" vertical="center" wrapText="1"/>
      <protection locked="0"/>
    </xf>
    <xf numFmtId="0" fontId="0" fillId="0" borderId="26" xfId="0" applyBorder="1" applyAlignment="1" applyProtection="1">
      <alignment horizontal="center" vertical="center" wrapText="1"/>
      <protection locked="0"/>
    </xf>
    <xf numFmtId="0" fontId="0" fillId="0" borderId="19" xfId="0" applyBorder="1" applyAlignment="1" applyProtection="1">
      <alignment horizontal="center" vertical="center" wrapText="1"/>
      <protection locked="0"/>
    </xf>
    <xf numFmtId="0" fontId="0" fillId="0" borderId="0" xfId="0" applyAlignment="1" applyProtection="1">
      <alignment horizontal="center" vertical="center" wrapText="1"/>
      <protection locked="0"/>
    </xf>
    <xf numFmtId="0" fontId="0" fillId="0" borderId="27" xfId="0" applyBorder="1" applyAlignment="1" applyProtection="1">
      <alignment horizontal="center"/>
      <protection locked="0"/>
    </xf>
    <xf numFmtId="0" fontId="0" fillId="0" borderId="230" xfId="0" applyBorder="1" applyAlignment="1">
      <alignment horizontal="center"/>
    </xf>
    <xf numFmtId="0" fontId="0" fillId="0" borderId="231" xfId="0" applyBorder="1" applyAlignment="1">
      <alignment horizontal="center"/>
    </xf>
    <xf numFmtId="0" fontId="0" fillId="0" borderId="232" xfId="0" applyBorder="1" applyAlignment="1">
      <alignment horizontal="center"/>
    </xf>
    <xf numFmtId="0" fontId="25" fillId="0" borderId="26" xfId="45" applyBorder="1" applyAlignment="1">
      <alignment horizontal="left"/>
    </xf>
    <xf numFmtId="0" fontId="41" fillId="22" borderId="1" xfId="48" applyFont="1" applyBorder="1" applyAlignment="1">
      <alignment horizontal="center"/>
    </xf>
    <xf numFmtId="0" fontId="41" fillId="22" borderId="2" xfId="48" applyFont="1" applyBorder="1" applyAlignment="1">
      <alignment horizontal="center"/>
    </xf>
    <xf numFmtId="0" fontId="42" fillId="23" borderId="223" xfId="49" applyFont="1" applyBorder="1" applyAlignment="1">
      <alignment horizontal="center"/>
    </xf>
    <xf numFmtId="0" fontId="42" fillId="23" borderId="224" xfId="49" applyFont="1" applyBorder="1" applyAlignment="1">
      <alignment horizontal="center"/>
    </xf>
    <xf numFmtId="0" fontId="42" fillId="23" borderId="225" xfId="49" applyFont="1" applyBorder="1" applyAlignment="1">
      <alignment horizontal="center"/>
    </xf>
    <xf numFmtId="0" fontId="41" fillId="22" borderId="223" xfId="48" applyFont="1" applyBorder="1" applyAlignment="1">
      <alignment horizontal="center"/>
    </xf>
    <xf numFmtId="0" fontId="41" fillId="22" borderId="224" xfId="48" applyFont="1" applyBorder="1" applyAlignment="1">
      <alignment horizontal="center"/>
    </xf>
    <xf numFmtId="0" fontId="41" fillId="22" borderId="225" xfId="48" applyFont="1" applyBorder="1" applyAlignment="1">
      <alignment horizontal="center"/>
    </xf>
    <xf numFmtId="0" fontId="41" fillId="22" borderId="220" xfId="48" applyFont="1" applyBorder="1" applyAlignment="1">
      <alignment horizontal="center"/>
    </xf>
    <xf numFmtId="0" fontId="41" fillId="22" borderId="221" xfId="48" applyFont="1" applyBorder="1" applyAlignment="1">
      <alignment horizontal="center"/>
    </xf>
    <xf numFmtId="0" fontId="42" fillId="23" borderId="220" xfId="49" applyFont="1" applyBorder="1" applyAlignment="1">
      <alignment horizontal="center"/>
    </xf>
    <xf numFmtId="0" fontId="42" fillId="23" borderId="221" xfId="49" applyFont="1" applyBorder="1" applyAlignment="1">
      <alignment horizontal="center"/>
    </xf>
    <xf numFmtId="0" fontId="0" fillId="0" borderId="324" xfId="0" applyBorder="1" applyAlignment="1" applyProtection="1">
      <alignment horizontal="center" wrapText="1"/>
      <protection locked="0"/>
    </xf>
    <xf numFmtId="0" fontId="0" fillId="0" borderId="323" xfId="0" applyBorder="1" applyAlignment="1" applyProtection="1">
      <alignment horizontal="center" wrapText="1"/>
      <protection locked="0"/>
    </xf>
    <xf numFmtId="0" fontId="0" fillId="0" borderId="323" xfId="0" applyBorder="1" applyAlignment="1" applyProtection="1">
      <alignment horizontal="center"/>
      <protection locked="0"/>
    </xf>
    <xf numFmtId="0" fontId="0" fillId="0" borderId="322" xfId="0" applyBorder="1" applyAlignment="1" applyProtection="1">
      <alignment horizontal="center"/>
      <protection locked="0"/>
    </xf>
    <xf numFmtId="0" fontId="0" fillId="0" borderId="324" xfId="0" applyBorder="1" applyAlignment="1" applyProtection="1">
      <alignment horizontal="center" vertical="center"/>
      <protection locked="0"/>
    </xf>
    <xf numFmtId="0" fontId="0" fillId="0" borderId="322" xfId="0" applyBorder="1" applyAlignment="1" applyProtection="1">
      <alignment horizontal="center" vertical="center"/>
      <protection locked="0"/>
    </xf>
    <xf numFmtId="0" fontId="0" fillId="0" borderId="323" xfId="0" applyBorder="1" applyAlignment="1" applyProtection="1">
      <alignment horizontal="center" vertical="center" wrapText="1"/>
      <protection locked="0"/>
    </xf>
    <xf numFmtId="0" fontId="0" fillId="0" borderId="322" xfId="0" applyBorder="1" applyAlignment="1" applyProtection="1">
      <alignment horizontal="center" vertical="center" wrapText="1"/>
      <protection locked="0"/>
    </xf>
  </cellXfs>
  <cellStyles count="63">
    <cellStyle name="20% - Accent1 2" xfId="2" xr:uid="{00000000-0005-0000-0000-000001000000}"/>
    <cellStyle name="20% - Accent2 2" xfId="3" xr:uid="{00000000-0005-0000-0000-000002000000}"/>
    <cellStyle name="20% - Accent3 2" xfId="4" xr:uid="{00000000-0005-0000-0000-000004000000}"/>
    <cellStyle name="20% - Accent4 2" xfId="5" xr:uid="{00000000-0005-0000-0000-000005000000}"/>
    <cellStyle name="20% - Accent5 2" xfId="6" xr:uid="{00000000-0005-0000-0000-000007000000}"/>
    <cellStyle name="20% - Accent6 2" xfId="7" xr:uid="{00000000-0005-0000-0000-000009000000}"/>
    <cellStyle name="20% - 着色 1" xfId="53" builtinId="30"/>
    <cellStyle name="20% - 着色 3" xfId="55" builtinId="38"/>
    <cellStyle name="20% - 着色 5" xfId="60" builtinId="46"/>
    <cellStyle name="20% - 着色 6" xfId="56" builtinId="50"/>
    <cellStyle name="40% - Accent1 2" xfId="8" xr:uid="{00000000-0005-0000-0000-00000A000000}"/>
    <cellStyle name="40% - Accent2 2" xfId="9" xr:uid="{00000000-0005-0000-0000-00000B000000}"/>
    <cellStyle name="40% - Accent3 2" xfId="10" xr:uid="{00000000-0005-0000-0000-00000C000000}"/>
    <cellStyle name="40% - Accent4 2" xfId="11" xr:uid="{00000000-0005-0000-0000-00000D000000}"/>
    <cellStyle name="40% - Accent5 2" xfId="12" xr:uid="{00000000-0005-0000-0000-00000E000000}"/>
    <cellStyle name="40% - Accent6 2" xfId="13" xr:uid="{00000000-0005-0000-0000-00000F000000}"/>
    <cellStyle name="60% - Accent1 2" xfId="14" xr:uid="{00000000-0005-0000-0000-000010000000}"/>
    <cellStyle name="60% - Accent2 2" xfId="15" xr:uid="{00000000-0005-0000-0000-000011000000}"/>
    <cellStyle name="60% - Accent3 2" xfId="16" xr:uid="{00000000-0005-0000-0000-000012000000}"/>
    <cellStyle name="60% - Accent4 2" xfId="17" xr:uid="{00000000-0005-0000-0000-000013000000}"/>
    <cellStyle name="60% - Accent5 2" xfId="18" xr:uid="{00000000-0005-0000-0000-000014000000}"/>
    <cellStyle name="60% - Accent6 2" xfId="19" xr:uid="{00000000-0005-0000-0000-000015000000}"/>
    <cellStyle name="Accent1 2" xfId="20" xr:uid="{00000000-0005-0000-0000-000017000000}"/>
    <cellStyle name="Accent2 2" xfId="21" xr:uid="{00000000-0005-0000-0000-000018000000}"/>
    <cellStyle name="Accent3 2" xfId="22" xr:uid="{00000000-0005-0000-0000-000019000000}"/>
    <cellStyle name="Accent4 2" xfId="23" xr:uid="{00000000-0005-0000-0000-00001A000000}"/>
    <cellStyle name="Accent5 2" xfId="24" xr:uid="{00000000-0005-0000-0000-00001B000000}"/>
    <cellStyle name="Accent6 2" xfId="25" xr:uid="{00000000-0005-0000-0000-00001C000000}"/>
    <cellStyle name="Bad 2" xfId="26" xr:uid="{00000000-0005-0000-0000-00001D000000}"/>
    <cellStyle name="Calculation 2" xfId="27" xr:uid="{00000000-0005-0000-0000-00001F000000}"/>
    <cellStyle name="Check Cell 2" xfId="28" xr:uid="{00000000-0005-0000-0000-000021000000}"/>
    <cellStyle name="Comma 2" xfId="29" xr:uid="{00000000-0005-0000-0000-000023000000}"/>
    <cellStyle name="Explanatory Text 2" xfId="30" xr:uid="{00000000-0005-0000-0000-000025000000}"/>
    <cellStyle name="Good 2" xfId="31" xr:uid="{00000000-0005-0000-0000-000028000000}"/>
    <cellStyle name="Heading 1 2" xfId="32" xr:uid="{00000000-0005-0000-0000-00002A000000}"/>
    <cellStyle name="Heading 2 2" xfId="33" xr:uid="{00000000-0005-0000-0000-00002B000000}"/>
    <cellStyle name="Heading 3 2" xfId="34" xr:uid="{00000000-0005-0000-0000-00002C000000}"/>
    <cellStyle name="Heading 4 2" xfId="35" xr:uid="{00000000-0005-0000-0000-00002D000000}"/>
    <cellStyle name="Input 2" xfId="36" xr:uid="{00000000-0005-0000-0000-000030000000}"/>
    <cellStyle name="Linked Cell 2" xfId="37" xr:uid="{00000000-0005-0000-0000-000032000000}"/>
    <cellStyle name="Neutral 2" xfId="38" xr:uid="{00000000-0005-0000-0000-000034000000}"/>
    <cellStyle name="Normal 2" xfId="1" xr:uid="{00000000-0005-0000-0000-000036000000}"/>
    <cellStyle name="Note 2" xfId="39" xr:uid="{00000000-0005-0000-0000-000038000000}"/>
    <cellStyle name="Output 2" xfId="40" xr:uid="{00000000-0005-0000-0000-000039000000}"/>
    <cellStyle name="Percent 2" xfId="41" xr:uid="{00000000-0005-0000-0000-00003B000000}"/>
    <cellStyle name="Title 2" xfId="42" xr:uid="{00000000-0005-0000-0000-00003C000000}"/>
    <cellStyle name="Total 2" xfId="43" xr:uid="{00000000-0005-0000-0000-00003D000000}"/>
    <cellStyle name="Warning Text 2" xfId="44" xr:uid="{00000000-0005-0000-0000-00003E000000}"/>
    <cellStyle name="百分比" xfId="47" builtinId="5"/>
    <cellStyle name="标题 1" xfId="51" builtinId="16"/>
    <cellStyle name="常规" xfId="0" builtinId="0"/>
    <cellStyle name="超链接" xfId="45" builtinId="8"/>
    <cellStyle name="好" xfId="48" builtinId="26"/>
    <cellStyle name="货币" xfId="57" builtinId="4"/>
    <cellStyle name="计算" xfId="54" builtinId="22"/>
    <cellStyle name="检查单元格" xfId="61" builtinId="23"/>
    <cellStyle name="链接单元格" xfId="62" builtinId="24"/>
    <cellStyle name="千位分隔" xfId="46" builtinId="3"/>
    <cellStyle name="适中" xfId="49" builtinId="28"/>
    <cellStyle name="输入" xfId="50" builtinId="20"/>
    <cellStyle name="已访问的超链接" xfId="59" builtinId="9" customBuiltin="1"/>
    <cellStyle name="着色 1" xfId="58" builtinId="29"/>
    <cellStyle name="注释" xfId="52" builtinId="10"/>
  </cellStyles>
  <dxfs count="5">
    <dxf>
      <font>
        <color rgb="FF9C0006"/>
      </font>
      <fill>
        <patternFill>
          <bgColor rgb="FFFFC7CE"/>
        </patternFill>
      </fill>
    </dxf>
    <dxf>
      <font>
        <color rgb="FF9C0006"/>
      </font>
      <fill>
        <patternFill>
          <bgColor rgb="FFFFC7CE"/>
        </patternFill>
      </fill>
    </dxf>
    <dxf>
      <protection locked="0" hidden="0"/>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DDFFFF"/>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theme" Target="theme/theme1.xml"/><Relationship Id="rId26" Type="http://schemas.openxmlformats.org/officeDocument/2006/relationships/customXml" Target="../customXml/item3.xml"/><Relationship Id="rId39" Type="http://schemas.openxmlformats.org/officeDocument/2006/relationships/customXml" Target="../customXml/item16.xml"/><Relationship Id="rId21" Type="http://schemas.openxmlformats.org/officeDocument/2006/relationships/sharedStrings" Target="sharedStrings.xml"/><Relationship Id="rId34" Type="http://schemas.openxmlformats.org/officeDocument/2006/relationships/customXml" Target="../customXml/item1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29" Type="http://schemas.openxmlformats.org/officeDocument/2006/relationships/customXml" Target="../customXml/item6.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32" Type="http://schemas.openxmlformats.org/officeDocument/2006/relationships/customXml" Target="../customXml/item9.xml"/><Relationship Id="rId37" Type="http://schemas.openxmlformats.org/officeDocument/2006/relationships/customXml" Target="../customXml/item14.xml"/><Relationship Id="rId40" Type="http://schemas.openxmlformats.org/officeDocument/2006/relationships/customXml" Target="../customXml/item17.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28" Type="http://schemas.openxmlformats.org/officeDocument/2006/relationships/customXml" Target="../customXml/item5.xml"/><Relationship Id="rId36" Type="http://schemas.openxmlformats.org/officeDocument/2006/relationships/customXml" Target="../customXml/item13.xml"/><Relationship Id="rId10" Type="http://schemas.openxmlformats.org/officeDocument/2006/relationships/worksheet" Target="worksheets/sheet10.xml"/><Relationship Id="rId19" Type="http://schemas.openxmlformats.org/officeDocument/2006/relationships/connections" Target="connections.xml"/><Relationship Id="rId31" Type="http://schemas.openxmlformats.org/officeDocument/2006/relationships/customXml" Target="../customXml/item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owerPivotData" Target="model/item.data"/><Relationship Id="rId27" Type="http://schemas.openxmlformats.org/officeDocument/2006/relationships/customXml" Target="../customXml/item4.xml"/><Relationship Id="rId30" Type="http://schemas.openxmlformats.org/officeDocument/2006/relationships/customXml" Target="../customXml/item7.xml"/><Relationship Id="rId35" Type="http://schemas.openxmlformats.org/officeDocument/2006/relationships/customXml" Target="../customXml/item12.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33" Type="http://schemas.openxmlformats.org/officeDocument/2006/relationships/customXml" Target="../customXml/item10.xml"/><Relationship Id="rId38" Type="http://schemas.openxmlformats.org/officeDocument/2006/relationships/customXml" Target="../customXml/item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400" b="1" i="0" u="none" strike="noStrike" kern="1200" spc="0" baseline="0">
                <a:solidFill>
                  <a:sysClr val="windowText" lastClr="000000"/>
                </a:solidFill>
                <a:latin typeface="+mn-lt"/>
                <a:ea typeface="+mn-ea"/>
                <a:cs typeface="+mn-cs"/>
              </a:defRPr>
            </a:pPr>
            <a:r>
              <a:rPr lang="en-US" b="1">
                <a:solidFill>
                  <a:sysClr val="windowText" lastClr="000000"/>
                </a:solidFill>
              </a:rPr>
              <a:t>Cell Manufacturing Cost Breakdown</a:t>
            </a:r>
          </a:p>
        </c:rich>
      </c:tx>
      <c:layout>
        <c:manualLayout>
          <c:xMode val="edge"/>
          <c:yMode val="edge"/>
          <c:x val="0.21301377952755904"/>
          <c:y val="2.7777777777777776E-2"/>
        </c:manualLayout>
      </c:layout>
      <c:overlay val="0"/>
      <c:spPr>
        <a:noFill/>
        <a:ln>
          <a:noFill/>
        </a:ln>
        <a:effectLst/>
      </c:spPr>
      <c:txPr>
        <a:bodyPr rot="0" spcFirstLastPara="1" vertOverflow="ellipsis" vert="horz" wrap="square" anchor="ctr" anchorCtr="1"/>
        <a:lstStyle/>
        <a:p>
          <a:pPr algn="l">
            <a:defRPr sz="1400" b="1"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30258104377688172"/>
          <c:y val="0.17653837027409819"/>
          <c:w val="0.47018684762212754"/>
          <c:h val="0.77231795593739028"/>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2B1-4B99-A6AA-E65D9EC4F8B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2B1-4B99-A6AA-E65D9EC4F8B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2B1-4B99-A6AA-E65D9EC4F8B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2B1-4B99-A6AA-E65D9EC4F8B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2B1-4B99-A6AA-E65D9EC4F8B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02B1-4B99-A6AA-E65D9EC4F8B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02B1-4B99-A6AA-E65D9EC4F8B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02B1-4B99-A6AA-E65D9EC4F8B9}"/>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bestFit"/>
            <c:showLegendKey val="0"/>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Output!$B$202:$B$209</c:f>
              <c:strCache>
                <c:ptCount val="8"/>
                <c:pt idx="0">
                  <c:v>Materials</c:v>
                </c:pt>
                <c:pt idx="1">
                  <c:v>Labor</c:v>
                </c:pt>
                <c:pt idx="2">
                  <c:v>Depreciation</c:v>
                </c:pt>
                <c:pt idx="3">
                  <c:v>Variable overhead</c:v>
                </c:pt>
                <c:pt idx="4">
                  <c:v>GSA</c:v>
                </c:pt>
                <c:pt idx="5">
                  <c:v>R&amp;D</c:v>
                </c:pt>
                <c:pt idx="6">
                  <c:v>Profit</c:v>
                </c:pt>
                <c:pt idx="7">
                  <c:v>Warranty</c:v>
                </c:pt>
              </c:strCache>
            </c:strRef>
          </c:cat>
          <c:val>
            <c:numRef>
              <c:f>Output!$C$202:$C$209</c:f>
              <c:numCache>
                <c:formatCode>_("$"* #,##0.00_);_("$"* \(#,##0.00\);_("$"* "-"??_);_(@_)</c:formatCode>
                <c:ptCount val="8"/>
                <c:pt idx="0">
                  <c:v>#N/A</c:v>
                </c:pt>
                <c:pt idx="1">
                  <c:v>#N/A</c:v>
                </c:pt>
                <c:pt idx="2">
                  <c:v>#N/A</c:v>
                </c:pt>
                <c:pt idx="3">
                  <c:v>#N/A</c:v>
                </c:pt>
                <c:pt idx="4">
                  <c:v>#N/A</c:v>
                </c:pt>
                <c:pt idx="5">
                  <c:v>#N/A</c:v>
                </c:pt>
                <c:pt idx="6">
                  <c:v>#N/A</c:v>
                </c:pt>
                <c:pt idx="7">
                  <c:v>#N/A</c:v>
                </c:pt>
              </c:numCache>
            </c:numRef>
          </c:val>
          <c:extLst>
            <c:ext xmlns:c16="http://schemas.microsoft.com/office/drawing/2014/chart" uri="{C3380CC4-5D6E-409C-BE32-E72D297353CC}">
              <c16:uniqueId val="{00000010-02B1-4B99-A6AA-E65D9EC4F8B9}"/>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400" b="1" i="0" u="none" strike="noStrike" kern="1200" spc="0" baseline="0">
                <a:solidFill>
                  <a:sysClr val="windowText" lastClr="000000"/>
                </a:solidFill>
                <a:latin typeface="+mn-lt"/>
                <a:ea typeface="+mn-ea"/>
                <a:cs typeface="+mn-cs"/>
              </a:defRPr>
            </a:pPr>
            <a:r>
              <a:rPr lang="en-US" b="1">
                <a:solidFill>
                  <a:sysClr val="windowText" lastClr="000000"/>
                </a:solidFill>
              </a:rPr>
              <a:t>Cell Recycling Cost Breakdown</a:t>
            </a:r>
          </a:p>
        </c:rich>
      </c:tx>
      <c:layout>
        <c:manualLayout>
          <c:xMode val="edge"/>
          <c:yMode val="edge"/>
          <c:x val="0.21301377952755904"/>
          <c:y val="2.7777777777777776E-2"/>
        </c:manualLayout>
      </c:layout>
      <c:overlay val="0"/>
      <c:spPr>
        <a:noFill/>
        <a:ln>
          <a:noFill/>
        </a:ln>
        <a:effectLst/>
      </c:spPr>
      <c:txPr>
        <a:bodyPr rot="0" spcFirstLastPara="1" vertOverflow="ellipsis" vert="horz" wrap="square" anchor="ctr" anchorCtr="1"/>
        <a:lstStyle/>
        <a:p>
          <a:pPr algn="l">
            <a:defRPr sz="1400" b="1" i="0" u="none" strike="noStrike" kern="1200" spc="0" baseline="0">
              <a:solidFill>
                <a:sysClr val="windowText" lastClr="000000"/>
              </a:solidFill>
              <a:latin typeface="+mn-lt"/>
              <a:ea typeface="+mn-ea"/>
              <a:cs typeface="+mn-cs"/>
            </a:defRPr>
          </a:pPr>
          <a:endParaRPr lang="en-US"/>
        </a:p>
      </c:txPr>
    </c:title>
    <c:autoTitleDeleted val="0"/>
    <c:plotArea>
      <c:layout/>
      <c:barChart>
        <c:barDir val="bar"/>
        <c:grouping val="clustered"/>
        <c:varyColors val="0"/>
        <c:ser>
          <c:idx val="0"/>
          <c:order val="0"/>
          <c:spPr>
            <a:solidFill>
              <a:schemeClr val="accent1"/>
            </a:solidFill>
            <a:ln w="19050">
              <a:solidFill>
                <a:schemeClr val="lt1"/>
              </a:solidFill>
            </a:ln>
            <a:effectLst/>
          </c:spPr>
          <c:invertIfNegative val="0"/>
          <c:dPt>
            <c:idx val="0"/>
            <c:invertIfNegative val="0"/>
            <c:bubble3D val="0"/>
            <c:extLst>
              <c:ext xmlns:c16="http://schemas.microsoft.com/office/drawing/2014/chart" uri="{C3380CC4-5D6E-409C-BE32-E72D297353CC}">
                <c16:uniqueId val="{00000001-B511-45C2-9E85-855062AE386A}"/>
              </c:ext>
            </c:extLst>
          </c:dPt>
          <c:dPt>
            <c:idx val="1"/>
            <c:invertIfNegative val="0"/>
            <c:bubble3D val="0"/>
            <c:extLst>
              <c:ext xmlns:c16="http://schemas.microsoft.com/office/drawing/2014/chart" uri="{C3380CC4-5D6E-409C-BE32-E72D297353CC}">
                <c16:uniqueId val="{00000003-B511-45C2-9E85-855062AE386A}"/>
              </c:ext>
            </c:extLst>
          </c:dPt>
          <c:dPt>
            <c:idx val="2"/>
            <c:invertIfNegative val="0"/>
            <c:bubble3D val="0"/>
            <c:extLst>
              <c:ext xmlns:c16="http://schemas.microsoft.com/office/drawing/2014/chart" uri="{C3380CC4-5D6E-409C-BE32-E72D297353CC}">
                <c16:uniqueId val="{00000005-B511-45C2-9E85-855062AE386A}"/>
              </c:ext>
            </c:extLst>
          </c:dPt>
          <c:dPt>
            <c:idx val="3"/>
            <c:invertIfNegative val="0"/>
            <c:bubble3D val="0"/>
            <c:extLst>
              <c:ext xmlns:c16="http://schemas.microsoft.com/office/drawing/2014/chart" uri="{C3380CC4-5D6E-409C-BE32-E72D297353CC}">
                <c16:uniqueId val="{00000007-B511-45C2-9E85-855062AE386A}"/>
              </c:ext>
            </c:extLst>
          </c:dPt>
          <c:dPt>
            <c:idx val="4"/>
            <c:invertIfNegative val="0"/>
            <c:bubble3D val="0"/>
            <c:extLst>
              <c:ext xmlns:c16="http://schemas.microsoft.com/office/drawing/2014/chart" uri="{C3380CC4-5D6E-409C-BE32-E72D297353CC}">
                <c16:uniqueId val="{00000009-B511-45C2-9E85-855062AE386A}"/>
              </c:ext>
            </c:extLst>
          </c:dPt>
          <c:dPt>
            <c:idx val="5"/>
            <c:invertIfNegative val="0"/>
            <c:bubble3D val="0"/>
            <c:extLst>
              <c:ext xmlns:c16="http://schemas.microsoft.com/office/drawing/2014/chart" uri="{C3380CC4-5D6E-409C-BE32-E72D297353CC}">
                <c16:uniqueId val="{0000000B-B511-45C2-9E85-855062AE386A}"/>
              </c:ext>
            </c:extLst>
          </c:dPt>
          <c:dPt>
            <c:idx val="6"/>
            <c:invertIfNegative val="0"/>
            <c:bubble3D val="0"/>
            <c:extLst>
              <c:ext xmlns:c16="http://schemas.microsoft.com/office/drawing/2014/chart" uri="{C3380CC4-5D6E-409C-BE32-E72D297353CC}">
                <c16:uniqueId val="{0000000D-B511-45C2-9E85-855062AE386A}"/>
              </c:ext>
            </c:extLst>
          </c:dPt>
          <c:dPt>
            <c:idx val="7"/>
            <c:invertIfNegative val="0"/>
            <c:bubble3D val="0"/>
            <c:extLst>
              <c:ext xmlns:c16="http://schemas.microsoft.com/office/drawing/2014/chart" uri="{C3380CC4-5D6E-409C-BE32-E72D297353CC}">
                <c16:uniqueId val="{0000000F-B511-45C2-9E85-855062AE386A}"/>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Output!$J$202:$J$211</c:f>
              <c:strCache>
                <c:ptCount val="9"/>
                <c:pt idx="0">
                  <c:v>Materials </c:v>
                </c:pt>
                <c:pt idx="1">
                  <c:v>Utilities</c:v>
                </c:pt>
                <c:pt idx="2">
                  <c:v>Other variable costs</c:v>
                </c:pt>
                <c:pt idx="3">
                  <c:v>Labor</c:v>
                </c:pt>
                <c:pt idx="4">
                  <c:v>Maintenance</c:v>
                </c:pt>
                <c:pt idx="5">
                  <c:v>Plant overhead</c:v>
                </c:pt>
                <c:pt idx="6">
                  <c:v>Other fixed costs</c:v>
                </c:pt>
                <c:pt idx="7">
                  <c:v>Annualized capital cost</c:v>
                </c:pt>
                <c:pt idx="8">
                  <c:v>Feedstock payment</c:v>
                </c:pt>
              </c:strCache>
            </c:strRef>
          </c:cat>
          <c:val>
            <c:numRef>
              <c:f>Output!$K$202:$K$211</c:f>
              <c:numCache>
                <c:formatCode>_("$"* #,##0.00_);_("$"* \(#,##0.00\);_("$"* "-"??_);_(@_)</c:formatCode>
                <c:ptCount val="10"/>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10-B511-45C2-9E85-855062AE386A}"/>
            </c:ext>
          </c:extLst>
        </c:ser>
        <c:dLbls>
          <c:showLegendKey val="0"/>
          <c:showVal val="0"/>
          <c:showCatName val="0"/>
          <c:showSerName val="0"/>
          <c:showPercent val="0"/>
          <c:showBubbleSize val="0"/>
        </c:dLbls>
        <c:gapWidth val="100"/>
        <c:axId val="401314496"/>
        <c:axId val="401314104"/>
      </c:barChart>
      <c:valAx>
        <c:axId val="401314104"/>
        <c:scaling>
          <c:orientation val="minMax"/>
        </c:scaling>
        <c:delete val="0"/>
        <c:axPos val="b"/>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crossAx val="401314496"/>
        <c:crosses val="autoZero"/>
        <c:crossBetween val="between"/>
      </c:valAx>
      <c:catAx>
        <c:axId val="401314496"/>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crossAx val="401314104"/>
        <c:crosses val="autoZero"/>
        <c:auto val="1"/>
        <c:lblAlgn val="ctr"/>
        <c:lblOffset val="100"/>
        <c:noMultiLvlLbl val="0"/>
      </c:cat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400" b="1" i="0" u="none" strike="noStrike" kern="1200" spc="0" baseline="0">
                <a:solidFill>
                  <a:sysClr val="windowText" lastClr="000000"/>
                </a:solidFill>
                <a:latin typeface="+mn-lt"/>
                <a:ea typeface="+mn-ea"/>
                <a:cs typeface="+mn-cs"/>
              </a:defRPr>
            </a:pPr>
            <a:r>
              <a:rPr lang="en-US" b="1">
                <a:solidFill>
                  <a:sysClr val="windowText" lastClr="000000"/>
                </a:solidFill>
              </a:rPr>
              <a:t>Cathode</a:t>
            </a:r>
            <a:r>
              <a:rPr lang="en-US" b="1" baseline="0">
                <a:solidFill>
                  <a:sysClr val="windowText" lastClr="000000"/>
                </a:solidFill>
              </a:rPr>
              <a:t> Production</a:t>
            </a:r>
            <a:r>
              <a:rPr lang="en-US" b="1">
                <a:solidFill>
                  <a:sysClr val="windowText" lastClr="000000"/>
                </a:solidFill>
              </a:rPr>
              <a:t> Cost Breakdown</a:t>
            </a:r>
          </a:p>
        </c:rich>
      </c:tx>
      <c:layout>
        <c:manualLayout>
          <c:xMode val="edge"/>
          <c:yMode val="edge"/>
          <c:x val="0.21301377952755904"/>
          <c:y val="2.7777777777777776E-2"/>
        </c:manualLayout>
      </c:layout>
      <c:overlay val="0"/>
      <c:spPr>
        <a:noFill/>
        <a:ln>
          <a:noFill/>
        </a:ln>
        <a:effectLst/>
      </c:spPr>
      <c:txPr>
        <a:bodyPr rot="0" spcFirstLastPara="1" vertOverflow="ellipsis" vert="horz" wrap="square" anchor="ctr" anchorCtr="1"/>
        <a:lstStyle/>
        <a:p>
          <a:pPr algn="l">
            <a:defRPr sz="1400" b="1" i="0" u="none" strike="noStrike" kern="1200" spc="0" baseline="0">
              <a:solidFill>
                <a:sysClr val="windowText" lastClr="000000"/>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A36-4D13-805D-BCB8F892793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A36-4D13-805D-BCB8F892793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A36-4D13-805D-BCB8F892793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A36-4D13-805D-BCB8F892793E}"/>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EA36-4D13-805D-BCB8F892793E}"/>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EA36-4D13-805D-BCB8F892793E}"/>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EA36-4D13-805D-BCB8F892793E}"/>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EA36-4D13-805D-BCB8F892793E}"/>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bestFit"/>
            <c:showLegendKey val="0"/>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Output!$Q$202:$Q$209</c:f>
              <c:strCache>
                <c:ptCount val="8"/>
                <c:pt idx="0">
                  <c:v>Materials </c:v>
                </c:pt>
                <c:pt idx="1">
                  <c:v>Labor</c:v>
                </c:pt>
                <c:pt idx="2">
                  <c:v>Other direct cost</c:v>
                </c:pt>
                <c:pt idx="3">
                  <c:v>Depreciation</c:v>
                </c:pt>
                <c:pt idx="4">
                  <c:v>Other fixed cost</c:v>
                </c:pt>
                <c:pt idx="5">
                  <c:v>Plant overhead</c:v>
                </c:pt>
                <c:pt idx="6">
                  <c:v>General expenses</c:v>
                </c:pt>
                <c:pt idx="7">
                  <c:v>Profit</c:v>
                </c:pt>
              </c:strCache>
            </c:strRef>
          </c:cat>
          <c:val>
            <c:numRef>
              <c:f>Output!$R$202:$R$209</c:f>
              <c:numCache>
                <c:formatCode>_("$"* #,##0.00_);_("$"* \(#,##0.00\);_("$"* "-"??_);_(@_)</c:formatCode>
                <c:ptCount val="8"/>
                <c:pt idx="0">
                  <c:v>#N/A</c:v>
                </c:pt>
                <c:pt idx="1">
                  <c:v>#N/A</c:v>
                </c:pt>
                <c:pt idx="2">
                  <c:v>#N/A</c:v>
                </c:pt>
                <c:pt idx="3">
                  <c:v>#N/A</c:v>
                </c:pt>
                <c:pt idx="4">
                  <c:v>#N/A</c:v>
                </c:pt>
                <c:pt idx="5">
                  <c:v>#N/A</c:v>
                </c:pt>
                <c:pt idx="6">
                  <c:v>#N/A</c:v>
                </c:pt>
                <c:pt idx="7">
                  <c:v>#N/A</c:v>
                </c:pt>
              </c:numCache>
            </c:numRef>
          </c:val>
          <c:extLst>
            <c:ext xmlns:c16="http://schemas.microsoft.com/office/drawing/2014/chart" uri="{C3380CC4-5D6E-409C-BE32-E72D297353CC}">
              <c16:uniqueId val="{00000010-EA36-4D13-805D-BCB8F892793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95000"/>
                    <a:lumOff val="5000"/>
                  </a:schemeClr>
                </a:solidFill>
                <a:latin typeface="+mn-lt"/>
                <a:ea typeface="+mn-ea"/>
                <a:cs typeface="+mn-cs"/>
              </a:defRPr>
            </a:pPr>
            <a:r>
              <a:rPr lang="en-US" b="1">
                <a:solidFill>
                  <a:schemeClr val="tx1">
                    <a:lumMod val="95000"/>
                    <a:lumOff val="5000"/>
                  </a:schemeClr>
                </a:solidFill>
              </a:rPr>
              <a:t>Cell</a:t>
            </a:r>
            <a:r>
              <a:rPr lang="en-US" b="1" baseline="0">
                <a:solidFill>
                  <a:schemeClr val="tx1">
                    <a:lumMod val="95000"/>
                    <a:lumOff val="5000"/>
                  </a:schemeClr>
                </a:solidFill>
              </a:rPr>
              <a:t> Recycling Revenue Breakdown</a:t>
            </a:r>
            <a:endParaRPr lang="en-US" b="1">
              <a:solidFill>
                <a:schemeClr val="tx1">
                  <a:lumMod val="95000"/>
                  <a:lumOff val="5000"/>
                </a:schemeClr>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95000"/>
                  <a:lumOff val="5000"/>
                </a:schemeClr>
              </a:solidFill>
              <a:latin typeface="+mn-lt"/>
              <a:ea typeface="+mn-ea"/>
              <a:cs typeface="+mn-cs"/>
            </a:defRPr>
          </a:pPr>
          <a:endParaRPr lang="en-US"/>
        </a:p>
      </c:txPr>
    </c:title>
    <c:autoTitleDeleted val="0"/>
    <c:plotArea>
      <c:layout>
        <c:manualLayout>
          <c:layoutTarget val="inner"/>
          <c:xMode val="edge"/>
          <c:yMode val="edge"/>
          <c:x val="0.27132010427984343"/>
          <c:y val="0.28114768009671676"/>
          <c:w val="0.45735979144031319"/>
          <c:h val="0.69165138828997363"/>
        </c:manualLayout>
      </c:layout>
      <c:pieChart>
        <c:varyColors val="1"/>
        <c:ser>
          <c:idx val="1"/>
          <c:order val="0"/>
          <c:tx>
            <c:strRef>
              <c:f>Output!$K$216</c:f>
              <c:strCache>
                <c:ptCount val="1"/>
                <c:pt idx="0">
                  <c:v>Column2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03E-C046-9D2A-85DF2443805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03E-C046-9D2A-85DF2443805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03E-C046-9D2A-85DF2443805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803E-C046-9D2A-85DF2443805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803E-C046-9D2A-85DF2443805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803E-C046-9D2A-85DF24438054}"/>
              </c:ext>
            </c:extLst>
          </c:dPt>
          <c:dLbls>
            <c:dLbl>
              <c:idx val="4"/>
              <c:layout>
                <c:manualLayout>
                  <c:x val="0.38222508670466071"/>
                  <c:y val="6.1727432901008662E-2"/>
                </c:manualLayout>
              </c:layout>
              <c:dLblPos val="bestFi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803E-C046-9D2A-85DF24438054}"/>
                </c:ext>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95000"/>
                        <a:lumOff val="5000"/>
                      </a:schemeClr>
                    </a:solidFill>
                    <a:latin typeface="+mn-lt"/>
                    <a:ea typeface="+mn-ea"/>
                    <a:cs typeface="+mn-cs"/>
                  </a:defRPr>
                </a:pPr>
                <a:endParaRPr lang="en-US"/>
              </a:p>
            </c:txPr>
            <c:dLblPos val="bestFit"/>
            <c:showLegendKey val="0"/>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Output!$J$217:$J$227</c:f>
              <c:strCache>
                <c:ptCount val="4"/>
                <c:pt idx="0">
                  <c:v>NMC(622)</c:v>
                </c:pt>
                <c:pt idx="1">
                  <c:v>Graphite</c:v>
                </c:pt>
                <c:pt idx="2">
                  <c:v>Aluminum</c:v>
                </c:pt>
                <c:pt idx="3">
                  <c:v>Copper</c:v>
                </c:pt>
              </c:strCache>
            </c:strRef>
          </c:cat>
          <c:val>
            <c:numRef>
              <c:f>Output!$K$217:$K$227</c:f>
              <c:numCache>
                <c:formatCode>_("$"* #,##0.00_);_("$"* \(#,##0.00\);_("$"* "-"??_);_(@_)</c:formatCode>
                <c:ptCount val="4"/>
                <c:pt idx="0">
                  <c:v>20</c:v>
                </c:pt>
                <c:pt idx="1">
                  <c:v>6.1800000000000001E-2</c:v>
                </c:pt>
                <c:pt idx="2">
                  <c:v>3.3524333567999999E-3</c:v>
                </c:pt>
                <c:pt idx="3">
                  <c:v>3.5558095517999995E-2</c:v>
                </c:pt>
              </c:numCache>
            </c:numRef>
          </c:val>
          <c:extLst>
            <c:ext xmlns:c16="http://schemas.microsoft.com/office/drawing/2014/chart" uri="{C3380CC4-5D6E-409C-BE32-E72D297353CC}">
              <c16:uniqueId val="{0000000C-803E-C046-9D2A-85DF2443805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Report!$AA$14</c:f>
              <c:strCache>
                <c:ptCount val="1"/>
                <c:pt idx="0">
                  <c:v>Total energy consumption (MJ)</c:v>
                </c:pt>
              </c:strCache>
            </c:strRef>
          </c:tx>
          <c:spPr>
            <a:solidFill>
              <a:schemeClr val="accent1"/>
            </a:solidFill>
            <a:ln>
              <a:solidFill>
                <a:schemeClr val="tx1">
                  <a:lumMod val="95000"/>
                  <a:lumOff val="5000"/>
                </a:schemeClr>
              </a:solidFill>
            </a:ln>
            <a:effectLst/>
          </c:spPr>
          <c:invertIfNegative val="0"/>
          <c:dLbls>
            <c:dLbl>
              <c:idx val="0"/>
              <c:tx>
                <c:rich>
                  <a:bodyPr/>
                  <a:lstStyle/>
                  <a:p>
                    <a:fld id="{6B11CD86-CE31-4F9B-8621-1FFE08F6572B}" type="CELLRANGE">
                      <a:rPr lang="zh-CN" altLang="en-US"/>
                      <a:pPr/>
                      <a:t>[CELLRANGE]</a:t>
                    </a:fld>
                    <a:endParaRPr lang="zh-CN" alt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3790-A047-BB29-4BC14A20B546}"/>
                </c:ext>
              </c:extLst>
            </c:dLbl>
            <c:dLbl>
              <c:idx val="1"/>
              <c:tx>
                <c:rich>
                  <a:bodyPr/>
                  <a:lstStyle/>
                  <a:p>
                    <a:fld id="{F67BAD79-59C2-4467-B483-EF50D1C5E26E}" type="CELLRANGE">
                      <a:rPr lang="zh-CN" altLang="en-US"/>
                      <a:pPr/>
                      <a:t>[CELLRANGE]</a:t>
                    </a:fld>
                    <a:endParaRPr lang="zh-CN" alt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3790-A047-BB29-4BC14A20B546}"/>
                </c:ext>
              </c:extLst>
            </c:dLbl>
            <c:dLbl>
              <c:idx val="2"/>
              <c:tx>
                <c:rich>
                  <a:bodyPr/>
                  <a:lstStyle/>
                  <a:p>
                    <a:fld id="{AEB14A29-B813-40B7-991C-1093DB43F4FC}" type="CELLRANGE">
                      <a:rPr lang="zh-CN" altLang="en-US"/>
                      <a:pPr/>
                      <a:t>[CELLRANGE]</a:t>
                    </a:fld>
                    <a:endParaRPr lang="zh-CN" alt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3790-A047-BB29-4BC14A20B546}"/>
                </c:ext>
              </c:extLst>
            </c:dLbl>
            <c:dLbl>
              <c:idx val="3"/>
              <c:tx>
                <c:rich>
                  <a:bodyPr/>
                  <a:lstStyle/>
                  <a:p>
                    <a:fld id="{755CBE5F-BCF8-46E2-BBF1-C5EDB1717F81}" type="CELLRANGE">
                      <a:rPr lang="zh-CN" altLang="en-US"/>
                      <a:pPr/>
                      <a:t>[CELLRANGE]</a:t>
                    </a:fld>
                    <a:endParaRPr lang="zh-CN" alt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3790-A047-BB29-4BC14A20B546}"/>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95000"/>
                        <a:lumOff val="5000"/>
                      </a:schemeClr>
                    </a:solidFill>
                    <a:latin typeface="+mn-lt"/>
                    <a:ea typeface="+mn-ea"/>
                    <a:cs typeface="+mn-cs"/>
                  </a:defRPr>
                </a:pPr>
                <a:endParaRPr lang="en-US"/>
              </a:p>
            </c:txPr>
            <c:dLblPos val="in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multiLvlStrRef>
              <c:f>Report!$AB$12:$AE$13</c:f>
              <c:multiLvlStrCache>
                <c:ptCount val="4"/>
                <c:lvl>
                  <c:pt idx="1">
                    <c:v>Pyro</c:v>
                  </c:pt>
                  <c:pt idx="2">
                    <c:v>Hydro</c:v>
                  </c:pt>
                  <c:pt idx="3">
                    <c:v>Direct</c:v>
                  </c:pt>
                </c:lvl>
                <c:lvl>
                  <c:pt idx="0">
                    <c:v>Virgin Manufacture</c:v>
                  </c:pt>
                  <c:pt idx="1">
                    <c:v>Manufacture with recycled materials</c:v>
                  </c:pt>
                </c:lvl>
              </c:multiLvlStrCache>
            </c:multiLvlStrRef>
          </c:cat>
          <c:val>
            <c:numRef>
              <c:f>Report!$AB$14:$AE$14</c:f>
              <c:numCache>
                <c:formatCode>0.00</c:formatCode>
                <c:ptCount val="4"/>
                <c:pt idx="0">
                  <c:v>961.02222932657503</c:v>
                </c:pt>
                <c:pt idx="1">
                  <c:v>#N/A</c:v>
                </c:pt>
                <c:pt idx="2">
                  <c:v>#N/A</c:v>
                </c:pt>
                <c:pt idx="3">
                  <c:v>#N/A</c:v>
                </c:pt>
              </c:numCache>
            </c:numRef>
          </c:val>
          <c:extLst>
            <c:ext xmlns:c15="http://schemas.microsoft.com/office/drawing/2012/chart" uri="{02D57815-91ED-43cb-92C2-25804820EDAC}">
              <c15:datalabelsRange>
                <c15:f>Report!$AB$15:$AE$15</c15:f>
                <c15:dlblRangeCache>
                  <c:ptCount val="4"/>
                  <c:pt idx="0">
                    <c:v>100%</c:v>
                  </c:pt>
                  <c:pt idx="1">
                    <c:v>#N/A</c:v>
                  </c:pt>
                  <c:pt idx="2">
                    <c:v>#N/A</c:v>
                  </c:pt>
                  <c:pt idx="3">
                    <c:v>#N/A</c:v>
                  </c:pt>
                </c15:dlblRangeCache>
              </c15:datalabelsRange>
            </c:ext>
            <c:ext xmlns:c16="http://schemas.microsoft.com/office/drawing/2014/chart" uri="{C3380CC4-5D6E-409C-BE32-E72D297353CC}">
              <c16:uniqueId val="{00000000-D3C2-CE4B-B9BA-49F4CA83341E}"/>
            </c:ext>
          </c:extLst>
        </c:ser>
        <c:dLbls>
          <c:showLegendKey val="0"/>
          <c:showVal val="0"/>
          <c:showCatName val="0"/>
          <c:showSerName val="0"/>
          <c:showPercent val="0"/>
          <c:showBubbleSize val="0"/>
        </c:dLbls>
        <c:gapWidth val="219"/>
        <c:overlap val="-27"/>
        <c:axId val="406130792"/>
        <c:axId val="406128048"/>
      </c:barChart>
      <c:catAx>
        <c:axId val="406130792"/>
        <c:scaling>
          <c:orientation val="minMax"/>
        </c:scaling>
        <c:delete val="0"/>
        <c:axPos val="b"/>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406128048"/>
        <c:crosses val="autoZero"/>
        <c:auto val="1"/>
        <c:lblAlgn val="ctr"/>
        <c:lblOffset val="100"/>
        <c:noMultiLvlLbl val="0"/>
      </c:catAx>
      <c:valAx>
        <c:axId val="4061280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406130792"/>
        <c:crosses val="autoZero"/>
        <c:crossBetween val="between"/>
      </c:valAx>
      <c:dTable>
        <c:showHorzBorder val="1"/>
        <c:showVertBorder val="1"/>
        <c:showOutline val="1"/>
        <c:showKeys val="0"/>
        <c:spPr>
          <a:noFill/>
          <a:ln w="9525" cap="flat" cmpd="sng" algn="ctr">
            <a:solidFill>
              <a:schemeClr val="tx1">
                <a:lumMod val="95000"/>
                <a:lumOff val="5000"/>
              </a:schemeClr>
            </a:solidFill>
            <a:round/>
          </a:ln>
          <a:effectLst/>
        </c:spPr>
        <c:txPr>
          <a:bodyPr rot="0" spcFirstLastPara="1" vertOverflow="ellipsis" vert="horz" wrap="square" anchor="ctr" anchorCtr="1"/>
          <a:lstStyle/>
          <a:p>
            <a:pPr rtl="0">
              <a:defRPr sz="1200" b="1" i="0" u="none" strike="noStrike" kern="1200" baseline="0">
                <a:solidFill>
                  <a:schemeClr val="tx1">
                    <a:lumMod val="95000"/>
                    <a:lumOff val="5000"/>
                  </a:schemeClr>
                </a:solidFill>
                <a:latin typeface="+mn-lt"/>
                <a:ea typeface="+mn-ea"/>
                <a:cs typeface="+mn-cs"/>
              </a:defRPr>
            </a:pPr>
            <a:endParaRPr lang="en-US"/>
          </a:p>
        </c:txPr>
      </c:dTable>
      <c:spPr>
        <a:noFill/>
        <a:ln>
          <a:solidFill>
            <a:schemeClr val="tx1"/>
          </a:solid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lumMod val="95000"/>
                    <a:lumOff val="5000"/>
                  </a:schemeClr>
                </a:solidFill>
              </a:rPr>
              <a:t>Impact</a:t>
            </a:r>
            <a:r>
              <a:rPr lang="en-US" b="1" baseline="0">
                <a:solidFill>
                  <a:schemeClr val="tx1">
                    <a:lumMod val="95000"/>
                    <a:lumOff val="5000"/>
                  </a:schemeClr>
                </a:solidFill>
              </a:rPr>
              <a:t> Breakdown by Stages for 1kg Produced Cathode Powder</a:t>
            </a:r>
            <a:endParaRPr lang="en-US" b="1">
              <a:solidFill>
                <a:schemeClr val="tx1">
                  <a:lumMod val="95000"/>
                  <a:lumOff val="5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Report!$AB$30</c:f>
              <c:strCache>
                <c:ptCount val="1"/>
                <c:pt idx="0">
                  <c:v>Impact</c:v>
                </c:pt>
              </c:strCache>
            </c:strRef>
          </c:tx>
          <c:spPr>
            <a:solidFill>
              <a:schemeClr val="accent1"/>
            </a:solidFill>
            <a:ln>
              <a:solidFill>
                <a:schemeClr val="tx1">
                  <a:lumMod val="95000"/>
                  <a:lumOff val="5000"/>
                </a:schemeClr>
              </a:solidFill>
            </a:ln>
            <a:effectLst/>
          </c:spPr>
          <c:invertIfNegative val="0"/>
          <c:cat>
            <c:strRef>
              <c:f>Report!$AA$31:$AA$35</c:f>
              <c:strCache>
                <c:ptCount val="5"/>
                <c:pt idx="0">
                  <c:v>Transportation</c:v>
                </c:pt>
                <c:pt idx="1">
                  <c:v>Disassembly</c:v>
                </c:pt>
                <c:pt idx="2">
                  <c:v>Recycling</c:v>
                </c:pt>
                <c:pt idx="3">
                  <c:v>Material conversion</c:v>
                </c:pt>
                <c:pt idx="4">
                  <c:v>Cathode production</c:v>
                </c:pt>
              </c:strCache>
            </c:strRef>
          </c:cat>
          <c:val>
            <c:numRef>
              <c:f>Report!$AB$31:$AB$35</c:f>
              <c:numCache>
                <c:formatCode>0.00</c:formatCode>
                <c:ptCount val="5"/>
                <c:pt idx="0">
                  <c:v>0</c:v>
                </c:pt>
                <c:pt idx="1">
                  <c:v>0</c:v>
                </c:pt>
                <c:pt idx="2">
                  <c:v>#N/A</c:v>
                </c:pt>
                <c:pt idx="3">
                  <c:v>#N/A</c:v>
                </c:pt>
                <c:pt idx="4">
                  <c:v>#N/A</c:v>
                </c:pt>
              </c:numCache>
            </c:numRef>
          </c:val>
          <c:extLst>
            <c:ext xmlns:c16="http://schemas.microsoft.com/office/drawing/2014/chart" uri="{C3380CC4-5D6E-409C-BE32-E72D297353CC}">
              <c16:uniqueId val="{00000000-EDB5-E945-A156-FDE61E1177CC}"/>
            </c:ext>
          </c:extLst>
        </c:ser>
        <c:ser>
          <c:idx val="1"/>
          <c:order val="1"/>
          <c:tx>
            <c:strRef>
              <c:f>Report!$AC$30</c:f>
              <c:strCache>
                <c:ptCount val="1"/>
                <c:pt idx="0">
                  <c:v>Credit</c:v>
                </c:pt>
              </c:strCache>
            </c:strRef>
          </c:tx>
          <c:spPr>
            <a:solidFill>
              <a:schemeClr val="accent3"/>
            </a:solidFill>
            <a:ln>
              <a:solidFill>
                <a:schemeClr val="tx1">
                  <a:lumMod val="95000"/>
                  <a:lumOff val="5000"/>
                </a:schemeClr>
              </a:solidFill>
            </a:ln>
            <a:effectLst/>
          </c:spPr>
          <c:invertIfNegative val="0"/>
          <c:cat>
            <c:strRef>
              <c:f>Report!$AA$31:$AA$35</c:f>
              <c:strCache>
                <c:ptCount val="5"/>
                <c:pt idx="0">
                  <c:v>Transportation</c:v>
                </c:pt>
                <c:pt idx="1">
                  <c:v>Disassembly</c:v>
                </c:pt>
                <c:pt idx="2">
                  <c:v>Recycling</c:v>
                </c:pt>
                <c:pt idx="3">
                  <c:v>Material conversion</c:v>
                </c:pt>
                <c:pt idx="4">
                  <c:v>Cathode production</c:v>
                </c:pt>
              </c:strCache>
            </c:strRef>
          </c:cat>
          <c:val>
            <c:numRef>
              <c:f>Report!$AC$31:$AC$35</c:f>
              <c:numCache>
                <c:formatCode>0.00</c:formatCode>
                <c:ptCount val="5"/>
                <c:pt idx="1">
                  <c:v>0</c:v>
                </c:pt>
                <c:pt idx="2">
                  <c:v>#N/A</c:v>
                </c:pt>
              </c:numCache>
            </c:numRef>
          </c:val>
          <c:extLst>
            <c:ext xmlns:c16="http://schemas.microsoft.com/office/drawing/2014/chart" uri="{C3380CC4-5D6E-409C-BE32-E72D297353CC}">
              <c16:uniqueId val="{00000001-EDB5-E945-A156-FDE61E1177CC}"/>
            </c:ext>
          </c:extLst>
        </c:ser>
        <c:dLbls>
          <c:showLegendKey val="0"/>
          <c:showVal val="0"/>
          <c:showCatName val="0"/>
          <c:showSerName val="0"/>
          <c:showPercent val="0"/>
          <c:showBubbleSize val="0"/>
        </c:dLbls>
        <c:gapWidth val="150"/>
        <c:overlap val="100"/>
        <c:axId val="406123736"/>
        <c:axId val="406125304"/>
      </c:barChart>
      <c:catAx>
        <c:axId val="406123736"/>
        <c:scaling>
          <c:orientation val="minMax"/>
        </c:scaling>
        <c:delete val="0"/>
        <c:axPos val="t"/>
        <c:numFmt formatCode="General" sourceLinked="1"/>
        <c:majorTickMark val="none"/>
        <c:minorTickMark val="none"/>
        <c:tickLblPos val="nextTo"/>
        <c:spPr>
          <a:noFill/>
          <a:ln w="9525" cap="flat" cmpd="sng" algn="ctr">
            <a:solidFill>
              <a:schemeClr val="tx1">
                <a:lumMod val="95000"/>
                <a:lumOff val="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95000"/>
                    <a:lumOff val="5000"/>
                  </a:schemeClr>
                </a:solidFill>
                <a:latin typeface="+mn-lt"/>
                <a:ea typeface="+mn-ea"/>
                <a:cs typeface="+mn-cs"/>
              </a:defRPr>
            </a:pPr>
            <a:endParaRPr lang="en-US"/>
          </a:p>
        </c:txPr>
        <c:crossAx val="406125304"/>
        <c:crosses val="max"/>
        <c:auto val="1"/>
        <c:lblAlgn val="ctr"/>
        <c:lblOffset val="100"/>
        <c:noMultiLvlLbl val="0"/>
      </c:catAx>
      <c:valAx>
        <c:axId val="4061253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95000"/>
                    <a:lumOff val="5000"/>
                  </a:schemeClr>
                </a:solidFill>
                <a:latin typeface="+mn-lt"/>
                <a:ea typeface="+mn-ea"/>
                <a:cs typeface="+mn-cs"/>
              </a:defRPr>
            </a:pPr>
            <a:endParaRPr lang="en-US"/>
          </a:p>
        </c:txPr>
        <c:crossAx val="406123736"/>
        <c:crosses val="autoZero"/>
        <c:crossBetween val="between"/>
      </c:valAx>
      <c:dTable>
        <c:showHorzBorder val="1"/>
        <c:showVertBorder val="1"/>
        <c:showOutline val="1"/>
        <c:showKeys val="1"/>
        <c:spPr>
          <a:noFill/>
          <a:ln w="9525" cap="flat" cmpd="sng" algn="ctr">
            <a:solidFill>
              <a:schemeClr val="tx1">
                <a:lumMod val="95000"/>
                <a:lumOff val="5000"/>
              </a:schemeClr>
            </a:solidFill>
            <a:round/>
          </a:ln>
          <a:effectLst/>
        </c:spPr>
        <c:txPr>
          <a:bodyPr rot="0" spcFirstLastPara="1" vertOverflow="ellipsis" vert="horz" wrap="square" anchor="ctr" anchorCtr="1"/>
          <a:lstStyle/>
          <a:p>
            <a:pPr rtl="0">
              <a:defRPr sz="1200" b="1" i="0" u="none" strike="noStrike" kern="1200" baseline="0">
                <a:solidFill>
                  <a:schemeClr val="tx1">
                    <a:lumMod val="95000"/>
                    <a:lumOff val="5000"/>
                  </a:schemeClr>
                </a:solidFill>
                <a:latin typeface="+mn-lt"/>
                <a:ea typeface="+mn-ea"/>
                <a:cs typeface="+mn-cs"/>
              </a:defRPr>
            </a:pPr>
            <a:endParaRPr lang="en-US"/>
          </a:p>
        </c:txPr>
      </c:dTable>
      <c:spPr>
        <a:noFill/>
        <a:ln>
          <a:solidFill>
            <a:schemeClr val="tx1">
              <a:lumMod val="95000"/>
              <a:lumOff val="5000"/>
            </a:schemeClr>
          </a:solid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'Unit Ops'!$ID$109</c:f>
              <c:strCache>
                <c:ptCount val="1"/>
                <c:pt idx="0">
                  <c:v>Horsepower</c:v>
                </c:pt>
              </c:strCache>
            </c:strRef>
          </c:tx>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'Unit Ops'!$IC$110:$IC$120</c:f>
              <c:numCache>
                <c:formatCode>General</c:formatCode>
                <c:ptCount val="11"/>
                <c:pt idx="2" formatCode="0.00">
                  <c:v>0.29166666666666669</c:v>
                </c:pt>
                <c:pt idx="3" formatCode="0.00">
                  <c:v>0.375</c:v>
                </c:pt>
                <c:pt idx="4" formatCode="0.00">
                  <c:v>0.54166666666666663</c:v>
                </c:pt>
                <c:pt idx="5" formatCode="0.00">
                  <c:v>0.5</c:v>
                </c:pt>
                <c:pt idx="6" formatCode="0.00">
                  <c:v>0.66666666666666663</c:v>
                </c:pt>
                <c:pt idx="7" formatCode="0.00">
                  <c:v>1.0833333333333333</c:v>
                </c:pt>
                <c:pt idx="8" formatCode="0.00">
                  <c:v>0.91666666666666663</c:v>
                </c:pt>
                <c:pt idx="9" formatCode="0.00">
                  <c:v>1.375</c:v>
                </c:pt>
                <c:pt idx="10" formatCode="0.00">
                  <c:v>2.25</c:v>
                </c:pt>
              </c:numCache>
            </c:numRef>
          </c:xVal>
          <c:yVal>
            <c:numRef>
              <c:f>'Unit Ops'!$ID$110:$ID$120</c:f>
              <c:numCache>
                <c:formatCode>General</c:formatCode>
                <c:ptCount val="11"/>
                <c:pt idx="0">
                  <c:v>10</c:v>
                </c:pt>
                <c:pt idx="1">
                  <c:v>15</c:v>
                </c:pt>
                <c:pt idx="2">
                  <c:v>15</c:v>
                </c:pt>
                <c:pt idx="3">
                  <c:v>20</c:v>
                </c:pt>
                <c:pt idx="4">
                  <c:v>25</c:v>
                </c:pt>
                <c:pt idx="5">
                  <c:v>20</c:v>
                </c:pt>
                <c:pt idx="6">
                  <c:v>30</c:v>
                </c:pt>
                <c:pt idx="7">
                  <c:v>50</c:v>
                </c:pt>
                <c:pt idx="8">
                  <c:v>40</c:v>
                </c:pt>
                <c:pt idx="9">
                  <c:v>60</c:v>
                </c:pt>
                <c:pt idx="10">
                  <c:v>125</c:v>
                </c:pt>
              </c:numCache>
            </c:numRef>
          </c:yVal>
          <c:smooth val="0"/>
          <c:extLst>
            <c:ext xmlns:c16="http://schemas.microsoft.com/office/drawing/2014/chart" uri="{C3380CC4-5D6E-409C-BE32-E72D297353CC}">
              <c16:uniqueId val="{00000001-4062-BD41-9089-A0EE19F04A4D}"/>
            </c:ext>
          </c:extLst>
        </c:ser>
        <c:dLbls>
          <c:showLegendKey val="0"/>
          <c:showVal val="0"/>
          <c:showCatName val="0"/>
          <c:showSerName val="0"/>
          <c:showPercent val="0"/>
          <c:showBubbleSize val="0"/>
        </c:dLbls>
        <c:axId val="503143376"/>
        <c:axId val="503138672"/>
      </c:scatterChart>
      <c:valAx>
        <c:axId val="5031433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138672"/>
        <c:crosses val="autoZero"/>
        <c:crossBetween val="midCat"/>
      </c:valAx>
      <c:valAx>
        <c:axId val="503138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14337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'Unit Ops'!$MC$109</c:f>
              <c:strCache>
                <c:ptCount val="1"/>
                <c:pt idx="0">
                  <c:v>Matche (2014$)</c:v>
                </c:pt>
              </c:strCache>
            </c:strRef>
          </c:tx>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1"/>
            <c:dispEq val="1"/>
            <c:trendlineLbl>
              <c:layout>
                <c:manualLayout>
                  <c:x val="-0.20950240594925634"/>
                  <c:y val="-1.8935185185185208E-2"/>
                </c:manualLayout>
              </c:layout>
              <c:numFmt formatCode="#,##0.0000"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'Unit Ops'!$MB$110:$MB$116</c:f>
              <c:numCache>
                <c:formatCode>General</c:formatCode>
                <c:ptCount val="7"/>
                <c:pt idx="0">
                  <c:v>0.5</c:v>
                </c:pt>
                <c:pt idx="1">
                  <c:v>1.25</c:v>
                </c:pt>
                <c:pt idx="2">
                  <c:v>2</c:v>
                </c:pt>
                <c:pt idx="3">
                  <c:v>2.5</c:v>
                </c:pt>
                <c:pt idx="4">
                  <c:v>3.25</c:v>
                </c:pt>
                <c:pt idx="5">
                  <c:v>3.75</c:v>
                </c:pt>
                <c:pt idx="6">
                  <c:v>4.5</c:v>
                </c:pt>
              </c:numCache>
            </c:numRef>
          </c:xVal>
          <c:yVal>
            <c:numRef>
              <c:f>'Unit Ops'!$MC$110:$MC$116</c:f>
              <c:numCache>
                <c:formatCode>_("$"* #,##0.00_);_("$"* \(#,##0.00\);_("$"* "-"??_);_(@_)</c:formatCode>
                <c:ptCount val="7"/>
                <c:pt idx="0">
                  <c:v>921300</c:v>
                </c:pt>
                <c:pt idx="1">
                  <c:v>1472900</c:v>
                </c:pt>
                <c:pt idx="2">
                  <c:v>1873600</c:v>
                </c:pt>
                <c:pt idx="3">
                  <c:v>2100300</c:v>
                </c:pt>
                <c:pt idx="4">
                  <c:v>2402300</c:v>
                </c:pt>
                <c:pt idx="5">
                  <c:v>2584900</c:v>
                </c:pt>
                <c:pt idx="6">
                  <c:v>2837800</c:v>
                </c:pt>
              </c:numCache>
            </c:numRef>
          </c:yVal>
          <c:smooth val="0"/>
          <c:extLst>
            <c:ext xmlns:c16="http://schemas.microsoft.com/office/drawing/2014/chart" uri="{C3380CC4-5D6E-409C-BE32-E72D297353CC}">
              <c16:uniqueId val="{00000001-E49C-0A43-8840-0990AF3571F0}"/>
            </c:ext>
          </c:extLst>
        </c:ser>
        <c:dLbls>
          <c:showLegendKey val="0"/>
          <c:showVal val="0"/>
          <c:showCatName val="0"/>
          <c:showSerName val="0"/>
          <c:showPercent val="0"/>
          <c:showBubbleSize val="0"/>
        </c:dLbls>
        <c:axId val="503143768"/>
        <c:axId val="503137496"/>
      </c:scatterChart>
      <c:valAx>
        <c:axId val="5031437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137496"/>
        <c:crosses val="autoZero"/>
        <c:crossBetween val="midCat"/>
      </c:valAx>
      <c:valAx>
        <c:axId val="503137496"/>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14376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'Unit Ops'!$AGC$109</c:f>
              <c:strCache>
                <c:ptCount val="1"/>
                <c:pt idx="0">
                  <c:v>Matche cost (2014$)</c:v>
                </c:pt>
              </c:strCache>
            </c:strRef>
          </c:tx>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1"/>
            <c:dispEq val="1"/>
            <c:trendlineLbl>
              <c:numFmt formatCode="#,##0.0000"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'Unit Ops'!$AGB$110:$AGB$115</c:f>
              <c:numCache>
                <c:formatCode>General</c:formatCode>
                <c:ptCount val="6"/>
                <c:pt idx="0">
                  <c:v>0.5</c:v>
                </c:pt>
                <c:pt idx="1">
                  <c:v>1</c:v>
                </c:pt>
                <c:pt idx="2">
                  <c:v>2</c:v>
                </c:pt>
                <c:pt idx="3">
                  <c:v>2.8</c:v>
                </c:pt>
                <c:pt idx="4">
                  <c:v>3.5</c:v>
                </c:pt>
                <c:pt idx="5">
                  <c:v>5</c:v>
                </c:pt>
              </c:numCache>
            </c:numRef>
          </c:xVal>
          <c:yVal>
            <c:numRef>
              <c:f>'Unit Ops'!$AGC$110:$AGC$115</c:f>
              <c:numCache>
                <c:formatCode>General</c:formatCode>
                <c:ptCount val="6"/>
                <c:pt idx="0">
                  <c:v>91000</c:v>
                </c:pt>
                <c:pt idx="1">
                  <c:v>131400</c:v>
                </c:pt>
                <c:pt idx="2">
                  <c:v>189800</c:v>
                </c:pt>
                <c:pt idx="3">
                  <c:v>226800</c:v>
                </c:pt>
                <c:pt idx="4">
                  <c:v>255300</c:v>
                </c:pt>
                <c:pt idx="5">
                  <c:v>308400</c:v>
                </c:pt>
              </c:numCache>
            </c:numRef>
          </c:yVal>
          <c:smooth val="0"/>
          <c:extLst>
            <c:ext xmlns:c16="http://schemas.microsoft.com/office/drawing/2014/chart" uri="{C3380CC4-5D6E-409C-BE32-E72D297353CC}">
              <c16:uniqueId val="{00000001-2DD1-614B-B29D-F1913335348D}"/>
            </c:ext>
          </c:extLst>
        </c:ser>
        <c:dLbls>
          <c:showLegendKey val="0"/>
          <c:showVal val="0"/>
          <c:showCatName val="0"/>
          <c:showSerName val="0"/>
          <c:showPercent val="0"/>
          <c:showBubbleSize val="0"/>
        </c:dLbls>
        <c:axId val="503136712"/>
        <c:axId val="503138280"/>
      </c:scatterChart>
      <c:valAx>
        <c:axId val="5031367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138280"/>
        <c:crosses val="autoZero"/>
        <c:crossBetween val="midCat"/>
      </c:valAx>
      <c:valAx>
        <c:axId val="5031382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13671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'Unit Ops'!$AJC$109</c:f>
              <c:strCache>
                <c:ptCount val="1"/>
                <c:pt idx="0">
                  <c:v>Horsepower</c:v>
                </c:pt>
              </c:strCache>
            </c:strRef>
          </c:tx>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'Unit Ops'!$AJB$110:$AJB$115</c:f>
              <c:numCache>
                <c:formatCode>General</c:formatCode>
                <c:ptCount val="6"/>
                <c:pt idx="0">
                  <c:v>0.5</c:v>
                </c:pt>
                <c:pt idx="1">
                  <c:v>3</c:v>
                </c:pt>
                <c:pt idx="2">
                  <c:v>5</c:v>
                </c:pt>
                <c:pt idx="3">
                  <c:v>10</c:v>
                </c:pt>
                <c:pt idx="4">
                  <c:v>18</c:v>
                </c:pt>
                <c:pt idx="5">
                  <c:v>30</c:v>
                </c:pt>
              </c:numCache>
            </c:numRef>
          </c:xVal>
          <c:yVal>
            <c:numRef>
              <c:f>'Unit Ops'!$AJC$110:$AJC$115</c:f>
              <c:numCache>
                <c:formatCode>General</c:formatCode>
                <c:ptCount val="6"/>
                <c:pt idx="0">
                  <c:v>1</c:v>
                </c:pt>
                <c:pt idx="1">
                  <c:v>3</c:v>
                </c:pt>
                <c:pt idx="2">
                  <c:v>6</c:v>
                </c:pt>
                <c:pt idx="3">
                  <c:v>12</c:v>
                </c:pt>
                <c:pt idx="4">
                  <c:v>25</c:v>
                </c:pt>
                <c:pt idx="5">
                  <c:v>40</c:v>
                </c:pt>
              </c:numCache>
            </c:numRef>
          </c:yVal>
          <c:smooth val="0"/>
          <c:extLst>
            <c:ext xmlns:c16="http://schemas.microsoft.com/office/drawing/2014/chart" uri="{C3380CC4-5D6E-409C-BE32-E72D297353CC}">
              <c16:uniqueId val="{00000001-BEB5-BD47-9FE0-F90D734B533E}"/>
            </c:ext>
          </c:extLst>
        </c:ser>
        <c:dLbls>
          <c:showLegendKey val="0"/>
          <c:showVal val="0"/>
          <c:showCatName val="0"/>
          <c:showSerName val="0"/>
          <c:showPercent val="0"/>
          <c:showBubbleSize val="0"/>
        </c:dLbls>
        <c:axId val="503139064"/>
        <c:axId val="503139848"/>
      </c:scatterChart>
      <c:scatterChart>
        <c:scatterStyle val="lineMarker"/>
        <c:varyColors val="0"/>
        <c:ser>
          <c:idx val="1"/>
          <c:order val="1"/>
          <c:tx>
            <c:strRef>
              <c:f>'Unit Ops'!$AJD$109</c:f>
              <c:strCache>
                <c:ptCount val="1"/>
                <c:pt idx="0">
                  <c:v>Matche cost in 2014$</c:v>
                </c:pt>
              </c:strCache>
            </c:strRef>
          </c:tx>
          <c:spPr>
            <a:ln w="2540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power"/>
            <c:dispRSqr val="1"/>
            <c:dispEq val="1"/>
            <c:trendlineLbl>
              <c:layout>
                <c:manualLayout>
                  <c:x val="-0.29937860892388451"/>
                  <c:y val="5.0333552055992999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'Unit Ops'!$AJB$110:$AJB$115</c:f>
              <c:numCache>
                <c:formatCode>General</c:formatCode>
                <c:ptCount val="6"/>
                <c:pt idx="0">
                  <c:v>0.5</c:v>
                </c:pt>
                <c:pt idx="1">
                  <c:v>3</c:v>
                </c:pt>
                <c:pt idx="2">
                  <c:v>5</c:v>
                </c:pt>
                <c:pt idx="3">
                  <c:v>10</c:v>
                </c:pt>
                <c:pt idx="4">
                  <c:v>18</c:v>
                </c:pt>
                <c:pt idx="5">
                  <c:v>30</c:v>
                </c:pt>
              </c:numCache>
            </c:numRef>
          </c:xVal>
          <c:yVal>
            <c:numRef>
              <c:f>'Unit Ops'!$AJD$110:$AJD$115</c:f>
              <c:numCache>
                <c:formatCode>General</c:formatCode>
                <c:ptCount val="6"/>
                <c:pt idx="0">
                  <c:v>19800</c:v>
                </c:pt>
                <c:pt idx="1">
                  <c:v>51100</c:v>
                </c:pt>
                <c:pt idx="2">
                  <c:v>95600</c:v>
                </c:pt>
                <c:pt idx="3">
                  <c:v>149100</c:v>
                </c:pt>
                <c:pt idx="4">
                  <c:v>210500</c:v>
                </c:pt>
                <c:pt idx="5">
                  <c:v>279000</c:v>
                </c:pt>
              </c:numCache>
            </c:numRef>
          </c:yVal>
          <c:smooth val="0"/>
          <c:extLst>
            <c:ext xmlns:c16="http://schemas.microsoft.com/office/drawing/2014/chart" uri="{C3380CC4-5D6E-409C-BE32-E72D297353CC}">
              <c16:uniqueId val="{00000003-BEB5-BD47-9FE0-F90D734B533E}"/>
            </c:ext>
          </c:extLst>
        </c:ser>
        <c:dLbls>
          <c:showLegendKey val="0"/>
          <c:showVal val="0"/>
          <c:showCatName val="0"/>
          <c:showSerName val="0"/>
          <c:showPercent val="0"/>
          <c:showBubbleSize val="0"/>
        </c:dLbls>
        <c:axId val="406124128"/>
        <c:axId val="406126480"/>
      </c:scatterChart>
      <c:valAx>
        <c:axId val="5031390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139848"/>
        <c:crosses val="autoZero"/>
        <c:crossBetween val="midCat"/>
      </c:valAx>
      <c:valAx>
        <c:axId val="5031398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139064"/>
        <c:crosses val="autoZero"/>
        <c:crossBetween val="midCat"/>
      </c:valAx>
      <c:valAx>
        <c:axId val="406126480"/>
        <c:scaling>
          <c:orientation val="minMax"/>
        </c:scaling>
        <c:delete val="0"/>
        <c:axPos val="r"/>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124128"/>
        <c:crosses val="max"/>
        <c:crossBetween val="midCat"/>
      </c:valAx>
      <c:valAx>
        <c:axId val="406124128"/>
        <c:scaling>
          <c:orientation val="minMax"/>
        </c:scaling>
        <c:delete val="1"/>
        <c:axPos val="b"/>
        <c:numFmt formatCode="General" sourceLinked="1"/>
        <c:majorTickMark val="out"/>
        <c:minorTickMark val="none"/>
        <c:tickLblPos val="nextTo"/>
        <c:crossAx val="40612648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'Unit Ops'!$ATC$109</c:f>
              <c:strCache>
                <c:ptCount val="1"/>
                <c:pt idx="0">
                  <c:v>Matche cost (2014$)</c:v>
                </c:pt>
              </c:strCache>
            </c:strRef>
          </c:tx>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1"/>
            <c:dispEq val="1"/>
            <c:trendlineLbl>
              <c:layout>
                <c:manualLayout>
                  <c:x val="-0.2341058617672791"/>
                  <c:y val="-4.2083333333333334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'Unit Ops'!$ATB$110:$ATB$117</c:f>
              <c:numCache>
                <c:formatCode>General</c:formatCode>
                <c:ptCount val="8"/>
                <c:pt idx="0">
                  <c:v>0.2</c:v>
                </c:pt>
                <c:pt idx="1">
                  <c:v>0.4</c:v>
                </c:pt>
                <c:pt idx="2">
                  <c:v>0.5</c:v>
                </c:pt>
                <c:pt idx="3">
                  <c:v>0.7</c:v>
                </c:pt>
                <c:pt idx="4">
                  <c:v>0.8</c:v>
                </c:pt>
                <c:pt idx="5">
                  <c:v>1</c:v>
                </c:pt>
                <c:pt idx="6">
                  <c:v>1.3</c:v>
                </c:pt>
                <c:pt idx="7">
                  <c:v>1.5</c:v>
                </c:pt>
              </c:numCache>
            </c:numRef>
          </c:xVal>
          <c:yVal>
            <c:numRef>
              <c:f>'Unit Ops'!$ATC$110:$ATC$117</c:f>
              <c:numCache>
                <c:formatCode>_("$"* #,##0.00_);_("$"* \(#,##0.00\);_("$"* "-"??_);_(@_)</c:formatCode>
                <c:ptCount val="8"/>
                <c:pt idx="0">
                  <c:v>230400</c:v>
                </c:pt>
                <c:pt idx="1">
                  <c:v>314300</c:v>
                </c:pt>
                <c:pt idx="2">
                  <c:v>347400</c:v>
                </c:pt>
                <c:pt idx="3">
                  <c:v>403900</c:v>
                </c:pt>
                <c:pt idx="4">
                  <c:v>428800</c:v>
                </c:pt>
                <c:pt idx="5">
                  <c:v>473900</c:v>
                </c:pt>
                <c:pt idx="6">
                  <c:v>533000</c:v>
                </c:pt>
                <c:pt idx="7">
                  <c:v>568300</c:v>
                </c:pt>
              </c:numCache>
            </c:numRef>
          </c:yVal>
          <c:smooth val="0"/>
          <c:extLst>
            <c:ext xmlns:c16="http://schemas.microsoft.com/office/drawing/2014/chart" uri="{C3380CC4-5D6E-409C-BE32-E72D297353CC}">
              <c16:uniqueId val="{00000000-E8D9-9341-A669-44F336F86996}"/>
            </c:ext>
          </c:extLst>
        </c:ser>
        <c:dLbls>
          <c:showLegendKey val="0"/>
          <c:showVal val="0"/>
          <c:showCatName val="0"/>
          <c:showSerName val="0"/>
          <c:showPercent val="0"/>
          <c:showBubbleSize val="0"/>
        </c:dLbls>
        <c:axId val="406126872"/>
        <c:axId val="354697544"/>
      </c:scatterChart>
      <c:valAx>
        <c:axId val="40612687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4697544"/>
        <c:crosses val="autoZero"/>
        <c:crossBetween val="midCat"/>
      </c:valAx>
      <c:valAx>
        <c:axId val="354697544"/>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126872"/>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'Unit Ops'!$BIC$109</c:f>
              <c:strCache>
                <c:ptCount val="1"/>
                <c:pt idx="0">
                  <c:v>Matche cost (2014$)</c:v>
                </c:pt>
              </c:strCache>
            </c:strRef>
          </c:tx>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1"/>
            <c:dispEq val="1"/>
            <c:trendlineLbl>
              <c:layout>
                <c:manualLayout>
                  <c:x val="-0.26603674540682415"/>
                  <c:y val="-4.6712962962962963E-2"/>
                </c:manualLayout>
              </c:layout>
              <c:numFmt formatCode="#,##0.0000"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'Unit Ops'!$BIB$110:$BIB$117</c:f>
              <c:numCache>
                <c:formatCode>General</c:formatCode>
                <c:ptCount val="8"/>
                <c:pt idx="0">
                  <c:v>0.5</c:v>
                </c:pt>
                <c:pt idx="1">
                  <c:v>1</c:v>
                </c:pt>
                <c:pt idx="2">
                  <c:v>1.25</c:v>
                </c:pt>
                <c:pt idx="3">
                  <c:v>1.5</c:v>
                </c:pt>
                <c:pt idx="4">
                  <c:v>1.75</c:v>
                </c:pt>
                <c:pt idx="5">
                  <c:v>2</c:v>
                </c:pt>
                <c:pt idx="6">
                  <c:v>2.5</c:v>
                </c:pt>
                <c:pt idx="7">
                  <c:v>5</c:v>
                </c:pt>
              </c:numCache>
            </c:numRef>
          </c:xVal>
          <c:yVal>
            <c:numRef>
              <c:f>'Unit Ops'!$BIC$110:$BIC$117</c:f>
              <c:numCache>
                <c:formatCode>General</c:formatCode>
                <c:ptCount val="8"/>
                <c:pt idx="0">
                  <c:v>4400800</c:v>
                </c:pt>
                <c:pt idx="1">
                  <c:v>6138000</c:v>
                </c:pt>
                <c:pt idx="2">
                  <c:v>6831900</c:v>
                </c:pt>
                <c:pt idx="3">
                  <c:v>7456700</c:v>
                </c:pt>
                <c:pt idx="4">
                  <c:v>8029400</c:v>
                </c:pt>
                <c:pt idx="5">
                  <c:v>8560900</c:v>
                </c:pt>
                <c:pt idx="6">
                  <c:v>9528800</c:v>
                </c:pt>
                <c:pt idx="7">
                  <c:v>13290200</c:v>
                </c:pt>
              </c:numCache>
            </c:numRef>
          </c:yVal>
          <c:smooth val="0"/>
          <c:extLst>
            <c:ext xmlns:c16="http://schemas.microsoft.com/office/drawing/2014/chart" uri="{C3380CC4-5D6E-409C-BE32-E72D297353CC}">
              <c16:uniqueId val="{00000000-2799-BB44-B719-06A94707ACC6}"/>
            </c:ext>
          </c:extLst>
        </c:ser>
        <c:dLbls>
          <c:showLegendKey val="0"/>
          <c:showVal val="0"/>
          <c:showCatName val="0"/>
          <c:showSerName val="0"/>
          <c:showPercent val="0"/>
          <c:showBubbleSize val="0"/>
        </c:dLbls>
        <c:axId val="403121816"/>
        <c:axId val="403116720"/>
      </c:scatterChart>
      <c:valAx>
        <c:axId val="40312181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116720"/>
        <c:crosses val="autoZero"/>
        <c:crossBetween val="midCat"/>
      </c:valAx>
      <c:valAx>
        <c:axId val="403116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12181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'Unit Ops'!$AXC$109</c:f>
              <c:strCache>
                <c:ptCount val="1"/>
                <c:pt idx="0">
                  <c:v>Matche cost (2014$)</c:v>
                </c:pt>
              </c:strCache>
            </c:strRef>
          </c:tx>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1"/>
            <c:dispEq val="1"/>
            <c:trendlineLbl>
              <c:layout>
                <c:manualLayout>
                  <c:x val="-0.26079593175853011"/>
                  <c:y val="-2.4909959171770194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'Unit Ops'!$AXB$110:$AXB$115</c:f>
              <c:numCache>
                <c:formatCode>General</c:formatCode>
                <c:ptCount val="6"/>
                <c:pt idx="0">
                  <c:v>0.25</c:v>
                </c:pt>
                <c:pt idx="1">
                  <c:v>0.5</c:v>
                </c:pt>
                <c:pt idx="2">
                  <c:v>0.75</c:v>
                </c:pt>
                <c:pt idx="3">
                  <c:v>1</c:v>
                </c:pt>
                <c:pt idx="4">
                  <c:v>1.25</c:v>
                </c:pt>
                <c:pt idx="5">
                  <c:v>1.5</c:v>
                </c:pt>
              </c:numCache>
            </c:numRef>
          </c:xVal>
          <c:yVal>
            <c:numRef>
              <c:f>'Unit Ops'!$AXC$110:$AXC$115</c:f>
              <c:numCache>
                <c:formatCode>General</c:formatCode>
                <c:ptCount val="6"/>
                <c:pt idx="0">
                  <c:v>172300</c:v>
                </c:pt>
                <c:pt idx="1">
                  <c:v>291900</c:v>
                </c:pt>
                <c:pt idx="2">
                  <c:v>397200</c:v>
                </c:pt>
                <c:pt idx="3">
                  <c:v>494300</c:v>
                </c:pt>
                <c:pt idx="4">
                  <c:v>585600</c:v>
                </c:pt>
                <c:pt idx="5">
                  <c:v>672700</c:v>
                </c:pt>
              </c:numCache>
            </c:numRef>
          </c:yVal>
          <c:smooth val="0"/>
          <c:extLst>
            <c:ext xmlns:c16="http://schemas.microsoft.com/office/drawing/2014/chart" uri="{C3380CC4-5D6E-409C-BE32-E72D297353CC}">
              <c16:uniqueId val="{00000000-8A1F-7443-92E6-90E4CAE9BACE}"/>
            </c:ext>
          </c:extLst>
        </c:ser>
        <c:dLbls>
          <c:showLegendKey val="0"/>
          <c:showVal val="0"/>
          <c:showCatName val="0"/>
          <c:showSerName val="0"/>
          <c:showPercent val="0"/>
          <c:showBubbleSize val="0"/>
        </c:dLbls>
        <c:axId val="403116328"/>
        <c:axId val="403115936"/>
      </c:scatterChart>
      <c:valAx>
        <c:axId val="4031163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115936"/>
        <c:crosses val="autoZero"/>
        <c:crossBetween val="midCat"/>
      </c:valAx>
      <c:valAx>
        <c:axId val="4031159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116328"/>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'Unit Ops'!$BCC$111</c:f>
              <c:strCache>
                <c:ptCount val="1"/>
                <c:pt idx="0">
                  <c:v>Matche cost ($2014)</c:v>
                </c:pt>
              </c:strCache>
            </c:strRef>
          </c:tx>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layout>
                <c:manualLayout>
                  <c:x val="-0.19103280839895012"/>
                  <c:y val="-1.4586614173228346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'Unit Ops'!$BCB$112:$BCB$117</c:f>
              <c:numCache>
                <c:formatCode>General</c:formatCode>
                <c:ptCount val="6"/>
                <c:pt idx="0">
                  <c:v>1.5</c:v>
                </c:pt>
                <c:pt idx="1">
                  <c:v>2.5</c:v>
                </c:pt>
                <c:pt idx="2">
                  <c:v>3.5</c:v>
                </c:pt>
                <c:pt idx="3">
                  <c:v>5</c:v>
                </c:pt>
                <c:pt idx="4">
                  <c:v>10</c:v>
                </c:pt>
                <c:pt idx="5">
                  <c:v>20</c:v>
                </c:pt>
              </c:numCache>
            </c:numRef>
          </c:xVal>
          <c:yVal>
            <c:numRef>
              <c:f>'Unit Ops'!$BCC$112:$BCC$117</c:f>
              <c:numCache>
                <c:formatCode>General</c:formatCode>
                <c:ptCount val="6"/>
                <c:pt idx="0">
                  <c:v>5800</c:v>
                </c:pt>
                <c:pt idx="1">
                  <c:v>6900</c:v>
                </c:pt>
                <c:pt idx="2">
                  <c:v>8000</c:v>
                </c:pt>
                <c:pt idx="3">
                  <c:v>9700</c:v>
                </c:pt>
                <c:pt idx="4">
                  <c:v>15600</c:v>
                </c:pt>
                <c:pt idx="5">
                  <c:v>28300</c:v>
                </c:pt>
              </c:numCache>
            </c:numRef>
          </c:yVal>
          <c:smooth val="0"/>
          <c:extLst>
            <c:ext xmlns:c16="http://schemas.microsoft.com/office/drawing/2014/chart" uri="{C3380CC4-5D6E-409C-BE32-E72D297353CC}">
              <c16:uniqueId val="{00000001-49A6-9045-BED2-B5171AD8970D}"/>
            </c:ext>
          </c:extLst>
        </c:ser>
        <c:dLbls>
          <c:showLegendKey val="0"/>
          <c:showVal val="0"/>
          <c:showCatName val="0"/>
          <c:showSerName val="0"/>
          <c:showPercent val="0"/>
          <c:showBubbleSize val="0"/>
        </c:dLbls>
        <c:axId val="403119856"/>
        <c:axId val="403115152"/>
      </c:scatterChart>
      <c:valAx>
        <c:axId val="4031198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115152"/>
        <c:crosses val="autoZero"/>
        <c:crossBetween val="midCat"/>
      </c:valAx>
      <c:valAx>
        <c:axId val="403115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11985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'Unit Ops'!$LB$109:$LB$113</c:f>
              <c:numCache>
                <c:formatCode>General</c:formatCode>
                <c:ptCount val="5"/>
                <c:pt idx="0">
                  <c:v>3.6</c:v>
                </c:pt>
                <c:pt idx="1">
                  <c:v>7.2</c:v>
                </c:pt>
                <c:pt idx="2">
                  <c:v>18</c:v>
                </c:pt>
                <c:pt idx="3">
                  <c:v>25.2</c:v>
                </c:pt>
                <c:pt idx="4">
                  <c:v>36</c:v>
                </c:pt>
              </c:numCache>
            </c:numRef>
          </c:xVal>
          <c:yVal>
            <c:numRef>
              <c:f>'Unit Ops'!$LC$109:$LC$113</c:f>
              <c:numCache>
                <c:formatCode>General</c:formatCode>
                <c:ptCount val="5"/>
                <c:pt idx="0">
                  <c:v>16048</c:v>
                </c:pt>
                <c:pt idx="1">
                  <c:v>21111</c:v>
                </c:pt>
                <c:pt idx="2">
                  <c:v>36300</c:v>
                </c:pt>
                <c:pt idx="3">
                  <c:v>46427</c:v>
                </c:pt>
                <c:pt idx="4">
                  <c:v>61616</c:v>
                </c:pt>
              </c:numCache>
            </c:numRef>
          </c:yVal>
          <c:smooth val="0"/>
          <c:extLst>
            <c:ext xmlns:c16="http://schemas.microsoft.com/office/drawing/2014/chart" uri="{C3380CC4-5D6E-409C-BE32-E72D297353CC}">
              <c16:uniqueId val="{00000001-D063-8346-8031-E5148504B38C}"/>
            </c:ext>
          </c:extLst>
        </c:ser>
        <c:dLbls>
          <c:showLegendKey val="0"/>
          <c:showVal val="0"/>
          <c:showCatName val="0"/>
          <c:showSerName val="0"/>
          <c:showPercent val="0"/>
          <c:showBubbleSize val="0"/>
        </c:dLbls>
        <c:axId val="403120248"/>
        <c:axId val="403117504"/>
      </c:scatterChart>
      <c:valAx>
        <c:axId val="4031202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117504"/>
        <c:crosses val="autoZero"/>
        <c:crossBetween val="midCat"/>
      </c:valAx>
      <c:valAx>
        <c:axId val="4031175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12024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'Unit Ops'!$PC$108</c:f>
              <c:strCache>
                <c:ptCount val="1"/>
                <c:pt idx="0">
                  <c:v>Cost ($2002)</c:v>
                </c:pt>
              </c:strCache>
            </c:strRef>
          </c:tx>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1"/>
            <c:dispEq val="1"/>
            <c:trendlineLbl>
              <c:layout>
                <c:manualLayout>
                  <c:x val="-3.0499404298012154E-2"/>
                  <c:y val="-6.0448143982002253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'Unit Ops'!$PB$109:$PB$114</c:f>
              <c:numCache>
                <c:formatCode>General</c:formatCode>
                <c:ptCount val="6"/>
                <c:pt idx="0">
                  <c:v>3.6</c:v>
                </c:pt>
                <c:pt idx="1">
                  <c:v>7.2</c:v>
                </c:pt>
                <c:pt idx="2">
                  <c:v>18</c:v>
                </c:pt>
                <c:pt idx="3">
                  <c:v>36</c:v>
                </c:pt>
                <c:pt idx="4">
                  <c:v>180</c:v>
                </c:pt>
                <c:pt idx="5">
                  <c:v>360</c:v>
                </c:pt>
              </c:numCache>
            </c:numRef>
          </c:xVal>
          <c:yVal>
            <c:numRef>
              <c:f>'Unit Ops'!$PC$109:$PC$114</c:f>
              <c:numCache>
                <c:formatCode>General</c:formatCode>
                <c:ptCount val="6"/>
                <c:pt idx="0">
                  <c:v>17636</c:v>
                </c:pt>
                <c:pt idx="1">
                  <c:v>21470</c:v>
                </c:pt>
                <c:pt idx="2">
                  <c:v>30709</c:v>
                </c:pt>
                <c:pt idx="3">
                  <c:v>43351</c:v>
                </c:pt>
                <c:pt idx="4">
                  <c:v>123445</c:v>
                </c:pt>
                <c:pt idx="5">
                  <c:v>215377</c:v>
                </c:pt>
              </c:numCache>
            </c:numRef>
          </c:yVal>
          <c:smooth val="0"/>
          <c:extLst>
            <c:ext xmlns:c16="http://schemas.microsoft.com/office/drawing/2014/chart" uri="{C3380CC4-5D6E-409C-BE32-E72D297353CC}">
              <c16:uniqueId val="{00000000-8F4C-0645-984A-1C8284C81193}"/>
            </c:ext>
          </c:extLst>
        </c:ser>
        <c:dLbls>
          <c:showLegendKey val="0"/>
          <c:showVal val="0"/>
          <c:showCatName val="0"/>
          <c:showSerName val="0"/>
          <c:showPercent val="0"/>
          <c:showBubbleSize val="0"/>
        </c:dLbls>
        <c:axId val="355100895"/>
        <c:axId val="355080655"/>
      </c:scatterChart>
      <c:valAx>
        <c:axId val="35510089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5080655"/>
        <c:crosses val="autoZero"/>
        <c:crossBetween val="midCat"/>
      </c:valAx>
      <c:valAx>
        <c:axId val="3550806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510089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'Unit Ops'!$AQB$110:$AQB$116</c:f>
              <c:numCache>
                <c:formatCode>General</c:formatCode>
                <c:ptCount val="7"/>
                <c:pt idx="0">
                  <c:v>0.5</c:v>
                </c:pt>
                <c:pt idx="1">
                  <c:v>1</c:v>
                </c:pt>
                <c:pt idx="2">
                  <c:v>2.5</c:v>
                </c:pt>
                <c:pt idx="3">
                  <c:v>5</c:v>
                </c:pt>
                <c:pt idx="4">
                  <c:v>10</c:v>
                </c:pt>
                <c:pt idx="5">
                  <c:v>25</c:v>
                </c:pt>
                <c:pt idx="6">
                  <c:v>50</c:v>
                </c:pt>
              </c:numCache>
            </c:numRef>
          </c:xVal>
          <c:yVal>
            <c:numRef>
              <c:f>'Unit Ops'!$AQC$110:$AQC$116</c:f>
              <c:numCache>
                <c:formatCode>_("$"* #,##0.00_);_("$"* \(#,##0.00\);_("$"* "-"??_);_(@_)</c:formatCode>
                <c:ptCount val="7"/>
                <c:pt idx="0">
                  <c:v>325400</c:v>
                </c:pt>
                <c:pt idx="1">
                  <c:v>507000</c:v>
                </c:pt>
                <c:pt idx="2">
                  <c:v>911400</c:v>
                </c:pt>
                <c:pt idx="3">
                  <c:v>1420300</c:v>
                </c:pt>
                <c:pt idx="4">
                  <c:v>2213300</c:v>
                </c:pt>
                <c:pt idx="5">
                  <c:v>3978600</c:v>
                </c:pt>
                <c:pt idx="6">
                  <c:v>6200000</c:v>
                </c:pt>
              </c:numCache>
            </c:numRef>
          </c:yVal>
          <c:smooth val="0"/>
          <c:extLst>
            <c:ext xmlns:c16="http://schemas.microsoft.com/office/drawing/2014/chart" uri="{C3380CC4-5D6E-409C-BE32-E72D297353CC}">
              <c16:uniqueId val="{00000000-8982-4F30-8591-93106E240D76}"/>
            </c:ext>
          </c:extLst>
        </c:ser>
        <c:dLbls>
          <c:showLegendKey val="0"/>
          <c:showVal val="0"/>
          <c:showCatName val="0"/>
          <c:showSerName val="0"/>
          <c:showPercent val="0"/>
          <c:showBubbleSize val="0"/>
        </c:dLbls>
        <c:axId val="64752032"/>
        <c:axId val="64755392"/>
      </c:scatterChart>
      <c:valAx>
        <c:axId val="647520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755392"/>
        <c:crosses val="autoZero"/>
        <c:crossBetween val="midCat"/>
      </c:valAx>
      <c:valAx>
        <c:axId val="64755392"/>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752032"/>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'Unit Ops'!$AAA$109:$AAA$113</c:f>
              <c:numCache>
                <c:formatCode>General</c:formatCode>
                <c:ptCount val="5"/>
                <c:pt idx="0">
                  <c:v>150</c:v>
                </c:pt>
                <c:pt idx="1">
                  <c:v>200</c:v>
                </c:pt>
                <c:pt idx="2">
                  <c:v>500</c:v>
                </c:pt>
                <c:pt idx="3">
                  <c:v>1000</c:v>
                </c:pt>
                <c:pt idx="4">
                  <c:v>2000</c:v>
                </c:pt>
              </c:numCache>
            </c:numRef>
          </c:xVal>
          <c:yVal>
            <c:numRef>
              <c:f>'Unit Ops'!$AAB$109:$AAB$113</c:f>
              <c:numCache>
                <c:formatCode>General</c:formatCode>
                <c:ptCount val="5"/>
                <c:pt idx="0">
                  <c:v>420600</c:v>
                </c:pt>
                <c:pt idx="1">
                  <c:v>479900</c:v>
                </c:pt>
                <c:pt idx="2">
                  <c:v>855400</c:v>
                </c:pt>
                <c:pt idx="3">
                  <c:v>1521700</c:v>
                </c:pt>
                <c:pt idx="4">
                  <c:v>2931400</c:v>
                </c:pt>
              </c:numCache>
            </c:numRef>
          </c:yVal>
          <c:smooth val="0"/>
          <c:extLst>
            <c:ext xmlns:c16="http://schemas.microsoft.com/office/drawing/2014/chart" uri="{C3380CC4-5D6E-409C-BE32-E72D297353CC}">
              <c16:uniqueId val="{00000000-33FE-734E-ADA2-841CE85A1041}"/>
            </c:ext>
          </c:extLst>
        </c:ser>
        <c:dLbls>
          <c:showLegendKey val="0"/>
          <c:showVal val="0"/>
          <c:showCatName val="0"/>
          <c:showSerName val="0"/>
          <c:showPercent val="0"/>
          <c:showBubbleSize val="0"/>
        </c:dLbls>
        <c:axId val="1513500400"/>
        <c:axId val="1513502128"/>
      </c:scatterChart>
      <c:valAx>
        <c:axId val="15135004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3502128"/>
        <c:crosses val="autoZero"/>
        <c:crossBetween val="midCat"/>
      </c:valAx>
      <c:valAx>
        <c:axId val="15135021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3500400"/>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'Unit Ops'!$ZC$108</c:f>
              <c:strCache>
                <c:ptCount val="1"/>
                <c:pt idx="0">
                  <c:v>Cost (2014$)</c:v>
                </c:pt>
              </c:strCache>
            </c:strRef>
          </c:tx>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'Unit Ops'!$ZB$109:$ZB$115</c:f>
              <c:numCache>
                <c:formatCode>General</c:formatCode>
                <c:ptCount val="7"/>
                <c:pt idx="0">
                  <c:v>3.974680500000001E-3</c:v>
                </c:pt>
                <c:pt idx="1">
                  <c:v>6.6244675000000017E-3</c:v>
                </c:pt>
                <c:pt idx="2">
                  <c:v>1.0599148000000003E-2</c:v>
                </c:pt>
                <c:pt idx="3">
                  <c:v>1.3248935000000003E-2</c:v>
                </c:pt>
                <c:pt idx="4">
                  <c:v>2.6497870000000007E-2</c:v>
                </c:pt>
                <c:pt idx="5">
                  <c:v>6.6244675000000017E-2</c:v>
                </c:pt>
                <c:pt idx="6">
                  <c:v>0.11924041500000002</c:v>
                </c:pt>
              </c:numCache>
            </c:numRef>
          </c:xVal>
          <c:yVal>
            <c:numRef>
              <c:f>'Unit Ops'!$ZC$109:$ZC$115</c:f>
              <c:numCache>
                <c:formatCode>General</c:formatCode>
                <c:ptCount val="7"/>
                <c:pt idx="0">
                  <c:v>41500</c:v>
                </c:pt>
                <c:pt idx="1">
                  <c:v>53800</c:v>
                </c:pt>
                <c:pt idx="2">
                  <c:v>68200</c:v>
                </c:pt>
                <c:pt idx="3">
                  <c:v>76400</c:v>
                </c:pt>
                <c:pt idx="4">
                  <c:v>108600</c:v>
                </c:pt>
                <c:pt idx="5">
                  <c:v>172800</c:v>
                </c:pt>
                <c:pt idx="6">
                  <c:v>232800</c:v>
                </c:pt>
              </c:numCache>
            </c:numRef>
          </c:yVal>
          <c:smooth val="0"/>
          <c:extLst>
            <c:ext xmlns:c16="http://schemas.microsoft.com/office/drawing/2014/chart" uri="{C3380CC4-5D6E-409C-BE32-E72D297353CC}">
              <c16:uniqueId val="{00000000-3D54-BF44-B254-031A4ED8828D}"/>
            </c:ext>
          </c:extLst>
        </c:ser>
        <c:dLbls>
          <c:showLegendKey val="0"/>
          <c:showVal val="0"/>
          <c:showCatName val="0"/>
          <c:showSerName val="0"/>
          <c:showPercent val="0"/>
          <c:showBubbleSize val="0"/>
        </c:dLbls>
        <c:axId val="1583482688"/>
        <c:axId val="1583427264"/>
      </c:scatterChart>
      <c:valAx>
        <c:axId val="158348268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3427264"/>
        <c:crosses val="autoZero"/>
        <c:crossBetween val="midCat"/>
      </c:valAx>
      <c:valAx>
        <c:axId val="15834272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3482688"/>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hyperlink" Target="#Input!A70"/></Relationships>
</file>

<file path=xl/drawings/_rels/drawing3.xml.rels><?xml version="1.0" encoding="UTF-8" standalone="yes"?>
<Relationships xmlns="http://schemas.openxmlformats.org/package/2006/relationships"><Relationship Id="rId8" Type="http://schemas.openxmlformats.org/officeDocument/2006/relationships/chart" Target="../charts/chart2.xml"/><Relationship Id="rId3" Type="http://schemas.openxmlformats.org/officeDocument/2006/relationships/hyperlink" Target="#'Col&amp;Trans Par.'!A1"/><Relationship Id="rId7" Type="http://schemas.openxmlformats.org/officeDocument/2006/relationships/chart" Target="../charts/chart1.xml"/><Relationship Id="rId12" Type="http://schemas.openxmlformats.org/officeDocument/2006/relationships/hyperlink" Target="#'Preproc. Par.'!A1"/><Relationship Id="rId2" Type="http://schemas.openxmlformats.org/officeDocument/2006/relationships/hyperlink" Target="#'Man Par.'!A1"/><Relationship Id="rId1" Type="http://schemas.openxmlformats.org/officeDocument/2006/relationships/hyperlink" Target="#Input!A1"/><Relationship Id="rId6" Type="http://schemas.openxmlformats.org/officeDocument/2006/relationships/hyperlink" Target="#'Man Rec Par.'!A1"/><Relationship Id="rId11" Type="http://schemas.openxmlformats.org/officeDocument/2006/relationships/hyperlink" Target="#Disassembly!A1"/><Relationship Id="rId5" Type="http://schemas.openxmlformats.org/officeDocument/2006/relationships/hyperlink" Target="#'Cath. Prod. Par.'!A1"/><Relationship Id="rId10" Type="http://schemas.openxmlformats.org/officeDocument/2006/relationships/chart" Target="../charts/chart4.xml"/><Relationship Id="rId4" Type="http://schemas.openxmlformats.org/officeDocument/2006/relationships/hyperlink" Target="#'CM Rec Par.'!A1"/><Relationship Id="rId9"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3" Type="http://schemas.openxmlformats.org/officeDocument/2006/relationships/hyperlink" Target="#Output!A1"/><Relationship Id="rId2" Type="http://schemas.openxmlformats.org/officeDocument/2006/relationships/hyperlink" Target="#'Man Par.'!A6"/><Relationship Id="rId1" Type="http://schemas.openxmlformats.org/officeDocument/2006/relationships/hyperlink" Target="#Input!A1"/><Relationship Id="rId5" Type="http://schemas.openxmlformats.org/officeDocument/2006/relationships/hyperlink" Target="#'Man Par.'!A1"/><Relationship Id="rId4" Type="http://schemas.openxmlformats.org/officeDocument/2006/relationships/hyperlink" Target="#'Man Par.'!AQ1"/></Relationships>
</file>

<file path=xl/drawings/_rels/drawing6.xml.rels><?xml version="1.0" encoding="UTF-8" standalone="yes"?>
<Relationships xmlns="http://schemas.openxmlformats.org/package/2006/relationships"><Relationship Id="rId2" Type="http://schemas.openxmlformats.org/officeDocument/2006/relationships/hyperlink" Target="#Output!A30"/><Relationship Id="rId1" Type="http://schemas.openxmlformats.org/officeDocument/2006/relationships/hyperlink" Target="#Input!A24"/></Relationships>
</file>

<file path=xl/drawings/_rels/drawing7.xml.rels><?xml version="1.0" encoding="UTF-8" standalone="yes"?>
<Relationships xmlns="http://schemas.openxmlformats.org/package/2006/relationships"><Relationship Id="rId2" Type="http://schemas.openxmlformats.org/officeDocument/2006/relationships/hyperlink" Target="#Output!A30"/><Relationship Id="rId1" Type="http://schemas.openxmlformats.org/officeDocument/2006/relationships/hyperlink" Target="#Input!A24"/></Relationships>
</file>

<file path=xl/drawings/_rels/drawing8.xml.rels><?xml version="1.0" encoding="UTF-8" standalone="yes"?>
<Relationships xmlns="http://schemas.openxmlformats.org/package/2006/relationships"><Relationship Id="rId3" Type="http://schemas.openxmlformats.org/officeDocument/2006/relationships/hyperlink" Target="#'Preproc. Par.'!BN1"/><Relationship Id="rId2" Type="http://schemas.openxmlformats.org/officeDocument/2006/relationships/hyperlink" Target="#'Preproc. Par.'!AJ1"/><Relationship Id="rId1" Type="http://schemas.openxmlformats.org/officeDocument/2006/relationships/hyperlink" Target="#Input!A40"/><Relationship Id="rId6" Type="http://schemas.openxmlformats.org/officeDocument/2006/relationships/hyperlink" Target="#'Preproc. Par.'!AA1"/><Relationship Id="rId5" Type="http://schemas.openxmlformats.org/officeDocument/2006/relationships/hyperlink" Target="#Output!A1"/><Relationship Id="rId4" Type="http://schemas.openxmlformats.org/officeDocument/2006/relationships/hyperlink" Target="#'Preproc. Par.'!A1"/></Relationships>
</file>

<file path=xl/drawings/_rels/drawing9.xml.rels><?xml version="1.0" encoding="UTF-8" standalone="yes"?>
<Relationships xmlns="http://schemas.openxmlformats.org/package/2006/relationships"><Relationship Id="rId8" Type="http://schemas.openxmlformats.org/officeDocument/2006/relationships/hyperlink" Target="#'CM Rec Par.'!CA1"/><Relationship Id="rId3" Type="http://schemas.openxmlformats.org/officeDocument/2006/relationships/hyperlink" Target="#'CM Rec Par.'!CK1"/><Relationship Id="rId7" Type="http://schemas.openxmlformats.org/officeDocument/2006/relationships/hyperlink" Target="#'CM Rec Par.'!BA1"/><Relationship Id="rId2" Type="http://schemas.openxmlformats.org/officeDocument/2006/relationships/hyperlink" Target="#'CM Rec Par.'!BL1"/><Relationship Id="rId1" Type="http://schemas.openxmlformats.org/officeDocument/2006/relationships/hyperlink" Target="#Input!A40"/><Relationship Id="rId6" Type="http://schemas.openxmlformats.org/officeDocument/2006/relationships/hyperlink" Target="#'CM Rec Par.'!A1"/><Relationship Id="rId5" Type="http://schemas.openxmlformats.org/officeDocument/2006/relationships/hyperlink" Target="#'CM Rec Par.'!EP1"/><Relationship Id="rId10" Type="http://schemas.openxmlformats.org/officeDocument/2006/relationships/hyperlink" Target="#Output!A1"/><Relationship Id="rId4" Type="http://schemas.openxmlformats.org/officeDocument/2006/relationships/hyperlink" Target="#'CM Rec Par.'!DO1"/><Relationship Id="rId9" Type="http://schemas.openxmlformats.org/officeDocument/2006/relationships/hyperlink" Target="#'CM Rec Par.'!DA1"/></Relationships>
</file>

<file path=xl/drawings/_rels/drawing10.xml.rels><?xml version="1.0" encoding="UTF-8" standalone="yes"?>
<Relationships xmlns="http://schemas.openxmlformats.org/package/2006/relationships"><Relationship Id="rId8" Type="http://schemas.openxmlformats.org/officeDocument/2006/relationships/hyperlink" Target="#'Cath. Prod. Par.'!DP1"/><Relationship Id="rId13" Type="http://schemas.openxmlformats.org/officeDocument/2006/relationships/hyperlink" Target="#'Cath. Prod. Par.'!CZ1"/><Relationship Id="rId3" Type="http://schemas.openxmlformats.org/officeDocument/2006/relationships/hyperlink" Target="#'Cath. Prod. Par.'!AP1"/><Relationship Id="rId7" Type="http://schemas.openxmlformats.org/officeDocument/2006/relationships/hyperlink" Target="#'Cath. Prod. Par.'!Z1"/><Relationship Id="rId12" Type="http://schemas.openxmlformats.org/officeDocument/2006/relationships/hyperlink" Target="#'Cath. Prod. Par.'!FP1"/><Relationship Id="rId2" Type="http://schemas.openxmlformats.org/officeDocument/2006/relationships/hyperlink" Target="#Output!A1"/><Relationship Id="rId1" Type="http://schemas.openxmlformats.org/officeDocument/2006/relationships/hyperlink" Target="#Input!A40"/><Relationship Id="rId6" Type="http://schemas.openxmlformats.org/officeDocument/2006/relationships/hyperlink" Target="#'Cath. Prod. Par.'!CP1"/><Relationship Id="rId11" Type="http://schemas.openxmlformats.org/officeDocument/2006/relationships/hyperlink" Target="#'Cath. Prod. Par.'!BZ1"/><Relationship Id="rId5" Type="http://schemas.openxmlformats.org/officeDocument/2006/relationships/hyperlink" Target="#'Cath. Prod. Par.'!A1"/><Relationship Id="rId10" Type="http://schemas.openxmlformats.org/officeDocument/2006/relationships/hyperlink" Target="#'Cath. Prod. Par.'!EP1"/><Relationship Id="rId4" Type="http://schemas.openxmlformats.org/officeDocument/2006/relationships/hyperlink" Target="#'Cath. Prod. Par.'!BP1"/><Relationship Id="rId9" Type="http://schemas.openxmlformats.org/officeDocument/2006/relationships/hyperlink" Target="#'Cath. Prod. Par.'!AZ1"/><Relationship Id="rId14" Type="http://schemas.openxmlformats.org/officeDocument/2006/relationships/hyperlink" Target="#'Cath. Prod. Par.'!DZ1"/></Relationships>
</file>

<file path=xl/drawings/_rels/drawing11.xml.rels><?xml version="1.0" encoding="UTF-8" standalone="yes"?>
<Relationships xmlns="http://schemas.openxmlformats.org/package/2006/relationships"><Relationship Id="rId3" Type="http://schemas.openxmlformats.org/officeDocument/2006/relationships/hyperlink" Target="#'Man Rec Par.'!AA1"/><Relationship Id="rId2" Type="http://schemas.openxmlformats.org/officeDocument/2006/relationships/hyperlink" Target="#Input!A70"/><Relationship Id="rId1" Type="http://schemas.openxmlformats.org/officeDocument/2006/relationships/hyperlink" Target="#'Man Rec Par.'!AS1"/><Relationship Id="rId6" Type="http://schemas.openxmlformats.org/officeDocument/2006/relationships/hyperlink" Target="#Output!A1"/><Relationship Id="rId5" Type="http://schemas.openxmlformats.org/officeDocument/2006/relationships/hyperlink" Target="#Input!A77"/><Relationship Id="rId4" Type="http://schemas.openxmlformats.org/officeDocument/2006/relationships/hyperlink" Target="#'Man Rec Par.'!A1"/></Relationships>
</file>

<file path=xl/drawings/_rels/drawing12.xml.rels><?xml version="1.0" encoding="UTF-8" standalone="yes"?>
<Relationships xmlns="http://schemas.openxmlformats.org/package/2006/relationships"><Relationship Id="rId8" Type="http://schemas.openxmlformats.org/officeDocument/2006/relationships/hyperlink" Target="#Output!A1"/><Relationship Id="rId3" Type="http://schemas.openxmlformats.org/officeDocument/2006/relationships/hyperlink" Target="#'Mat. Conv Par.'!CT1"/><Relationship Id="rId7" Type="http://schemas.openxmlformats.org/officeDocument/2006/relationships/hyperlink" Target="#Input!A40"/><Relationship Id="rId2" Type="http://schemas.openxmlformats.org/officeDocument/2006/relationships/hyperlink" Target="#'Mat. Conv Par.'!BT1"/><Relationship Id="rId1" Type="http://schemas.openxmlformats.org/officeDocument/2006/relationships/hyperlink" Target="#'Mat. Conv Par.'!AT1"/><Relationship Id="rId6" Type="http://schemas.openxmlformats.org/officeDocument/2006/relationships/hyperlink" Target="#'Mat. Conv Par.'!BA1"/><Relationship Id="rId5" Type="http://schemas.openxmlformats.org/officeDocument/2006/relationships/hyperlink" Target="#'Mat. Conv Par.'!AA1"/><Relationship Id="rId4" Type="http://schemas.openxmlformats.org/officeDocument/2006/relationships/hyperlink" Target="#'Mat. Conv Par.'!A1"/></Relationships>
</file>

<file path=xl/drawings/_rels/drawing13.xml.rels><?xml version="1.0" encoding="UTF-8" standalone="yes"?>
<Relationships xmlns="http://schemas.openxmlformats.org/package/2006/relationships"><Relationship Id="rId8" Type="http://schemas.openxmlformats.org/officeDocument/2006/relationships/chart" Target="../charts/chart14.xml"/><Relationship Id="rId13" Type="http://schemas.openxmlformats.org/officeDocument/2006/relationships/chart" Target="../charts/chart19.xml"/><Relationship Id="rId3" Type="http://schemas.openxmlformats.org/officeDocument/2006/relationships/chart" Target="../charts/chart9.xml"/><Relationship Id="rId7" Type="http://schemas.openxmlformats.org/officeDocument/2006/relationships/chart" Target="../charts/chart13.xml"/><Relationship Id="rId12" Type="http://schemas.openxmlformats.org/officeDocument/2006/relationships/chart" Target="../charts/chart18.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11" Type="http://schemas.openxmlformats.org/officeDocument/2006/relationships/chart" Target="../charts/chart17.xml"/><Relationship Id="rId5" Type="http://schemas.openxmlformats.org/officeDocument/2006/relationships/chart" Target="../charts/chart11.xml"/><Relationship Id="rId10" Type="http://schemas.openxmlformats.org/officeDocument/2006/relationships/chart" Target="../charts/chart16.xml"/><Relationship Id="rId4" Type="http://schemas.openxmlformats.org/officeDocument/2006/relationships/chart" Target="../charts/chart10.xml"/><Relationship Id="rId9" Type="http://schemas.openxmlformats.org/officeDocument/2006/relationships/chart" Target="../charts/chart15.xml"/></Relationships>
</file>

<file path=xl/drawings/_rels/drawing14.xml.rels><?xml version="1.0" encoding="UTF-8" standalone="yes"?>
<Relationships xmlns="http://schemas.openxmlformats.org/package/2006/relationships"><Relationship Id="rId3" Type="http://schemas.openxmlformats.org/officeDocument/2006/relationships/hyperlink" Target="#'CM Rec Par.'!DA100"/><Relationship Id="rId2" Type="http://schemas.openxmlformats.org/officeDocument/2006/relationships/hyperlink" Target="#'CM Rec Par.'!CA100"/><Relationship Id="rId1" Type="http://schemas.openxmlformats.org/officeDocument/2006/relationships/hyperlink" Target="#'CM Rec Par.'!BA100"/><Relationship Id="rId6" Type="http://schemas.openxmlformats.org/officeDocument/2006/relationships/hyperlink" Target="#'Preproc. Par.'!BA65"/><Relationship Id="rId5" Type="http://schemas.openxmlformats.org/officeDocument/2006/relationships/hyperlink" Target="#'Preproc. Par.'!AA65"/><Relationship Id="rId4" Type="http://schemas.openxmlformats.org/officeDocument/2006/relationships/hyperlink" Target="#'CM Rec Par.'!EA100"/></Relationships>
</file>

<file path=xl/drawings/_rels/drawing15.xml.rels><?xml version="1.0" encoding="UTF-8" standalone="yes"?>
<Relationships xmlns="http://schemas.openxmlformats.org/package/2006/relationships"><Relationship Id="rId3" Type="http://schemas.openxmlformats.org/officeDocument/2006/relationships/hyperlink" Target="#Output!A1"/><Relationship Id="rId2" Type="http://schemas.openxmlformats.org/officeDocument/2006/relationships/hyperlink" Target="#Input!A1"/><Relationship Id="rId1" Type="http://schemas.openxmlformats.org/officeDocument/2006/relationships/hyperlink" Target="#Input!A10"/></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32</xdr:row>
          <xdr:rowOff>0</xdr:rowOff>
        </xdr:from>
        <xdr:to>
          <xdr:col>7</xdr:col>
          <xdr:colOff>260350</xdr:colOff>
          <xdr:row>55</xdr:row>
          <xdr:rowOff>76200</xdr:rowOff>
        </xdr:to>
        <xdr:sp macro="" textlink="">
          <xdr:nvSpPr>
            <xdr:cNvPr id="45061" name="Object 5" hidden="1">
              <a:extLst>
                <a:ext uri="{63B3BB69-23CF-44E3-9099-C40C66FF867C}">
                  <a14:compatExt spid="_x0000_s45061"/>
                </a:ext>
                <a:ext uri="{FF2B5EF4-FFF2-40B4-BE49-F238E27FC236}">
                  <a16:creationId xmlns:a16="http://schemas.microsoft.com/office/drawing/2014/main" id="{00000000-0008-0000-0000-000005B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374650</xdr:colOff>
          <xdr:row>32</xdr:row>
          <xdr:rowOff>12700</xdr:rowOff>
        </xdr:from>
        <xdr:to>
          <xdr:col>22</xdr:col>
          <xdr:colOff>50800</xdr:colOff>
          <xdr:row>56</xdr:row>
          <xdr:rowOff>76200</xdr:rowOff>
        </xdr:to>
        <xdr:sp macro="" textlink="">
          <xdr:nvSpPr>
            <xdr:cNvPr id="45062" name="Object 6" hidden="1">
              <a:extLst>
                <a:ext uri="{63B3BB69-23CF-44E3-9099-C40C66FF867C}">
                  <a14:compatExt spid="_x0000_s45062"/>
                </a:ext>
                <a:ext uri="{FF2B5EF4-FFF2-40B4-BE49-F238E27FC236}">
                  <a16:creationId xmlns:a16="http://schemas.microsoft.com/office/drawing/2014/main" id="{00000000-0008-0000-0000-000006B0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19050</xdr:colOff>
      <xdr:row>24</xdr:row>
      <xdr:rowOff>9524</xdr:rowOff>
    </xdr:from>
    <xdr:to>
      <xdr:col>7</xdr:col>
      <xdr:colOff>22225</xdr:colOff>
      <xdr:row>25</xdr:row>
      <xdr:rowOff>114299</xdr:rowOff>
    </xdr:to>
    <xdr:sp macro="" textlink="">
      <xdr:nvSpPr>
        <xdr:cNvPr id="3" name="Rounded Rectangle 2">
          <a:extLst>
            <a:ext uri="{FF2B5EF4-FFF2-40B4-BE49-F238E27FC236}">
              <a16:creationId xmlns:a16="http://schemas.microsoft.com/office/drawing/2014/main" id="{00000000-0008-0000-0100-000003000000}"/>
            </a:ext>
          </a:extLst>
        </xdr:cNvPr>
        <xdr:cNvSpPr/>
      </xdr:nvSpPr>
      <xdr:spPr>
        <a:xfrm>
          <a:off x="1066800" y="4848224"/>
          <a:ext cx="9566275" cy="295275"/>
        </a:xfrm>
        <a:prstGeom prst="roundRect">
          <a:avLst/>
        </a:prstGeom>
        <a:solidFill>
          <a:schemeClr val="tx2"/>
        </a:solidFill>
        <a:ln>
          <a:solidFill>
            <a:schemeClr val="tx2"/>
          </a:solidFill>
        </a:ln>
        <a:effectLst/>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marL="0" indent="0" algn="ctr"/>
          <a:r>
            <a:rPr lang="en-US" sz="1100">
              <a:solidFill>
                <a:schemeClr val="bg1"/>
              </a:solidFill>
              <a:latin typeface="+mn-lt"/>
              <a:ea typeface="+mn-ea"/>
              <a:cs typeface="+mn-cs"/>
            </a:rPr>
            <a:t>Preprocessing and Critical</a:t>
          </a:r>
          <a:r>
            <a:rPr lang="en-US" sz="1100" baseline="0">
              <a:solidFill>
                <a:schemeClr val="bg1"/>
              </a:solidFill>
              <a:latin typeface="+mn-lt"/>
              <a:ea typeface="+mn-ea"/>
              <a:cs typeface="+mn-cs"/>
            </a:rPr>
            <a:t> Materials (CM) Recovery</a:t>
          </a:r>
          <a:endParaRPr lang="en-US" sz="1100">
            <a:solidFill>
              <a:schemeClr val="bg1"/>
            </a:solidFill>
            <a:latin typeface="+mn-lt"/>
            <a:ea typeface="+mn-ea"/>
            <a:cs typeface="+mn-cs"/>
          </a:endParaRPr>
        </a:p>
      </xdr:txBody>
    </xdr:sp>
    <xdr:clientData/>
  </xdr:twoCellAnchor>
  <xdr:twoCellAnchor>
    <xdr:from>
      <xdr:col>1</xdr:col>
      <xdr:colOff>976</xdr:colOff>
      <xdr:row>2</xdr:row>
      <xdr:rowOff>190499</xdr:rowOff>
    </xdr:from>
    <xdr:to>
      <xdr:col>6</xdr:col>
      <xdr:colOff>2981324</xdr:colOff>
      <xdr:row>4</xdr:row>
      <xdr:rowOff>114299</xdr:rowOff>
    </xdr:to>
    <xdr:sp macro="" textlink="">
      <xdr:nvSpPr>
        <xdr:cNvPr id="7" name="Rounded Rectangle 6">
          <a:extLst>
            <a:ext uri="{FF2B5EF4-FFF2-40B4-BE49-F238E27FC236}">
              <a16:creationId xmlns:a16="http://schemas.microsoft.com/office/drawing/2014/main" id="{00000000-0008-0000-0100-000007000000}"/>
            </a:ext>
          </a:extLst>
        </xdr:cNvPr>
        <xdr:cNvSpPr/>
      </xdr:nvSpPr>
      <xdr:spPr>
        <a:xfrm>
          <a:off x="1048726" y="571499"/>
          <a:ext cx="9543073" cy="314325"/>
        </a:xfrm>
        <a:prstGeom prst="roundRect">
          <a:avLst/>
        </a:prstGeom>
        <a:solidFill>
          <a:schemeClr val="tx2"/>
        </a:solidFill>
        <a:ln>
          <a:solidFill>
            <a:schemeClr val="tx2"/>
          </a:solidFill>
        </a:ln>
        <a:effectLst/>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US" sz="1100">
              <a:solidFill>
                <a:schemeClr val="bg1"/>
              </a:solidFill>
            </a:rPr>
            <a:t>Manufacture with Virgin Materials</a:t>
          </a:r>
        </a:p>
      </xdr:txBody>
    </xdr:sp>
    <xdr:clientData/>
  </xdr:twoCellAnchor>
  <xdr:twoCellAnchor>
    <xdr:from>
      <xdr:col>1</xdr:col>
      <xdr:colOff>732</xdr:colOff>
      <xdr:row>11</xdr:row>
      <xdr:rowOff>180975</xdr:rowOff>
    </xdr:from>
    <xdr:to>
      <xdr:col>7</xdr:col>
      <xdr:colOff>9768</xdr:colOff>
      <xdr:row>13</xdr:row>
      <xdr:rowOff>104775</xdr:rowOff>
    </xdr:to>
    <xdr:sp macro="" textlink="">
      <xdr:nvSpPr>
        <xdr:cNvPr id="8" name="Rounded Rectangle 7">
          <a:extLst>
            <a:ext uri="{FF2B5EF4-FFF2-40B4-BE49-F238E27FC236}">
              <a16:creationId xmlns:a16="http://schemas.microsoft.com/office/drawing/2014/main" id="{00000000-0008-0000-0100-000008000000}"/>
            </a:ext>
          </a:extLst>
        </xdr:cNvPr>
        <xdr:cNvSpPr/>
      </xdr:nvSpPr>
      <xdr:spPr>
        <a:xfrm>
          <a:off x="1048482" y="2324100"/>
          <a:ext cx="9572136" cy="304800"/>
        </a:xfrm>
        <a:prstGeom prst="roundRect">
          <a:avLst/>
        </a:prstGeom>
        <a:solidFill>
          <a:schemeClr val="tx2"/>
        </a:solidFill>
        <a:ln>
          <a:solidFill>
            <a:schemeClr val="tx2"/>
          </a:solidFill>
        </a:ln>
        <a:effectLst/>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marL="0" indent="0" algn="ctr"/>
          <a:r>
            <a:rPr lang="en-US" sz="1100">
              <a:solidFill>
                <a:schemeClr val="bg1"/>
              </a:solidFill>
              <a:latin typeface="+mn-lt"/>
              <a:ea typeface="+mn-ea"/>
              <a:cs typeface="+mn-cs"/>
            </a:rPr>
            <a:t>Collection &amp; Transportation</a:t>
          </a:r>
        </a:p>
      </xdr:txBody>
    </xdr:sp>
    <xdr:clientData/>
  </xdr:twoCellAnchor>
  <xdr:twoCellAnchor>
    <xdr:from>
      <xdr:col>1</xdr:col>
      <xdr:colOff>244</xdr:colOff>
      <xdr:row>42</xdr:row>
      <xdr:rowOff>185371</xdr:rowOff>
    </xdr:from>
    <xdr:to>
      <xdr:col>7</xdr:col>
      <xdr:colOff>22469</xdr:colOff>
      <xdr:row>44</xdr:row>
      <xdr:rowOff>95250</xdr:rowOff>
    </xdr:to>
    <xdr:sp macro="" textlink="">
      <xdr:nvSpPr>
        <xdr:cNvPr id="10" name="Rounded Rectangle 9">
          <a:extLst>
            <a:ext uri="{FF2B5EF4-FFF2-40B4-BE49-F238E27FC236}">
              <a16:creationId xmlns:a16="http://schemas.microsoft.com/office/drawing/2014/main" id="{00000000-0008-0000-0100-00000A000000}"/>
            </a:ext>
          </a:extLst>
        </xdr:cNvPr>
        <xdr:cNvSpPr/>
      </xdr:nvSpPr>
      <xdr:spPr>
        <a:xfrm>
          <a:off x="1047994" y="8567371"/>
          <a:ext cx="9585325" cy="300404"/>
        </a:xfrm>
        <a:prstGeom prst="roundRect">
          <a:avLst/>
        </a:prstGeom>
        <a:solidFill>
          <a:schemeClr val="tx2"/>
        </a:solidFill>
        <a:ln>
          <a:solidFill>
            <a:schemeClr val="tx2"/>
          </a:solidFill>
        </a:ln>
        <a:effectLst/>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marL="0" indent="0" algn="ctr"/>
          <a:r>
            <a:rPr lang="en-US" sz="1100">
              <a:solidFill>
                <a:schemeClr val="bg1"/>
              </a:solidFill>
              <a:latin typeface="+mn-lt"/>
              <a:ea typeface="+mn-ea"/>
              <a:cs typeface="+mn-cs"/>
            </a:rPr>
            <a:t>Manufacture with Recycled Materials</a:t>
          </a:r>
        </a:p>
      </xdr:txBody>
    </xdr:sp>
    <xdr:clientData/>
  </xdr:twoCellAnchor>
  <xdr:twoCellAnchor>
    <xdr:from>
      <xdr:col>34</xdr:col>
      <xdr:colOff>66675</xdr:colOff>
      <xdr:row>66</xdr:row>
      <xdr:rowOff>161925</xdr:rowOff>
    </xdr:from>
    <xdr:to>
      <xdr:col>35</xdr:col>
      <xdr:colOff>866775</xdr:colOff>
      <xdr:row>68</xdr:row>
      <xdr:rowOff>19050</xdr:rowOff>
    </xdr:to>
    <xdr:sp macro="" textlink="">
      <xdr:nvSpPr>
        <xdr:cNvPr id="5" name="Rounded Rectangle 4">
          <a:hlinkClick xmlns:r="http://schemas.openxmlformats.org/officeDocument/2006/relationships" r:id="rId1" tooltip="Go back to input tables"/>
          <a:extLst>
            <a:ext uri="{FF2B5EF4-FFF2-40B4-BE49-F238E27FC236}">
              <a16:creationId xmlns:a16="http://schemas.microsoft.com/office/drawing/2014/main" id="{00000000-0008-0000-0100-000005000000}"/>
            </a:ext>
          </a:extLst>
        </xdr:cNvPr>
        <xdr:cNvSpPr/>
      </xdr:nvSpPr>
      <xdr:spPr>
        <a:xfrm>
          <a:off x="34061400" y="14068425"/>
          <a:ext cx="1743075" cy="2381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Back</a:t>
          </a:r>
          <a:r>
            <a:rPr lang="en-US" sz="1100" baseline="0"/>
            <a:t> to Input</a:t>
          </a:r>
          <a:endParaRPr lang="en-US" sz="1100"/>
        </a:p>
      </xdr:txBody>
    </xdr:sp>
    <xdr:clientData/>
  </xdr:twoCellAnchor>
  <xdr:twoCellAnchor>
    <xdr:from>
      <xdr:col>1</xdr:col>
      <xdr:colOff>9525</xdr:colOff>
      <xdr:row>35</xdr:row>
      <xdr:rowOff>3176</xdr:rowOff>
    </xdr:from>
    <xdr:to>
      <xdr:col>7</xdr:col>
      <xdr:colOff>3175</xdr:colOff>
      <xdr:row>36</xdr:row>
      <xdr:rowOff>114300</xdr:rowOff>
    </xdr:to>
    <xdr:sp macro="" textlink="">
      <xdr:nvSpPr>
        <xdr:cNvPr id="15" name="Rounded Rectangle 14">
          <a:extLst>
            <a:ext uri="{FF2B5EF4-FFF2-40B4-BE49-F238E27FC236}">
              <a16:creationId xmlns:a16="http://schemas.microsoft.com/office/drawing/2014/main" id="{00000000-0008-0000-0100-00000F000000}"/>
            </a:ext>
          </a:extLst>
        </xdr:cNvPr>
        <xdr:cNvSpPr/>
      </xdr:nvSpPr>
      <xdr:spPr>
        <a:xfrm>
          <a:off x="1057275" y="7013576"/>
          <a:ext cx="9556750" cy="301624"/>
        </a:xfrm>
        <a:prstGeom prst="roundRect">
          <a:avLst/>
        </a:prstGeom>
        <a:solidFill>
          <a:schemeClr val="tx2"/>
        </a:solidFill>
        <a:ln>
          <a:solidFill>
            <a:schemeClr val="tx2"/>
          </a:solidFill>
        </a:ln>
        <a:effectLst/>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marL="0" indent="0" algn="ctr"/>
          <a:r>
            <a:rPr lang="en-US" sz="1100">
              <a:solidFill>
                <a:schemeClr val="bg1"/>
              </a:solidFill>
              <a:latin typeface="+mn-lt"/>
              <a:ea typeface="+mn-ea"/>
              <a:cs typeface="+mn-cs"/>
            </a:rPr>
            <a:t>Cathode Production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76200</xdr:colOff>
      <xdr:row>1</xdr:row>
      <xdr:rowOff>0</xdr:rowOff>
    </xdr:from>
    <xdr:to>
      <xdr:col>1</xdr:col>
      <xdr:colOff>1304925</xdr:colOff>
      <xdr:row>1</xdr:row>
      <xdr:rowOff>180975</xdr:rowOff>
    </xdr:to>
    <xdr:sp macro="" textlink="">
      <xdr:nvSpPr>
        <xdr:cNvPr id="2" name="Rounded Rectangle 1">
          <a:hlinkClick xmlns:r="http://schemas.openxmlformats.org/officeDocument/2006/relationships" r:id="rId1" tooltip="Go to &quot;Input&quot; tab for model inputs"/>
          <a:extLst>
            <a:ext uri="{FF2B5EF4-FFF2-40B4-BE49-F238E27FC236}">
              <a16:creationId xmlns:a16="http://schemas.microsoft.com/office/drawing/2014/main" id="{00000000-0008-0000-0200-000002000000}"/>
            </a:ext>
          </a:extLst>
        </xdr:cNvPr>
        <xdr:cNvSpPr/>
      </xdr:nvSpPr>
      <xdr:spPr>
        <a:xfrm>
          <a:off x="476250" y="190500"/>
          <a:ext cx="1228725" cy="18097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2</xdr:col>
      <xdr:colOff>9524</xdr:colOff>
      <xdr:row>1</xdr:row>
      <xdr:rowOff>0</xdr:rowOff>
    </xdr:from>
    <xdr:to>
      <xdr:col>2</xdr:col>
      <xdr:colOff>1304924</xdr:colOff>
      <xdr:row>2</xdr:row>
      <xdr:rowOff>0</xdr:rowOff>
    </xdr:to>
    <xdr:sp macro="" textlink="">
      <xdr:nvSpPr>
        <xdr:cNvPr id="4" name="Rounded Rectangle 3">
          <a:hlinkClick xmlns:r="http://schemas.openxmlformats.org/officeDocument/2006/relationships" r:id="rId2" tooltip="Go to &quot;Man Par.&quot; for details of battery manufacture"/>
          <a:extLst>
            <a:ext uri="{FF2B5EF4-FFF2-40B4-BE49-F238E27FC236}">
              <a16:creationId xmlns:a16="http://schemas.microsoft.com/office/drawing/2014/main" id="{00000000-0008-0000-0200-000004000000}"/>
            </a:ext>
          </a:extLst>
        </xdr:cNvPr>
        <xdr:cNvSpPr/>
      </xdr:nvSpPr>
      <xdr:spPr>
        <a:xfrm>
          <a:off x="2533649" y="190500"/>
          <a:ext cx="1295400"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Manufacture</a:t>
          </a:r>
        </a:p>
      </xdr:txBody>
    </xdr:sp>
    <xdr:clientData/>
  </xdr:twoCellAnchor>
  <xdr:twoCellAnchor>
    <xdr:from>
      <xdr:col>3</xdr:col>
      <xdr:colOff>317500</xdr:colOff>
      <xdr:row>0</xdr:row>
      <xdr:rowOff>180976</xdr:rowOff>
    </xdr:from>
    <xdr:to>
      <xdr:col>4</xdr:col>
      <xdr:colOff>825500</xdr:colOff>
      <xdr:row>2</xdr:row>
      <xdr:rowOff>0</xdr:rowOff>
    </xdr:to>
    <xdr:sp macro="" textlink="">
      <xdr:nvSpPr>
        <xdr:cNvPr id="5" name="Rounded Rectangle 4">
          <a:hlinkClick xmlns:r="http://schemas.openxmlformats.org/officeDocument/2006/relationships" r:id="rId3" tooltip="Go to &quot;Col&amp;Trans Par.&quot; tab for details of spent battery collection and transportation"/>
          <a:extLst>
            <a:ext uri="{FF2B5EF4-FFF2-40B4-BE49-F238E27FC236}">
              <a16:creationId xmlns:a16="http://schemas.microsoft.com/office/drawing/2014/main" id="{00000000-0008-0000-0200-000005000000}"/>
            </a:ext>
          </a:extLst>
        </xdr:cNvPr>
        <xdr:cNvSpPr/>
      </xdr:nvSpPr>
      <xdr:spPr>
        <a:xfrm>
          <a:off x="4116917" y="180976"/>
          <a:ext cx="1640416" cy="20002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Collection</a:t>
          </a:r>
          <a:r>
            <a:rPr lang="en-US" sz="1100" baseline="0"/>
            <a:t> &amp; Transport</a:t>
          </a:r>
          <a:endParaRPr lang="en-US" sz="1100"/>
        </a:p>
      </xdr:txBody>
    </xdr:sp>
    <xdr:clientData/>
  </xdr:twoCellAnchor>
  <xdr:twoCellAnchor>
    <xdr:from>
      <xdr:col>7</xdr:col>
      <xdr:colOff>889000</xdr:colOff>
      <xdr:row>1</xdr:row>
      <xdr:rowOff>0</xdr:rowOff>
    </xdr:from>
    <xdr:to>
      <xdr:col>8</xdr:col>
      <xdr:colOff>470958</xdr:colOff>
      <xdr:row>2</xdr:row>
      <xdr:rowOff>25400</xdr:rowOff>
    </xdr:to>
    <xdr:sp macro="" textlink="">
      <xdr:nvSpPr>
        <xdr:cNvPr id="7" name="Rounded Rectangle 6">
          <a:hlinkClick xmlns:r="http://schemas.openxmlformats.org/officeDocument/2006/relationships" r:id="rId4" tooltip="Go to &quot;CM Rec Par.&quot; tab for details of critical materials recovery"/>
          <a:extLst>
            <a:ext uri="{FF2B5EF4-FFF2-40B4-BE49-F238E27FC236}">
              <a16:creationId xmlns:a16="http://schemas.microsoft.com/office/drawing/2014/main" id="{00000000-0008-0000-0200-000007000000}"/>
            </a:ext>
          </a:extLst>
        </xdr:cNvPr>
        <xdr:cNvSpPr/>
      </xdr:nvSpPr>
      <xdr:spPr>
        <a:xfrm>
          <a:off x="9909175" y="190500"/>
          <a:ext cx="1410758" cy="2159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CM</a:t>
          </a:r>
          <a:r>
            <a:rPr lang="en-US" sz="1100" baseline="0"/>
            <a:t> Recovery</a:t>
          </a:r>
          <a:endParaRPr lang="en-US" sz="1100"/>
        </a:p>
      </xdr:txBody>
    </xdr:sp>
    <xdr:clientData/>
  </xdr:twoCellAnchor>
  <xdr:twoCellAnchor>
    <xdr:from>
      <xdr:col>8</xdr:col>
      <xdr:colOff>1035049</xdr:colOff>
      <xdr:row>1</xdr:row>
      <xdr:rowOff>1058</xdr:rowOff>
    </xdr:from>
    <xdr:to>
      <xdr:col>9</xdr:col>
      <xdr:colOff>294217</xdr:colOff>
      <xdr:row>2</xdr:row>
      <xdr:rowOff>10583</xdr:rowOff>
    </xdr:to>
    <xdr:sp macro="" textlink="">
      <xdr:nvSpPr>
        <xdr:cNvPr id="10" name="Rounded Rectangle 9">
          <a:hlinkClick xmlns:r="http://schemas.openxmlformats.org/officeDocument/2006/relationships" r:id="rId5" tooltip="Go to &quot;Cath. Man.&quot; tab for details of converting recycled materials into cathode materials"/>
          <a:extLst>
            <a:ext uri="{FF2B5EF4-FFF2-40B4-BE49-F238E27FC236}">
              <a16:creationId xmlns:a16="http://schemas.microsoft.com/office/drawing/2014/main" id="{00000000-0008-0000-0200-00000A000000}"/>
            </a:ext>
          </a:extLst>
        </xdr:cNvPr>
        <xdr:cNvSpPr/>
      </xdr:nvSpPr>
      <xdr:spPr>
        <a:xfrm>
          <a:off x="11884024" y="191558"/>
          <a:ext cx="1192743"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Cathode</a:t>
          </a:r>
          <a:r>
            <a:rPr lang="en-US" sz="1100" baseline="0"/>
            <a:t> Production</a:t>
          </a:r>
          <a:endParaRPr lang="en-US" sz="1100"/>
        </a:p>
      </xdr:txBody>
    </xdr:sp>
    <xdr:clientData/>
  </xdr:twoCellAnchor>
  <xdr:twoCellAnchor>
    <xdr:from>
      <xdr:col>9</xdr:col>
      <xdr:colOff>921657</xdr:colOff>
      <xdr:row>0</xdr:row>
      <xdr:rowOff>182034</xdr:rowOff>
    </xdr:from>
    <xdr:to>
      <xdr:col>10</xdr:col>
      <xdr:colOff>1239308</xdr:colOff>
      <xdr:row>2</xdr:row>
      <xdr:rowOff>8618</xdr:rowOff>
    </xdr:to>
    <xdr:sp macro="" textlink="">
      <xdr:nvSpPr>
        <xdr:cNvPr id="11" name="Rounded Rectangle 10">
          <a:hlinkClick xmlns:r="http://schemas.openxmlformats.org/officeDocument/2006/relationships" r:id="rId6" tooltip="Go to &quot;Man Rec Par.&quot; tab for details of battery remanufacture with recycled materials"/>
          <a:extLst>
            <a:ext uri="{FF2B5EF4-FFF2-40B4-BE49-F238E27FC236}">
              <a16:creationId xmlns:a16="http://schemas.microsoft.com/office/drawing/2014/main" id="{00000000-0008-0000-0200-00000B000000}"/>
            </a:ext>
          </a:extLst>
        </xdr:cNvPr>
        <xdr:cNvSpPr/>
      </xdr:nvSpPr>
      <xdr:spPr>
        <a:xfrm>
          <a:off x="13704207" y="182034"/>
          <a:ext cx="1765451" cy="20758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Manuf.</a:t>
          </a:r>
          <a:r>
            <a:rPr lang="en-US" sz="1100" baseline="0"/>
            <a:t> w/recycled mat'l</a:t>
          </a:r>
          <a:endParaRPr lang="en-US" sz="1100"/>
        </a:p>
      </xdr:txBody>
    </xdr:sp>
    <xdr:clientData/>
  </xdr:twoCellAnchor>
  <xdr:twoCellAnchor>
    <xdr:from>
      <xdr:col>11</xdr:col>
      <xdr:colOff>232833</xdr:colOff>
      <xdr:row>7</xdr:row>
      <xdr:rowOff>0</xdr:rowOff>
    </xdr:from>
    <xdr:to>
      <xdr:col>11</xdr:col>
      <xdr:colOff>857250</xdr:colOff>
      <xdr:row>7</xdr:row>
      <xdr:rowOff>264583</xdr:rowOff>
    </xdr:to>
    <xdr:sp macro="[0]!Show_Cellc" textlink="">
      <xdr:nvSpPr>
        <xdr:cNvPr id="9" name="Rounded Rectangle 8">
          <a:extLst>
            <a:ext uri="{FF2B5EF4-FFF2-40B4-BE49-F238E27FC236}">
              <a16:creationId xmlns:a16="http://schemas.microsoft.com/office/drawing/2014/main" id="{00000000-0008-0000-0200-000009000000}"/>
            </a:ext>
          </a:extLst>
        </xdr:cNvPr>
        <xdr:cNvSpPr/>
      </xdr:nvSpPr>
      <xdr:spPr>
        <a:xfrm>
          <a:off x="14933083" y="1397000"/>
          <a:ext cx="624417" cy="264583"/>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US" sz="1100"/>
            <a:t>Go</a:t>
          </a:r>
        </a:p>
      </xdr:txBody>
    </xdr:sp>
    <xdr:clientData/>
  </xdr:twoCellAnchor>
  <xdr:twoCellAnchor>
    <xdr:from>
      <xdr:col>8</xdr:col>
      <xdr:colOff>139701</xdr:colOff>
      <xdr:row>9</xdr:row>
      <xdr:rowOff>128057</xdr:rowOff>
    </xdr:from>
    <xdr:to>
      <xdr:col>11</xdr:col>
      <xdr:colOff>1388533</xdr:colOff>
      <xdr:row>28</xdr:row>
      <xdr:rowOff>23283</xdr:rowOff>
    </xdr:to>
    <xdr:graphicFrame macro="">
      <xdr:nvGraphicFramePr>
        <xdr:cNvPr id="3" name="Chart 2" hidden="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1059</xdr:colOff>
      <xdr:row>61</xdr:row>
      <xdr:rowOff>188382</xdr:rowOff>
    </xdr:from>
    <xdr:to>
      <xdr:col>11</xdr:col>
      <xdr:colOff>318559</xdr:colOff>
      <xdr:row>77</xdr:row>
      <xdr:rowOff>38099</xdr:rowOff>
    </xdr:to>
    <xdr:graphicFrame macro="">
      <xdr:nvGraphicFramePr>
        <xdr:cNvPr id="12" name="Chart 11">
          <a:extLst>
            <a:ext uri="{FF2B5EF4-FFF2-40B4-BE49-F238E27FC236}">
              <a16:creationId xmlns:a16="http://schemas.microsoft.com/office/drawing/2014/main" id="{00000000-0008-0000-02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14</xdr:col>
      <xdr:colOff>10582</xdr:colOff>
      <xdr:row>63</xdr:row>
      <xdr:rowOff>10584</xdr:rowOff>
    </xdr:from>
    <xdr:to>
      <xdr:col>17</xdr:col>
      <xdr:colOff>247649</xdr:colOff>
      <xdr:row>80</xdr:row>
      <xdr:rowOff>19050</xdr:rowOff>
    </xdr:to>
    <xdr:graphicFrame macro="">
      <xdr:nvGraphicFramePr>
        <xdr:cNvPr id="13" name="Chart 12" hidden="1">
          <a:extLst>
            <a:ext uri="{FF2B5EF4-FFF2-40B4-BE49-F238E27FC236}">
              <a16:creationId xmlns:a16="http://schemas.microsoft.com/office/drawing/2014/main" id="{00000000-0008-0000-02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232833</xdr:colOff>
      <xdr:row>59</xdr:row>
      <xdr:rowOff>179917</xdr:rowOff>
    </xdr:from>
    <xdr:to>
      <xdr:col>10</xdr:col>
      <xdr:colOff>836084</xdr:colOff>
      <xdr:row>61</xdr:row>
      <xdr:rowOff>21167</xdr:rowOff>
    </xdr:to>
    <xdr:sp macro="[0]!Show_Recyclec" textlink="">
      <xdr:nvSpPr>
        <xdr:cNvPr id="14" name="Rounded Rectangle 13">
          <a:extLst>
            <a:ext uri="{FF2B5EF4-FFF2-40B4-BE49-F238E27FC236}">
              <a16:creationId xmlns:a16="http://schemas.microsoft.com/office/drawing/2014/main" id="{00000000-0008-0000-0200-00000E000000}"/>
            </a:ext>
          </a:extLst>
        </xdr:cNvPr>
        <xdr:cNvSpPr/>
      </xdr:nvSpPr>
      <xdr:spPr>
        <a:xfrm>
          <a:off x="8149166" y="11557000"/>
          <a:ext cx="603251" cy="23283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US" sz="1100"/>
            <a:t>Go</a:t>
          </a:r>
        </a:p>
      </xdr:txBody>
    </xdr:sp>
    <xdr:clientData/>
  </xdr:twoCellAnchor>
  <xdr:twoCellAnchor>
    <xdr:from>
      <xdr:col>17</xdr:col>
      <xdr:colOff>285750</xdr:colOff>
      <xdr:row>59</xdr:row>
      <xdr:rowOff>169333</xdr:rowOff>
    </xdr:from>
    <xdr:to>
      <xdr:col>17</xdr:col>
      <xdr:colOff>889001</xdr:colOff>
      <xdr:row>61</xdr:row>
      <xdr:rowOff>10583</xdr:rowOff>
    </xdr:to>
    <xdr:sp macro="[0]!Show_Cathodec" textlink="">
      <xdr:nvSpPr>
        <xdr:cNvPr id="15" name="Rounded Rectangle 14">
          <a:extLst>
            <a:ext uri="{FF2B5EF4-FFF2-40B4-BE49-F238E27FC236}">
              <a16:creationId xmlns:a16="http://schemas.microsoft.com/office/drawing/2014/main" id="{00000000-0008-0000-0200-00000F000000}"/>
            </a:ext>
          </a:extLst>
        </xdr:cNvPr>
        <xdr:cNvSpPr/>
      </xdr:nvSpPr>
      <xdr:spPr>
        <a:xfrm>
          <a:off x="18076333" y="11546416"/>
          <a:ext cx="603251" cy="23283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US" sz="1100"/>
            <a:t>Go</a:t>
          </a:r>
        </a:p>
      </xdr:txBody>
    </xdr:sp>
    <xdr:clientData/>
  </xdr:twoCellAnchor>
  <xdr:twoCellAnchor>
    <xdr:from>
      <xdr:col>10</xdr:col>
      <xdr:colOff>219075</xdr:colOff>
      <xdr:row>78</xdr:row>
      <xdr:rowOff>180975</xdr:rowOff>
    </xdr:from>
    <xdr:to>
      <xdr:col>10</xdr:col>
      <xdr:colOff>822326</xdr:colOff>
      <xdr:row>80</xdr:row>
      <xdr:rowOff>22225</xdr:rowOff>
    </xdr:to>
    <xdr:sp macro="[0]!Show_Revenuec" textlink="">
      <xdr:nvSpPr>
        <xdr:cNvPr id="16" name="Rounded Rectangle 15">
          <a:extLst>
            <a:ext uri="{FF2B5EF4-FFF2-40B4-BE49-F238E27FC236}">
              <a16:creationId xmlns:a16="http://schemas.microsoft.com/office/drawing/2014/main" id="{00000000-0008-0000-0200-000010000000}"/>
            </a:ext>
          </a:extLst>
        </xdr:cNvPr>
        <xdr:cNvSpPr/>
      </xdr:nvSpPr>
      <xdr:spPr>
        <a:xfrm>
          <a:off x="8334375" y="15725775"/>
          <a:ext cx="603251" cy="23177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US" sz="1100"/>
            <a:t>Go</a:t>
          </a:r>
        </a:p>
      </xdr:txBody>
    </xdr:sp>
    <xdr:clientData/>
  </xdr:twoCellAnchor>
  <xdr:twoCellAnchor>
    <xdr:from>
      <xdr:col>8</xdr:col>
      <xdr:colOff>9524</xdr:colOff>
      <xdr:row>80</xdr:row>
      <xdr:rowOff>161924</xdr:rowOff>
    </xdr:from>
    <xdr:to>
      <xdr:col>11</xdr:col>
      <xdr:colOff>371475</xdr:colOff>
      <xdr:row>97</xdr:row>
      <xdr:rowOff>28575</xdr:rowOff>
    </xdr:to>
    <xdr:graphicFrame macro="">
      <xdr:nvGraphicFramePr>
        <xdr:cNvPr id="8" name="Chart 7">
          <a:extLst>
            <a:ext uri="{FF2B5EF4-FFF2-40B4-BE49-F238E27FC236}">
              <a16:creationId xmlns:a16="http://schemas.microsoft.com/office/drawing/2014/main" id="{00000000-0008-0000-02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xdr:col>
      <xdr:colOff>1422400</xdr:colOff>
      <xdr:row>0</xdr:row>
      <xdr:rowOff>177800</xdr:rowOff>
    </xdr:from>
    <xdr:to>
      <xdr:col>5</xdr:col>
      <xdr:colOff>1017058</xdr:colOff>
      <xdr:row>2</xdr:row>
      <xdr:rowOff>12700</xdr:rowOff>
    </xdr:to>
    <xdr:sp macro="" textlink="">
      <xdr:nvSpPr>
        <xdr:cNvPr id="17" name="Rounded Rectangle 16">
          <a:hlinkClick xmlns:r="http://schemas.openxmlformats.org/officeDocument/2006/relationships" r:id="rId11" tooltip="Go to &quot;Disassembly&quot; tab for details of battery pack and module disassembly"/>
          <a:extLst>
            <a:ext uri="{FF2B5EF4-FFF2-40B4-BE49-F238E27FC236}">
              <a16:creationId xmlns:a16="http://schemas.microsoft.com/office/drawing/2014/main" id="{00000000-0008-0000-0200-000011000000}"/>
            </a:ext>
          </a:extLst>
        </xdr:cNvPr>
        <xdr:cNvSpPr/>
      </xdr:nvSpPr>
      <xdr:spPr>
        <a:xfrm>
          <a:off x="6807200" y="177800"/>
          <a:ext cx="1461558" cy="2159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Disassembly</a:t>
          </a:r>
        </a:p>
      </xdr:txBody>
    </xdr:sp>
    <xdr:clientData/>
  </xdr:twoCellAnchor>
  <xdr:twoCellAnchor>
    <xdr:from>
      <xdr:col>12</xdr:col>
      <xdr:colOff>8987</xdr:colOff>
      <xdr:row>31</xdr:row>
      <xdr:rowOff>188702</xdr:rowOff>
    </xdr:from>
    <xdr:to>
      <xdr:col>12</xdr:col>
      <xdr:colOff>1087287</xdr:colOff>
      <xdr:row>33</xdr:row>
      <xdr:rowOff>66893</xdr:rowOff>
    </xdr:to>
    <xdr:sp macro="[0]!Reset_recycle" textlink="">
      <xdr:nvSpPr>
        <xdr:cNvPr id="18" name="Rounded Rectangle 8">
          <a:extLst>
            <a:ext uri="{FF2B5EF4-FFF2-40B4-BE49-F238E27FC236}">
              <a16:creationId xmlns:a16="http://schemas.microsoft.com/office/drawing/2014/main" id="{00000000-0008-0000-0200-000012000000}"/>
            </a:ext>
          </a:extLst>
        </xdr:cNvPr>
        <xdr:cNvSpPr/>
      </xdr:nvSpPr>
      <xdr:spPr>
        <a:xfrm>
          <a:off x="17279789" y="6550683"/>
          <a:ext cx="1078300" cy="264583"/>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US" sz="1100"/>
            <a:t>Calculate cost</a:t>
          </a:r>
        </a:p>
      </xdr:txBody>
    </xdr:sp>
    <xdr:clientData/>
  </xdr:twoCellAnchor>
  <xdr:twoCellAnchor>
    <xdr:from>
      <xdr:col>19</xdr:col>
      <xdr:colOff>0</xdr:colOff>
      <xdr:row>32</xdr:row>
      <xdr:rowOff>0</xdr:rowOff>
    </xdr:from>
    <xdr:to>
      <xdr:col>19</xdr:col>
      <xdr:colOff>1078300</xdr:colOff>
      <xdr:row>33</xdr:row>
      <xdr:rowOff>75880</xdr:rowOff>
    </xdr:to>
    <xdr:sp macro="[0]!Reset_Cathode" textlink="">
      <xdr:nvSpPr>
        <xdr:cNvPr id="19" name="Rounded Rectangle 8">
          <a:extLst>
            <a:ext uri="{FF2B5EF4-FFF2-40B4-BE49-F238E27FC236}">
              <a16:creationId xmlns:a16="http://schemas.microsoft.com/office/drawing/2014/main" id="{00000000-0008-0000-0200-000013000000}"/>
            </a:ext>
          </a:extLst>
        </xdr:cNvPr>
        <xdr:cNvSpPr/>
      </xdr:nvSpPr>
      <xdr:spPr>
        <a:xfrm>
          <a:off x="27299009" y="6559670"/>
          <a:ext cx="1078300" cy="264583"/>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US" sz="1100"/>
            <a:t>Calculate cost</a:t>
          </a:r>
        </a:p>
      </xdr:txBody>
    </xdr:sp>
    <xdr:clientData/>
  </xdr:twoCellAnchor>
  <xdr:twoCellAnchor>
    <xdr:from>
      <xdr:col>6</xdr:col>
      <xdr:colOff>200025</xdr:colOff>
      <xdr:row>0</xdr:row>
      <xdr:rowOff>180975</xdr:rowOff>
    </xdr:from>
    <xdr:to>
      <xdr:col>7</xdr:col>
      <xdr:colOff>353483</xdr:colOff>
      <xdr:row>2</xdr:row>
      <xdr:rowOff>15875</xdr:rowOff>
    </xdr:to>
    <xdr:sp macro="" textlink="">
      <xdr:nvSpPr>
        <xdr:cNvPr id="6" name="Rounded Rectangle 6">
          <a:hlinkClick xmlns:r="http://schemas.openxmlformats.org/officeDocument/2006/relationships" r:id="rId12" tooltip="Go to &quot;Preproc. Par.&quot; tab for details of preprocessing"/>
          <a:extLst>
            <a:ext uri="{FF2B5EF4-FFF2-40B4-BE49-F238E27FC236}">
              <a16:creationId xmlns:a16="http://schemas.microsoft.com/office/drawing/2014/main" id="{00000000-0008-0000-0200-000006000000}"/>
            </a:ext>
          </a:extLst>
        </xdr:cNvPr>
        <xdr:cNvSpPr/>
      </xdr:nvSpPr>
      <xdr:spPr>
        <a:xfrm>
          <a:off x="7962900" y="180975"/>
          <a:ext cx="1410758" cy="2159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Preprocessing</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390525</xdr:colOff>
      <xdr:row>0</xdr:row>
      <xdr:rowOff>190499</xdr:rowOff>
    </xdr:from>
    <xdr:to>
      <xdr:col>7</xdr:col>
      <xdr:colOff>1009650</xdr:colOff>
      <xdr:row>2</xdr:row>
      <xdr:rowOff>9525</xdr:rowOff>
    </xdr:to>
    <xdr:sp macro="[0]!Show_comp_chart" textlink="">
      <xdr:nvSpPr>
        <xdr:cNvPr id="8" name="Rounded Rectangle 7">
          <a:extLst>
            <a:ext uri="{FF2B5EF4-FFF2-40B4-BE49-F238E27FC236}">
              <a16:creationId xmlns:a16="http://schemas.microsoft.com/office/drawing/2014/main" id="{00000000-0008-0000-0300-000008000000}"/>
            </a:ext>
          </a:extLst>
        </xdr:cNvPr>
        <xdr:cNvSpPr/>
      </xdr:nvSpPr>
      <xdr:spPr>
        <a:xfrm>
          <a:off x="8448675" y="190499"/>
          <a:ext cx="619125" cy="247651"/>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US" sz="1100"/>
            <a:t>Go</a:t>
          </a:r>
        </a:p>
      </xdr:txBody>
    </xdr:sp>
    <xdr:clientData/>
  </xdr:twoCellAnchor>
  <xdr:twoCellAnchor>
    <xdr:from>
      <xdr:col>0</xdr:col>
      <xdr:colOff>400049</xdr:colOff>
      <xdr:row>4</xdr:row>
      <xdr:rowOff>4762</xdr:rowOff>
    </xdr:from>
    <xdr:to>
      <xdr:col>6</xdr:col>
      <xdr:colOff>1114425</xdr:colOff>
      <xdr:row>23</xdr:row>
      <xdr:rowOff>95250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542925</xdr:colOff>
      <xdr:row>25</xdr:row>
      <xdr:rowOff>171450</xdr:rowOff>
    </xdr:from>
    <xdr:to>
      <xdr:col>7</xdr:col>
      <xdr:colOff>1162050</xdr:colOff>
      <xdr:row>26</xdr:row>
      <xdr:rowOff>228601</xdr:rowOff>
    </xdr:to>
    <xdr:sp macro="[0]!Show_breakdwon_chart" textlink="">
      <xdr:nvSpPr>
        <xdr:cNvPr id="4" name="Rounded Rectangle 3">
          <a:extLst>
            <a:ext uri="{FF2B5EF4-FFF2-40B4-BE49-F238E27FC236}">
              <a16:creationId xmlns:a16="http://schemas.microsoft.com/office/drawing/2014/main" id="{00000000-0008-0000-0300-000004000000}"/>
            </a:ext>
          </a:extLst>
        </xdr:cNvPr>
        <xdr:cNvSpPr/>
      </xdr:nvSpPr>
      <xdr:spPr>
        <a:xfrm>
          <a:off x="8601075" y="5029200"/>
          <a:ext cx="619125" cy="247651"/>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US" sz="1100"/>
            <a:t>Go</a:t>
          </a:r>
        </a:p>
      </xdr:txBody>
    </xdr:sp>
    <xdr:clientData/>
  </xdr:twoCellAnchor>
  <xdr:twoCellAnchor>
    <xdr:from>
      <xdr:col>0</xdr:col>
      <xdr:colOff>438149</xdr:colOff>
      <xdr:row>28</xdr:row>
      <xdr:rowOff>185737</xdr:rowOff>
    </xdr:from>
    <xdr:to>
      <xdr:col>6</xdr:col>
      <xdr:colOff>1114424</xdr:colOff>
      <xdr:row>51</xdr:row>
      <xdr:rowOff>28575</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12700</xdr:colOff>
      <xdr:row>2</xdr:row>
      <xdr:rowOff>136525</xdr:rowOff>
    </xdr:from>
    <xdr:to>
      <xdr:col>1</xdr:col>
      <xdr:colOff>1508125</xdr:colOff>
      <xdr:row>3</xdr:row>
      <xdr:rowOff>165100</xdr:rowOff>
    </xdr:to>
    <xdr:sp macro="" textlink="">
      <xdr:nvSpPr>
        <xdr:cNvPr id="2" name="Rounded Rectangle 1">
          <a:hlinkClick xmlns:r="http://schemas.openxmlformats.org/officeDocument/2006/relationships" r:id="rId1" tooltip="Go back to &quot;Input&quot; tab"/>
          <a:extLst>
            <a:ext uri="{FF2B5EF4-FFF2-40B4-BE49-F238E27FC236}">
              <a16:creationId xmlns:a16="http://schemas.microsoft.com/office/drawing/2014/main" id="{00000000-0008-0000-0400-000002000000}"/>
            </a:ext>
          </a:extLst>
        </xdr:cNvPr>
        <xdr:cNvSpPr/>
      </xdr:nvSpPr>
      <xdr:spPr>
        <a:xfrm>
          <a:off x="685800" y="517525"/>
          <a:ext cx="1495425" cy="21907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1</xdr:col>
      <xdr:colOff>9525</xdr:colOff>
      <xdr:row>170</xdr:row>
      <xdr:rowOff>0</xdr:rowOff>
    </xdr:from>
    <xdr:to>
      <xdr:col>1</xdr:col>
      <xdr:colOff>1504950</xdr:colOff>
      <xdr:row>171</xdr:row>
      <xdr:rowOff>0</xdr:rowOff>
    </xdr:to>
    <xdr:sp macro="" textlink="">
      <xdr:nvSpPr>
        <xdr:cNvPr id="5" name="Rounded Rectangle 4">
          <a:hlinkClick xmlns:r="http://schemas.openxmlformats.org/officeDocument/2006/relationships" r:id="rId2" tooltip="     "/>
          <a:extLst>
            <a:ext uri="{FF2B5EF4-FFF2-40B4-BE49-F238E27FC236}">
              <a16:creationId xmlns:a16="http://schemas.microsoft.com/office/drawing/2014/main" id="{00000000-0008-0000-0400-000005000000}"/>
            </a:ext>
          </a:extLst>
        </xdr:cNvPr>
        <xdr:cNvSpPr/>
      </xdr:nvSpPr>
      <xdr:spPr>
        <a:xfrm>
          <a:off x="619125" y="31346775"/>
          <a:ext cx="1495425"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Back to Top</a:t>
          </a:r>
        </a:p>
      </xdr:txBody>
    </xdr:sp>
    <xdr:clientData/>
  </xdr:twoCellAnchor>
  <xdr:twoCellAnchor>
    <xdr:from>
      <xdr:col>1</xdr:col>
      <xdr:colOff>2035176</xdr:colOff>
      <xdr:row>2</xdr:row>
      <xdr:rowOff>152400</xdr:rowOff>
    </xdr:from>
    <xdr:to>
      <xdr:col>3</xdr:col>
      <xdr:colOff>149226</xdr:colOff>
      <xdr:row>4</xdr:row>
      <xdr:rowOff>0</xdr:rowOff>
    </xdr:to>
    <xdr:sp macro="" textlink="">
      <xdr:nvSpPr>
        <xdr:cNvPr id="19" name="Rounded Rectangle 18">
          <a:hlinkClick xmlns:r="http://schemas.openxmlformats.org/officeDocument/2006/relationships" r:id="rId3" tooltip="Go to &quot;Output&quot; tab"/>
          <a:extLst>
            <a:ext uri="{FF2B5EF4-FFF2-40B4-BE49-F238E27FC236}">
              <a16:creationId xmlns:a16="http://schemas.microsoft.com/office/drawing/2014/main" id="{00000000-0008-0000-0400-000013000000}"/>
            </a:ext>
          </a:extLst>
        </xdr:cNvPr>
        <xdr:cNvSpPr/>
      </xdr:nvSpPr>
      <xdr:spPr>
        <a:xfrm>
          <a:off x="2708276" y="533400"/>
          <a:ext cx="2051050" cy="2286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twoCellAnchor>
    <xdr:from>
      <xdr:col>3</xdr:col>
      <xdr:colOff>952500</xdr:colOff>
      <xdr:row>2</xdr:row>
      <xdr:rowOff>154214</xdr:rowOff>
    </xdr:from>
    <xdr:to>
      <xdr:col>6</xdr:col>
      <xdr:colOff>154215</xdr:colOff>
      <xdr:row>4</xdr:row>
      <xdr:rowOff>0</xdr:rowOff>
    </xdr:to>
    <xdr:sp macro="" textlink="">
      <xdr:nvSpPr>
        <xdr:cNvPr id="6" name="Rounded Rectangle 5">
          <a:hlinkClick xmlns:r="http://schemas.openxmlformats.org/officeDocument/2006/relationships" r:id="rId4" tooltip="Go to details of pack manufacturing"/>
          <a:extLst>
            <a:ext uri="{FF2B5EF4-FFF2-40B4-BE49-F238E27FC236}">
              <a16:creationId xmlns:a16="http://schemas.microsoft.com/office/drawing/2014/main" id="{00000000-0008-0000-0400-000006000000}"/>
            </a:ext>
          </a:extLst>
        </xdr:cNvPr>
        <xdr:cNvSpPr/>
      </xdr:nvSpPr>
      <xdr:spPr>
        <a:xfrm>
          <a:off x="5560786" y="535214"/>
          <a:ext cx="2159000" cy="226786"/>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Pack</a:t>
          </a:r>
        </a:p>
      </xdr:txBody>
    </xdr:sp>
    <xdr:clientData/>
  </xdr:twoCellAnchor>
  <xdr:twoCellAnchor>
    <xdr:from>
      <xdr:col>27</xdr:col>
      <xdr:colOff>0</xdr:colOff>
      <xdr:row>2</xdr:row>
      <xdr:rowOff>139700</xdr:rowOff>
    </xdr:from>
    <xdr:to>
      <xdr:col>27</xdr:col>
      <xdr:colOff>1625600</xdr:colOff>
      <xdr:row>3</xdr:row>
      <xdr:rowOff>180975</xdr:rowOff>
    </xdr:to>
    <xdr:sp macro="" textlink="">
      <xdr:nvSpPr>
        <xdr:cNvPr id="7" name="Rounded Rectangle 6">
          <a:hlinkClick xmlns:r="http://schemas.openxmlformats.org/officeDocument/2006/relationships" r:id="rId1" tooltip="Go back to &quot;Input&quot; tab"/>
          <a:extLst>
            <a:ext uri="{FF2B5EF4-FFF2-40B4-BE49-F238E27FC236}">
              <a16:creationId xmlns:a16="http://schemas.microsoft.com/office/drawing/2014/main" id="{00000000-0008-0000-0400-000007000000}"/>
            </a:ext>
          </a:extLst>
        </xdr:cNvPr>
        <xdr:cNvSpPr/>
      </xdr:nvSpPr>
      <xdr:spPr>
        <a:xfrm>
          <a:off x="25844500" y="520700"/>
          <a:ext cx="1625600" cy="23177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27</xdr:col>
      <xdr:colOff>2400300</xdr:colOff>
      <xdr:row>2</xdr:row>
      <xdr:rowOff>127000</xdr:rowOff>
    </xdr:from>
    <xdr:to>
      <xdr:col>28</xdr:col>
      <xdr:colOff>933450</xdr:colOff>
      <xdr:row>4</xdr:row>
      <xdr:rowOff>12700</xdr:rowOff>
    </xdr:to>
    <xdr:sp macro="" textlink="">
      <xdr:nvSpPr>
        <xdr:cNvPr id="8" name="Rounded Rectangle 7">
          <a:hlinkClick xmlns:r="http://schemas.openxmlformats.org/officeDocument/2006/relationships" r:id="rId3" tooltip="Go to &quot;Output&quot; tab"/>
          <a:extLst>
            <a:ext uri="{FF2B5EF4-FFF2-40B4-BE49-F238E27FC236}">
              <a16:creationId xmlns:a16="http://schemas.microsoft.com/office/drawing/2014/main" id="{00000000-0008-0000-0400-000008000000}"/>
            </a:ext>
          </a:extLst>
        </xdr:cNvPr>
        <xdr:cNvSpPr/>
      </xdr:nvSpPr>
      <xdr:spPr>
        <a:xfrm>
          <a:off x="28244800" y="508000"/>
          <a:ext cx="1835150"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twoCellAnchor>
    <xdr:from>
      <xdr:col>29</xdr:col>
      <xdr:colOff>393700</xdr:colOff>
      <xdr:row>2</xdr:row>
      <xdr:rowOff>139700</xdr:rowOff>
    </xdr:from>
    <xdr:to>
      <xdr:col>31</xdr:col>
      <xdr:colOff>209550</xdr:colOff>
      <xdr:row>4</xdr:row>
      <xdr:rowOff>0</xdr:rowOff>
    </xdr:to>
    <xdr:sp macro="" textlink="">
      <xdr:nvSpPr>
        <xdr:cNvPr id="9" name="Rounded Rectangle 8">
          <a:hlinkClick xmlns:r="http://schemas.openxmlformats.org/officeDocument/2006/relationships" r:id="rId5" tooltip="Go to details of cell production"/>
          <a:extLst>
            <a:ext uri="{FF2B5EF4-FFF2-40B4-BE49-F238E27FC236}">
              <a16:creationId xmlns:a16="http://schemas.microsoft.com/office/drawing/2014/main" id="{00000000-0008-0000-0400-000009000000}"/>
            </a:ext>
          </a:extLst>
        </xdr:cNvPr>
        <xdr:cNvSpPr/>
      </xdr:nvSpPr>
      <xdr:spPr>
        <a:xfrm>
          <a:off x="30886400" y="520700"/>
          <a:ext cx="1835150" cy="2413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Cell</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19050</xdr:colOff>
      <xdr:row>3</xdr:row>
      <xdr:rowOff>114300</xdr:rowOff>
    </xdr:from>
    <xdr:to>
      <xdr:col>1</xdr:col>
      <xdr:colOff>1838325</xdr:colOff>
      <xdr:row>4</xdr:row>
      <xdr:rowOff>171450</xdr:rowOff>
    </xdr:to>
    <xdr:sp macro="" textlink="">
      <xdr:nvSpPr>
        <xdr:cNvPr id="2" name="Rounded Rectangle 1">
          <a:hlinkClick xmlns:r="http://schemas.openxmlformats.org/officeDocument/2006/relationships" r:id="rId1" tooltip="Go back to &quot;Input&quot; tab"/>
          <a:extLst>
            <a:ext uri="{FF2B5EF4-FFF2-40B4-BE49-F238E27FC236}">
              <a16:creationId xmlns:a16="http://schemas.microsoft.com/office/drawing/2014/main" id="{00000000-0008-0000-0500-000002000000}"/>
            </a:ext>
          </a:extLst>
        </xdr:cNvPr>
        <xdr:cNvSpPr/>
      </xdr:nvSpPr>
      <xdr:spPr>
        <a:xfrm>
          <a:off x="609600" y="685800"/>
          <a:ext cx="1819275" cy="2476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1</xdr:col>
      <xdr:colOff>2867025</xdr:colOff>
      <xdr:row>3</xdr:row>
      <xdr:rowOff>114300</xdr:rowOff>
    </xdr:from>
    <xdr:to>
      <xdr:col>2</xdr:col>
      <xdr:colOff>1123950</xdr:colOff>
      <xdr:row>4</xdr:row>
      <xdr:rowOff>171450</xdr:rowOff>
    </xdr:to>
    <xdr:sp macro="" textlink="">
      <xdr:nvSpPr>
        <xdr:cNvPr id="3" name="Rounded Rectangle 2">
          <a:hlinkClick xmlns:r="http://schemas.openxmlformats.org/officeDocument/2006/relationships" r:id="rId2" tooltip="Go to &quot;Output&quot; tab"/>
          <a:extLst>
            <a:ext uri="{FF2B5EF4-FFF2-40B4-BE49-F238E27FC236}">
              <a16:creationId xmlns:a16="http://schemas.microsoft.com/office/drawing/2014/main" id="{00000000-0008-0000-0500-000003000000}"/>
            </a:ext>
          </a:extLst>
        </xdr:cNvPr>
        <xdr:cNvSpPr/>
      </xdr:nvSpPr>
      <xdr:spPr>
        <a:xfrm>
          <a:off x="3457575" y="685800"/>
          <a:ext cx="1819275" cy="2476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19050</xdr:colOff>
      <xdr:row>3</xdr:row>
      <xdr:rowOff>114300</xdr:rowOff>
    </xdr:from>
    <xdr:to>
      <xdr:col>1</xdr:col>
      <xdr:colOff>1838325</xdr:colOff>
      <xdr:row>4</xdr:row>
      <xdr:rowOff>171450</xdr:rowOff>
    </xdr:to>
    <xdr:sp macro="" textlink="">
      <xdr:nvSpPr>
        <xdr:cNvPr id="2" name="Rounded Rectangle 1">
          <a:hlinkClick xmlns:r="http://schemas.openxmlformats.org/officeDocument/2006/relationships" r:id="rId1" tooltip="Go back to &quot;Input&quot; tab"/>
          <a:extLst>
            <a:ext uri="{FF2B5EF4-FFF2-40B4-BE49-F238E27FC236}">
              <a16:creationId xmlns:a16="http://schemas.microsoft.com/office/drawing/2014/main" id="{00000000-0008-0000-0600-000002000000}"/>
            </a:ext>
          </a:extLst>
        </xdr:cNvPr>
        <xdr:cNvSpPr/>
      </xdr:nvSpPr>
      <xdr:spPr>
        <a:xfrm>
          <a:off x="692150" y="685800"/>
          <a:ext cx="1819275" cy="2476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2</xdr:col>
      <xdr:colOff>822325</xdr:colOff>
      <xdr:row>3</xdr:row>
      <xdr:rowOff>114300</xdr:rowOff>
    </xdr:from>
    <xdr:to>
      <xdr:col>3</xdr:col>
      <xdr:colOff>1270000</xdr:colOff>
      <xdr:row>5</xdr:row>
      <xdr:rowOff>0</xdr:rowOff>
    </xdr:to>
    <xdr:sp macro="" textlink="">
      <xdr:nvSpPr>
        <xdr:cNvPr id="3" name="Rounded Rectangle 2">
          <a:hlinkClick xmlns:r="http://schemas.openxmlformats.org/officeDocument/2006/relationships" r:id="rId2" tooltip="Go to &quot;Output&quot; tab"/>
          <a:extLst>
            <a:ext uri="{FF2B5EF4-FFF2-40B4-BE49-F238E27FC236}">
              <a16:creationId xmlns:a16="http://schemas.microsoft.com/office/drawing/2014/main" id="{00000000-0008-0000-0600-000003000000}"/>
            </a:ext>
          </a:extLst>
        </xdr:cNvPr>
        <xdr:cNvSpPr/>
      </xdr:nvSpPr>
      <xdr:spPr>
        <a:xfrm>
          <a:off x="3870325" y="685800"/>
          <a:ext cx="1844675"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3</xdr:row>
      <xdr:rowOff>0</xdr:rowOff>
    </xdr:from>
    <xdr:to>
      <xdr:col>1</xdr:col>
      <xdr:colOff>981075</xdr:colOff>
      <xdr:row>4</xdr:row>
      <xdr:rowOff>0</xdr:rowOff>
    </xdr:to>
    <xdr:sp macro="" textlink="">
      <xdr:nvSpPr>
        <xdr:cNvPr id="2" name="Rounded Rectangle 1">
          <a:hlinkClick xmlns:r="http://schemas.openxmlformats.org/officeDocument/2006/relationships" r:id="rId1" tooltip="Go back to &quot;Input&quot; tab"/>
          <a:extLst>
            <a:ext uri="{FF2B5EF4-FFF2-40B4-BE49-F238E27FC236}">
              <a16:creationId xmlns:a16="http://schemas.microsoft.com/office/drawing/2014/main" id="{00000000-0008-0000-0700-000002000000}"/>
            </a:ext>
          </a:extLst>
        </xdr:cNvPr>
        <xdr:cNvSpPr/>
      </xdr:nvSpPr>
      <xdr:spPr>
        <a:xfrm>
          <a:off x="800100" y="571500"/>
          <a:ext cx="981075"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2</xdr:col>
      <xdr:colOff>400050</xdr:colOff>
      <xdr:row>3</xdr:row>
      <xdr:rowOff>0</xdr:rowOff>
    </xdr:from>
    <xdr:to>
      <xdr:col>2</xdr:col>
      <xdr:colOff>1628775</xdr:colOff>
      <xdr:row>4</xdr:row>
      <xdr:rowOff>0</xdr:rowOff>
    </xdr:to>
    <xdr:sp macro="" textlink="">
      <xdr:nvSpPr>
        <xdr:cNvPr id="3" name="Rounded Rectangle 2">
          <a:hlinkClick xmlns:r="http://schemas.openxmlformats.org/officeDocument/2006/relationships" r:id="rId2" tooltip="Jump to details of generic preprocessing"/>
          <a:extLst>
            <a:ext uri="{FF2B5EF4-FFF2-40B4-BE49-F238E27FC236}">
              <a16:creationId xmlns:a16="http://schemas.microsoft.com/office/drawing/2014/main" id="{00000000-0008-0000-0700-000003000000}"/>
            </a:ext>
          </a:extLst>
        </xdr:cNvPr>
        <xdr:cNvSpPr/>
      </xdr:nvSpPr>
      <xdr:spPr>
        <a:xfrm>
          <a:off x="3524250" y="571500"/>
          <a:ext cx="1228725"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Generic</a:t>
          </a:r>
        </a:p>
      </xdr:txBody>
    </xdr:sp>
    <xdr:clientData/>
  </xdr:twoCellAnchor>
  <xdr:twoCellAnchor>
    <xdr:from>
      <xdr:col>3</xdr:col>
      <xdr:colOff>9526</xdr:colOff>
      <xdr:row>3</xdr:row>
      <xdr:rowOff>3176</xdr:rowOff>
    </xdr:from>
    <xdr:to>
      <xdr:col>3</xdr:col>
      <xdr:colOff>1038226</xdr:colOff>
      <xdr:row>4</xdr:row>
      <xdr:rowOff>9525</xdr:rowOff>
    </xdr:to>
    <xdr:sp macro="" textlink="">
      <xdr:nvSpPr>
        <xdr:cNvPr id="6" name="Rounded Rectangle 5">
          <a:hlinkClick xmlns:r="http://schemas.openxmlformats.org/officeDocument/2006/relationships" r:id="rId3" tooltip="Jump to details of custom preprocessing process"/>
          <a:extLst>
            <a:ext uri="{FF2B5EF4-FFF2-40B4-BE49-F238E27FC236}">
              <a16:creationId xmlns:a16="http://schemas.microsoft.com/office/drawing/2014/main" id="{00000000-0008-0000-0700-000006000000}"/>
            </a:ext>
          </a:extLst>
        </xdr:cNvPr>
        <xdr:cNvSpPr/>
      </xdr:nvSpPr>
      <xdr:spPr>
        <a:xfrm>
          <a:off x="5257801" y="574676"/>
          <a:ext cx="1028700" cy="196849"/>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baseline="0"/>
            <a:t>Custom</a:t>
          </a:r>
          <a:endParaRPr lang="en-US" sz="1100"/>
        </a:p>
      </xdr:txBody>
    </xdr:sp>
    <xdr:clientData/>
  </xdr:twoCellAnchor>
  <xdr:twoCellAnchor>
    <xdr:from>
      <xdr:col>28</xdr:col>
      <xdr:colOff>38100</xdr:colOff>
      <xdr:row>3</xdr:row>
      <xdr:rowOff>0</xdr:rowOff>
    </xdr:from>
    <xdr:to>
      <xdr:col>28</xdr:col>
      <xdr:colOff>1981200</xdr:colOff>
      <xdr:row>4</xdr:row>
      <xdr:rowOff>0</xdr:rowOff>
    </xdr:to>
    <xdr:sp macro="" textlink="">
      <xdr:nvSpPr>
        <xdr:cNvPr id="7" name="Rounded Rectangle 6">
          <a:hlinkClick xmlns:r="http://schemas.openxmlformats.org/officeDocument/2006/relationships" r:id="rId4" tooltip="Jump to general details of preprocessing"/>
          <a:extLst>
            <a:ext uri="{FF2B5EF4-FFF2-40B4-BE49-F238E27FC236}">
              <a16:creationId xmlns:a16="http://schemas.microsoft.com/office/drawing/2014/main" id="{00000000-0008-0000-0700-000007000000}"/>
            </a:ext>
          </a:extLst>
        </xdr:cNvPr>
        <xdr:cNvSpPr/>
      </xdr:nvSpPr>
      <xdr:spPr>
        <a:xfrm>
          <a:off x="47879000" y="571500"/>
          <a:ext cx="1943100"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General</a:t>
          </a:r>
        </a:p>
      </xdr:txBody>
    </xdr:sp>
    <xdr:clientData/>
  </xdr:twoCellAnchor>
  <xdr:twoCellAnchor>
    <xdr:from>
      <xdr:col>1</xdr:col>
      <xdr:colOff>1428750</xdr:colOff>
      <xdr:row>3</xdr:row>
      <xdr:rowOff>0</xdr:rowOff>
    </xdr:from>
    <xdr:to>
      <xdr:col>1</xdr:col>
      <xdr:colOff>2466975</xdr:colOff>
      <xdr:row>4</xdr:row>
      <xdr:rowOff>0</xdr:rowOff>
    </xdr:to>
    <xdr:sp macro="" textlink="">
      <xdr:nvSpPr>
        <xdr:cNvPr id="23" name="Rounded Rectangle 22">
          <a:hlinkClick xmlns:r="http://schemas.openxmlformats.org/officeDocument/2006/relationships" r:id="rId5" tooltip="Go to &quot;Output&quot; tab"/>
          <a:extLst>
            <a:ext uri="{FF2B5EF4-FFF2-40B4-BE49-F238E27FC236}">
              <a16:creationId xmlns:a16="http://schemas.microsoft.com/office/drawing/2014/main" id="{00000000-0008-0000-0700-000017000000}"/>
            </a:ext>
          </a:extLst>
        </xdr:cNvPr>
        <xdr:cNvSpPr/>
      </xdr:nvSpPr>
      <xdr:spPr>
        <a:xfrm>
          <a:off x="2228850" y="571500"/>
          <a:ext cx="1038225"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twoCellAnchor>
    <xdr:from>
      <xdr:col>26</xdr:col>
      <xdr:colOff>1219200</xdr:colOff>
      <xdr:row>3</xdr:row>
      <xdr:rowOff>0</xdr:rowOff>
    </xdr:from>
    <xdr:to>
      <xdr:col>27</xdr:col>
      <xdr:colOff>1209675</xdr:colOff>
      <xdr:row>4</xdr:row>
      <xdr:rowOff>0</xdr:rowOff>
    </xdr:to>
    <xdr:sp macro="" textlink="">
      <xdr:nvSpPr>
        <xdr:cNvPr id="24" name="Rounded Rectangle 23">
          <a:hlinkClick xmlns:r="http://schemas.openxmlformats.org/officeDocument/2006/relationships" r:id="rId1" tooltip="Go back to &quot;Input&quot; tab"/>
          <a:extLst>
            <a:ext uri="{FF2B5EF4-FFF2-40B4-BE49-F238E27FC236}">
              <a16:creationId xmlns:a16="http://schemas.microsoft.com/office/drawing/2014/main" id="{00000000-0008-0000-0700-000018000000}"/>
            </a:ext>
          </a:extLst>
        </xdr:cNvPr>
        <xdr:cNvSpPr/>
      </xdr:nvSpPr>
      <xdr:spPr>
        <a:xfrm>
          <a:off x="43878500" y="571500"/>
          <a:ext cx="1400175"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27</xdr:col>
      <xdr:colOff>1657350</xdr:colOff>
      <xdr:row>3</xdr:row>
      <xdr:rowOff>0</xdr:rowOff>
    </xdr:from>
    <xdr:to>
      <xdr:col>27</xdr:col>
      <xdr:colOff>2819400</xdr:colOff>
      <xdr:row>4</xdr:row>
      <xdr:rowOff>0</xdr:rowOff>
    </xdr:to>
    <xdr:sp macro="" textlink="">
      <xdr:nvSpPr>
        <xdr:cNvPr id="25" name="Rounded Rectangle 24">
          <a:hlinkClick xmlns:r="http://schemas.openxmlformats.org/officeDocument/2006/relationships" r:id="rId5" tooltip="Go to &quot;Output&quot; tab"/>
          <a:extLst>
            <a:ext uri="{FF2B5EF4-FFF2-40B4-BE49-F238E27FC236}">
              <a16:creationId xmlns:a16="http://schemas.microsoft.com/office/drawing/2014/main" id="{00000000-0008-0000-0700-000019000000}"/>
            </a:ext>
          </a:extLst>
        </xdr:cNvPr>
        <xdr:cNvSpPr/>
      </xdr:nvSpPr>
      <xdr:spPr>
        <a:xfrm>
          <a:off x="45726350" y="571500"/>
          <a:ext cx="1162050"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twoCellAnchor>
    <xdr:from>
      <xdr:col>53</xdr:col>
      <xdr:colOff>0</xdr:colOff>
      <xdr:row>3</xdr:row>
      <xdr:rowOff>0</xdr:rowOff>
    </xdr:from>
    <xdr:to>
      <xdr:col>53</xdr:col>
      <xdr:colOff>1885950</xdr:colOff>
      <xdr:row>4</xdr:row>
      <xdr:rowOff>0</xdr:rowOff>
    </xdr:to>
    <xdr:sp macro="" textlink="">
      <xdr:nvSpPr>
        <xdr:cNvPr id="30" name="Rounded Rectangle 29">
          <a:hlinkClick xmlns:r="http://schemas.openxmlformats.org/officeDocument/2006/relationships" r:id="rId1" tooltip="Go back to &quot;Input&quot; tab"/>
          <a:extLst>
            <a:ext uri="{FF2B5EF4-FFF2-40B4-BE49-F238E27FC236}">
              <a16:creationId xmlns:a16="http://schemas.microsoft.com/office/drawing/2014/main" id="{00000000-0008-0000-0700-00001E000000}"/>
            </a:ext>
          </a:extLst>
        </xdr:cNvPr>
        <xdr:cNvSpPr/>
      </xdr:nvSpPr>
      <xdr:spPr>
        <a:xfrm>
          <a:off x="130746500" y="571500"/>
          <a:ext cx="1885950"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54</xdr:col>
      <xdr:colOff>0</xdr:colOff>
      <xdr:row>3</xdr:row>
      <xdr:rowOff>0</xdr:rowOff>
    </xdr:from>
    <xdr:to>
      <xdr:col>54</xdr:col>
      <xdr:colOff>1857375</xdr:colOff>
      <xdr:row>4</xdr:row>
      <xdr:rowOff>19050</xdr:rowOff>
    </xdr:to>
    <xdr:sp macro="" textlink="">
      <xdr:nvSpPr>
        <xdr:cNvPr id="31" name="Rounded Rectangle 30">
          <a:hlinkClick xmlns:r="http://schemas.openxmlformats.org/officeDocument/2006/relationships" r:id="rId5" tooltip="Go to &quot;Output&quot; tab"/>
          <a:extLst>
            <a:ext uri="{FF2B5EF4-FFF2-40B4-BE49-F238E27FC236}">
              <a16:creationId xmlns:a16="http://schemas.microsoft.com/office/drawing/2014/main" id="{00000000-0008-0000-0700-00001F000000}"/>
            </a:ext>
          </a:extLst>
        </xdr:cNvPr>
        <xdr:cNvSpPr/>
      </xdr:nvSpPr>
      <xdr:spPr>
        <a:xfrm>
          <a:off x="133781800" y="571500"/>
          <a:ext cx="1857375" cy="2095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mc:AlternateContent xmlns:mc="http://schemas.openxmlformats.org/markup-compatibility/2006">
    <mc:Choice xmlns:a14="http://schemas.microsoft.com/office/drawing/2010/main" Requires="a14">
      <xdr:twoCellAnchor>
        <xdr:from>
          <xdr:col>29</xdr:col>
          <xdr:colOff>946150</xdr:colOff>
          <xdr:row>32</xdr:row>
          <xdr:rowOff>107950</xdr:rowOff>
        </xdr:from>
        <xdr:to>
          <xdr:col>37</xdr:col>
          <xdr:colOff>165100</xdr:colOff>
          <xdr:row>63</xdr:row>
          <xdr:rowOff>76200</xdr:rowOff>
        </xdr:to>
        <xdr:sp macro="" textlink="">
          <xdr:nvSpPr>
            <xdr:cNvPr id="93185" name="Object 1" hidden="1">
              <a:extLst>
                <a:ext uri="{63B3BB69-23CF-44E3-9099-C40C66FF867C}">
                  <a14:compatExt spid="_x0000_s93185"/>
                </a:ext>
                <a:ext uri="{FF2B5EF4-FFF2-40B4-BE49-F238E27FC236}">
                  <a16:creationId xmlns:a16="http://schemas.microsoft.com/office/drawing/2014/main" id="{00000000-0008-0000-0700-0000016C0100}"/>
                </a:ext>
              </a:extLst>
            </xdr:cNvPr>
            <xdr:cNvSpPr/>
          </xdr:nvSpPr>
          <xdr:spPr bwMode="auto">
            <a:xfrm>
              <a:off x="0" y="0"/>
              <a:ext cx="0" cy="0"/>
            </a:xfrm>
            <a:prstGeom prst="rect">
              <a:avLst/>
            </a:prstGeom>
            <a:solidFill>
              <a:srgbClr val="FFFFFF"/>
            </a:solidFill>
          </xdr:spPr>
        </xdr:sp>
        <xdr:clientData/>
      </xdr:twoCellAnchor>
    </mc:Choice>
    <mc:Fallback/>
  </mc:AlternateContent>
  <xdr:twoCellAnchor>
    <xdr:from>
      <xdr:col>55</xdr:col>
      <xdr:colOff>0</xdr:colOff>
      <xdr:row>3</xdr:row>
      <xdr:rowOff>0</xdr:rowOff>
    </xdr:from>
    <xdr:to>
      <xdr:col>56</xdr:col>
      <xdr:colOff>714375</xdr:colOff>
      <xdr:row>4</xdr:row>
      <xdr:rowOff>0</xdr:rowOff>
    </xdr:to>
    <xdr:sp macro="" textlink="">
      <xdr:nvSpPr>
        <xdr:cNvPr id="4" name="Rounded Rectangle 6">
          <a:hlinkClick xmlns:r="http://schemas.openxmlformats.org/officeDocument/2006/relationships" r:id="rId4" tooltip="Jump to general details of preprocessing"/>
          <a:extLst>
            <a:ext uri="{FF2B5EF4-FFF2-40B4-BE49-F238E27FC236}">
              <a16:creationId xmlns:a16="http://schemas.microsoft.com/office/drawing/2014/main" id="{00000000-0008-0000-0700-000004000000}"/>
            </a:ext>
          </a:extLst>
        </xdr:cNvPr>
        <xdr:cNvSpPr/>
      </xdr:nvSpPr>
      <xdr:spPr>
        <a:xfrm>
          <a:off x="58512075" y="571500"/>
          <a:ext cx="1943100"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General</a:t>
          </a:r>
        </a:p>
      </xdr:txBody>
    </xdr:sp>
    <xdr:clientData/>
  </xdr:twoCellAnchor>
  <xdr:twoCellAnchor>
    <xdr:from>
      <xdr:col>28</xdr:col>
      <xdr:colOff>2543174</xdr:colOff>
      <xdr:row>2</xdr:row>
      <xdr:rowOff>180975</xdr:rowOff>
    </xdr:from>
    <xdr:to>
      <xdr:col>29</xdr:col>
      <xdr:colOff>714374</xdr:colOff>
      <xdr:row>3</xdr:row>
      <xdr:rowOff>187324</xdr:rowOff>
    </xdr:to>
    <xdr:sp macro="" textlink="">
      <xdr:nvSpPr>
        <xdr:cNvPr id="5" name="Rounded Rectangle 5">
          <a:hlinkClick xmlns:r="http://schemas.openxmlformats.org/officeDocument/2006/relationships" r:id="rId3" tooltip="Jump to details of custom preprocessing process"/>
          <a:extLst>
            <a:ext uri="{FF2B5EF4-FFF2-40B4-BE49-F238E27FC236}">
              <a16:creationId xmlns:a16="http://schemas.microsoft.com/office/drawing/2014/main" id="{00000000-0008-0000-0700-000005000000}"/>
            </a:ext>
          </a:extLst>
        </xdr:cNvPr>
        <xdr:cNvSpPr/>
      </xdr:nvSpPr>
      <xdr:spPr>
        <a:xfrm>
          <a:off x="32546924" y="561975"/>
          <a:ext cx="1171575" cy="196849"/>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baseline="0"/>
            <a:t>Custom</a:t>
          </a:r>
          <a:endParaRPr lang="en-US" sz="1100"/>
        </a:p>
      </xdr:txBody>
    </xdr:sp>
    <xdr:clientData/>
  </xdr:twoCellAnchor>
  <xdr:twoCellAnchor>
    <xdr:from>
      <xdr:col>57</xdr:col>
      <xdr:colOff>0</xdr:colOff>
      <xdr:row>3</xdr:row>
      <xdr:rowOff>0</xdr:rowOff>
    </xdr:from>
    <xdr:to>
      <xdr:col>58</xdr:col>
      <xdr:colOff>171450</xdr:colOff>
      <xdr:row>4</xdr:row>
      <xdr:rowOff>0</xdr:rowOff>
    </xdr:to>
    <xdr:sp macro="" textlink="">
      <xdr:nvSpPr>
        <xdr:cNvPr id="32" name="Rounded Rectangle 2">
          <a:hlinkClick xmlns:r="http://schemas.openxmlformats.org/officeDocument/2006/relationships" r:id="rId6" tooltip="Jump to details of generic preprocessing"/>
          <a:extLst>
            <a:ext uri="{FF2B5EF4-FFF2-40B4-BE49-F238E27FC236}">
              <a16:creationId xmlns:a16="http://schemas.microsoft.com/office/drawing/2014/main" id="{00000000-0008-0000-0700-000020000000}"/>
            </a:ext>
          </a:extLst>
        </xdr:cNvPr>
        <xdr:cNvSpPr/>
      </xdr:nvSpPr>
      <xdr:spPr>
        <a:xfrm>
          <a:off x="61236225" y="571500"/>
          <a:ext cx="1228725"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Generic</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0</xdr:colOff>
      <xdr:row>3</xdr:row>
      <xdr:rowOff>0</xdr:rowOff>
    </xdr:from>
    <xdr:to>
      <xdr:col>1</xdr:col>
      <xdr:colOff>981075</xdr:colOff>
      <xdr:row>4</xdr:row>
      <xdr:rowOff>0</xdr:rowOff>
    </xdr:to>
    <xdr:sp macro="" textlink="">
      <xdr:nvSpPr>
        <xdr:cNvPr id="6" name="Rounded Rectangle 5">
          <a:hlinkClick xmlns:r="http://schemas.openxmlformats.org/officeDocument/2006/relationships" r:id="rId1" tooltip="Go back to &quot;Input&quot; tab"/>
          <a:extLst>
            <a:ext uri="{FF2B5EF4-FFF2-40B4-BE49-F238E27FC236}">
              <a16:creationId xmlns:a16="http://schemas.microsoft.com/office/drawing/2014/main" id="{00000000-0008-0000-0800-000006000000}"/>
            </a:ext>
          </a:extLst>
        </xdr:cNvPr>
        <xdr:cNvSpPr/>
      </xdr:nvSpPr>
      <xdr:spPr>
        <a:xfrm>
          <a:off x="695325" y="571500"/>
          <a:ext cx="981075"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2</xdr:col>
      <xdr:colOff>323850</xdr:colOff>
      <xdr:row>2</xdr:row>
      <xdr:rowOff>190499</xdr:rowOff>
    </xdr:from>
    <xdr:to>
      <xdr:col>2</xdr:col>
      <xdr:colOff>1895475</xdr:colOff>
      <xdr:row>4</xdr:row>
      <xdr:rowOff>9524</xdr:rowOff>
    </xdr:to>
    <xdr:sp macro="" textlink="">
      <xdr:nvSpPr>
        <xdr:cNvPr id="7" name="Rounded Rectangle 6">
          <a:hlinkClick xmlns:r="http://schemas.openxmlformats.org/officeDocument/2006/relationships" r:id="rId2" tooltip="Jump to details of pyrometallurgical recycling process"/>
          <a:extLst>
            <a:ext uri="{FF2B5EF4-FFF2-40B4-BE49-F238E27FC236}">
              <a16:creationId xmlns:a16="http://schemas.microsoft.com/office/drawing/2014/main" id="{00000000-0008-0000-0800-000007000000}"/>
            </a:ext>
          </a:extLst>
        </xdr:cNvPr>
        <xdr:cNvSpPr/>
      </xdr:nvSpPr>
      <xdr:spPr>
        <a:xfrm>
          <a:off x="3514725" y="571499"/>
          <a:ext cx="15716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Pyrometallurgical</a:t>
          </a:r>
        </a:p>
      </xdr:txBody>
    </xdr:sp>
    <xdr:clientData/>
  </xdr:twoCellAnchor>
  <xdr:twoCellAnchor>
    <xdr:from>
      <xdr:col>3</xdr:col>
      <xdr:colOff>228600</xdr:colOff>
      <xdr:row>3</xdr:row>
      <xdr:rowOff>0</xdr:rowOff>
    </xdr:from>
    <xdr:to>
      <xdr:col>4</xdr:col>
      <xdr:colOff>619125</xdr:colOff>
      <xdr:row>4</xdr:row>
      <xdr:rowOff>0</xdr:rowOff>
    </xdr:to>
    <xdr:sp macro="" textlink="">
      <xdr:nvSpPr>
        <xdr:cNvPr id="8" name="Rounded Rectangle 7">
          <a:hlinkClick xmlns:r="http://schemas.openxmlformats.org/officeDocument/2006/relationships" r:id="rId3" tooltip="Jump to details of hydrometallurgical recycling process"/>
          <a:extLst>
            <a:ext uri="{FF2B5EF4-FFF2-40B4-BE49-F238E27FC236}">
              <a16:creationId xmlns:a16="http://schemas.microsoft.com/office/drawing/2014/main" id="{00000000-0008-0000-0800-000008000000}"/>
            </a:ext>
          </a:extLst>
        </xdr:cNvPr>
        <xdr:cNvSpPr/>
      </xdr:nvSpPr>
      <xdr:spPr>
        <a:xfrm>
          <a:off x="5534025" y="571500"/>
          <a:ext cx="1771650"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Hydrometallurgical</a:t>
          </a:r>
        </a:p>
      </xdr:txBody>
    </xdr:sp>
    <xdr:clientData/>
  </xdr:twoCellAnchor>
  <xdr:twoCellAnchor>
    <xdr:from>
      <xdr:col>5</xdr:col>
      <xdr:colOff>123825</xdr:colOff>
      <xdr:row>3</xdr:row>
      <xdr:rowOff>0</xdr:rowOff>
    </xdr:from>
    <xdr:to>
      <xdr:col>5</xdr:col>
      <xdr:colOff>1514475</xdr:colOff>
      <xdr:row>4</xdr:row>
      <xdr:rowOff>19049</xdr:rowOff>
    </xdr:to>
    <xdr:sp macro="" textlink="">
      <xdr:nvSpPr>
        <xdr:cNvPr id="10" name="Rounded Rectangle 9">
          <a:hlinkClick xmlns:r="http://schemas.openxmlformats.org/officeDocument/2006/relationships" r:id="rId4" tooltip="Jump to details of direct physical recycling process"/>
          <a:extLst>
            <a:ext uri="{FF2B5EF4-FFF2-40B4-BE49-F238E27FC236}">
              <a16:creationId xmlns:a16="http://schemas.microsoft.com/office/drawing/2014/main" id="{00000000-0008-0000-0800-00000A000000}"/>
            </a:ext>
          </a:extLst>
        </xdr:cNvPr>
        <xdr:cNvSpPr/>
      </xdr:nvSpPr>
      <xdr:spPr>
        <a:xfrm>
          <a:off x="7696200" y="571500"/>
          <a:ext cx="1390650" cy="209549"/>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baseline="0"/>
            <a:t>Direct</a:t>
          </a:r>
          <a:endParaRPr lang="en-US" sz="1100"/>
        </a:p>
      </xdr:txBody>
    </xdr:sp>
    <xdr:clientData/>
  </xdr:twoCellAnchor>
  <xdr:twoCellAnchor>
    <xdr:from>
      <xdr:col>6</xdr:col>
      <xdr:colOff>247650</xdr:colOff>
      <xdr:row>2</xdr:row>
      <xdr:rowOff>180976</xdr:rowOff>
    </xdr:from>
    <xdr:to>
      <xdr:col>7</xdr:col>
      <xdr:colOff>466726</xdr:colOff>
      <xdr:row>4</xdr:row>
      <xdr:rowOff>19050</xdr:rowOff>
    </xdr:to>
    <xdr:sp macro="" textlink="">
      <xdr:nvSpPr>
        <xdr:cNvPr id="11" name="Rounded Rectangle 10">
          <a:hlinkClick xmlns:r="http://schemas.openxmlformats.org/officeDocument/2006/relationships" r:id="rId5" tooltip="Jump to details of custom recycling process"/>
          <a:extLst>
            <a:ext uri="{FF2B5EF4-FFF2-40B4-BE49-F238E27FC236}">
              <a16:creationId xmlns:a16="http://schemas.microsoft.com/office/drawing/2014/main" id="{00000000-0008-0000-0800-00000B000000}"/>
            </a:ext>
          </a:extLst>
        </xdr:cNvPr>
        <xdr:cNvSpPr/>
      </xdr:nvSpPr>
      <xdr:spPr>
        <a:xfrm>
          <a:off x="9505950" y="561976"/>
          <a:ext cx="1400176" cy="21907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baseline="0"/>
            <a:t>Custom</a:t>
          </a:r>
          <a:endParaRPr lang="en-US" sz="1100"/>
        </a:p>
      </xdr:txBody>
    </xdr:sp>
    <xdr:clientData/>
  </xdr:twoCellAnchor>
  <xdr:twoCellAnchor>
    <xdr:from>
      <xdr:col>54</xdr:col>
      <xdr:colOff>38100</xdr:colOff>
      <xdr:row>3</xdr:row>
      <xdr:rowOff>0</xdr:rowOff>
    </xdr:from>
    <xdr:to>
      <xdr:col>54</xdr:col>
      <xdr:colOff>1981200</xdr:colOff>
      <xdr:row>4</xdr:row>
      <xdr:rowOff>0</xdr:rowOff>
    </xdr:to>
    <xdr:sp macro="" textlink="">
      <xdr:nvSpPr>
        <xdr:cNvPr id="13" name="Rounded Rectangle 12">
          <a:hlinkClick xmlns:r="http://schemas.openxmlformats.org/officeDocument/2006/relationships" r:id="rId6" tooltip="Jump to general details of LIB recycling"/>
          <a:extLst>
            <a:ext uri="{FF2B5EF4-FFF2-40B4-BE49-F238E27FC236}">
              <a16:creationId xmlns:a16="http://schemas.microsoft.com/office/drawing/2014/main" id="{00000000-0008-0000-0800-00000D000000}"/>
            </a:ext>
          </a:extLst>
        </xdr:cNvPr>
        <xdr:cNvSpPr/>
      </xdr:nvSpPr>
      <xdr:spPr>
        <a:xfrm>
          <a:off x="40852725" y="571500"/>
          <a:ext cx="1943100"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General</a:t>
          </a:r>
        </a:p>
      </xdr:txBody>
    </xdr:sp>
    <xdr:clientData/>
  </xdr:twoCellAnchor>
  <xdr:twoCellAnchor>
    <xdr:from>
      <xdr:col>54</xdr:col>
      <xdr:colOff>2447925</xdr:colOff>
      <xdr:row>3</xdr:row>
      <xdr:rowOff>0</xdr:rowOff>
    </xdr:from>
    <xdr:to>
      <xdr:col>56</xdr:col>
      <xdr:colOff>428625</xdr:colOff>
      <xdr:row>4</xdr:row>
      <xdr:rowOff>0</xdr:rowOff>
    </xdr:to>
    <xdr:sp macro="" textlink="">
      <xdr:nvSpPr>
        <xdr:cNvPr id="14" name="Rounded Rectangle 13">
          <a:hlinkClick xmlns:r="http://schemas.openxmlformats.org/officeDocument/2006/relationships" r:id="rId3" tooltip="Jump to details of hydrometallurgical recycling process"/>
          <a:extLst>
            <a:ext uri="{FF2B5EF4-FFF2-40B4-BE49-F238E27FC236}">
              <a16:creationId xmlns:a16="http://schemas.microsoft.com/office/drawing/2014/main" id="{00000000-0008-0000-0800-00000E000000}"/>
            </a:ext>
          </a:extLst>
        </xdr:cNvPr>
        <xdr:cNvSpPr/>
      </xdr:nvSpPr>
      <xdr:spPr>
        <a:xfrm>
          <a:off x="43262550" y="571500"/>
          <a:ext cx="2324100"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Hydrometallurgical</a:t>
          </a:r>
        </a:p>
      </xdr:txBody>
    </xdr:sp>
    <xdr:clientData/>
  </xdr:twoCellAnchor>
  <xdr:twoCellAnchor>
    <xdr:from>
      <xdr:col>56</xdr:col>
      <xdr:colOff>952500</xdr:colOff>
      <xdr:row>3</xdr:row>
      <xdr:rowOff>0</xdr:rowOff>
    </xdr:from>
    <xdr:to>
      <xdr:col>58</xdr:col>
      <xdr:colOff>85725</xdr:colOff>
      <xdr:row>4</xdr:row>
      <xdr:rowOff>9525</xdr:rowOff>
    </xdr:to>
    <xdr:sp macro="" textlink="">
      <xdr:nvSpPr>
        <xdr:cNvPr id="17" name="Rounded Rectangle 16">
          <a:hlinkClick xmlns:r="http://schemas.openxmlformats.org/officeDocument/2006/relationships" r:id="rId4" tooltip="Jump to details of direct physical recycling process"/>
          <a:extLst>
            <a:ext uri="{FF2B5EF4-FFF2-40B4-BE49-F238E27FC236}">
              <a16:creationId xmlns:a16="http://schemas.microsoft.com/office/drawing/2014/main" id="{00000000-0008-0000-0800-000011000000}"/>
            </a:ext>
          </a:extLst>
        </xdr:cNvPr>
        <xdr:cNvSpPr/>
      </xdr:nvSpPr>
      <xdr:spPr>
        <a:xfrm>
          <a:off x="46720125" y="571500"/>
          <a:ext cx="188595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Direct</a:t>
          </a:r>
        </a:p>
      </xdr:txBody>
    </xdr:sp>
    <xdr:clientData/>
  </xdr:twoCellAnchor>
  <xdr:twoCellAnchor>
    <xdr:from>
      <xdr:col>58</xdr:col>
      <xdr:colOff>542925</xdr:colOff>
      <xdr:row>2</xdr:row>
      <xdr:rowOff>180975</xdr:rowOff>
    </xdr:from>
    <xdr:to>
      <xdr:col>59</xdr:col>
      <xdr:colOff>76200</xdr:colOff>
      <xdr:row>4</xdr:row>
      <xdr:rowOff>0</xdr:rowOff>
    </xdr:to>
    <xdr:sp macro="" textlink="">
      <xdr:nvSpPr>
        <xdr:cNvPr id="18" name="Rounded Rectangle 17">
          <a:hlinkClick xmlns:r="http://schemas.openxmlformats.org/officeDocument/2006/relationships" r:id="rId5" tooltip="Jump to details of custom recycling process"/>
          <a:extLst>
            <a:ext uri="{FF2B5EF4-FFF2-40B4-BE49-F238E27FC236}">
              <a16:creationId xmlns:a16="http://schemas.microsoft.com/office/drawing/2014/main" id="{00000000-0008-0000-0800-000012000000}"/>
            </a:ext>
          </a:extLst>
        </xdr:cNvPr>
        <xdr:cNvSpPr/>
      </xdr:nvSpPr>
      <xdr:spPr>
        <a:xfrm>
          <a:off x="49063275" y="561975"/>
          <a:ext cx="161925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Custom</a:t>
          </a:r>
        </a:p>
      </xdr:txBody>
    </xdr:sp>
    <xdr:clientData/>
  </xdr:twoCellAnchor>
  <xdr:twoCellAnchor>
    <xdr:from>
      <xdr:col>81</xdr:col>
      <xdr:colOff>371475</xdr:colOff>
      <xdr:row>3</xdr:row>
      <xdr:rowOff>0</xdr:rowOff>
    </xdr:from>
    <xdr:to>
      <xdr:col>83</xdr:col>
      <xdr:colOff>381000</xdr:colOff>
      <xdr:row>4</xdr:row>
      <xdr:rowOff>0</xdr:rowOff>
    </xdr:to>
    <xdr:sp macro="" textlink="">
      <xdr:nvSpPr>
        <xdr:cNvPr id="20" name="Rounded Rectangle 19">
          <a:hlinkClick xmlns:r="http://schemas.openxmlformats.org/officeDocument/2006/relationships" r:id="rId6" tooltip="Jump to general details of LIB recycling"/>
          <a:extLst>
            <a:ext uri="{FF2B5EF4-FFF2-40B4-BE49-F238E27FC236}">
              <a16:creationId xmlns:a16="http://schemas.microsoft.com/office/drawing/2014/main" id="{00000000-0008-0000-0800-000014000000}"/>
            </a:ext>
          </a:extLst>
        </xdr:cNvPr>
        <xdr:cNvSpPr/>
      </xdr:nvSpPr>
      <xdr:spPr>
        <a:xfrm>
          <a:off x="53701950" y="571500"/>
          <a:ext cx="1228725"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General</a:t>
          </a:r>
        </a:p>
      </xdr:txBody>
    </xdr:sp>
    <xdr:clientData/>
  </xdr:twoCellAnchor>
  <xdr:twoCellAnchor>
    <xdr:from>
      <xdr:col>84</xdr:col>
      <xdr:colOff>104775</xdr:colOff>
      <xdr:row>3</xdr:row>
      <xdr:rowOff>0</xdr:rowOff>
    </xdr:from>
    <xdr:to>
      <xdr:col>86</xdr:col>
      <xdr:colOff>314325</xdr:colOff>
      <xdr:row>4</xdr:row>
      <xdr:rowOff>9525</xdr:rowOff>
    </xdr:to>
    <xdr:sp macro="" textlink="">
      <xdr:nvSpPr>
        <xdr:cNvPr id="21" name="Rounded Rectangle 20">
          <a:hlinkClick xmlns:r="http://schemas.openxmlformats.org/officeDocument/2006/relationships" r:id="rId7" tooltip="Jump to details of pyrometallurgical recycling process"/>
          <a:extLst>
            <a:ext uri="{FF2B5EF4-FFF2-40B4-BE49-F238E27FC236}">
              <a16:creationId xmlns:a16="http://schemas.microsoft.com/office/drawing/2014/main" id="{00000000-0008-0000-0800-000015000000}"/>
            </a:ext>
          </a:extLst>
        </xdr:cNvPr>
        <xdr:cNvSpPr/>
      </xdr:nvSpPr>
      <xdr:spPr>
        <a:xfrm>
          <a:off x="55264050" y="571500"/>
          <a:ext cx="142875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Pyrometallurgical</a:t>
          </a:r>
        </a:p>
      </xdr:txBody>
    </xdr:sp>
    <xdr:clientData/>
  </xdr:twoCellAnchor>
  <xdr:twoCellAnchor>
    <xdr:from>
      <xdr:col>86</xdr:col>
      <xdr:colOff>1047750</xdr:colOff>
      <xdr:row>2</xdr:row>
      <xdr:rowOff>180975</xdr:rowOff>
    </xdr:from>
    <xdr:to>
      <xdr:col>89</xdr:col>
      <xdr:colOff>123825</xdr:colOff>
      <xdr:row>4</xdr:row>
      <xdr:rowOff>0</xdr:rowOff>
    </xdr:to>
    <xdr:sp macro="" textlink="">
      <xdr:nvSpPr>
        <xdr:cNvPr id="23" name="Rounded Rectangle 22">
          <a:hlinkClick xmlns:r="http://schemas.openxmlformats.org/officeDocument/2006/relationships" r:id="rId4" tooltip="Jump to details of direct physical recycling process"/>
          <a:extLst>
            <a:ext uri="{FF2B5EF4-FFF2-40B4-BE49-F238E27FC236}">
              <a16:creationId xmlns:a16="http://schemas.microsoft.com/office/drawing/2014/main" id="{00000000-0008-0000-0800-000017000000}"/>
            </a:ext>
          </a:extLst>
        </xdr:cNvPr>
        <xdr:cNvSpPr/>
      </xdr:nvSpPr>
      <xdr:spPr>
        <a:xfrm>
          <a:off x="77752575" y="561975"/>
          <a:ext cx="139065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Direct</a:t>
          </a:r>
        </a:p>
      </xdr:txBody>
    </xdr:sp>
    <xdr:clientData/>
  </xdr:twoCellAnchor>
  <xdr:twoCellAnchor>
    <xdr:from>
      <xdr:col>89</xdr:col>
      <xdr:colOff>790575</xdr:colOff>
      <xdr:row>2</xdr:row>
      <xdr:rowOff>180975</xdr:rowOff>
    </xdr:from>
    <xdr:to>
      <xdr:col>92</xdr:col>
      <xdr:colOff>171450</xdr:colOff>
      <xdr:row>4</xdr:row>
      <xdr:rowOff>0</xdr:rowOff>
    </xdr:to>
    <xdr:sp macro="" textlink="">
      <xdr:nvSpPr>
        <xdr:cNvPr id="24" name="Rounded Rectangle 23">
          <a:hlinkClick xmlns:r="http://schemas.openxmlformats.org/officeDocument/2006/relationships" r:id="rId5" tooltip="Jump to details of custom recycling process"/>
          <a:extLst>
            <a:ext uri="{FF2B5EF4-FFF2-40B4-BE49-F238E27FC236}">
              <a16:creationId xmlns:a16="http://schemas.microsoft.com/office/drawing/2014/main" id="{00000000-0008-0000-0800-000018000000}"/>
            </a:ext>
          </a:extLst>
        </xdr:cNvPr>
        <xdr:cNvSpPr/>
      </xdr:nvSpPr>
      <xdr:spPr>
        <a:xfrm>
          <a:off x="79809975" y="561975"/>
          <a:ext cx="139065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Custom</a:t>
          </a:r>
        </a:p>
      </xdr:txBody>
    </xdr:sp>
    <xdr:clientData/>
  </xdr:twoCellAnchor>
  <xdr:twoCellAnchor>
    <xdr:from>
      <xdr:col>107</xdr:col>
      <xdr:colOff>314325</xdr:colOff>
      <xdr:row>3</xdr:row>
      <xdr:rowOff>0</xdr:rowOff>
    </xdr:from>
    <xdr:to>
      <xdr:col>109</xdr:col>
      <xdr:colOff>323850</xdr:colOff>
      <xdr:row>4</xdr:row>
      <xdr:rowOff>0</xdr:rowOff>
    </xdr:to>
    <xdr:sp macro="" textlink="">
      <xdr:nvSpPr>
        <xdr:cNvPr id="33" name="Rounded Rectangle 32">
          <a:hlinkClick xmlns:r="http://schemas.openxmlformats.org/officeDocument/2006/relationships" r:id="rId6" tooltip="Jump to general details of LIB recycling"/>
          <a:extLst>
            <a:ext uri="{FF2B5EF4-FFF2-40B4-BE49-F238E27FC236}">
              <a16:creationId xmlns:a16="http://schemas.microsoft.com/office/drawing/2014/main" id="{00000000-0008-0000-0800-000021000000}"/>
            </a:ext>
          </a:extLst>
        </xdr:cNvPr>
        <xdr:cNvSpPr/>
      </xdr:nvSpPr>
      <xdr:spPr>
        <a:xfrm>
          <a:off x="85344000" y="571500"/>
          <a:ext cx="1228725"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General</a:t>
          </a:r>
        </a:p>
      </xdr:txBody>
    </xdr:sp>
    <xdr:clientData/>
  </xdr:twoCellAnchor>
  <xdr:twoCellAnchor>
    <xdr:from>
      <xdr:col>110</xdr:col>
      <xdr:colOff>47625</xdr:colOff>
      <xdr:row>3</xdr:row>
      <xdr:rowOff>0</xdr:rowOff>
    </xdr:from>
    <xdr:to>
      <xdr:col>112</xdr:col>
      <xdr:colOff>257175</xdr:colOff>
      <xdr:row>4</xdr:row>
      <xdr:rowOff>9525</xdr:rowOff>
    </xdr:to>
    <xdr:sp macro="" textlink="">
      <xdr:nvSpPr>
        <xdr:cNvPr id="34" name="Rounded Rectangle 33">
          <a:hlinkClick xmlns:r="http://schemas.openxmlformats.org/officeDocument/2006/relationships" r:id="rId7" tooltip="Jump to details of pyrometallurgical recycling process"/>
          <a:extLst>
            <a:ext uri="{FF2B5EF4-FFF2-40B4-BE49-F238E27FC236}">
              <a16:creationId xmlns:a16="http://schemas.microsoft.com/office/drawing/2014/main" id="{00000000-0008-0000-0800-000022000000}"/>
            </a:ext>
          </a:extLst>
        </xdr:cNvPr>
        <xdr:cNvSpPr/>
      </xdr:nvSpPr>
      <xdr:spPr>
        <a:xfrm>
          <a:off x="86906100" y="571500"/>
          <a:ext cx="142875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Pyrometallurgical</a:t>
          </a:r>
        </a:p>
      </xdr:txBody>
    </xdr:sp>
    <xdr:clientData/>
  </xdr:twoCellAnchor>
  <xdr:twoCellAnchor>
    <xdr:from>
      <xdr:col>113</xdr:col>
      <xdr:colOff>133350</xdr:colOff>
      <xdr:row>2</xdr:row>
      <xdr:rowOff>180975</xdr:rowOff>
    </xdr:from>
    <xdr:to>
      <xdr:col>115</xdr:col>
      <xdr:colOff>342900</xdr:colOff>
      <xdr:row>4</xdr:row>
      <xdr:rowOff>0</xdr:rowOff>
    </xdr:to>
    <xdr:sp macro="" textlink="">
      <xdr:nvSpPr>
        <xdr:cNvPr id="35" name="Rounded Rectangle 34">
          <a:hlinkClick xmlns:r="http://schemas.openxmlformats.org/officeDocument/2006/relationships" r:id="rId8" tooltip="Jump to details of hydrometallurgical recycling process"/>
          <a:extLst>
            <a:ext uri="{FF2B5EF4-FFF2-40B4-BE49-F238E27FC236}">
              <a16:creationId xmlns:a16="http://schemas.microsoft.com/office/drawing/2014/main" id="{00000000-0008-0000-0800-000023000000}"/>
            </a:ext>
          </a:extLst>
        </xdr:cNvPr>
        <xdr:cNvSpPr/>
      </xdr:nvSpPr>
      <xdr:spPr>
        <a:xfrm>
          <a:off x="101993700" y="561975"/>
          <a:ext cx="139065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Hydrometallurgical</a:t>
          </a:r>
        </a:p>
      </xdr:txBody>
    </xdr:sp>
    <xdr:clientData/>
  </xdr:twoCellAnchor>
  <xdr:twoCellAnchor>
    <xdr:from>
      <xdr:col>115</xdr:col>
      <xdr:colOff>828675</xdr:colOff>
      <xdr:row>3</xdr:row>
      <xdr:rowOff>0</xdr:rowOff>
    </xdr:from>
    <xdr:to>
      <xdr:col>118</xdr:col>
      <xdr:colOff>133350</xdr:colOff>
      <xdr:row>4</xdr:row>
      <xdr:rowOff>9525</xdr:rowOff>
    </xdr:to>
    <xdr:sp macro="" textlink="">
      <xdr:nvSpPr>
        <xdr:cNvPr id="37" name="Rounded Rectangle 36">
          <a:hlinkClick xmlns:r="http://schemas.openxmlformats.org/officeDocument/2006/relationships" r:id="rId5" tooltip="Jump to details of custom recycling process"/>
          <a:extLst>
            <a:ext uri="{FF2B5EF4-FFF2-40B4-BE49-F238E27FC236}">
              <a16:creationId xmlns:a16="http://schemas.microsoft.com/office/drawing/2014/main" id="{00000000-0008-0000-0800-000025000000}"/>
            </a:ext>
          </a:extLst>
        </xdr:cNvPr>
        <xdr:cNvSpPr/>
      </xdr:nvSpPr>
      <xdr:spPr>
        <a:xfrm>
          <a:off x="103870125" y="571500"/>
          <a:ext cx="137160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Custom</a:t>
          </a:r>
        </a:p>
      </xdr:txBody>
    </xdr:sp>
    <xdr:clientData/>
  </xdr:twoCellAnchor>
  <xdr:twoCellAnchor>
    <xdr:from>
      <xdr:col>133</xdr:col>
      <xdr:colOff>361950</xdr:colOff>
      <xdr:row>3</xdr:row>
      <xdr:rowOff>0</xdr:rowOff>
    </xdr:from>
    <xdr:to>
      <xdr:col>135</xdr:col>
      <xdr:colOff>371475</xdr:colOff>
      <xdr:row>4</xdr:row>
      <xdr:rowOff>0</xdr:rowOff>
    </xdr:to>
    <xdr:sp macro="" textlink="">
      <xdr:nvSpPr>
        <xdr:cNvPr id="39" name="Rounded Rectangle 38">
          <a:hlinkClick xmlns:r="http://schemas.openxmlformats.org/officeDocument/2006/relationships" r:id="rId6" tooltip="Jump to general details of LIB recycling"/>
          <a:extLst>
            <a:ext uri="{FF2B5EF4-FFF2-40B4-BE49-F238E27FC236}">
              <a16:creationId xmlns:a16="http://schemas.microsoft.com/office/drawing/2014/main" id="{00000000-0008-0000-0800-000027000000}"/>
            </a:ext>
          </a:extLst>
        </xdr:cNvPr>
        <xdr:cNvSpPr/>
      </xdr:nvSpPr>
      <xdr:spPr>
        <a:xfrm>
          <a:off x="101241225" y="571500"/>
          <a:ext cx="1228725"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General</a:t>
          </a:r>
        </a:p>
      </xdr:txBody>
    </xdr:sp>
    <xdr:clientData/>
  </xdr:twoCellAnchor>
  <xdr:twoCellAnchor>
    <xdr:from>
      <xdr:col>136</xdr:col>
      <xdr:colOff>66675</xdr:colOff>
      <xdr:row>3</xdr:row>
      <xdr:rowOff>0</xdr:rowOff>
    </xdr:from>
    <xdr:to>
      <xdr:col>138</xdr:col>
      <xdr:colOff>276225</xdr:colOff>
      <xdr:row>4</xdr:row>
      <xdr:rowOff>9525</xdr:rowOff>
    </xdr:to>
    <xdr:sp macro="" textlink="">
      <xdr:nvSpPr>
        <xdr:cNvPr id="40" name="Rounded Rectangle 39">
          <a:hlinkClick xmlns:r="http://schemas.openxmlformats.org/officeDocument/2006/relationships" r:id="rId7" tooltip="Jump to details of pyrometallurgical recycling process"/>
          <a:extLst>
            <a:ext uri="{FF2B5EF4-FFF2-40B4-BE49-F238E27FC236}">
              <a16:creationId xmlns:a16="http://schemas.microsoft.com/office/drawing/2014/main" id="{00000000-0008-0000-0800-000028000000}"/>
            </a:ext>
          </a:extLst>
        </xdr:cNvPr>
        <xdr:cNvSpPr/>
      </xdr:nvSpPr>
      <xdr:spPr>
        <a:xfrm>
          <a:off x="102774750" y="571500"/>
          <a:ext cx="142875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Pyrometallurgical</a:t>
          </a:r>
        </a:p>
      </xdr:txBody>
    </xdr:sp>
    <xdr:clientData/>
  </xdr:twoCellAnchor>
  <xdr:twoCellAnchor>
    <xdr:from>
      <xdr:col>139</xdr:col>
      <xdr:colOff>0</xdr:colOff>
      <xdr:row>3</xdr:row>
      <xdr:rowOff>0</xdr:rowOff>
    </xdr:from>
    <xdr:to>
      <xdr:col>141</xdr:col>
      <xdr:colOff>209550</xdr:colOff>
      <xdr:row>4</xdr:row>
      <xdr:rowOff>9525</xdr:rowOff>
    </xdr:to>
    <xdr:sp macro="" textlink="">
      <xdr:nvSpPr>
        <xdr:cNvPr id="41" name="Rounded Rectangle 40">
          <a:hlinkClick xmlns:r="http://schemas.openxmlformats.org/officeDocument/2006/relationships" r:id="rId8" tooltip="Jump to details of hydrometallurgical recycling process"/>
          <a:extLst>
            <a:ext uri="{FF2B5EF4-FFF2-40B4-BE49-F238E27FC236}">
              <a16:creationId xmlns:a16="http://schemas.microsoft.com/office/drawing/2014/main" id="{00000000-0008-0000-0800-000029000000}"/>
            </a:ext>
          </a:extLst>
        </xdr:cNvPr>
        <xdr:cNvSpPr/>
      </xdr:nvSpPr>
      <xdr:spPr>
        <a:xfrm>
          <a:off x="104536875" y="571500"/>
          <a:ext cx="142875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Hydrometallurgical</a:t>
          </a:r>
        </a:p>
      </xdr:txBody>
    </xdr:sp>
    <xdr:clientData/>
  </xdr:twoCellAnchor>
  <xdr:twoCellAnchor>
    <xdr:from>
      <xdr:col>142</xdr:col>
      <xdr:colOff>104775</xdr:colOff>
      <xdr:row>2</xdr:row>
      <xdr:rowOff>180975</xdr:rowOff>
    </xdr:from>
    <xdr:to>
      <xdr:col>144</xdr:col>
      <xdr:colOff>304800</xdr:colOff>
      <xdr:row>4</xdr:row>
      <xdr:rowOff>0</xdr:rowOff>
    </xdr:to>
    <xdr:sp macro="" textlink="">
      <xdr:nvSpPr>
        <xdr:cNvPr id="43" name="Rounded Rectangle 42">
          <a:hlinkClick xmlns:r="http://schemas.openxmlformats.org/officeDocument/2006/relationships" r:id="rId9" tooltip="Jump to details of direct physical recycling process"/>
          <a:extLst>
            <a:ext uri="{FF2B5EF4-FFF2-40B4-BE49-F238E27FC236}">
              <a16:creationId xmlns:a16="http://schemas.microsoft.com/office/drawing/2014/main" id="{00000000-0008-0000-0800-00002B000000}"/>
            </a:ext>
          </a:extLst>
        </xdr:cNvPr>
        <xdr:cNvSpPr/>
      </xdr:nvSpPr>
      <xdr:spPr>
        <a:xfrm>
          <a:off x="127444500" y="561975"/>
          <a:ext cx="13811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Direct</a:t>
          </a:r>
        </a:p>
      </xdr:txBody>
    </xdr:sp>
    <xdr:clientData/>
  </xdr:twoCellAnchor>
  <xdr:twoCellAnchor>
    <xdr:from>
      <xdr:col>1</xdr:col>
      <xdr:colOff>1428750</xdr:colOff>
      <xdr:row>3</xdr:row>
      <xdr:rowOff>0</xdr:rowOff>
    </xdr:from>
    <xdr:to>
      <xdr:col>1</xdr:col>
      <xdr:colOff>2466975</xdr:colOff>
      <xdr:row>4</xdr:row>
      <xdr:rowOff>0</xdr:rowOff>
    </xdr:to>
    <xdr:sp macro="" textlink="">
      <xdr:nvSpPr>
        <xdr:cNvPr id="49" name="Rounded Rectangle 48">
          <a:hlinkClick xmlns:r="http://schemas.openxmlformats.org/officeDocument/2006/relationships" r:id="rId10" tooltip="Go to &quot;Output&quot; tab"/>
          <a:extLst>
            <a:ext uri="{FF2B5EF4-FFF2-40B4-BE49-F238E27FC236}">
              <a16:creationId xmlns:a16="http://schemas.microsoft.com/office/drawing/2014/main" id="{00000000-0008-0000-0800-000031000000}"/>
            </a:ext>
          </a:extLst>
        </xdr:cNvPr>
        <xdr:cNvSpPr/>
      </xdr:nvSpPr>
      <xdr:spPr>
        <a:xfrm>
          <a:off x="2124075" y="571500"/>
          <a:ext cx="1038225"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twoCellAnchor>
    <xdr:from>
      <xdr:col>52</xdr:col>
      <xdr:colOff>1219200</xdr:colOff>
      <xdr:row>3</xdr:row>
      <xdr:rowOff>0</xdr:rowOff>
    </xdr:from>
    <xdr:to>
      <xdr:col>53</xdr:col>
      <xdr:colOff>1209675</xdr:colOff>
      <xdr:row>4</xdr:row>
      <xdr:rowOff>0</xdr:rowOff>
    </xdr:to>
    <xdr:sp macro="" textlink="">
      <xdr:nvSpPr>
        <xdr:cNvPr id="50" name="Rounded Rectangle 49">
          <a:hlinkClick xmlns:r="http://schemas.openxmlformats.org/officeDocument/2006/relationships" r:id="rId1" tooltip="Go back to &quot;Input&quot; tab"/>
          <a:extLst>
            <a:ext uri="{FF2B5EF4-FFF2-40B4-BE49-F238E27FC236}">
              <a16:creationId xmlns:a16="http://schemas.microsoft.com/office/drawing/2014/main" id="{00000000-0008-0000-0800-000032000000}"/>
            </a:ext>
          </a:extLst>
        </xdr:cNvPr>
        <xdr:cNvSpPr/>
      </xdr:nvSpPr>
      <xdr:spPr>
        <a:xfrm>
          <a:off x="37509450" y="571500"/>
          <a:ext cx="1219200"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53</xdr:col>
      <xdr:colOff>1657350</xdr:colOff>
      <xdr:row>3</xdr:row>
      <xdr:rowOff>0</xdr:rowOff>
    </xdr:from>
    <xdr:to>
      <xdr:col>53</xdr:col>
      <xdr:colOff>2819400</xdr:colOff>
      <xdr:row>4</xdr:row>
      <xdr:rowOff>0</xdr:rowOff>
    </xdr:to>
    <xdr:sp macro="" textlink="">
      <xdr:nvSpPr>
        <xdr:cNvPr id="51" name="Rounded Rectangle 50">
          <a:hlinkClick xmlns:r="http://schemas.openxmlformats.org/officeDocument/2006/relationships" r:id="rId10" tooltip="Go to &quot;Output&quot; tab"/>
          <a:extLst>
            <a:ext uri="{FF2B5EF4-FFF2-40B4-BE49-F238E27FC236}">
              <a16:creationId xmlns:a16="http://schemas.microsoft.com/office/drawing/2014/main" id="{00000000-0008-0000-0800-000033000000}"/>
            </a:ext>
          </a:extLst>
        </xdr:cNvPr>
        <xdr:cNvSpPr/>
      </xdr:nvSpPr>
      <xdr:spPr>
        <a:xfrm>
          <a:off x="39176325" y="571500"/>
          <a:ext cx="1162050"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twoCellAnchor>
    <xdr:from>
      <xdr:col>80</xdr:col>
      <xdr:colOff>171449</xdr:colOff>
      <xdr:row>2</xdr:row>
      <xdr:rowOff>180974</xdr:rowOff>
    </xdr:from>
    <xdr:to>
      <xdr:col>80</xdr:col>
      <xdr:colOff>1952624</xdr:colOff>
      <xdr:row>3</xdr:row>
      <xdr:rowOff>190499</xdr:rowOff>
    </xdr:to>
    <xdr:sp macro="" textlink="">
      <xdr:nvSpPr>
        <xdr:cNvPr id="52" name="Rounded Rectangle 51">
          <a:hlinkClick xmlns:r="http://schemas.openxmlformats.org/officeDocument/2006/relationships" r:id="rId10" tooltip="Go to &quot;Output&quot; tab"/>
          <a:extLst>
            <a:ext uri="{FF2B5EF4-FFF2-40B4-BE49-F238E27FC236}">
              <a16:creationId xmlns:a16="http://schemas.microsoft.com/office/drawing/2014/main" id="{00000000-0008-0000-0800-000034000000}"/>
            </a:ext>
          </a:extLst>
        </xdr:cNvPr>
        <xdr:cNvSpPr/>
      </xdr:nvSpPr>
      <xdr:spPr>
        <a:xfrm>
          <a:off x="67379849" y="561974"/>
          <a:ext cx="178117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twoCellAnchor>
    <xdr:from>
      <xdr:col>79</xdr:col>
      <xdr:colOff>0</xdr:colOff>
      <xdr:row>3</xdr:row>
      <xdr:rowOff>0</xdr:rowOff>
    </xdr:from>
    <xdr:to>
      <xdr:col>79</xdr:col>
      <xdr:colOff>1885950</xdr:colOff>
      <xdr:row>4</xdr:row>
      <xdr:rowOff>0</xdr:rowOff>
    </xdr:to>
    <xdr:sp macro="" textlink="">
      <xdr:nvSpPr>
        <xdr:cNvPr id="53" name="Rounded Rectangle 52">
          <a:hlinkClick xmlns:r="http://schemas.openxmlformats.org/officeDocument/2006/relationships" r:id="rId1" tooltip="Go back to &quot;Input&quot; tab"/>
          <a:extLst>
            <a:ext uri="{FF2B5EF4-FFF2-40B4-BE49-F238E27FC236}">
              <a16:creationId xmlns:a16="http://schemas.microsoft.com/office/drawing/2014/main" id="{00000000-0008-0000-0800-000035000000}"/>
            </a:ext>
          </a:extLst>
        </xdr:cNvPr>
        <xdr:cNvSpPr/>
      </xdr:nvSpPr>
      <xdr:spPr>
        <a:xfrm>
          <a:off x="63922275" y="571500"/>
          <a:ext cx="1885950"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105</xdr:col>
      <xdr:colOff>0</xdr:colOff>
      <xdr:row>3</xdr:row>
      <xdr:rowOff>0</xdr:rowOff>
    </xdr:from>
    <xdr:to>
      <xdr:col>105</xdr:col>
      <xdr:colOff>1885950</xdr:colOff>
      <xdr:row>4</xdr:row>
      <xdr:rowOff>0</xdr:rowOff>
    </xdr:to>
    <xdr:sp macro="" textlink="">
      <xdr:nvSpPr>
        <xdr:cNvPr id="57" name="Rounded Rectangle 56">
          <a:hlinkClick xmlns:r="http://schemas.openxmlformats.org/officeDocument/2006/relationships" r:id="rId1" tooltip="Go back to &quot;Input&quot; tab"/>
          <a:extLst>
            <a:ext uri="{FF2B5EF4-FFF2-40B4-BE49-F238E27FC236}">
              <a16:creationId xmlns:a16="http://schemas.microsoft.com/office/drawing/2014/main" id="{00000000-0008-0000-0800-000039000000}"/>
            </a:ext>
          </a:extLst>
        </xdr:cNvPr>
        <xdr:cNvSpPr/>
      </xdr:nvSpPr>
      <xdr:spPr>
        <a:xfrm>
          <a:off x="113176050" y="571500"/>
          <a:ext cx="1885950"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106</xdr:col>
      <xdr:colOff>161925</xdr:colOff>
      <xdr:row>2</xdr:row>
      <xdr:rowOff>171450</xdr:rowOff>
    </xdr:from>
    <xdr:to>
      <xdr:col>106</xdr:col>
      <xdr:colOff>2085975</xdr:colOff>
      <xdr:row>4</xdr:row>
      <xdr:rowOff>0</xdr:rowOff>
    </xdr:to>
    <xdr:sp macro="" textlink="">
      <xdr:nvSpPr>
        <xdr:cNvPr id="58" name="Rounded Rectangle 57">
          <a:hlinkClick xmlns:r="http://schemas.openxmlformats.org/officeDocument/2006/relationships" r:id="rId10" tooltip="Go to &quot;Output&quot; tab"/>
          <a:extLst>
            <a:ext uri="{FF2B5EF4-FFF2-40B4-BE49-F238E27FC236}">
              <a16:creationId xmlns:a16="http://schemas.microsoft.com/office/drawing/2014/main" id="{00000000-0008-0000-0800-00003A000000}"/>
            </a:ext>
          </a:extLst>
        </xdr:cNvPr>
        <xdr:cNvSpPr/>
      </xdr:nvSpPr>
      <xdr:spPr>
        <a:xfrm>
          <a:off x="115919250" y="552450"/>
          <a:ext cx="1924050" cy="2095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twoCellAnchor>
    <xdr:from>
      <xdr:col>131</xdr:col>
      <xdr:colOff>0</xdr:colOff>
      <xdr:row>3</xdr:row>
      <xdr:rowOff>0</xdr:rowOff>
    </xdr:from>
    <xdr:to>
      <xdr:col>131</xdr:col>
      <xdr:colOff>1885950</xdr:colOff>
      <xdr:row>4</xdr:row>
      <xdr:rowOff>0</xdr:rowOff>
    </xdr:to>
    <xdr:sp macro="" textlink="">
      <xdr:nvSpPr>
        <xdr:cNvPr id="59" name="Rounded Rectangle 58">
          <a:hlinkClick xmlns:r="http://schemas.openxmlformats.org/officeDocument/2006/relationships" r:id="rId1" tooltip="Go back to &quot;Input&quot; tab"/>
          <a:extLst>
            <a:ext uri="{FF2B5EF4-FFF2-40B4-BE49-F238E27FC236}">
              <a16:creationId xmlns:a16="http://schemas.microsoft.com/office/drawing/2014/main" id="{00000000-0008-0000-0800-00003B000000}"/>
            </a:ext>
          </a:extLst>
        </xdr:cNvPr>
        <xdr:cNvSpPr/>
      </xdr:nvSpPr>
      <xdr:spPr>
        <a:xfrm>
          <a:off x="136150350" y="571500"/>
          <a:ext cx="1885950"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132</xdr:col>
      <xdr:colOff>0</xdr:colOff>
      <xdr:row>3</xdr:row>
      <xdr:rowOff>0</xdr:rowOff>
    </xdr:from>
    <xdr:to>
      <xdr:col>132</xdr:col>
      <xdr:colOff>1857375</xdr:colOff>
      <xdr:row>4</xdr:row>
      <xdr:rowOff>19050</xdr:rowOff>
    </xdr:to>
    <xdr:sp macro="" textlink="">
      <xdr:nvSpPr>
        <xdr:cNvPr id="62" name="Rounded Rectangle 61">
          <a:hlinkClick xmlns:r="http://schemas.openxmlformats.org/officeDocument/2006/relationships" r:id="rId10" tooltip="Go to &quot;Output&quot; tab"/>
          <a:extLst>
            <a:ext uri="{FF2B5EF4-FFF2-40B4-BE49-F238E27FC236}">
              <a16:creationId xmlns:a16="http://schemas.microsoft.com/office/drawing/2014/main" id="{00000000-0008-0000-0800-00003E000000}"/>
            </a:ext>
          </a:extLst>
        </xdr:cNvPr>
        <xdr:cNvSpPr/>
      </xdr:nvSpPr>
      <xdr:spPr>
        <a:xfrm>
          <a:off x="138731625" y="571500"/>
          <a:ext cx="1857375" cy="2095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mc:AlternateContent xmlns:mc="http://schemas.openxmlformats.org/markup-compatibility/2006">
    <mc:Choice xmlns:a14="http://schemas.microsoft.com/office/drawing/2010/main" Requires="a14">
      <xdr:twoCellAnchor>
        <xdr:from>
          <xdr:col>56</xdr:col>
          <xdr:colOff>1117600</xdr:colOff>
          <xdr:row>35</xdr:row>
          <xdr:rowOff>120650</xdr:rowOff>
        </xdr:from>
        <xdr:to>
          <xdr:col>65</xdr:col>
          <xdr:colOff>63500</xdr:colOff>
          <xdr:row>67</xdr:row>
          <xdr:rowOff>76200</xdr:rowOff>
        </xdr:to>
        <xdr:sp macro="" textlink="">
          <xdr:nvSpPr>
            <xdr:cNvPr id="74137" name="Object 1433" hidden="1">
              <a:extLst>
                <a:ext uri="{63B3BB69-23CF-44E3-9099-C40C66FF867C}">
                  <a14:compatExt spid="_x0000_s74137"/>
                </a:ext>
                <a:ext uri="{FF2B5EF4-FFF2-40B4-BE49-F238E27FC236}">
                  <a16:creationId xmlns:a16="http://schemas.microsoft.com/office/drawing/2014/main" id="{00000000-0008-0000-0800-000099210100}"/>
                </a:ext>
              </a:extLst>
            </xdr:cNvPr>
            <xdr:cNvSpPr/>
          </xdr:nvSpPr>
          <xdr:spPr bwMode="auto">
            <a:xfrm>
              <a:off x="0" y="0"/>
              <a:ext cx="0" cy="0"/>
            </a:xfrm>
            <a:prstGeom prst="rect">
              <a:avLst/>
            </a:prstGeom>
            <a:solidFill>
              <a:srgbClr val="FFFFFF"/>
            </a:solidFill>
          </xdr:spPr>
        </xdr:sp>
        <xdr:clientData/>
      </xdr:twoCellAnchor>
    </mc:Choice>
    <mc:Fallback/>
  </mc:AlternateContent>
  <mc:AlternateContent xmlns:mc="http://schemas.openxmlformats.org/markup-compatibility/2006">
    <mc:Choice xmlns:a14="http://schemas.microsoft.com/office/drawing/2010/main" Requires="a14">
      <xdr:twoCellAnchor>
        <xdr:from>
          <xdr:col>82</xdr:col>
          <xdr:colOff>158750</xdr:colOff>
          <xdr:row>43</xdr:row>
          <xdr:rowOff>158750</xdr:rowOff>
        </xdr:from>
        <xdr:to>
          <xdr:col>91</xdr:col>
          <xdr:colOff>317500</xdr:colOff>
          <xdr:row>74</xdr:row>
          <xdr:rowOff>177800</xdr:rowOff>
        </xdr:to>
        <xdr:sp macro="" textlink="">
          <xdr:nvSpPr>
            <xdr:cNvPr id="74138" name="Object 1434" hidden="1">
              <a:extLst>
                <a:ext uri="{63B3BB69-23CF-44E3-9099-C40C66FF867C}">
                  <a14:compatExt spid="_x0000_s74138"/>
                </a:ext>
                <a:ext uri="{FF2B5EF4-FFF2-40B4-BE49-F238E27FC236}">
                  <a16:creationId xmlns:a16="http://schemas.microsoft.com/office/drawing/2014/main" id="{00000000-0008-0000-0800-00009A210100}"/>
                </a:ext>
              </a:extLst>
            </xdr:cNvPr>
            <xdr:cNvSpPr/>
          </xdr:nvSpPr>
          <xdr:spPr bwMode="auto">
            <a:xfrm>
              <a:off x="0" y="0"/>
              <a:ext cx="0" cy="0"/>
            </a:xfrm>
            <a:prstGeom prst="rect">
              <a:avLst/>
            </a:prstGeom>
            <a:solidFill>
              <a:srgbClr val="FFFFFF"/>
            </a:solidFill>
          </xdr:spPr>
        </xdr:sp>
        <xdr:clientData/>
      </xdr:twoCellAnchor>
    </mc:Choice>
    <mc:Fallback/>
  </mc:AlternateContent>
  <mc:AlternateContent xmlns:mc="http://schemas.openxmlformats.org/markup-compatibility/2006">
    <mc:Choice xmlns:a14="http://schemas.microsoft.com/office/drawing/2010/main" Requires="a14">
      <xdr:twoCellAnchor>
        <xdr:from>
          <xdr:col>108</xdr:col>
          <xdr:colOff>152400</xdr:colOff>
          <xdr:row>43</xdr:row>
          <xdr:rowOff>139700</xdr:rowOff>
        </xdr:from>
        <xdr:to>
          <xdr:col>120</xdr:col>
          <xdr:colOff>654050</xdr:colOff>
          <xdr:row>66</xdr:row>
          <xdr:rowOff>31750</xdr:rowOff>
        </xdr:to>
        <xdr:sp macro="" textlink="">
          <xdr:nvSpPr>
            <xdr:cNvPr id="74142" name="Object 1438" hidden="1">
              <a:extLst>
                <a:ext uri="{63B3BB69-23CF-44E3-9099-C40C66FF867C}">
                  <a14:compatExt spid="_x0000_s74142"/>
                </a:ext>
                <a:ext uri="{FF2B5EF4-FFF2-40B4-BE49-F238E27FC236}">
                  <a16:creationId xmlns:a16="http://schemas.microsoft.com/office/drawing/2014/main" id="{00000000-0008-0000-0800-00009E210100}"/>
                </a:ext>
              </a:extLst>
            </xdr:cNvPr>
            <xdr:cNvSpPr/>
          </xdr:nvSpPr>
          <xdr:spPr bwMode="auto">
            <a:xfrm>
              <a:off x="0" y="0"/>
              <a:ext cx="0" cy="0"/>
            </a:xfrm>
            <a:prstGeom prst="rect">
              <a:avLst/>
            </a:prstGeom>
            <a:solidFill>
              <a:srgbClr val="FFFFFF"/>
            </a:solidFill>
          </xdr:spPr>
        </xdr:sp>
        <xdr:clientData fLock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xdr:col>
      <xdr:colOff>0</xdr:colOff>
      <xdr:row>3</xdr:row>
      <xdr:rowOff>0</xdr:rowOff>
    </xdr:from>
    <xdr:to>
      <xdr:col>1</xdr:col>
      <xdr:colOff>1190625</xdr:colOff>
      <xdr:row>4</xdr:row>
      <xdr:rowOff>9525</xdr:rowOff>
    </xdr:to>
    <xdr:sp macro="" textlink="">
      <xdr:nvSpPr>
        <xdr:cNvPr id="4" name="Rounded Rectangle 3">
          <a:hlinkClick xmlns:r="http://schemas.openxmlformats.org/officeDocument/2006/relationships" r:id="rId1" tooltip="Go back to &quot;Input&quot; tab"/>
          <a:extLst>
            <a:ext uri="{FF2B5EF4-FFF2-40B4-BE49-F238E27FC236}">
              <a16:creationId xmlns:a16="http://schemas.microsoft.com/office/drawing/2014/main" id="{00000000-0008-0000-0900-000004000000}"/>
            </a:ext>
          </a:extLst>
        </xdr:cNvPr>
        <xdr:cNvSpPr/>
      </xdr:nvSpPr>
      <xdr:spPr>
        <a:xfrm>
          <a:off x="590550" y="571500"/>
          <a:ext cx="11906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2</xdr:col>
      <xdr:colOff>0</xdr:colOff>
      <xdr:row>3</xdr:row>
      <xdr:rowOff>0</xdr:rowOff>
    </xdr:from>
    <xdr:to>
      <xdr:col>3</xdr:col>
      <xdr:colOff>619125</xdr:colOff>
      <xdr:row>4</xdr:row>
      <xdr:rowOff>9525</xdr:rowOff>
    </xdr:to>
    <xdr:sp macro="" textlink="">
      <xdr:nvSpPr>
        <xdr:cNvPr id="5" name="Rounded Rectangle 4">
          <a:hlinkClick xmlns:r="http://schemas.openxmlformats.org/officeDocument/2006/relationships" r:id="rId2" tooltip="Go to &quot;Output&quot; tab"/>
          <a:extLst>
            <a:ext uri="{FF2B5EF4-FFF2-40B4-BE49-F238E27FC236}">
              <a16:creationId xmlns:a16="http://schemas.microsoft.com/office/drawing/2014/main" id="{00000000-0008-0000-0900-000005000000}"/>
            </a:ext>
          </a:extLst>
        </xdr:cNvPr>
        <xdr:cNvSpPr/>
      </xdr:nvSpPr>
      <xdr:spPr>
        <a:xfrm>
          <a:off x="2133600" y="571500"/>
          <a:ext cx="12668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twoCellAnchor>
    <xdr:from>
      <xdr:col>4</xdr:col>
      <xdr:colOff>238125</xdr:colOff>
      <xdr:row>2</xdr:row>
      <xdr:rowOff>180975</xdr:rowOff>
    </xdr:from>
    <xdr:to>
      <xdr:col>5</xdr:col>
      <xdr:colOff>619125</xdr:colOff>
      <xdr:row>4</xdr:row>
      <xdr:rowOff>0</xdr:rowOff>
    </xdr:to>
    <xdr:sp macro="" textlink="">
      <xdr:nvSpPr>
        <xdr:cNvPr id="7" name="Rounded Rectangle 6">
          <a:hlinkClick xmlns:r="http://schemas.openxmlformats.org/officeDocument/2006/relationships" r:id="rId3" tooltip="Go to details of NMC(111) material production"/>
          <a:extLst>
            <a:ext uri="{FF2B5EF4-FFF2-40B4-BE49-F238E27FC236}">
              <a16:creationId xmlns:a16="http://schemas.microsoft.com/office/drawing/2014/main" id="{00000000-0008-0000-0900-000007000000}"/>
            </a:ext>
          </a:extLst>
        </xdr:cNvPr>
        <xdr:cNvSpPr/>
      </xdr:nvSpPr>
      <xdr:spPr>
        <a:xfrm>
          <a:off x="3810000" y="561975"/>
          <a:ext cx="12668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NMC(111)</a:t>
          </a:r>
        </a:p>
      </xdr:txBody>
    </xdr:sp>
    <xdr:clientData/>
  </xdr:twoCellAnchor>
  <xdr:twoCellAnchor>
    <xdr:from>
      <xdr:col>6</xdr:col>
      <xdr:colOff>314325</xdr:colOff>
      <xdr:row>2</xdr:row>
      <xdr:rowOff>180975</xdr:rowOff>
    </xdr:from>
    <xdr:to>
      <xdr:col>8</xdr:col>
      <xdr:colOff>304800</xdr:colOff>
      <xdr:row>4</xdr:row>
      <xdr:rowOff>0</xdr:rowOff>
    </xdr:to>
    <xdr:sp macro="" textlink="">
      <xdr:nvSpPr>
        <xdr:cNvPr id="9" name="Rounded Rectangle 8">
          <a:hlinkClick xmlns:r="http://schemas.openxmlformats.org/officeDocument/2006/relationships" r:id="rId4" tooltip="Go to details of NMC(532) material production"/>
          <a:extLst>
            <a:ext uri="{FF2B5EF4-FFF2-40B4-BE49-F238E27FC236}">
              <a16:creationId xmlns:a16="http://schemas.microsoft.com/office/drawing/2014/main" id="{00000000-0008-0000-0900-000009000000}"/>
            </a:ext>
          </a:extLst>
        </xdr:cNvPr>
        <xdr:cNvSpPr/>
      </xdr:nvSpPr>
      <xdr:spPr>
        <a:xfrm>
          <a:off x="6991350" y="561975"/>
          <a:ext cx="124777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NMC(532)</a:t>
          </a:r>
        </a:p>
      </xdr:txBody>
    </xdr:sp>
    <xdr:clientData/>
  </xdr:twoCellAnchor>
  <xdr:twoCellAnchor>
    <xdr:from>
      <xdr:col>26</xdr:col>
      <xdr:colOff>0</xdr:colOff>
      <xdr:row>3</xdr:row>
      <xdr:rowOff>0</xdr:rowOff>
    </xdr:from>
    <xdr:to>
      <xdr:col>26</xdr:col>
      <xdr:colOff>1190625</xdr:colOff>
      <xdr:row>4</xdr:row>
      <xdr:rowOff>9525</xdr:rowOff>
    </xdr:to>
    <xdr:sp macro="" textlink="">
      <xdr:nvSpPr>
        <xdr:cNvPr id="10" name="Rounded Rectangle 9">
          <a:hlinkClick xmlns:r="http://schemas.openxmlformats.org/officeDocument/2006/relationships" r:id="rId1" tooltip="Go back to &quot;Input&quot; tab"/>
          <a:extLst>
            <a:ext uri="{FF2B5EF4-FFF2-40B4-BE49-F238E27FC236}">
              <a16:creationId xmlns:a16="http://schemas.microsoft.com/office/drawing/2014/main" id="{00000000-0008-0000-0900-00000A000000}"/>
            </a:ext>
          </a:extLst>
        </xdr:cNvPr>
        <xdr:cNvSpPr/>
      </xdr:nvSpPr>
      <xdr:spPr>
        <a:xfrm>
          <a:off x="17802225" y="571500"/>
          <a:ext cx="11906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26</xdr:col>
      <xdr:colOff>1647825</xdr:colOff>
      <xdr:row>3</xdr:row>
      <xdr:rowOff>0</xdr:rowOff>
    </xdr:from>
    <xdr:to>
      <xdr:col>26</xdr:col>
      <xdr:colOff>3248025</xdr:colOff>
      <xdr:row>4</xdr:row>
      <xdr:rowOff>9525</xdr:rowOff>
    </xdr:to>
    <xdr:sp macro="" textlink="">
      <xdr:nvSpPr>
        <xdr:cNvPr id="11" name="Rounded Rectangle 10">
          <a:hlinkClick xmlns:r="http://schemas.openxmlformats.org/officeDocument/2006/relationships" r:id="rId2" tooltip="Go to &quot;Output&quot; tab"/>
          <a:extLst>
            <a:ext uri="{FF2B5EF4-FFF2-40B4-BE49-F238E27FC236}">
              <a16:creationId xmlns:a16="http://schemas.microsoft.com/office/drawing/2014/main" id="{00000000-0008-0000-0900-00000B000000}"/>
            </a:ext>
          </a:extLst>
        </xdr:cNvPr>
        <xdr:cNvSpPr/>
      </xdr:nvSpPr>
      <xdr:spPr>
        <a:xfrm>
          <a:off x="19450050" y="571500"/>
          <a:ext cx="160020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twoCellAnchor>
    <xdr:from>
      <xdr:col>28</xdr:col>
      <xdr:colOff>895350</xdr:colOff>
      <xdr:row>2</xdr:row>
      <xdr:rowOff>180975</xdr:rowOff>
    </xdr:from>
    <xdr:to>
      <xdr:col>29</xdr:col>
      <xdr:colOff>771525</xdr:colOff>
      <xdr:row>4</xdr:row>
      <xdr:rowOff>0</xdr:rowOff>
    </xdr:to>
    <xdr:sp macro="" textlink="">
      <xdr:nvSpPr>
        <xdr:cNvPr id="12" name="Rounded Rectangle 11">
          <a:hlinkClick xmlns:r="http://schemas.openxmlformats.org/officeDocument/2006/relationships" r:id="rId4" tooltip="Go to details of NMC(532) material production"/>
          <a:extLst>
            <a:ext uri="{FF2B5EF4-FFF2-40B4-BE49-F238E27FC236}">
              <a16:creationId xmlns:a16="http://schemas.microsoft.com/office/drawing/2014/main" id="{00000000-0008-0000-0900-00000C000000}"/>
            </a:ext>
          </a:extLst>
        </xdr:cNvPr>
        <xdr:cNvSpPr/>
      </xdr:nvSpPr>
      <xdr:spPr>
        <a:xfrm>
          <a:off x="23117175" y="561975"/>
          <a:ext cx="12668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NMC(532)</a:t>
          </a:r>
        </a:p>
      </xdr:txBody>
    </xdr:sp>
    <xdr:clientData/>
  </xdr:twoCellAnchor>
  <xdr:twoCellAnchor>
    <xdr:from>
      <xdr:col>27</xdr:col>
      <xdr:colOff>314325</xdr:colOff>
      <xdr:row>2</xdr:row>
      <xdr:rowOff>180975</xdr:rowOff>
    </xdr:from>
    <xdr:to>
      <xdr:col>28</xdr:col>
      <xdr:colOff>495300</xdr:colOff>
      <xdr:row>4</xdr:row>
      <xdr:rowOff>0</xdr:rowOff>
    </xdr:to>
    <xdr:sp macro="" textlink="">
      <xdr:nvSpPr>
        <xdr:cNvPr id="13" name="Rounded Rectangle 12">
          <a:hlinkClick xmlns:r="http://schemas.openxmlformats.org/officeDocument/2006/relationships" r:id="rId5" tooltip="Go to general information for cathode production"/>
          <a:extLst>
            <a:ext uri="{FF2B5EF4-FFF2-40B4-BE49-F238E27FC236}">
              <a16:creationId xmlns:a16="http://schemas.microsoft.com/office/drawing/2014/main" id="{00000000-0008-0000-0900-00000D000000}"/>
            </a:ext>
          </a:extLst>
        </xdr:cNvPr>
        <xdr:cNvSpPr/>
      </xdr:nvSpPr>
      <xdr:spPr>
        <a:xfrm>
          <a:off x="21450300" y="561975"/>
          <a:ext cx="12668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General</a:t>
          </a:r>
        </a:p>
      </xdr:txBody>
    </xdr:sp>
    <xdr:clientData/>
  </xdr:twoCellAnchor>
  <xdr:twoCellAnchor>
    <xdr:from>
      <xdr:col>9</xdr:col>
      <xdr:colOff>352425</xdr:colOff>
      <xdr:row>2</xdr:row>
      <xdr:rowOff>180975</xdr:rowOff>
    </xdr:from>
    <xdr:to>
      <xdr:col>11</xdr:col>
      <xdr:colOff>438150</xdr:colOff>
      <xdr:row>4</xdr:row>
      <xdr:rowOff>0</xdr:rowOff>
    </xdr:to>
    <xdr:sp macro="" textlink="">
      <xdr:nvSpPr>
        <xdr:cNvPr id="18" name="Rounded Rectangle 17">
          <a:hlinkClick xmlns:r="http://schemas.openxmlformats.org/officeDocument/2006/relationships" r:id="rId6" tooltip="Go to details of NMC(622) material production"/>
          <a:extLst>
            <a:ext uri="{FF2B5EF4-FFF2-40B4-BE49-F238E27FC236}">
              <a16:creationId xmlns:a16="http://schemas.microsoft.com/office/drawing/2014/main" id="{00000000-0008-0000-0900-000012000000}"/>
            </a:ext>
          </a:extLst>
        </xdr:cNvPr>
        <xdr:cNvSpPr/>
      </xdr:nvSpPr>
      <xdr:spPr>
        <a:xfrm>
          <a:off x="8115300" y="561975"/>
          <a:ext cx="12668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NMC(622)</a:t>
          </a:r>
        </a:p>
      </xdr:txBody>
    </xdr:sp>
    <xdr:clientData/>
  </xdr:twoCellAnchor>
  <xdr:twoCellAnchor>
    <xdr:from>
      <xdr:col>30</xdr:col>
      <xdr:colOff>0</xdr:colOff>
      <xdr:row>3</xdr:row>
      <xdr:rowOff>0</xdr:rowOff>
    </xdr:from>
    <xdr:to>
      <xdr:col>30</xdr:col>
      <xdr:colOff>1266825</xdr:colOff>
      <xdr:row>4</xdr:row>
      <xdr:rowOff>9525</xdr:rowOff>
    </xdr:to>
    <xdr:sp macro="" textlink="">
      <xdr:nvSpPr>
        <xdr:cNvPr id="19" name="Rounded Rectangle 18">
          <a:hlinkClick xmlns:r="http://schemas.openxmlformats.org/officeDocument/2006/relationships" r:id="rId6" tooltip="Go to details of NMC(622) material production"/>
          <a:extLst>
            <a:ext uri="{FF2B5EF4-FFF2-40B4-BE49-F238E27FC236}">
              <a16:creationId xmlns:a16="http://schemas.microsoft.com/office/drawing/2014/main" id="{00000000-0008-0000-0900-000013000000}"/>
            </a:ext>
          </a:extLst>
        </xdr:cNvPr>
        <xdr:cNvSpPr/>
      </xdr:nvSpPr>
      <xdr:spPr>
        <a:xfrm>
          <a:off x="24879300" y="571500"/>
          <a:ext cx="12668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NMC(622)</a:t>
          </a:r>
        </a:p>
      </xdr:txBody>
    </xdr:sp>
    <xdr:clientData/>
  </xdr:twoCellAnchor>
  <xdr:twoCellAnchor>
    <xdr:from>
      <xdr:col>78</xdr:col>
      <xdr:colOff>0</xdr:colOff>
      <xdr:row>3</xdr:row>
      <xdr:rowOff>0</xdr:rowOff>
    </xdr:from>
    <xdr:to>
      <xdr:col>78</xdr:col>
      <xdr:colOff>1190625</xdr:colOff>
      <xdr:row>4</xdr:row>
      <xdr:rowOff>9525</xdr:rowOff>
    </xdr:to>
    <xdr:sp macro="" textlink="">
      <xdr:nvSpPr>
        <xdr:cNvPr id="20" name="Rounded Rectangle 19">
          <a:hlinkClick xmlns:r="http://schemas.openxmlformats.org/officeDocument/2006/relationships" r:id="rId1" tooltip="Go back to &quot;Input&quot; tab"/>
          <a:extLst>
            <a:ext uri="{FF2B5EF4-FFF2-40B4-BE49-F238E27FC236}">
              <a16:creationId xmlns:a16="http://schemas.microsoft.com/office/drawing/2014/main" id="{00000000-0008-0000-0900-000014000000}"/>
            </a:ext>
          </a:extLst>
        </xdr:cNvPr>
        <xdr:cNvSpPr/>
      </xdr:nvSpPr>
      <xdr:spPr>
        <a:xfrm>
          <a:off x="17802225" y="571500"/>
          <a:ext cx="11906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78</xdr:col>
      <xdr:colOff>1647825</xdr:colOff>
      <xdr:row>3</xdr:row>
      <xdr:rowOff>0</xdr:rowOff>
    </xdr:from>
    <xdr:to>
      <xdr:col>78</xdr:col>
      <xdr:colOff>3248025</xdr:colOff>
      <xdr:row>4</xdr:row>
      <xdr:rowOff>9525</xdr:rowOff>
    </xdr:to>
    <xdr:sp macro="" textlink="">
      <xdr:nvSpPr>
        <xdr:cNvPr id="21" name="Rounded Rectangle 20">
          <a:hlinkClick xmlns:r="http://schemas.openxmlformats.org/officeDocument/2006/relationships" r:id="rId2" tooltip="Go to &quot;Output&quot; tab"/>
          <a:extLst>
            <a:ext uri="{FF2B5EF4-FFF2-40B4-BE49-F238E27FC236}">
              <a16:creationId xmlns:a16="http://schemas.microsoft.com/office/drawing/2014/main" id="{00000000-0008-0000-0900-000015000000}"/>
            </a:ext>
          </a:extLst>
        </xdr:cNvPr>
        <xdr:cNvSpPr/>
      </xdr:nvSpPr>
      <xdr:spPr>
        <a:xfrm>
          <a:off x="19450050" y="571500"/>
          <a:ext cx="160020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twoCellAnchor>
    <xdr:from>
      <xdr:col>80</xdr:col>
      <xdr:colOff>895350</xdr:colOff>
      <xdr:row>2</xdr:row>
      <xdr:rowOff>180975</xdr:rowOff>
    </xdr:from>
    <xdr:to>
      <xdr:col>81</xdr:col>
      <xdr:colOff>771525</xdr:colOff>
      <xdr:row>4</xdr:row>
      <xdr:rowOff>0</xdr:rowOff>
    </xdr:to>
    <xdr:sp macro="" textlink="">
      <xdr:nvSpPr>
        <xdr:cNvPr id="22" name="Rounded Rectangle 21">
          <a:hlinkClick xmlns:r="http://schemas.openxmlformats.org/officeDocument/2006/relationships" r:id="rId7" tooltip="Go to details of NMC(111) material production"/>
          <a:extLst>
            <a:ext uri="{FF2B5EF4-FFF2-40B4-BE49-F238E27FC236}">
              <a16:creationId xmlns:a16="http://schemas.microsoft.com/office/drawing/2014/main" id="{00000000-0008-0000-0900-000016000000}"/>
            </a:ext>
          </a:extLst>
        </xdr:cNvPr>
        <xdr:cNvSpPr/>
      </xdr:nvSpPr>
      <xdr:spPr>
        <a:xfrm>
          <a:off x="23117175" y="561975"/>
          <a:ext cx="12668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NMC(111)</a:t>
          </a:r>
        </a:p>
      </xdr:txBody>
    </xdr:sp>
    <xdr:clientData/>
  </xdr:twoCellAnchor>
  <xdr:twoCellAnchor>
    <xdr:from>
      <xdr:col>79</xdr:col>
      <xdr:colOff>314325</xdr:colOff>
      <xdr:row>2</xdr:row>
      <xdr:rowOff>180975</xdr:rowOff>
    </xdr:from>
    <xdr:to>
      <xdr:col>80</xdr:col>
      <xdr:colOff>495300</xdr:colOff>
      <xdr:row>4</xdr:row>
      <xdr:rowOff>0</xdr:rowOff>
    </xdr:to>
    <xdr:sp macro="" textlink="">
      <xdr:nvSpPr>
        <xdr:cNvPr id="23" name="Rounded Rectangle 22">
          <a:hlinkClick xmlns:r="http://schemas.openxmlformats.org/officeDocument/2006/relationships" r:id="rId5" tooltip="Go to general information for cathode production"/>
          <a:extLst>
            <a:ext uri="{FF2B5EF4-FFF2-40B4-BE49-F238E27FC236}">
              <a16:creationId xmlns:a16="http://schemas.microsoft.com/office/drawing/2014/main" id="{00000000-0008-0000-0900-000017000000}"/>
            </a:ext>
          </a:extLst>
        </xdr:cNvPr>
        <xdr:cNvSpPr/>
      </xdr:nvSpPr>
      <xdr:spPr>
        <a:xfrm>
          <a:off x="21450300" y="561975"/>
          <a:ext cx="12668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General</a:t>
          </a:r>
        </a:p>
      </xdr:txBody>
    </xdr:sp>
    <xdr:clientData/>
  </xdr:twoCellAnchor>
  <xdr:twoCellAnchor>
    <xdr:from>
      <xdr:col>83</xdr:col>
      <xdr:colOff>152400</xdr:colOff>
      <xdr:row>2</xdr:row>
      <xdr:rowOff>177800</xdr:rowOff>
    </xdr:from>
    <xdr:to>
      <xdr:col>83</xdr:col>
      <xdr:colOff>1419225</xdr:colOff>
      <xdr:row>3</xdr:row>
      <xdr:rowOff>187325</xdr:rowOff>
    </xdr:to>
    <xdr:sp macro="" textlink="">
      <xdr:nvSpPr>
        <xdr:cNvPr id="24" name="Rounded Rectangle 23">
          <a:hlinkClick xmlns:r="http://schemas.openxmlformats.org/officeDocument/2006/relationships" r:id="rId8" tooltip="Go to details of NMC(811) material production"/>
          <a:extLst>
            <a:ext uri="{FF2B5EF4-FFF2-40B4-BE49-F238E27FC236}">
              <a16:creationId xmlns:a16="http://schemas.microsoft.com/office/drawing/2014/main" id="{00000000-0008-0000-0900-000018000000}"/>
            </a:ext>
          </a:extLst>
        </xdr:cNvPr>
        <xdr:cNvSpPr/>
      </xdr:nvSpPr>
      <xdr:spPr>
        <a:xfrm>
          <a:off x="80492600" y="558800"/>
          <a:ext cx="12668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NMC(811)</a:t>
          </a:r>
        </a:p>
      </xdr:txBody>
    </xdr:sp>
    <xdr:clientData/>
  </xdr:twoCellAnchor>
  <xdr:twoCellAnchor>
    <xdr:from>
      <xdr:col>104</xdr:col>
      <xdr:colOff>0</xdr:colOff>
      <xdr:row>3</xdr:row>
      <xdr:rowOff>0</xdr:rowOff>
    </xdr:from>
    <xdr:to>
      <xdr:col>104</xdr:col>
      <xdr:colOff>1190625</xdr:colOff>
      <xdr:row>4</xdr:row>
      <xdr:rowOff>9525</xdr:rowOff>
    </xdr:to>
    <xdr:sp macro="" textlink="">
      <xdr:nvSpPr>
        <xdr:cNvPr id="26" name="Rounded Rectangle 25">
          <a:hlinkClick xmlns:r="http://schemas.openxmlformats.org/officeDocument/2006/relationships" r:id="rId1" tooltip="Go back to &quot;Input&quot; tab"/>
          <a:extLst>
            <a:ext uri="{FF2B5EF4-FFF2-40B4-BE49-F238E27FC236}">
              <a16:creationId xmlns:a16="http://schemas.microsoft.com/office/drawing/2014/main" id="{00000000-0008-0000-0900-00001A000000}"/>
            </a:ext>
          </a:extLst>
        </xdr:cNvPr>
        <xdr:cNvSpPr/>
      </xdr:nvSpPr>
      <xdr:spPr>
        <a:xfrm>
          <a:off x="40014525" y="571500"/>
          <a:ext cx="11906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104</xdr:col>
      <xdr:colOff>1647825</xdr:colOff>
      <xdr:row>3</xdr:row>
      <xdr:rowOff>0</xdr:rowOff>
    </xdr:from>
    <xdr:to>
      <xdr:col>104</xdr:col>
      <xdr:colOff>3248025</xdr:colOff>
      <xdr:row>4</xdr:row>
      <xdr:rowOff>9525</xdr:rowOff>
    </xdr:to>
    <xdr:sp macro="" textlink="">
      <xdr:nvSpPr>
        <xdr:cNvPr id="27" name="Rounded Rectangle 26">
          <a:hlinkClick xmlns:r="http://schemas.openxmlformats.org/officeDocument/2006/relationships" r:id="rId2" tooltip="Go to &quot;Output&quot; tab"/>
          <a:extLst>
            <a:ext uri="{FF2B5EF4-FFF2-40B4-BE49-F238E27FC236}">
              <a16:creationId xmlns:a16="http://schemas.microsoft.com/office/drawing/2014/main" id="{00000000-0008-0000-0900-00001B000000}"/>
            </a:ext>
          </a:extLst>
        </xdr:cNvPr>
        <xdr:cNvSpPr/>
      </xdr:nvSpPr>
      <xdr:spPr>
        <a:xfrm>
          <a:off x="41662350" y="571500"/>
          <a:ext cx="82867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twoCellAnchor>
    <xdr:from>
      <xdr:col>106</xdr:col>
      <xdr:colOff>895350</xdr:colOff>
      <xdr:row>2</xdr:row>
      <xdr:rowOff>180975</xdr:rowOff>
    </xdr:from>
    <xdr:to>
      <xdr:col>107</xdr:col>
      <xdr:colOff>771525</xdr:colOff>
      <xdr:row>4</xdr:row>
      <xdr:rowOff>0</xdr:rowOff>
    </xdr:to>
    <xdr:sp macro="" textlink="">
      <xdr:nvSpPr>
        <xdr:cNvPr id="28" name="Rounded Rectangle 27">
          <a:hlinkClick xmlns:r="http://schemas.openxmlformats.org/officeDocument/2006/relationships" r:id="rId7" tooltip="Go to details of NMC(111) material production"/>
          <a:extLst>
            <a:ext uri="{FF2B5EF4-FFF2-40B4-BE49-F238E27FC236}">
              <a16:creationId xmlns:a16="http://schemas.microsoft.com/office/drawing/2014/main" id="{00000000-0008-0000-0900-00001C000000}"/>
            </a:ext>
          </a:extLst>
        </xdr:cNvPr>
        <xdr:cNvSpPr/>
      </xdr:nvSpPr>
      <xdr:spPr>
        <a:xfrm>
          <a:off x="44386500" y="561975"/>
          <a:ext cx="136207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NMC(111)</a:t>
          </a:r>
        </a:p>
      </xdr:txBody>
    </xdr:sp>
    <xdr:clientData/>
  </xdr:twoCellAnchor>
  <xdr:twoCellAnchor>
    <xdr:from>
      <xdr:col>105</xdr:col>
      <xdr:colOff>314325</xdr:colOff>
      <xdr:row>2</xdr:row>
      <xdr:rowOff>180975</xdr:rowOff>
    </xdr:from>
    <xdr:to>
      <xdr:col>106</xdr:col>
      <xdr:colOff>495300</xdr:colOff>
      <xdr:row>4</xdr:row>
      <xdr:rowOff>0</xdr:rowOff>
    </xdr:to>
    <xdr:sp macro="" textlink="">
      <xdr:nvSpPr>
        <xdr:cNvPr id="29" name="Rounded Rectangle 28">
          <a:hlinkClick xmlns:r="http://schemas.openxmlformats.org/officeDocument/2006/relationships" r:id="rId5" tooltip="Go to general information for cathode production"/>
          <a:extLst>
            <a:ext uri="{FF2B5EF4-FFF2-40B4-BE49-F238E27FC236}">
              <a16:creationId xmlns:a16="http://schemas.microsoft.com/office/drawing/2014/main" id="{00000000-0008-0000-0900-00001D000000}"/>
            </a:ext>
          </a:extLst>
        </xdr:cNvPr>
        <xdr:cNvSpPr/>
      </xdr:nvSpPr>
      <xdr:spPr>
        <a:xfrm>
          <a:off x="42805350" y="561975"/>
          <a:ext cx="118110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General</a:t>
          </a:r>
        </a:p>
      </xdr:txBody>
    </xdr:sp>
    <xdr:clientData/>
  </xdr:twoCellAnchor>
  <xdr:twoCellAnchor>
    <xdr:from>
      <xdr:col>107</xdr:col>
      <xdr:colOff>1295401</xdr:colOff>
      <xdr:row>2</xdr:row>
      <xdr:rowOff>180975</xdr:rowOff>
    </xdr:from>
    <xdr:to>
      <xdr:col>108</xdr:col>
      <xdr:colOff>1038226</xdr:colOff>
      <xdr:row>4</xdr:row>
      <xdr:rowOff>9525</xdr:rowOff>
    </xdr:to>
    <xdr:sp macro="" textlink="">
      <xdr:nvSpPr>
        <xdr:cNvPr id="30" name="Rounded Rectangle 29">
          <a:hlinkClick xmlns:r="http://schemas.openxmlformats.org/officeDocument/2006/relationships" r:id="rId9" tooltip="Go to details of NMC(532) material production"/>
          <a:extLst>
            <a:ext uri="{FF2B5EF4-FFF2-40B4-BE49-F238E27FC236}">
              <a16:creationId xmlns:a16="http://schemas.microsoft.com/office/drawing/2014/main" id="{00000000-0008-0000-0900-00001E000000}"/>
            </a:ext>
          </a:extLst>
        </xdr:cNvPr>
        <xdr:cNvSpPr/>
      </xdr:nvSpPr>
      <xdr:spPr>
        <a:xfrm>
          <a:off x="68018026" y="561975"/>
          <a:ext cx="1219200" cy="2095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NMC(532)</a:t>
          </a:r>
        </a:p>
      </xdr:txBody>
    </xdr:sp>
    <xdr:clientData/>
  </xdr:twoCellAnchor>
  <xdr:twoCellAnchor>
    <xdr:from>
      <xdr:col>12</xdr:col>
      <xdr:colOff>276225</xdr:colOff>
      <xdr:row>2</xdr:row>
      <xdr:rowOff>180975</xdr:rowOff>
    </xdr:from>
    <xdr:to>
      <xdr:col>14</xdr:col>
      <xdr:colOff>361950</xdr:colOff>
      <xdr:row>4</xdr:row>
      <xdr:rowOff>0</xdr:rowOff>
    </xdr:to>
    <xdr:sp macro="" textlink="">
      <xdr:nvSpPr>
        <xdr:cNvPr id="31" name="Rounded Rectangle 30">
          <a:hlinkClick xmlns:r="http://schemas.openxmlformats.org/officeDocument/2006/relationships" r:id="rId8" tooltip="Go to details of NMC(811) material production"/>
          <a:extLst>
            <a:ext uri="{FF2B5EF4-FFF2-40B4-BE49-F238E27FC236}">
              <a16:creationId xmlns:a16="http://schemas.microsoft.com/office/drawing/2014/main" id="{00000000-0008-0000-0900-00001F000000}"/>
            </a:ext>
          </a:extLst>
        </xdr:cNvPr>
        <xdr:cNvSpPr/>
      </xdr:nvSpPr>
      <xdr:spPr>
        <a:xfrm>
          <a:off x="9772650" y="561975"/>
          <a:ext cx="12668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NMC(811)</a:t>
          </a:r>
        </a:p>
      </xdr:txBody>
    </xdr:sp>
    <xdr:clientData/>
  </xdr:twoCellAnchor>
  <xdr:twoCellAnchor>
    <xdr:from>
      <xdr:col>31</xdr:col>
      <xdr:colOff>314325</xdr:colOff>
      <xdr:row>3</xdr:row>
      <xdr:rowOff>0</xdr:rowOff>
    </xdr:from>
    <xdr:to>
      <xdr:col>32</xdr:col>
      <xdr:colOff>314325</xdr:colOff>
      <xdr:row>4</xdr:row>
      <xdr:rowOff>9525</xdr:rowOff>
    </xdr:to>
    <xdr:sp macro="" textlink="">
      <xdr:nvSpPr>
        <xdr:cNvPr id="33" name="Rounded Rectangle 32">
          <a:hlinkClick xmlns:r="http://schemas.openxmlformats.org/officeDocument/2006/relationships" r:id="rId8" tooltip="Go to details of NMC(811) material production"/>
          <a:extLst>
            <a:ext uri="{FF2B5EF4-FFF2-40B4-BE49-F238E27FC236}">
              <a16:creationId xmlns:a16="http://schemas.microsoft.com/office/drawing/2014/main" id="{00000000-0008-0000-0900-000021000000}"/>
            </a:ext>
          </a:extLst>
        </xdr:cNvPr>
        <xdr:cNvSpPr/>
      </xdr:nvSpPr>
      <xdr:spPr>
        <a:xfrm>
          <a:off x="26489025" y="571500"/>
          <a:ext cx="12668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NMC(811)</a:t>
          </a:r>
        </a:p>
      </xdr:txBody>
    </xdr:sp>
    <xdr:clientData/>
  </xdr:twoCellAnchor>
  <xdr:twoCellAnchor>
    <xdr:from>
      <xdr:col>84</xdr:col>
      <xdr:colOff>419100</xdr:colOff>
      <xdr:row>2</xdr:row>
      <xdr:rowOff>177800</xdr:rowOff>
    </xdr:from>
    <xdr:to>
      <xdr:col>86</xdr:col>
      <xdr:colOff>60325</xdr:colOff>
      <xdr:row>3</xdr:row>
      <xdr:rowOff>187325</xdr:rowOff>
    </xdr:to>
    <xdr:sp macro="" textlink="">
      <xdr:nvSpPr>
        <xdr:cNvPr id="35" name="Rounded Rectangle 34">
          <a:hlinkClick xmlns:r="http://schemas.openxmlformats.org/officeDocument/2006/relationships" r:id="rId10" tooltip="Go to details of NCA material production"/>
          <a:extLst>
            <a:ext uri="{FF2B5EF4-FFF2-40B4-BE49-F238E27FC236}">
              <a16:creationId xmlns:a16="http://schemas.microsoft.com/office/drawing/2014/main" id="{00000000-0008-0000-0900-000023000000}"/>
            </a:ext>
          </a:extLst>
        </xdr:cNvPr>
        <xdr:cNvSpPr/>
      </xdr:nvSpPr>
      <xdr:spPr>
        <a:xfrm>
          <a:off x="82245200" y="558800"/>
          <a:ext cx="14573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NCA</a:t>
          </a:r>
        </a:p>
      </xdr:txBody>
    </xdr:sp>
    <xdr:clientData/>
  </xdr:twoCellAnchor>
  <xdr:twoCellAnchor>
    <xdr:from>
      <xdr:col>130</xdr:col>
      <xdr:colOff>0</xdr:colOff>
      <xdr:row>3</xdr:row>
      <xdr:rowOff>0</xdr:rowOff>
    </xdr:from>
    <xdr:to>
      <xdr:col>130</xdr:col>
      <xdr:colOff>1190625</xdr:colOff>
      <xdr:row>4</xdr:row>
      <xdr:rowOff>9525</xdr:rowOff>
    </xdr:to>
    <xdr:sp macro="" textlink="">
      <xdr:nvSpPr>
        <xdr:cNvPr id="45" name="Rounded Rectangle 44">
          <a:hlinkClick xmlns:r="http://schemas.openxmlformats.org/officeDocument/2006/relationships" r:id="rId1" tooltip="Go back to &quot;Input&quot; tab"/>
          <a:extLst>
            <a:ext uri="{FF2B5EF4-FFF2-40B4-BE49-F238E27FC236}">
              <a16:creationId xmlns:a16="http://schemas.microsoft.com/office/drawing/2014/main" id="{00000000-0008-0000-0900-00002D000000}"/>
            </a:ext>
          </a:extLst>
        </xdr:cNvPr>
        <xdr:cNvSpPr/>
      </xdr:nvSpPr>
      <xdr:spPr>
        <a:xfrm>
          <a:off x="61674375" y="571500"/>
          <a:ext cx="11906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130</xdr:col>
      <xdr:colOff>1647825</xdr:colOff>
      <xdr:row>3</xdr:row>
      <xdr:rowOff>0</xdr:rowOff>
    </xdr:from>
    <xdr:to>
      <xdr:col>130</xdr:col>
      <xdr:colOff>3248025</xdr:colOff>
      <xdr:row>4</xdr:row>
      <xdr:rowOff>9525</xdr:rowOff>
    </xdr:to>
    <xdr:sp macro="" textlink="">
      <xdr:nvSpPr>
        <xdr:cNvPr id="46" name="Rounded Rectangle 45">
          <a:hlinkClick xmlns:r="http://schemas.openxmlformats.org/officeDocument/2006/relationships" r:id="rId2" tooltip="Go to &quot;Output&quot; tab"/>
          <a:extLst>
            <a:ext uri="{FF2B5EF4-FFF2-40B4-BE49-F238E27FC236}">
              <a16:creationId xmlns:a16="http://schemas.microsoft.com/office/drawing/2014/main" id="{00000000-0008-0000-0900-00002E000000}"/>
            </a:ext>
          </a:extLst>
        </xdr:cNvPr>
        <xdr:cNvSpPr/>
      </xdr:nvSpPr>
      <xdr:spPr>
        <a:xfrm>
          <a:off x="63322200" y="571500"/>
          <a:ext cx="102870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twoCellAnchor>
    <xdr:from>
      <xdr:col>132</xdr:col>
      <xdr:colOff>895350</xdr:colOff>
      <xdr:row>2</xdr:row>
      <xdr:rowOff>180975</xdr:rowOff>
    </xdr:from>
    <xdr:to>
      <xdr:col>133</xdr:col>
      <xdr:colOff>771525</xdr:colOff>
      <xdr:row>4</xdr:row>
      <xdr:rowOff>0</xdr:rowOff>
    </xdr:to>
    <xdr:sp macro="" textlink="">
      <xdr:nvSpPr>
        <xdr:cNvPr id="47" name="Rounded Rectangle 46">
          <a:hlinkClick xmlns:r="http://schemas.openxmlformats.org/officeDocument/2006/relationships" r:id="rId7" tooltip="Go to details of NMC(111) material production"/>
          <a:extLst>
            <a:ext uri="{FF2B5EF4-FFF2-40B4-BE49-F238E27FC236}">
              <a16:creationId xmlns:a16="http://schemas.microsoft.com/office/drawing/2014/main" id="{00000000-0008-0000-0900-00002F000000}"/>
            </a:ext>
          </a:extLst>
        </xdr:cNvPr>
        <xdr:cNvSpPr/>
      </xdr:nvSpPr>
      <xdr:spPr>
        <a:xfrm>
          <a:off x="66274950" y="561975"/>
          <a:ext cx="121920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NMC(111)</a:t>
          </a:r>
        </a:p>
      </xdr:txBody>
    </xdr:sp>
    <xdr:clientData/>
  </xdr:twoCellAnchor>
  <xdr:twoCellAnchor>
    <xdr:from>
      <xdr:col>131</xdr:col>
      <xdr:colOff>314325</xdr:colOff>
      <xdr:row>2</xdr:row>
      <xdr:rowOff>180975</xdr:rowOff>
    </xdr:from>
    <xdr:to>
      <xdr:col>132</xdr:col>
      <xdr:colOff>495300</xdr:colOff>
      <xdr:row>4</xdr:row>
      <xdr:rowOff>0</xdr:rowOff>
    </xdr:to>
    <xdr:sp macro="" textlink="">
      <xdr:nvSpPr>
        <xdr:cNvPr id="48" name="Rounded Rectangle 47">
          <a:hlinkClick xmlns:r="http://schemas.openxmlformats.org/officeDocument/2006/relationships" r:id="rId5" tooltip="Go to general information for cathode production"/>
          <a:extLst>
            <a:ext uri="{FF2B5EF4-FFF2-40B4-BE49-F238E27FC236}">
              <a16:creationId xmlns:a16="http://schemas.microsoft.com/office/drawing/2014/main" id="{00000000-0008-0000-0900-000030000000}"/>
            </a:ext>
          </a:extLst>
        </xdr:cNvPr>
        <xdr:cNvSpPr/>
      </xdr:nvSpPr>
      <xdr:spPr>
        <a:xfrm>
          <a:off x="64665225" y="561975"/>
          <a:ext cx="120967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General</a:t>
          </a:r>
        </a:p>
      </xdr:txBody>
    </xdr:sp>
    <xdr:clientData/>
  </xdr:twoCellAnchor>
  <xdr:twoCellAnchor>
    <xdr:from>
      <xdr:col>133</xdr:col>
      <xdr:colOff>1295401</xdr:colOff>
      <xdr:row>2</xdr:row>
      <xdr:rowOff>180975</xdr:rowOff>
    </xdr:from>
    <xdr:to>
      <xdr:col>134</xdr:col>
      <xdr:colOff>1038226</xdr:colOff>
      <xdr:row>4</xdr:row>
      <xdr:rowOff>9525</xdr:rowOff>
    </xdr:to>
    <xdr:sp macro="" textlink="">
      <xdr:nvSpPr>
        <xdr:cNvPr id="49" name="Rounded Rectangle 48">
          <a:hlinkClick xmlns:r="http://schemas.openxmlformats.org/officeDocument/2006/relationships" r:id="rId9" tooltip="Go to details of NMC(532) material production"/>
          <a:extLst>
            <a:ext uri="{FF2B5EF4-FFF2-40B4-BE49-F238E27FC236}">
              <a16:creationId xmlns:a16="http://schemas.microsoft.com/office/drawing/2014/main" id="{00000000-0008-0000-0900-000031000000}"/>
            </a:ext>
          </a:extLst>
        </xdr:cNvPr>
        <xdr:cNvSpPr/>
      </xdr:nvSpPr>
      <xdr:spPr>
        <a:xfrm>
          <a:off x="68018026" y="561975"/>
          <a:ext cx="1219200" cy="2095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NMC(532)</a:t>
          </a:r>
        </a:p>
      </xdr:txBody>
    </xdr:sp>
    <xdr:clientData/>
  </xdr:twoCellAnchor>
  <xdr:twoCellAnchor>
    <xdr:from>
      <xdr:col>134</xdr:col>
      <xdr:colOff>1524000</xdr:colOff>
      <xdr:row>2</xdr:row>
      <xdr:rowOff>180975</xdr:rowOff>
    </xdr:from>
    <xdr:to>
      <xdr:col>135</xdr:col>
      <xdr:colOff>1181100</xdr:colOff>
      <xdr:row>4</xdr:row>
      <xdr:rowOff>0</xdr:rowOff>
    </xdr:to>
    <xdr:sp macro="" textlink="">
      <xdr:nvSpPr>
        <xdr:cNvPr id="50" name="Rounded Rectangle 49">
          <a:hlinkClick xmlns:r="http://schemas.openxmlformats.org/officeDocument/2006/relationships" r:id="rId11" tooltip="Go to details of NMC(622) material production"/>
          <a:extLst>
            <a:ext uri="{FF2B5EF4-FFF2-40B4-BE49-F238E27FC236}">
              <a16:creationId xmlns:a16="http://schemas.microsoft.com/office/drawing/2014/main" id="{00000000-0008-0000-0900-000032000000}"/>
            </a:ext>
          </a:extLst>
        </xdr:cNvPr>
        <xdr:cNvSpPr/>
      </xdr:nvSpPr>
      <xdr:spPr>
        <a:xfrm>
          <a:off x="69723000" y="561975"/>
          <a:ext cx="12668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NMC(622)</a:t>
          </a:r>
        </a:p>
      </xdr:txBody>
    </xdr:sp>
    <xdr:clientData/>
  </xdr:twoCellAnchor>
  <xdr:twoCellAnchor>
    <xdr:from>
      <xdr:col>156</xdr:col>
      <xdr:colOff>0</xdr:colOff>
      <xdr:row>3</xdr:row>
      <xdr:rowOff>0</xdr:rowOff>
    </xdr:from>
    <xdr:to>
      <xdr:col>156</xdr:col>
      <xdr:colOff>1190625</xdr:colOff>
      <xdr:row>4</xdr:row>
      <xdr:rowOff>9525</xdr:rowOff>
    </xdr:to>
    <xdr:sp macro="" textlink="">
      <xdr:nvSpPr>
        <xdr:cNvPr id="37" name="Rounded Rectangle 36">
          <a:hlinkClick xmlns:r="http://schemas.openxmlformats.org/officeDocument/2006/relationships" r:id="rId1" tooltip="Go back to &quot;Input&quot; tab"/>
          <a:extLst>
            <a:ext uri="{FF2B5EF4-FFF2-40B4-BE49-F238E27FC236}">
              <a16:creationId xmlns:a16="http://schemas.microsoft.com/office/drawing/2014/main" id="{00000000-0008-0000-0900-000025000000}"/>
            </a:ext>
          </a:extLst>
        </xdr:cNvPr>
        <xdr:cNvSpPr/>
      </xdr:nvSpPr>
      <xdr:spPr>
        <a:xfrm>
          <a:off x="84019159" y="571500"/>
          <a:ext cx="11906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156</xdr:col>
      <xdr:colOff>1647825</xdr:colOff>
      <xdr:row>3</xdr:row>
      <xdr:rowOff>0</xdr:rowOff>
    </xdr:from>
    <xdr:to>
      <xdr:col>156</xdr:col>
      <xdr:colOff>3248025</xdr:colOff>
      <xdr:row>4</xdr:row>
      <xdr:rowOff>9525</xdr:rowOff>
    </xdr:to>
    <xdr:sp macro="" textlink="">
      <xdr:nvSpPr>
        <xdr:cNvPr id="38" name="Rounded Rectangle 37">
          <a:hlinkClick xmlns:r="http://schemas.openxmlformats.org/officeDocument/2006/relationships" r:id="rId2" tooltip="Go to &quot;Output&quot; tab"/>
          <a:extLst>
            <a:ext uri="{FF2B5EF4-FFF2-40B4-BE49-F238E27FC236}">
              <a16:creationId xmlns:a16="http://schemas.microsoft.com/office/drawing/2014/main" id="{00000000-0008-0000-0900-000026000000}"/>
            </a:ext>
          </a:extLst>
        </xdr:cNvPr>
        <xdr:cNvSpPr/>
      </xdr:nvSpPr>
      <xdr:spPr>
        <a:xfrm>
          <a:off x="85666984" y="571500"/>
          <a:ext cx="102870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twoCellAnchor>
    <xdr:from>
      <xdr:col>157</xdr:col>
      <xdr:colOff>441613</xdr:colOff>
      <xdr:row>2</xdr:row>
      <xdr:rowOff>181841</xdr:rowOff>
    </xdr:from>
    <xdr:to>
      <xdr:col>158</xdr:col>
      <xdr:colOff>622588</xdr:colOff>
      <xdr:row>4</xdr:row>
      <xdr:rowOff>866</xdr:rowOff>
    </xdr:to>
    <xdr:sp macro="" textlink="">
      <xdr:nvSpPr>
        <xdr:cNvPr id="39" name="Rounded Rectangle 38">
          <a:hlinkClick xmlns:r="http://schemas.openxmlformats.org/officeDocument/2006/relationships" r:id="rId5" tooltip="Go to general information for cathode production"/>
          <a:extLst>
            <a:ext uri="{FF2B5EF4-FFF2-40B4-BE49-F238E27FC236}">
              <a16:creationId xmlns:a16="http://schemas.microsoft.com/office/drawing/2014/main" id="{00000000-0008-0000-0900-000027000000}"/>
            </a:ext>
          </a:extLst>
        </xdr:cNvPr>
        <xdr:cNvSpPr/>
      </xdr:nvSpPr>
      <xdr:spPr>
        <a:xfrm>
          <a:off x="109398954" y="562841"/>
          <a:ext cx="1211407"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General</a:t>
          </a:r>
        </a:p>
      </xdr:txBody>
    </xdr:sp>
    <xdr:clientData/>
  </xdr:twoCellAnchor>
  <xdr:twoCellAnchor>
    <xdr:from>
      <xdr:col>15</xdr:col>
      <xdr:colOff>77932</xdr:colOff>
      <xdr:row>2</xdr:row>
      <xdr:rowOff>173182</xdr:rowOff>
    </xdr:from>
    <xdr:to>
      <xdr:col>17</xdr:col>
      <xdr:colOff>163656</xdr:colOff>
      <xdr:row>3</xdr:row>
      <xdr:rowOff>182707</xdr:rowOff>
    </xdr:to>
    <xdr:sp macro="" textlink="">
      <xdr:nvSpPr>
        <xdr:cNvPr id="42" name="Rounded Rectangle 41">
          <a:hlinkClick xmlns:r="http://schemas.openxmlformats.org/officeDocument/2006/relationships" r:id="rId10" tooltip="Go to details of NCA material production"/>
          <a:extLst>
            <a:ext uri="{FF2B5EF4-FFF2-40B4-BE49-F238E27FC236}">
              <a16:creationId xmlns:a16="http://schemas.microsoft.com/office/drawing/2014/main" id="{00000000-0008-0000-0900-00002A000000}"/>
            </a:ext>
          </a:extLst>
        </xdr:cNvPr>
        <xdr:cNvSpPr/>
      </xdr:nvSpPr>
      <xdr:spPr>
        <a:xfrm>
          <a:off x="11343409" y="554182"/>
          <a:ext cx="1263361"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NCA</a:t>
          </a:r>
        </a:p>
      </xdr:txBody>
    </xdr:sp>
    <xdr:clientData/>
  </xdr:twoCellAnchor>
  <xdr:twoCellAnchor>
    <xdr:from>
      <xdr:col>32</xdr:col>
      <xdr:colOff>701387</xdr:colOff>
      <xdr:row>2</xdr:row>
      <xdr:rowOff>181841</xdr:rowOff>
    </xdr:from>
    <xdr:to>
      <xdr:col>34</xdr:col>
      <xdr:colOff>224271</xdr:colOff>
      <xdr:row>4</xdr:row>
      <xdr:rowOff>866</xdr:rowOff>
    </xdr:to>
    <xdr:sp macro="" textlink="">
      <xdr:nvSpPr>
        <xdr:cNvPr id="43" name="Rounded Rectangle 42">
          <a:hlinkClick xmlns:r="http://schemas.openxmlformats.org/officeDocument/2006/relationships" r:id="rId10" tooltip="Go to details of NCA material production"/>
          <a:extLst>
            <a:ext uri="{FF2B5EF4-FFF2-40B4-BE49-F238E27FC236}">
              <a16:creationId xmlns:a16="http://schemas.microsoft.com/office/drawing/2014/main" id="{00000000-0008-0000-0900-00002B000000}"/>
            </a:ext>
          </a:extLst>
        </xdr:cNvPr>
        <xdr:cNvSpPr/>
      </xdr:nvSpPr>
      <xdr:spPr>
        <a:xfrm>
          <a:off x="28116069" y="562841"/>
          <a:ext cx="1263361"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NCA</a:t>
          </a:r>
        </a:p>
      </xdr:txBody>
    </xdr:sp>
    <xdr:clientData/>
  </xdr:twoCellAnchor>
  <xdr:twoCellAnchor>
    <xdr:from>
      <xdr:col>86</xdr:col>
      <xdr:colOff>546677</xdr:colOff>
      <xdr:row>2</xdr:row>
      <xdr:rowOff>177800</xdr:rowOff>
    </xdr:from>
    <xdr:to>
      <xdr:col>88</xdr:col>
      <xdr:colOff>335684</xdr:colOff>
      <xdr:row>3</xdr:row>
      <xdr:rowOff>187325</xdr:rowOff>
    </xdr:to>
    <xdr:sp macro="" textlink="">
      <xdr:nvSpPr>
        <xdr:cNvPr id="44" name="Rounded Rectangle 43">
          <a:hlinkClick xmlns:r="http://schemas.openxmlformats.org/officeDocument/2006/relationships" r:id="rId12" tooltip="Go to details of LCO material production"/>
          <a:extLst>
            <a:ext uri="{FF2B5EF4-FFF2-40B4-BE49-F238E27FC236}">
              <a16:creationId xmlns:a16="http://schemas.microsoft.com/office/drawing/2014/main" id="{00000000-0008-0000-0900-00002C000000}"/>
            </a:ext>
          </a:extLst>
        </xdr:cNvPr>
        <xdr:cNvSpPr/>
      </xdr:nvSpPr>
      <xdr:spPr>
        <a:xfrm>
          <a:off x="84188877" y="558800"/>
          <a:ext cx="1503507"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LCO</a:t>
          </a:r>
        </a:p>
      </xdr:txBody>
    </xdr:sp>
    <xdr:clientData/>
  </xdr:twoCellAnchor>
  <xdr:twoCellAnchor>
    <xdr:from>
      <xdr:col>137</xdr:col>
      <xdr:colOff>1031586</xdr:colOff>
      <xdr:row>2</xdr:row>
      <xdr:rowOff>181841</xdr:rowOff>
    </xdr:from>
    <xdr:to>
      <xdr:col>139</xdr:col>
      <xdr:colOff>82838</xdr:colOff>
      <xdr:row>4</xdr:row>
      <xdr:rowOff>866</xdr:rowOff>
    </xdr:to>
    <xdr:sp macro="" textlink="">
      <xdr:nvSpPr>
        <xdr:cNvPr id="52" name="Rounded Rectangle 51">
          <a:hlinkClick xmlns:r="http://schemas.openxmlformats.org/officeDocument/2006/relationships" r:id="rId12" tooltip="Go to details of LCO material production"/>
          <a:extLst>
            <a:ext uri="{FF2B5EF4-FFF2-40B4-BE49-F238E27FC236}">
              <a16:creationId xmlns:a16="http://schemas.microsoft.com/office/drawing/2014/main" id="{00000000-0008-0000-0900-000034000000}"/>
            </a:ext>
          </a:extLst>
        </xdr:cNvPr>
        <xdr:cNvSpPr/>
      </xdr:nvSpPr>
      <xdr:spPr>
        <a:xfrm>
          <a:off x="134419686" y="562841"/>
          <a:ext cx="1388052"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LCO</a:t>
          </a:r>
        </a:p>
      </xdr:txBody>
    </xdr:sp>
    <xdr:clientData/>
  </xdr:twoCellAnchor>
  <xdr:twoCellAnchor>
    <xdr:from>
      <xdr:col>158</xdr:col>
      <xdr:colOff>962025</xdr:colOff>
      <xdr:row>2</xdr:row>
      <xdr:rowOff>180975</xdr:rowOff>
    </xdr:from>
    <xdr:to>
      <xdr:col>159</xdr:col>
      <xdr:colOff>838200</xdr:colOff>
      <xdr:row>4</xdr:row>
      <xdr:rowOff>0</xdr:rowOff>
    </xdr:to>
    <xdr:sp macro="" textlink="">
      <xdr:nvSpPr>
        <xdr:cNvPr id="54" name="Rounded Rectangle 53">
          <a:hlinkClick xmlns:r="http://schemas.openxmlformats.org/officeDocument/2006/relationships" r:id="rId7" tooltip="Go to details of NMC(111) material production"/>
          <a:extLst>
            <a:ext uri="{FF2B5EF4-FFF2-40B4-BE49-F238E27FC236}">
              <a16:creationId xmlns:a16="http://schemas.microsoft.com/office/drawing/2014/main" id="{00000000-0008-0000-0900-000036000000}"/>
            </a:ext>
          </a:extLst>
        </xdr:cNvPr>
        <xdr:cNvSpPr/>
      </xdr:nvSpPr>
      <xdr:spPr>
        <a:xfrm>
          <a:off x="111042450" y="561975"/>
          <a:ext cx="121920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NMC(111)</a:t>
          </a:r>
        </a:p>
      </xdr:txBody>
    </xdr:sp>
    <xdr:clientData/>
  </xdr:twoCellAnchor>
  <xdr:twoCellAnchor>
    <xdr:from>
      <xdr:col>159</xdr:col>
      <xdr:colOff>1143000</xdr:colOff>
      <xdr:row>2</xdr:row>
      <xdr:rowOff>171450</xdr:rowOff>
    </xdr:from>
    <xdr:to>
      <xdr:col>160</xdr:col>
      <xdr:colOff>885825</xdr:colOff>
      <xdr:row>4</xdr:row>
      <xdr:rowOff>0</xdr:rowOff>
    </xdr:to>
    <xdr:sp macro="" textlink="">
      <xdr:nvSpPr>
        <xdr:cNvPr id="55" name="Rounded Rectangle 54">
          <a:hlinkClick xmlns:r="http://schemas.openxmlformats.org/officeDocument/2006/relationships" r:id="rId9" tooltip="Go to details of NMC(532) material production"/>
          <a:extLst>
            <a:ext uri="{FF2B5EF4-FFF2-40B4-BE49-F238E27FC236}">
              <a16:creationId xmlns:a16="http://schemas.microsoft.com/office/drawing/2014/main" id="{00000000-0008-0000-0900-000037000000}"/>
            </a:ext>
          </a:extLst>
        </xdr:cNvPr>
        <xdr:cNvSpPr/>
      </xdr:nvSpPr>
      <xdr:spPr>
        <a:xfrm>
          <a:off x="112566450" y="552450"/>
          <a:ext cx="1219200" cy="2095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NMC(532)</a:t>
          </a:r>
        </a:p>
      </xdr:txBody>
    </xdr:sp>
    <xdr:clientData/>
  </xdr:twoCellAnchor>
  <xdr:twoCellAnchor>
    <xdr:from>
      <xdr:col>160</xdr:col>
      <xdr:colOff>1209675</xdr:colOff>
      <xdr:row>2</xdr:row>
      <xdr:rowOff>171450</xdr:rowOff>
    </xdr:from>
    <xdr:to>
      <xdr:col>161</xdr:col>
      <xdr:colOff>866775</xdr:colOff>
      <xdr:row>3</xdr:row>
      <xdr:rowOff>180975</xdr:rowOff>
    </xdr:to>
    <xdr:sp macro="" textlink="">
      <xdr:nvSpPr>
        <xdr:cNvPr id="56" name="Rounded Rectangle 55">
          <a:hlinkClick xmlns:r="http://schemas.openxmlformats.org/officeDocument/2006/relationships" r:id="rId11" tooltip="Go to details of NMC(622) material production"/>
          <a:extLst>
            <a:ext uri="{FF2B5EF4-FFF2-40B4-BE49-F238E27FC236}">
              <a16:creationId xmlns:a16="http://schemas.microsoft.com/office/drawing/2014/main" id="{00000000-0008-0000-0900-000038000000}"/>
            </a:ext>
          </a:extLst>
        </xdr:cNvPr>
        <xdr:cNvSpPr/>
      </xdr:nvSpPr>
      <xdr:spPr>
        <a:xfrm>
          <a:off x="114109500" y="552450"/>
          <a:ext cx="12668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NMC(622)</a:t>
          </a:r>
        </a:p>
      </xdr:txBody>
    </xdr:sp>
    <xdr:clientData/>
  </xdr:twoCellAnchor>
  <xdr:twoCellAnchor>
    <xdr:from>
      <xdr:col>161</xdr:col>
      <xdr:colOff>1181100</xdr:colOff>
      <xdr:row>2</xdr:row>
      <xdr:rowOff>171450</xdr:rowOff>
    </xdr:from>
    <xdr:to>
      <xdr:col>162</xdr:col>
      <xdr:colOff>762000</xdr:colOff>
      <xdr:row>3</xdr:row>
      <xdr:rowOff>180975</xdr:rowOff>
    </xdr:to>
    <xdr:sp macro="" textlink="">
      <xdr:nvSpPr>
        <xdr:cNvPr id="57" name="Rounded Rectangle 56">
          <a:hlinkClick xmlns:r="http://schemas.openxmlformats.org/officeDocument/2006/relationships" r:id="rId13" tooltip="Go to details of NMC(811) material production"/>
          <a:extLst>
            <a:ext uri="{FF2B5EF4-FFF2-40B4-BE49-F238E27FC236}">
              <a16:creationId xmlns:a16="http://schemas.microsoft.com/office/drawing/2014/main" id="{00000000-0008-0000-0900-000039000000}"/>
            </a:ext>
          </a:extLst>
        </xdr:cNvPr>
        <xdr:cNvSpPr/>
      </xdr:nvSpPr>
      <xdr:spPr>
        <a:xfrm>
          <a:off x="115995450" y="552450"/>
          <a:ext cx="12668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NMC(811)</a:t>
          </a:r>
        </a:p>
      </xdr:txBody>
    </xdr:sp>
    <xdr:clientData/>
  </xdr:twoCellAnchor>
  <xdr:twoCellAnchor>
    <xdr:from>
      <xdr:col>52</xdr:col>
      <xdr:colOff>0</xdr:colOff>
      <xdr:row>3</xdr:row>
      <xdr:rowOff>0</xdr:rowOff>
    </xdr:from>
    <xdr:to>
      <xdr:col>52</xdr:col>
      <xdr:colOff>1190625</xdr:colOff>
      <xdr:row>4</xdr:row>
      <xdr:rowOff>9525</xdr:rowOff>
    </xdr:to>
    <xdr:sp macro="" textlink="">
      <xdr:nvSpPr>
        <xdr:cNvPr id="53" name="Rounded Rectangle 52">
          <a:hlinkClick xmlns:r="http://schemas.openxmlformats.org/officeDocument/2006/relationships" r:id="rId1" tooltip="Go back to &quot;Input&quot; tab"/>
          <a:extLst>
            <a:ext uri="{FF2B5EF4-FFF2-40B4-BE49-F238E27FC236}">
              <a16:creationId xmlns:a16="http://schemas.microsoft.com/office/drawing/2014/main" id="{00000000-0008-0000-0900-000035000000}"/>
            </a:ext>
          </a:extLst>
        </xdr:cNvPr>
        <xdr:cNvSpPr/>
      </xdr:nvSpPr>
      <xdr:spPr>
        <a:xfrm>
          <a:off x="64173100" y="571500"/>
          <a:ext cx="11906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52</xdr:col>
      <xdr:colOff>1647825</xdr:colOff>
      <xdr:row>3</xdr:row>
      <xdr:rowOff>0</xdr:rowOff>
    </xdr:from>
    <xdr:to>
      <xdr:col>52</xdr:col>
      <xdr:colOff>3248025</xdr:colOff>
      <xdr:row>4</xdr:row>
      <xdr:rowOff>9525</xdr:rowOff>
    </xdr:to>
    <xdr:sp macro="" textlink="">
      <xdr:nvSpPr>
        <xdr:cNvPr id="58" name="Rounded Rectangle 57">
          <a:hlinkClick xmlns:r="http://schemas.openxmlformats.org/officeDocument/2006/relationships" r:id="rId2" tooltip="Go to &quot;Output&quot; tab"/>
          <a:extLst>
            <a:ext uri="{FF2B5EF4-FFF2-40B4-BE49-F238E27FC236}">
              <a16:creationId xmlns:a16="http://schemas.microsoft.com/office/drawing/2014/main" id="{00000000-0008-0000-0900-00003A000000}"/>
            </a:ext>
          </a:extLst>
        </xdr:cNvPr>
        <xdr:cNvSpPr/>
      </xdr:nvSpPr>
      <xdr:spPr>
        <a:xfrm>
          <a:off x="65820925" y="571500"/>
          <a:ext cx="118110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twoCellAnchor>
    <xdr:from>
      <xdr:col>54</xdr:col>
      <xdr:colOff>895350</xdr:colOff>
      <xdr:row>2</xdr:row>
      <xdr:rowOff>180975</xdr:rowOff>
    </xdr:from>
    <xdr:to>
      <xdr:col>55</xdr:col>
      <xdr:colOff>771525</xdr:colOff>
      <xdr:row>4</xdr:row>
      <xdr:rowOff>0</xdr:rowOff>
    </xdr:to>
    <xdr:sp macro="" textlink="">
      <xdr:nvSpPr>
        <xdr:cNvPr id="59" name="Rounded Rectangle 58">
          <a:hlinkClick xmlns:r="http://schemas.openxmlformats.org/officeDocument/2006/relationships" r:id="rId7" tooltip="Go to details of NMC(111) material production"/>
          <a:extLst>
            <a:ext uri="{FF2B5EF4-FFF2-40B4-BE49-F238E27FC236}">
              <a16:creationId xmlns:a16="http://schemas.microsoft.com/office/drawing/2014/main" id="{00000000-0008-0000-0900-00003B000000}"/>
            </a:ext>
          </a:extLst>
        </xdr:cNvPr>
        <xdr:cNvSpPr/>
      </xdr:nvSpPr>
      <xdr:spPr>
        <a:xfrm>
          <a:off x="69043550" y="561975"/>
          <a:ext cx="157797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NMC(111)</a:t>
          </a:r>
        </a:p>
      </xdr:txBody>
    </xdr:sp>
    <xdr:clientData/>
  </xdr:twoCellAnchor>
  <xdr:twoCellAnchor>
    <xdr:from>
      <xdr:col>53</xdr:col>
      <xdr:colOff>314325</xdr:colOff>
      <xdr:row>2</xdr:row>
      <xdr:rowOff>180975</xdr:rowOff>
    </xdr:from>
    <xdr:to>
      <xdr:col>54</xdr:col>
      <xdr:colOff>495300</xdr:colOff>
      <xdr:row>4</xdr:row>
      <xdr:rowOff>0</xdr:rowOff>
    </xdr:to>
    <xdr:sp macro="" textlink="">
      <xdr:nvSpPr>
        <xdr:cNvPr id="60" name="Rounded Rectangle 59">
          <a:hlinkClick xmlns:r="http://schemas.openxmlformats.org/officeDocument/2006/relationships" r:id="rId5" tooltip="Go to general information for cathode production"/>
          <a:extLst>
            <a:ext uri="{FF2B5EF4-FFF2-40B4-BE49-F238E27FC236}">
              <a16:creationId xmlns:a16="http://schemas.microsoft.com/office/drawing/2014/main" id="{00000000-0008-0000-0900-00003C000000}"/>
            </a:ext>
          </a:extLst>
        </xdr:cNvPr>
        <xdr:cNvSpPr/>
      </xdr:nvSpPr>
      <xdr:spPr>
        <a:xfrm>
          <a:off x="67319525" y="561975"/>
          <a:ext cx="132397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General</a:t>
          </a:r>
        </a:p>
      </xdr:txBody>
    </xdr:sp>
    <xdr:clientData/>
  </xdr:twoCellAnchor>
  <xdr:twoCellAnchor>
    <xdr:from>
      <xdr:col>57</xdr:col>
      <xdr:colOff>25400</xdr:colOff>
      <xdr:row>2</xdr:row>
      <xdr:rowOff>177800</xdr:rowOff>
    </xdr:from>
    <xdr:to>
      <xdr:col>57</xdr:col>
      <xdr:colOff>1292225</xdr:colOff>
      <xdr:row>3</xdr:row>
      <xdr:rowOff>187325</xdr:rowOff>
    </xdr:to>
    <xdr:sp macro="" textlink="">
      <xdr:nvSpPr>
        <xdr:cNvPr id="61" name="Rounded Rectangle 60">
          <a:hlinkClick xmlns:r="http://schemas.openxmlformats.org/officeDocument/2006/relationships" r:id="rId8" tooltip="Go to details of NMC(811) material production"/>
          <a:extLst>
            <a:ext uri="{FF2B5EF4-FFF2-40B4-BE49-F238E27FC236}">
              <a16:creationId xmlns:a16="http://schemas.microsoft.com/office/drawing/2014/main" id="{00000000-0008-0000-0900-00003D000000}"/>
            </a:ext>
          </a:extLst>
        </xdr:cNvPr>
        <xdr:cNvSpPr/>
      </xdr:nvSpPr>
      <xdr:spPr>
        <a:xfrm>
          <a:off x="55638700" y="558800"/>
          <a:ext cx="12668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NMC(811)</a:t>
          </a:r>
        </a:p>
      </xdr:txBody>
    </xdr:sp>
    <xdr:clientData/>
  </xdr:twoCellAnchor>
  <xdr:twoCellAnchor>
    <xdr:from>
      <xdr:col>58</xdr:col>
      <xdr:colOff>292100</xdr:colOff>
      <xdr:row>2</xdr:row>
      <xdr:rowOff>165100</xdr:rowOff>
    </xdr:from>
    <xdr:to>
      <xdr:col>59</xdr:col>
      <xdr:colOff>733425</xdr:colOff>
      <xdr:row>3</xdr:row>
      <xdr:rowOff>174625</xdr:rowOff>
    </xdr:to>
    <xdr:sp macro="" textlink="">
      <xdr:nvSpPr>
        <xdr:cNvPr id="62" name="Rounded Rectangle 61">
          <a:hlinkClick xmlns:r="http://schemas.openxmlformats.org/officeDocument/2006/relationships" r:id="rId10" tooltip="Go to details of NCA material production"/>
          <a:extLst>
            <a:ext uri="{FF2B5EF4-FFF2-40B4-BE49-F238E27FC236}">
              <a16:creationId xmlns:a16="http://schemas.microsoft.com/office/drawing/2014/main" id="{00000000-0008-0000-0900-00003E000000}"/>
            </a:ext>
          </a:extLst>
        </xdr:cNvPr>
        <xdr:cNvSpPr/>
      </xdr:nvSpPr>
      <xdr:spPr>
        <a:xfrm>
          <a:off x="57391300" y="546100"/>
          <a:ext cx="14573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NCA</a:t>
          </a:r>
        </a:p>
      </xdr:txBody>
    </xdr:sp>
    <xdr:clientData/>
  </xdr:twoCellAnchor>
  <xdr:twoCellAnchor>
    <xdr:from>
      <xdr:col>60</xdr:col>
      <xdr:colOff>292677</xdr:colOff>
      <xdr:row>2</xdr:row>
      <xdr:rowOff>165100</xdr:rowOff>
    </xdr:from>
    <xdr:to>
      <xdr:col>62</xdr:col>
      <xdr:colOff>81684</xdr:colOff>
      <xdr:row>3</xdr:row>
      <xdr:rowOff>174625</xdr:rowOff>
    </xdr:to>
    <xdr:sp macro="" textlink="">
      <xdr:nvSpPr>
        <xdr:cNvPr id="63" name="Rounded Rectangle 62">
          <a:hlinkClick xmlns:r="http://schemas.openxmlformats.org/officeDocument/2006/relationships" r:id="rId12" tooltip="Go to details of LCO material production"/>
          <a:extLst>
            <a:ext uri="{FF2B5EF4-FFF2-40B4-BE49-F238E27FC236}">
              <a16:creationId xmlns:a16="http://schemas.microsoft.com/office/drawing/2014/main" id="{00000000-0008-0000-0900-00003F000000}"/>
            </a:ext>
          </a:extLst>
        </xdr:cNvPr>
        <xdr:cNvSpPr/>
      </xdr:nvSpPr>
      <xdr:spPr>
        <a:xfrm>
          <a:off x="59207977" y="546100"/>
          <a:ext cx="1503507"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LCO</a:t>
          </a:r>
        </a:p>
      </xdr:txBody>
    </xdr:sp>
    <xdr:clientData/>
  </xdr:twoCellAnchor>
  <xdr:twoCellAnchor>
    <xdr:from>
      <xdr:col>18</xdr:col>
      <xdr:colOff>0</xdr:colOff>
      <xdr:row>3</xdr:row>
      <xdr:rowOff>0</xdr:rowOff>
    </xdr:from>
    <xdr:to>
      <xdr:col>20</xdr:col>
      <xdr:colOff>85724</xdr:colOff>
      <xdr:row>4</xdr:row>
      <xdr:rowOff>9525</xdr:rowOff>
    </xdr:to>
    <xdr:sp macro="" textlink="">
      <xdr:nvSpPr>
        <xdr:cNvPr id="64" name="Rounded Rectangle 63">
          <a:hlinkClick xmlns:r="http://schemas.openxmlformats.org/officeDocument/2006/relationships" r:id="rId12" tooltip="Go to details of LCO material production"/>
          <a:extLst>
            <a:ext uri="{FF2B5EF4-FFF2-40B4-BE49-F238E27FC236}">
              <a16:creationId xmlns:a16="http://schemas.microsoft.com/office/drawing/2014/main" id="{00000000-0008-0000-0900-000040000000}"/>
            </a:ext>
          </a:extLst>
        </xdr:cNvPr>
        <xdr:cNvSpPr/>
      </xdr:nvSpPr>
      <xdr:spPr>
        <a:xfrm>
          <a:off x="15875000" y="571500"/>
          <a:ext cx="1431924"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LCO</a:t>
          </a:r>
        </a:p>
      </xdr:txBody>
    </xdr:sp>
    <xdr:clientData/>
  </xdr:twoCellAnchor>
  <xdr:twoCellAnchor>
    <xdr:from>
      <xdr:col>163</xdr:col>
      <xdr:colOff>139700</xdr:colOff>
      <xdr:row>2</xdr:row>
      <xdr:rowOff>177800</xdr:rowOff>
    </xdr:from>
    <xdr:to>
      <xdr:col>164</xdr:col>
      <xdr:colOff>381000</xdr:colOff>
      <xdr:row>3</xdr:row>
      <xdr:rowOff>187325</xdr:rowOff>
    </xdr:to>
    <xdr:sp macro="" textlink="">
      <xdr:nvSpPr>
        <xdr:cNvPr id="65" name="Rounded Rectangle 64">
          <a:hlinkClick xmlns:r="http://schemas.openxmlformats.org/officeDocument/2006/relationships" r:id="rId14" tooltip="Go to details of NCA material production"/>
          <a:extLst>
            <a:ext uri="{FF2B5EF4-FFF2-40B4-BE49-F238E27FC236}">
              <a16:creationId xmlns:a16="http://schemas.microsoft.com/office/drawing/2014/main" id="{00000000-0008-0000-0900-000041000000}"/>
            </a:ext>
          </a:extLst>
        </xdr:cNvPr>
        <xdr:cNvSpPr/>
      </xdr:nvSpPr>
      <xdr:spPr>
        <a:xfrm>
          <a:off x="159537400" y="558800"/>
          <a:ext cx="151130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NCA</a:t>
          </a:r>
        </a:p>
      </xdr:txBody>
    </xdr:sp>
    <xdr:clientData/>
  </xdr:twoCellAnchor>
  <xdr:twoCellAnchor>
    <xdr:from>
      <xdr:col>136</xdr:col>
      <xdr:colOff>127000</xdr:colOff>
      <xdr:row>3</xdr:row>
      <xdr:rowOff>0</xdr:rowOff>
    </xdr:from>
    <xdr:to>
      <xdr:col>137</xdr:col>
      <xdr:colOff>635000</xdr:colOff>
      <xdr:row>4</xdr:row>
      <xdr:rowOff>9525</xdr:rowOff>
    </xdr:to>
    <xdr:sp macro="" textlink="">
      <xdr:nvSpPr>
        <xdr:cNvPr id="67" name="Rounded Rectangle 66">
          <a:hlinkClick xmlns:r="http://schemas.openxmlformats.org/officeDocument/2006/relationships" r:id="rId13" tooltip="Go to details of NMC(811) material production"/>
          <a:extLst>
            <a:ext uri="{FF2B5EF4-FFF2-40B4-BE49-F238E27FC236}">
              <a16:creationId xmlns:a16="http://schemas.microsoft.com/office/drawing/2014/main" id="{00000000-0008-0000-0900-000043000000}"/>
            </a:ext>
          </a:extLst>
        </xdr:cNvPr>
        <xdr:cNvSpPr/>
      </xdr:nvSpPr>
      <xdr:spPr>
        <a:xfrm>
          <a:off x="132524500" y="571500"/>
          <a:ext cx="149860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NMC(811)</a:t>
          </a:r>
        </a:p>
      </xdr:txBody>
    </xdr:sp>
    <xdr:clientData/>
  </xdr:twoCellAnchor>
  <xdr:twoCellAnchor>
    <xdr:from>
      <xdr:col>111</xdr:col>
      <xdr:colOff>1005609</xdr:colOff>
      <xdr:row>2</xdr:row>
      <xdr:rowOff>181841</xdr:rowOff>
    </xdr:from>
    <xdr:to>
      <xdr:col>113</xdr:col>
      <xdr:colOff>56861</xdr:colOff>
      <xdr:row>4</xdr:row>
      <xdr:rowOff>866</xdr:rowOff>
    </xdr:to>
    <xdr:sp macro="" textlink="">
      <xdr:nvSpPr>
        <xdr:cNvPr id="68" name="Rounded Rectangle 67">
          <a:hlinkClick xmlns:r="http://schemas.openxmlformats.org/officeDocument/2006/relationships" r:id="rId12" tooltip="Go to details of LCO material production"/>
          <a:extLst>
            <a:ext uri="{FF2B5EF4-FFF2-40B4-BE49-F238E27FC236}">
              <a16:creationId xmlns:a16="http://schemas.microsoft.com/office/drawing/2014/main" id="{00000000-0008-0000-0900-000044000000}"/>
            </a:ext>
          </a:extLst>
        </xdr:cNvPr>
        <xdr:cNvSpPr/>
      </xdr:nvSpPr>
      <xdr:spPr>
        <a:xfrm>
          <a:off x="108790509" y="562841"/>
          <a:ext cx="1388052"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LCO</a:t>
          </a:r>
        </a:p>
      </xdr:txBody>
    </xdr:sp>
    <xdr:clientData/>
  </xdr:twoCellAnchor>
  <xdr:twoCellAnchor>
    <xdr:from>
      <xdr:col>110</xdr:col>
      <xdr:colOff>25400</xdr:colOff>
      <xdr:row>2</xdr:row>
      <xdr:rowOff>180975</xdr:rowOff>
    </xdr:from>
    <xdr:to>
      <xdr:col>111</xdr:col>
      <xdr:colOff>533400</xdr:colOff>
      <xdr:row>4</xdr:row>
      <xdr:rowOff>0</xdr:rowOff>
    </xdr:to>
    <xdr:sp macro="" textlink="">
      <xdr:nvSpPr>
        <xdr:cNvPr id="69" name="Rounded Rectangle 68">
          <a:hlinkClick xmlns:r="http://schemas.openxmlformats.org/officeDocument/2006/relationships" r:id="rId10" tooltip="Go to details of NCA material production"/>
          <a:extLst>
            <a:ext uri="{FF2B5EF4-FFF2-40B4-BE49-F238E27FC236}">
              <a16:creationId xmlns:a16="http://schemas.microsoft.com/office/drawing/2014/main" id="{00000000-0008-0000-0900-000045000000}"/>
            </a:ext>
          </a:extLst>
        </xdr:cNvPr>
        <xdr:cNvSpPr/>
      </xdr:nvSpPr>
      <xdr:spPr>
        <a:xfrm>
          <a:off x="106819700" y="561975"/>
          <a:ext cx="149860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NCA</a:t>
          </a:r>
        </a:p>
      </xdr:txBody>
    </xdr:sp>
    <xdr:clientData/>
  </xdr:twoCellAnchor>
  <xdr:twoCellAnchor>
    <xdr:from>
      <xdr:col>108</xdr:col>
      <xdr:colOff>1384300</xdr:colOff>
      <xdr:row>2</xdr:row>
      <xdr:rowOff>165100</xdr:rowOff>
    </xdr:from>
    <xdr:to>
      <xdr:col>109</xdr:col>
      <xdr:colOff>974725</xdr:colOff>
      <xdr:row>3</xdr:row>
      <xdr:rowOff>184150</xdr:rowOff>
    </xdr:to>
    <xdr:sp macro="" textlink="">
      <xdr:nvSpPr>
        <xdr:cNvPr id="70" name="Rounded Rectangle 69">
          <a:hlinkClick xmlns:r="http://schemas.openxmlformats.org/officeDocument/2006/relationships" r:id="rId11" tooltip="Go to details of NMC(622) material production"/>
          <a:extLst>
            <a:ext uri="{FF2B5EF4-FFF2-40B4-BE49-F238E27FC236}">
              <a16:creationId xmlns:a16="http://schemas.microsoft.com/office/drawing/2014/main" id="{00000000-0008-0000-0900-000046000000}"/>
            </a:ext>
          </a:extLst>
        </xdr:cNvPr>
        <xdr:cNvSpPr/>
      </xdr:nvSpPr>
      <xdr:spPr>
        <a:xfrm>
          <a:off x="104978200" y="546100"/>
          <a:ext cx="1431925" cy="2095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NMC(622)</a:t>
          </a:r>
        </a:p>
      </xdr:txBody>
    </xdr:sp>
    <xdr:clientData/>
  </xdr:twoCellAnchor>
  <xdr:twoCellAnchor>
    <xdr:from>
      <xdr:col>81</xdr:col>
      <xdr:colOff>1384300</xdr:colOff>
      <xdr:row>3</xdr:row>
      <xdr:rowOff>0</xdr:rowOff>
    </xdr:from>
    <xdr:to>
      <xdr:col>82</xdr:col>
      <xdr:colOff>1387475</xdr:colOff>
      <xdr:row>4</xdr:row>
      <xdr:rowOff>9525</xdr:rowOff>
    </xdr:to>
    <xdr:sp macro="" textlink="">
      <xdr:nvSpPr>
        <xdr:cNvPr id="71" name="Rounded Rectangle 70">
          <a:hlinkClick xmlns:r="http://schemas.openxmlformats.org/officeDocument/2006/relationships" r:id="rId9" tooltip="Go to details of NMC(532) material production"/>
          <a:extLst>
            <a:ext uri="{FF2B5EF4-FFF2-40B4-BE49-F238E27FC236}">
              <a16:creationId xmlns:a16="http://schemas.microsoft.com/office/drawing/2014/main" id="{00000000-0008-0000-0900-000047000000}"/>
            </a:ext>
          </a:extLst>
        </xdr:cNvPr>
        <xdr:cNvSpPr/>
      </xdr:nvSpPr>
      <xdr:spPr>
        <a:xfrm>
          <a:off x="78460600" y="571500"/>
          <a:ext cx="157797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NMC(532)</a:t>
          </a:r>
        </a:p>
      </xdr:txBody>
    </xdr:sp>
    <xdr:clientData/>
  </xdr:twoCellAnchor>
  <xdr:twoCellAnchor>
    <xdr:from>
      <xdr:col>55</xdr:col>
      <xdr:colOff>1435100</xdr:colOff>
      <xdr:row>3</xdr:row>
      <xdr:rowOff>0</xdr:rowOff>
    </xdr:from>
    <xdr:to>
      <xdr:col>56</xdr:col>
      <xdr:colOff>1127125</xdr:colOff>
      <xdr:row>4</xdr:row>
      <xdr:rowOff>9525</xdr:rowOff>
    </xdr:to>
    <xdr:sp macro="" textlink="">
      <xdr:nvSpPr>
        <xdr:cNvPr id="72" name="Rounded Rectangle 71">
          <a:hlinkClick xmlns:r="http://schemas.openxmlformats.org/officeDocument/2006/relationships" r:id="rId6" tooltip="Go to details of NMC(622) material production"/>
          <a:extLst>
            <a:ext uri="{FF2B5EF4-FFF2-40B4-BE49-F238E27FC236}">
              <a16:creationId xmlns:a16="http://schemas.microsoft.com/office/drawing/2014/main" id="{00000000-0008-0000-0900-000048000000}"/>
            </a:ext>
          </a:extLst>
        </xdr:cNvPr>
        <xdr:cNvSpPr/>
      </xdr:nvSpPr>
      <xdr:spPr>
        <a:xfrm>
          <a:off x="53784500" y="571500"/>
          <a:ext cx="12668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NMC(622)</a:t>
          </a:r>
        </a:p>
      </xdr:txBody>
    </xdr:sp>
    <xdr:clientData/>
  </xdr:twoCellAnchor>
  <xdr:twoCellAnchor>
    <xdr:from>
      <xdr:col>34</xdr:col>
      <xdr:colOff>685800</xdr:colOff>
      <xdr:row>2</xdr:row>
      <xdr:rowOff>177800</xdr:rowOff>
    </xdr:from>
    <xdr:to>
      <xdr:col>36</xdr:col>
      <xdr:colOff>589684</xdr:colOff>
      <xdr:row>3</xdr:row>
      <xdr:rowOff>187325</xdr:rowOff>
    </xdr:to>
    <xdr:sp macro="" textlink="">
      <xdr:nvSpPr>
        <xdr:cNvPr id="73" name="Rounded Rectangle 72">
          <a:hlinkClick xmlns:r="http://schemas.openxmlformats.org/officeDocument/2006/relationships" r:id="rId12" tooltip="Go to details of LCO material production"/>
          <a:extLst>
            <a:ext uri="{FF2B5EF4-FFF2-40B4-BE49-F238E27FC236}">
              <a16:creationId xmlns:a16="http://schemas.microsoft.com/office/drawing/2014/main" id="{00000000-0008-0000-0900-000049000000}"/>
            </a:ext>
          </a:extLst>
        </xdr:cNvPr>
        <xdr:cNvSpPr/>
      </xdr:nvSpPr>
      <xdr:spPr>
        <a:xfrm>
          <a:off x="34988500" y="558800"/>
          <a:ext cx="1504084"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LCO</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781050</xdr:colOff>
      <xdr:row>2</xdr:row>
      <xdr:rowOff>171450</xdr:rowOff>
    </xdr:from>
    <xdr:to>
      <xdr:col>4</xdr:col>
      <xdr:colOff>161925</xdr:colOff>
      <xdr:row>4</xdr:row>
      <xdr:rowOff>19050</xdr:rowOff>
    </xdr:to>
    <xdr:sp macro="" textlink="">
      <xdr:nvSpPr>
        <xdr:cNvPr id="3" name="Rounded Rectangle 2">
          <a:hlinkClick xmlns:r="http://schemas.openxmlformats.org/officeDocument/2006/relationships" r:id="rId1" tooltip="Go to details for remanufacturing of battery type 1"/>
          <a:extLst>
            <a:ext uri="{FF2B5EF4-FFF2-40B4-BE49-F238E27FC236}">
              <a16:creationId xmlns:a16="http://schemas.microsoft.com/office/drawing/2014/main" id="{00000000-0008-0000-0A00-000003000000}"/>
            </a:ext>
          </a:extLst>
        </xdr:cNvPr>
        <xdr:cNvSpPr/>
      </xdr:nvSpPr>
      <xdr:spPr>
        <a:xfrm>
          <a:off x="3667125" y="552450"/>
          <a:ext cx="1543050" cy="2286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Cell Details</a:t>
          </a:r>
        </a:p>
      </xdr:txBody>
    </xdr:sp>
    <xdr:clientData/>
  </xdr:twoCellAnchor>
  <xdr:twoCellAnchor>
    <xdr:from>
      <xdr:col>27</xdr:col>
      <xdr:colOff>0</xdr:colOff>
      <xdr:row>2</xdr:row>
      <xdr:rowOff>171451</xdr:rowOff>
    </xdr:from>
    <xdr:to>
      <xdr:col>27</xdr:col>
      <xdr:colOff>1190625</xdr:colOff>
      <xdr:row>4</xdr:row>
      <xdr:rowOff>9525</xdr:rowOff>
    </xdr:to>
    <xdr:sp macro="" textlink="">
      <xdr:nvSpPr>
        <xdr:cNvPr id="4" name="Rounded Rectangle 3">
          <a:hlinkClick xmlns:r="http://schemas.openxmlformats.org/officeDocument/2006/relationships" r:id="rId2" tooltip="Go back to &quot;Input&quot; tab"/>
          <a:extLst>
            <a:ext uri="{FF2B5EF4-FFF2-40B4-BE49-F238E27FC236}">
              <a16:creationId xmlns:a16="http://schemas.microsoft.com/office/drawing/2014/main" id="{00000000-0008-0000-0A00-000004000000}"/>
            </a:ext>
          </a:extLst>
        </xdr:cNvPr>
        <xdr:cNvSpPr/>
      </xdr:nvSpPr>
      <xdr:spPr>
        <a:xfrm>
          <a:off x="22517100" y="552451"/>
          <a:ext cx="1190625" cy="21907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27</xdr:col>
      <xdr:colOff>0</xdr:colOff>
      <xdr:row>123</xdr:row>
      <xdr:rowOff>0</xdr:rowOff>
    </xdr:from>
    <xdr:to>
      <xdr:col>27</xdr:col>
      <xdr:colOff>1495425</xdr:colOff>
      <xdr:row>124</xdr:row>
      <xdr:rowOff>0</xdr:rowOff>
    </xdr:to>
    <xdr:sp macro="" textlink="">
      <xdr:nvSpPr>
        <xdr:cNvPr id="7" name="Rounded Rectangle 6">
          <a:hlinkClick xmlns:r="http://schemas.openxmlformats.org/officeDocument/2006/relationships" r:id="rId3" tooltip="     "/>
          <a:extLst>
            <a:ext uri="{FF2B5EF4-FFF2-40B4-BE49-F238E27FC236}">
              <a16:creationId xmlns:a16="http://schemas.microsoft.com/office/drawing/2014/main" id="{00000000-0008-0000-0A00-000007000000}"/>
            </a:ext>
          </a:extLst>
        </xdr:cNvPr>
        <xdr:cNvSpPr/>
      </xdr:nvSpPr>
      <xdr:spPr>
        <a:xfrm>
          <a:off x="22517100" y="33061275"/>
          <a:ext cx="1495425"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Back to Top</a:t>
          </a:r>
        </a:p>
      </xdr:txBody>
    </xdr:sp>
    <xdr:clientData/>
  </xdr:twoCellAnchor>
  <xdr:twoCellAnchor>
    <xdr:from>
      <xdr:col>28</xdr:col>
      <xdr:colOff>790575</xdr:colOff>
      <xdr:row>2</xdr:row>
      <xdr:rowOff>161925</xdr:rowOff>
    </xdr:from>
    <xdr:to>
      <xdr:col>29</xdr:col>
      <xdr:colOff>847725</xdr:colOff>
      <xdr:row>4</xdr:row>
      <xdr:rowOff>0</xdr:rowOff>
    </xdr:to>
    <xdr:sp macro="" textlink="">
      <xdr:nvSpPr>
        <xdr:cNvPr id="11" name="Rounded Rectangle 10">
          <a:hlinkClick xmlns:r="http://schemas.openxmlformats.org/officeDocument/2006/relationships" r:id="rId4" tooltip="Go to general information for battery remanufacturing"/>
          <a:extLst>
            <a:ext uri="{FF2B5EF4-FFF2-40B4-BE49-F238E27FC236}">
              <a16:creationId xmlns:a16="http://schemas.microsoft.com/office/drawing/2014/main" id="{00000000-0008-0000-0A00-00000B000000}"/>
            </a:ext>
          </a:extLst>
        </xdr:cNvPr>
        <xdr:cNvSpPr/>
      </xdr:nvSpPr>
      <xdr:spPr>
        <a:xfrm>
          <a:off x="25669875" y="542925"/>
          <a:ext cx="1257300" cy="21907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General</a:t>
          </a:r>
        </a:p>
      </xdr:txBody>
    </xdr:sp>
    <xdr:clientData/>
  </xdr:twoCellAnchor>
  <xdr:twoCellAnchor>
    <xdr:from>
      <xdr:col>0</xdr:col>
      <xdr:colOff>581025</xdr:colOff>
      <xdr:row>2</xdr:row>
      <xdr:rowOff>180975</xdr:rowOff>
    </xdr:from>
    <xdr:to>
      <xdr:col>1</xdr:col>
      <xdr:colOff>1181100</xdr:colOff>
      <xdr:row>4</xdr:row>
      <xdr:rowOff>19049</xdr:rowOff>
    </xdr:to>
    <xdr:sp macro="" textlink="">
      <xdr:nvSpPr>
        <xdr:cNvPr id="16" name="Rounded Rectangle 15">
          <a:hlinkClick xmlns:r="http://schemas.openxmlformats.org/officeDocument/2006/relationships" r:id="rId5" tooltip="Go back to &quot;Input&quot; tab"/>
          <a:extLst>
            <a:ext uri="{FF2B5EF4-FFF2-40B4-BE49-F238E27FC236}">
              <a16:creationId xmlns:a16="http://schemas.microsoft.com/office/drawing/2014/main" id="{00000000-0008-0000-0A00-000010000000}"/>
            </a:ext>
          </a:extLst>
        </xdr:cNvPr>
        <xdr:cNvSpPr/>
      </xdr:nvSpPr>
      <xdr:spPr>
        <a:xfrm>
          <a:off x="581025" y="561975"/>
          <a:ext cx="1190625" cy="21907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1</xdr:col>
      <xdr:colOff>1533525</xdr:colOff>
      <xdr:row>2</xdr:row>
      <xdr:rowOff>180975</xdr:rowOff>
    </xdr:from>
    <xdr:to>
      <xdr:col>2</xdr:col>
      <xdr:colOff>428625</xdr:colOff>
      <xdr:row>4</xdr:row>
      <xdr:rowOff>19049</xdr:rowOff>
    </xdr:to>
    <xdr:sp macro="" textlink="">
      <xdr:nvSpPr>
        <xdr:cNvPr id="17" name="Rounded Rectangle 16">
          <a:hlinkClick xmlns:r="http://schemas.openxmlformats.org/officeDocument/2006/relationships" r:id="rId6" tooltip="Go to &quot;Output&quot; tab"/>
          <a:extLst>
            <a:ext uri="{FF2B5EF4-FFF2-40B4-BE49-F238E27FC236}">
              <a16:creationId xmlns:a16="http://schemas.microsoft.com/office/drawing/2014/main" id="{00000000-0008-0000-0A00-000011000000}"/>
            </a:ext>
          </a:extLst>
        </xdr:cNvPr>
        <xdr:cNvSpPr/>
      </xdr:nvSpPr>
      <xdr:spPr>
        <a:xfrm>
          <a:off x="2124075" y="561975"/>
          <a:ext cx="1190625" cy="21907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twoCellAnchor>
    <xdr:from>
      <xdr:col>27</xdr:col>
      <xdr:colOff>1533525</xdr:colOff>
      <xdr:row>2</xdr:row>
      <xdr:rowOff>161925</xdr:rowOff>
    </xdr:from>
    <xdr:to>
      <xdr:col>28</xdr:col>
      <xdr:colOff>361950</xdr:colOff>
      <xdr:row>3</xdr:row>
      <xdr:rowOff>190499</xdr:rowOff>
    </xdr:to>
    <xdr:sp macro="" textlink="">
      <xdr:nvSpPr>
        <xdr:cNvPr id="18" name="Rounded Rectangle 17">
          <a:hlinkClick xmlns:r="http://schemas.openxmlformats.org/officeDocument/2006/relationships" r:id="rId6" tooltip="Go to &quot;Output&quot; tab"/>
          <a:extLst>
            <a:ext uri="{FF2B5EF4-FFF2-40B4-BE49-F238E27FC236}">
              <a16:creationId xmlns:a16="http://schemas.microsoft.com/office/drawing/2014/main" id="{00000000-0008-0000-0A00-000012000000}"/>
            </a:ext>
          </a:extLst>
        </xdr:cNvPr>
        <xdr:cNvSpPr/>
      </xdr:nvSpPr>
      <xdr:spPr>
        <a:xfrm>
          <a:off x="24050625" y="542925"/>
          <a:ext cx="1190625" cy="21907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3</xdr:col>
      <xdr:colOff>352426</xdr:colOff>
      <xdr:row>3</xdr:row>
      <xdr:rowOff>9525</xdr:rowOff>
    </xdr:from>
    <xdr:to>
      <xdr:col>4</xdr:col>
      <xdr:colOff>1038226</xdr:colOff>
      <xdr:row>4</xdr:row>
      <xdr:rowOff>0</xdr:rowOff>
    </xdr:to>
    <xdr:sp macro="" textlink="">
      <xdr:nvSpPr>
        <xdr:cNvPr id="3" name="Rounded Rectangle 2">
          <a:hlinkClick xmlns:r="http://schemas.openxmlformats.org/officeDocument/2006/relationships" r:id="rId1" tooltip="Go to details of material conversion process #1"/>
          <a:extLst>
            <a:ext uri="{FF2B5EF4-FFF2-40B4-BE49-F238E27FC236}">
              <a16:creationId xmlns:a16="http://schemas.microsoft.com/office/drawing/2014/main" id="{00000000-0008-0000-0B00-000003000000}"/>
            </a:ext>
          </a:extLst>
        </xdr:cNvPr>
        <xdr:cNvSpPr/>
      </xdr:nvSpPr>
      <xdr:spPr>
        <a:xfrm>
          <a:off x="3790951" y="581025"/>
          <a:ext cx="2228850" cy="18097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Cobalt</a:t>
          </a:r>
          <a:r>
            <a:rPr lang="en-US" sz="1100" baseline="0"/>
            <a:t> precursor</a:t>
          </a:r>
          <a:endParaRPr lang="en-US" sz="1100"/>
        </a:p>
      </xdr:txBody>
    </xdr:sp>
    <xdr:clientData/>
  </xdr:twoCellAnchor>
  <xdr:twoCellAnchor>
    <xdr:from>
      <xdr:col>5</xdr:col>
      <xdr:colOff>314325</xdr:colOff>
      <xdr:row>3</xdr:row>
      <xdr:rowOff>9526</xdr:rowOff>
    </xdr:from>
    <xdr:to>
      <xdr:col>6</xdr:col>
      <xdr:colOff>828675</xdr:colOff>
      <xdr:row>3</xdr:row>
      <xdr:rowOff>180976</xdr:rowOff>
    </xdr:to>
    <xdr:sp macro="" textlink="">
      <xdr:nvSpPr>
        <xdr:cNvPr id="4" name="Rounded Rectangle 3">
          <a:hlinkClick xmlns:r="http://schemas.openxmlformats.org/officeDocument/2006/relationships" r:id="rId2" tooltip="Go to details of material conversion process #2"/>
          <a:extLst>
            <a:ext uri="{FF2B5EF4-FFF2-40B4-BE49-F238E27FC236}">
              <a16:creationId xmlns:a16="http://schemas.microsoft.com/office/drawing/2014/main" id="{00000000-0008-0000-0B00-000004000000}"/>
            </a:ext>
          </a:extLst>
        </xdr:cNvPr>
        <xdr:cNvSpPr/>
      </xdr:nvSpPr>
      <xdr:spPr>
        <a:xfrm>
          <a:off x="6334125" y="581026"/>
          <a:ext cx="1762125" cy="1714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Nickel</a:t>
          </a:r>
          <a:r>
            <a:rPr lang="en-US" sz="1100" baseline="0"/>
            <a:t> precursor</a:t>
          </a:r>
          <a:endParaRPr lang="en-US" sz="1100"/>
        </a:p>
      </xdr:txBody>
    </xdr:sp>
    <xdr:clientData/>
  </xdr:twoCellAnchor>
  <xdr:twoCellAnchor>
    <xdr:from>
      <xdr:col>7</xdr:col>
      <xdr:colOff>190500</xdr:colOff>
      <xdr:row>3</xdr:row>
      <xdr:rowOff>9526</xdr:rowOff>
    </xdr:from>
    <xdr:to>
      <xdr:col>8</xdr:col>
      <xdr:colOff>819150</xdr:colOff>
      <xdr:row>3</xdr:row>
      <xdr:rowOff>180976</xdr:rowOff>
    </xdr:to>
    <xdr:sp macro="" textlink="">
      <xdr:nvSpPr>
        <xdr:cNvPr id="5" name="Rounded Rectangle 4">
          <a:hlinkClick xmlns:r="http://schemas.openxmlformats.org/officeDocument/2006/relationships" r:id="rId3" tooltip="Go to details of material conversion process #3"/>
          <a:extLst>
            <a:ext uri="{FF2B5EF4-FFF2-40B4-BE49-F238E27FC236}">
              <a16:creationId xmlns:a16="http://schemas.microsoft.com/office/drawing/2014/main" id="{00000000-0008-0000-0B00-000005000000}"/>
            </a:ext>
          </a:extLst>
        </xdr:cNvPr>
        <xdr:cNvSpPr/>
      </xdr:nvSpPr>
      <xdr:spPr>
        <a:xfrm>
          <a:off x="8334375" y="581026"/>
          <a:ext cx="1762125" cy="1714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Lithium</a:t>
          </a:r>
          <a:r>
            <a:rPr lang="en-US" sz="1100" baseline="0"/>
            <a:t> precursor</a:t>
          </a:r>
          <a:endParaRPr lang="en-US" sz="1100"/>
        </a:p>
      </xdr:txBody>
    </xdr:sp>
    <xdr:clientData/>
  </xdr:twoCellAnchor>
  <xdr:twoCellAnchor>
    <xdr:from>
      <xdr:col>27</xdr:col>
      <xdr:colOff>1447799</xdr:colOff>
      <xdr:row>3</xdr:row>
      <xdr:rowOff>0</xdr:rowOff>
    </xdr:from>
    <xdr:to>
      <xdr:col>28</xdr:col>
      <xdr:colOff>1085849</xdr:colOff>
      <xdr:row>4</xdr:row>
      <xdr:rowOff>0</xdr:rowOff>
    </xdr:to>
    <xdr:sp macro="" textlink="">
      <xdr:nvSpPr>
        <xdr:cNvPr id="6" name="Rounded Rectangle 5">
          <a:hlinkClick xmlns:r="http://schemas.openxmlformats.org/officeDocument/2006/relationships" r:id="rId4" tooltip="Go back to general details of material conversion processes"/>
          <a:extLst>
            <a:ext uri="{FF2B5EF4-FFF2-40B4-BE49-F238E27FC236}">
              <a16:creationId xmlns:a16="http://schemas.microsoft.com/office/drawing/2014/main" id="{00000000-0008-0000-0B00-000006000000}"/>
            </a:ext>
          </a:extLst>
        </xdr:cNvPr>
        <xdr:cNvSpPr/>
      </xdr:nvSpPr>
      <xdr:spPr>
        <a:xfrm>
          <a:off x="25755599" y="571500"/>
          <a:ext cx="1704975"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General</a:t>
          </a:r>
        </a:p>
      </xdr:txBody>
    </xdr:sp>
    <xdr:clientData/>
  </xdr:twoCellAnchor>
  <xdr:twoCellAnchor>
    <xdr:from>
      <xdr:col>29</xdr:col>
      <xdr:colOff>247650</xdr:colOff>
      <xdr:row>3</xdr:row>
      <xdr:rowOff>9525</xdr:rowOff>
    </xdr:from>
    <xdr:to>
      <xdr:col>31</xdr:col>
      <xdr:colOff>400050</xdr:colOff>
      <xdr:row>3</xdr:row>
      <xdr:rowOff>180975</xdr:rowOff>
    </xdr:to>
    <xdr:sp macro="" textlink="">
      <xdr:nvSpPr>
        <xdr:cNvPr id="15" name="Rounded Rectangle 14">
          <a:hlinkClick xmlns:r="http://schemas.openxmlformats.org/officeDocument/2006/relationships" r:id="rId2" tooltip="Go to details of material conversion process #2"/>
          <a:extLst>
            <a:ext uri="{FF2B5EF4-FFF2-40B4-BE49-F238E27FC236}">
              <a16:creationId xmlns:a16="http://schemas.microsoft.com/office/drawing/2014/main" id="{00000000-0008-0000-0B00-00000F000000}"/>
            </a:ext>
          </a:extLst>
        </xdr:cNvPr>
        <xdr:cNvSpPr/>
      </xdr:nvSpPr>
      <xdr:spPr>
        <a:xfrm>
          <a:off x="27917775" y="581025"/>
          <a:ext cx="1762125" cy="1714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Nickel</a:t>
          </a:r>
          <a:r>
            <a:rPr lang="en-US" sz="1100" baseline="0"/>
            <a:t> precursor</a:t>
          </a:r>
          <a:endParaRPr lang="en-US" sz="1100"/>
        </a:p>
      </xdr:txBody>
    </xdr:sp>
    <xdr:clientData/>
  </xdr:twoCellAnchor>
  <xdr:twoCellAnchor>
    <xdr:from>
      <xdr:col>31</xdr:col>
      <xdr:colOff>809625</xdr:colOff>
      <xdr:row>3</xdr:row>
      <xdr:rowOff>9525</xdr:rowOff>
    </xdr:from>
    <xdr:to>
      <xdr:col>33</xdr:col>
      <xdr:colOff>428625</xdr:colOff>
      <xdr:row>3</xdr:row>
      <xdr:rowOff>180975</xdr:rowOff>
    </xdr:to>
    <xdr:sp macro="" textlink="">
      <xdr:nvSpPr>
        <xdr:cNvPr id="16" name="Rounded Rectangle 15">
          <a:hlinkClick xmlns:r="http://schemas.openxmlformats.org/officeDocument/2006/relationships" r:id="rId3" tooltip="Go to details of material conversion process #3"/>
          <a:extLst>
            <a:ext uri="{FF2B5EF4-FFF2-40B4-BE49-F238E27FC236}">
              <a16:creationId xmlns:a16="http://schemas.microsoft.com/office/drawing/2014/main" id="{00000000-0008-0000-0B00-000010000000}"/>
            </a:ext>
          </a:extLst>
        </xdr:cNvPr>
        <xdr:cNvSpPr/>
      </xdr:nvSpPr>
      <xdr:spPr>
        <a:xfrm>
          <a:off x="30089475" y="581025"/>
          <a:ext cx="1762125" cy="1714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Lithium</a:t>
          </a:r>
          <a:r>
            <a:rPr lang="en-US" sz="1100" baseline="0"/>
            <a:t> precursor</a:t>
          </a:r>
          <a:endParaRPr lang="en-US" sz="1100"/>
        </a:p>
      </xdr:txBody>
    </xdr:sp>
    <xdr:clientData/>
  </xdr:twoCellAnchor>
  <xdr:twoCellAnchor>
    <xdr:from>
      <xdr:col>53</xdr:col>
      <xdr:colOff>2066925</xdr:colOff>
      <xdr:row>3</xdr:row>
      <xdr:rowOff>0</xdr:rowOff>
    </xdr:from>
    <xdr:to>
      <xdr:col>55</xdr:col>
      <xdr:colOff>276225</xdr:colOff>
      <xdr:row>4</xdr:row>
      <xdr:rowOff>0</xdr:rowOff>
    </xdr:to>
    <xdr:sp macro="" textlink="">
      <xdr:nvSpPr>
        <xdr:cNvPr id="18" name="Rounded Rectangle 17">
          <a:hlinkClick xmlns:r="http://schemas.openxmlformats.org/officeDocument/2006/relationships" r:id="rId4" tooltip="Go back to general details of material conversion processes"/>
          <a:extLst>
            <a:ext uri="{FF2B5EF4-FFF2-40B4-BE49-F238E27FC236}">
              <a16:creationId xmlns:a16="http://schemas.microsoft.com/office/drawing/2014/main" id="{00000000-0008-0000-0B00-000012000000}"/>
            </a:ext>
          </a:extLst>
        </xdr:cNvPr>
        <xdr:cNvSpPr/>
      </xdr:nvSpPr>
      <xdr:spPr>
        <a:xfrm>
          <a:off x="46081950" y="571500"/>
          <a:ext cx="1704975"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General</a:t>
          </a:r>
        </a:p>
      </xdr:txBody>
    </xdr:sp>
    <xdr:clientData/>
  </xdr:twoCellAnchor>
  <xdr:twoCellAnchor>
    <xdr:from>
      <xdr:col>55</xdr:col>
      <xdr:colOff>628650</xdr:colOff>
      <xdr:row>3</xdr:row>
      <xdr:rowOff>0</xdr:rowOff>
    </xdr:from>
    <xdr:to>
      <xdr:col>58</xdr:col>
      <xdr:colOff>180975</xdr:colOff>
      <xdr:row>3</xdr:row>
      <xdr:rowOff>180975</xdr:rowOff>
    </xdr:to>
    <xdr:sp macro="" textlink="">
      <xdr:nvSpPr>
        <xdr:cNvPr id="19" name="Rounded Rectangle 18">
          <a:hlinkClick xmlns:r="http://schemas.openxmlformats.org/officeDocument/2006/relationships" r:id="rId5" tooltip="Go to details of material conversion process #1"/>
          <a:extLst>
            <a:ext uri="{FF2B5EF4-FFF2-40B4-BE49-F238E27FC236}">
              <a16:creationId xmlns:a16="http://schemas.microsoft.com/office/drawing/2014/main" id="{00000000-0008-0000-0B00-000013000000}"/>
            </a:ext>
          </a:extLst>
        </xdr:cNvPr>
        <xdr:cNvSpPr/>
      </xdr:nvSpPr>
      <xdr:spPr>
        <a:xfrm>
          <a:off x="48139350" y="571500"/>
          <a:ext cx="1971675" cy="18097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Cobalt</a:t>
          </a:r>
          <a:r>
            <a:rPr lang="en-US" sz="1100" baseline="0"/>
            <a:t> precursor</a:t>
          </a:r>
          <a:endParaRPr lang="en-US" sz="1100"/>
        </a:p>
      </xdr:txBody>
    </xdr:sp>
    <xdr:clientData/>
  </xdr:twoCellAnchor>
  <xdr:twoCellAnchor>
    <xdr:from>
      <xdr:col>59</xdr:col>
      <xdr:colOff>9525</xdr:colOff>
      <xdr:row>3</xdr:row>
      <xdr:rowOff>9525</xdr:rowOff>
    </xdr:from>
    <xdr:to>
      <xdr:col>62</xdr:col>
      <xdr:colOff>0</xdr:colOff>
      <xdr:row>3</xdr:row>
      <xdr:rowOff>180975</xdr:rowOff>
    </xdr:to>
    <xdr:sp macro="" textlink="">
      <xdr:nvSpPr>
        <xdr:cNvPr id="21" name="Rounded Rectangle 20">
          <a:hlinkClick xmlns:r="http://schemas.openxmlformats.org/officeDocument/2006/relationships" r:id="rId3" tooltip="Go to details of material conversion process #3"/>
          <a:extLst>
            <a:ext uri="{FF2B5EF4-FFF2-40B4-BE49-F238E27FC236}">
              <a16:creationId xmlns:a16="http://schemas.microsoft.com/office/drawing/2014/main" id="{00000000-0008-0000-0B00-000015000000}"/>
            </a:ext>
          </a:extLst>
        </xdr:cNvPr>
        <xdr:cNvSpPr/>
      </xdr:nvSpPr>
      <xdr:spPr>
        <a:xfrm>
          <a:off x="50530125" y="581025"/>
          <a:ext cx="1762125" cy="1714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Lithium</a:t>
          </a:r>
          <a:r>
            <a:rPr lang="en-US" sz="1100" baseline="0"/>
            <a:t> precursor</a:t>
          </a:r>
          <a:endParaRPr lang="en-US" sz="1100"/>
        </a:p>
      </xdr:txBody>
    </xdr:sp>
    <xdr:clientData/>
  </xdr:twoCellAnchor>
  <xdr:twoCellAnchor>
    <xdr:from>
      <xdr:col>79</xdr:col>
      <xdr:colOff>1876425</xdr:colOff>
      <xdr:row>3</xdr:row>
      <xdr:rowOff>0</xdr:rowOff>
    </xdr:from>
    <xdr:to>
      <xdr:col>80</xdr:col>
      <xdr:colOff>1247775</xdr:colOff>
      <xdr:row>4</xdr:row>
      <xdr:rowOff>0</xdr:rowOff>
    </xdr:to>
    <xdr:sp macro="" textlink="">
      <xdr:nvSpPr>
        <xdr:cNvPr id="23" name="Rounded Rectangle 22">
          <a:hlinkClick xmlns:r="http://schemas.openxmlformats.org/officeDocument/2006/relationships" r:id="rId4" tooltip="Go back to general details of material conversion processes"/>
          <a:extLst>
            <a:ext uri="{FF2B5EF4-FFF2-40B4-BE49-F238E27FC236}">
              <a16:creationId xmlns:a16="http://schemas.microsoft.com/office/drawing/2014/main" id="{00000000-0008-0000-0B00-000017000000}"/>
            </a:ext>
          </a:extLst>
        </xdr:cNvPr>
        <xdr:cNvSpPr/>
      </xdr:nvSpPr>
      <xdr:spPr>
        <a:xfrm>
          <a:off x="65189100" y="571500"/>
          <a:ext cx="1704975"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General</a:t>
          </a:r>
        </a:p>
      </xdr:txBody>
    </xdr:sp>
    <xdr:clientData/>
  </xdr:twoCellAnchor>
  <xdr:twoCellAnchor>
    <xdr:from>
      <xdr:col>81</xdr:col>
      <xdr:colOff>152400</xdr:colOff>
      <xdr:row>3</xdr:row>
      <xdr:rowOff>9525</xdr:rowOff>
    </xdr:from>
    <xdr:to>
      <xdr:col>83</xdr:col>
      <xdr:colOff>161925</xdr:colOff>
      <xdr:row>4</xdr:row>
      <xdr:rowOff>0</xdr:rowOff>
    </xdr:to>
    <xdr:sp macro="" textlink="">
      <xdr:nvSpPr>
        <xdr:cNvPr id="24" name="Rounded Rectangle 23">
          <a:hlinkClick xmlns:r="http://schemas.openxmlformats.org/officeDocument/2006/relationships" r:id="rId5" tooltip="Go to details of material conversion process #1"/>
          <a:extLst>
            <a:ext uri="{FF2B5EF4-FFF2-40B4-BE49-F238E27FC236}">
              <a16:creationId xmlns:a16="http://schemas.microsoft.com/office/drawing/2014/main" id="{00000000-0008-0000-0B00-000018000000}"/>
            </a:ext>
          </a:extLst>
        </xdr:cNvPr>
        <xdr:cNvSpPr/>
      </xdr:nvSpPr>
      <xdr:spPr>
        <a:xfrm>
          <a:off x="67265550" y="581025"/>
          <a:ext cx="1971675" cy="18097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Coblat</a:t>
          </a:r>
          <a:r>
            <a:rPr lang="en-US" sz="1100" baseline="0"/>
            <a:t> precursor</a:t>
          </a:r>
          <a:endParaRPr lang="en-US" sz="1100"/>
        </a:p>
      </xdr:txBody>
    </xdr:sp>
    <xdr:clientData/>
  </xdr:twoCellAnchor>
  <xdr:twoCellAnchor>
    <xdr:from>
      <xdr:col>84</xdr:col>
      <xdr:colOff>9525</xdr:colOff>
      <xdr:row>3</xdr:row>
      <xdr:rowOff>9525</xdr:rowOff>
    </xdr:from>
    <xdr:to>
      <xdr:col>87</xdr:col>
      <xdr:colOff>209550</xdr:colOff>
      <xdr:row>4</xdr:row>
      <xdr:rowOff>0</xdr:rowOff>
    </xdr:to>
    <xdr:sp macro="" textlink="">
      <xdr:nvSpPr>
        <xdr:cNvPr id="26" name="Rounded Rectangle 25">
          <a:hlinkClick xmlns:r="http://schemas.openxmlformats.org/officeDocument/2006/relationships" r:id="rId6" tooltip="Go to details of material conversion process #2"/>
          <a:extLst>
            <a:ext uri="{FF2B5EF4-FFF2-40B4-BE49-F238E27FC236}">
              <a16:creationId xmlns:a16="http://schemas.microsoft.com/office/drawing/2014/main" id="{00000000-0008-0000-0B00-00001A000000}"/>
            </a:ext>
          </a:extLst>
        </xdr:cNvPr>
        <xdr:cNvSpPr/>
      </xdr:nvSpPr>
      <xdr:spPr>
        <a:xfrm>
          <a:off x="69675375" y="581025"/>
          <a:ext cx="1971675" cy="18097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Nickel</a:t>
          </a:r>
          <a:r>
            <a:rPr lang="en-US" sz="1100" baseline="0"/>
            <a:t> precursor</a:t>
          </a:r>
          <a:endParaRPr lang="en-US" sz="1100"/>
        </a:p>
      </xdr:txBody>
    </xdr:sp>
    <xdr:clientData/>
  </xdr:twoCellAnchor>
  <xdr:twoCellAnchor>
    <xdr:from>
      <xdr:col>1</xdr:col>
      <xdr:colOff>19050</xdr:colOff>
      <xdr:row>2</xdr:row>
      <xdr:rowOff>180974</xdr:rowOff>
    </xdr:from>
    <xdr:to>
      <xdr:col>1</xdr:col>
      <xdr:colOff>1209675</xdr:colOff>
      <xdr:row>3</xdr:row>
      <xdr:rowOff>190499</xdr:rowOff>
    </xdr:to>
    <xdr:sp macro="" textlink="">
      <xdr:nvSpPr>
        <xdr:cNvPr id="32" name="Rounded Rectangle 31">
          <a:hlinkClick xmlns:r="http://schemas.openxmlformats.org/officeDocument/2006/relationships" r:id="rId7" tooltip="Go back to &quot;Input&quot; tab"/>
          <a:extLst>
            <a:ext uri="{FF2B5EF4-FFF2-40B4-BE49-F238E27FC236}">
              <a16:creationId xmlns:a16="http://schemas.microsoft.com/office/drawing/2014/main" id="{00000000-0008-0000-0B00-000020000000}"/>
            </a:ext>
          </a:extLst>
        </xdr:cNvPr>
        <xdr:cNvSpPr/>
      </xdr:nvSpPr>
      <xdr:spPr>
        <a:xfrm>
          <a:off x="609600" y="561974"/>
          <a:ext cx="11906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1</xdr:col>
      <xdr:colOff>1600200</xdr:colOff>
      <xdr:row>2</xdr:row>
      <xdr:rowOff>190499</xdr:rowOff>
    </xdr:from>
    <xdr:to>
      <xdr:col>2</xdr:col>
      <xdr:colOff>1085850</xdr:colOff>
      <xdr:row>4</xdr:row>
      <xdr:rowOff>9524</xdr:rowOff>
    </xdr:to>
    <xdr:sp macro="" textlink="">
      <xdr:nvSpPr>
        <xdr:cNvPr id="34" name="Rounded Rectangle 33">
          <a:hlinkClick xmlns:r="http://schemas.openxmlformats.org/officeDocument/2006/relationships" r:id="rId8" tooltip="Go to &quot;Output&quot; tab"/>
          <a:extLst>
            <a:ext uri="{FF2B5EF4-FFF2-40B4-BE49-F238E27FC236}">
              <a16:creationId xmlns:a16="http://schemas.microsoft.com/office/drawing/2014/main" id="{00000000-0008-0000-0B00-000022000000}"/>
            </a:ext>
          </a:extLst>
        </xdr:cNvPr>
        <xdr:cNvSpPr/>
      </xdr:nvSpPr>
      <xdr:spPr>
        <a:xfrm>
          <a:off x="2190750" y="571499"/>
          <a:ext cx="12668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twoCellAnchor>
    <xdr:from>
      <xdr:col>26</xdr:col>
      <xdr:colOff>0</xdr:colOff>
      <xdr:row>3</xdr:row>
      <xdr:rowOff>0</xdr:rowOff>
    </xdr:from>
    <xdr:to>
      <xdr:col>26</xdr:col>
      <xdr:colOff>1190625</xdr:colOff>
      <xdr:row>4</xdr:row>
      <xdr:rowOff>9525</xdr:rowOff>
    </xdr:to>
    <xdr:sp macro="" textlink="">
      <xdr:nvSpPr>
        <xdr:cNvPr id="38" name="Rounded Rectangle 37">
          <a:hlinkClick xmlns:r="http://schemas.openxmlformats.org/officeDocument/2006/relationships" r:id="rId7" tooltip="Go back to &quot;Input&quot; tab"/>
          <a:extLst>
            <a:ext uri="{FF2B5EF4-FFF2-40B4-BE49-F238E27FC236}">
              <a16:creationId xmlns:a16="http://schemas.microsoft.com/office/drawing/2014/main" id="{00000000-0008-0000-0B00-000026000000}"/>
            </a:ext>
          </a:extLst>
        </xdr:cNvPr>
        <xdr:cNvSpPr/>
      </xdr:nvSpPr>
      <xdr:spPr>
        <a:xfrm>
          <a:off x="23155275" y="571500"/>
          <a:ext cx="11906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52</xdr:col>
      <xdr:colOff>0</xdr:colOff>
      <xdr:row>2</xdr:row>
      <xdr:rowOff>180976</xdr:rowOff>
    </xdr:from>
    <xdr:to>
      <xdr:col>52</xdr:col>
      <xdr:colOff>1390650</xdr:colOff>
      <xdr:row>4</xdr:row>
      <xdr:rowOff>9526</xdr:rowOff>
    </xdr:to>
    <xdr:sp macro="" textlink="">
      <xdr:nvSpPr>
        <xdr:cNvPr id="39" name="Rounded Rectangle 38">
          <a:hlinkClick xmlns:r="http://schemas.openxmlformats.org/officeDocument/2006/relationships" r:id="rId7" tooltip="Go back to &quot;Input&quot; tab"/>
          <a:extLst>
            <a:ext uri="{FF2B5EF4-FFF2-40B4-BE49-F238E27FC236}">
              <a16:creationId xmlns:a16="http://schemas.microsoft.com/office/drawing/2014/main" id="{00000000-0008-0000-0B00-000027000000}"/>
            </a:ext>
          </a:extLst>
        </xdr:cNvPr>
        <xdr:cNvSpPr/>
      </xdr:nvSpPr>
      <xdr:spPr>
        <a:xfrm>
          <a:off x="44176950" y="561976"/>
          <a:ext cx="1390650" cy="2095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78</xdr:col>
      <xdr:colOff>0</xdr:colOff>
      <xdr:row>3</xdr:row>
      <xdr:rowOff>0</xdr:rowOff>
    </xdr:from>
    <xdr:to>
      <xdr:col>78</xdr:col>
      <xdr:colOff>1390650</xdr:colOff>
      <xdr:row>4</xdr:row>
      <xdr:rowOff>19050</xdr:rowOff>
    </xdr:to>
    <xdr:sp macro="" textlink="">
      <xdr:nvSpPr>
        <xdr:cNvPr id="40" name="Rounded Rectangle 39">
          <a:hlinkClick xmlns:r="http://schemas.openxmlformats.org/officeDocument/2006/relationships" r:id="rId7" tooltip="Go back to &quot;Input&quot; tab"/>
          <a:extLst>
            <a:ext uri="{FF2B5EF4-FFF2-40B4-BE49-F238E27FC236}">
              <a16:creationId xmlns:a16="http://schemas.microsoft.com/office/drawing/2014/main" id="{00000000-0008-0000-0B00-000028000000}"/>
            </a:ext>
          </a:extLst>
        </xdr:cNvPr>
        <xdr:cNvSpPr/>
      </xdr:nvSpPr>
      <xdr:spPr>
        <a:xfrm>
          <a:off x="65198625" y="571500"/>
          <a:ext cx="1390650" cy="2095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26</xdr:col>
      <xdr:colOff>1809750</xdr:colOff>
      <xdr:row>2</xdr:row>
      <xdr:rowOff>180975</xdr:rowOff>
    </xdr:from>
    <xdr:to>
      <xdr:col>27</xdr:col>
      <xdr:colOff>933450</xdr:colOff>
      <xdr:row>4</xdr:row>
      <xdr:rowOff>0</xdr:rowOff>
    </xdr:to>
    <xdr:sp macro="" textlink="">
      <xdr:nvSpPr>
        <xdr:cNvPr id="42" name="Rounded Rectangle 41">
          <a:hlinkClick xmlns:r="http://schemas.openxmlformats.org/officeDocument/2006/relationships" r:id="rId8" tooltip="Go to &quot;Output&quot; tab"/>
          <a:extLst>
            <a:ext uri="{FF2B5EF4-FFF2-40B4-BE49-F238E27FC236}">
              <a16:creationId xmlns:a16="http://schemas.microsoft.com/office/drawing/2014/main" id="{00000000-0008-0000-0B00-00002A000000}"/>
            </a:ext>
          </a:extLst>
        </xdr:cNvPr>
        <xdr:cNvSpPr/>
      </xdr:nvSpPr>
      <xdr:spPr>
        <a:xfrm>
          <a:off x="24965025" y="561975"/>
          <a:ext cx="12668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twoCellAnchor>
    <xdr:from>
      <xdr:col>52</xdr:col>
      <xdr:colOff>2095500</xdr:colOff>
      <xdr:row>2</xdr:row>
      <xdr:rowOff>180975</xdr:rowOff>
    </xdr:from>
    <xdr:to>
      <xdr:col>53</xdr:col>
      <xdr:colOff>1085850</xdr:colOff>
      <xdr:row>4</xdr:row>
      <xdr:rowOff>0</xdr:rowOff>
    </xdr:to>
    <xdr:sp macro="" textlink="">
      <xdr:nvSpPr>
        <xdr:cNvPr id="43" name="Rounded Rectangle 42">
          <a:hlinkClick xmlns:r="http://schemas.openxmlformats.org/officeDocument/2006/relationships" r:id="rId8" tooltip="Go to &quot;Output&quot; tab"/>
          <a:extLst>
            <a:ext uri="{FF2B5EF4-FFF2-40B4-BE49-F238E27FC236}">
              <a16:creationId xmlns:a16="http://schemas.microsoft.com/office/drawing/2014/main" id="{00000000-0008-0000-0B00-00002B000000}"/>
            </a:ext>
          </a:extLst>
        </xdr:cNvPr>
        <xdr:cNvSpPr/>
      </xdr:nvSpPr>
      <xdr:spPr>
        <a:xfrm>
          <a:off x="46272450" y="561975"/>
          <a:ext cx="14192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twoCellAnchor>
    <xdr:from>
      <xdr:col>79</xdr:col>
      <xdr:colOff>123825</xdr:colOff>
      <xdr:row>2</xdr:row>
      <xdr:rowOff>180975</xdr:rowOff>
    </xdr:from>
    <xdr:to>
      <xdr:col>79</xdr:col>
      <xdr:colOff>1543050</xdr:colOff>
      <xdr:row>4</xdr:row>
      <xdr:rowOff>0</xdr:rowOff>
    </xdr:to>
    <xdr:sp macro="" textlink="">
      <xdr:nvSpPr>
        <xdr:cNvPr id="44" name="Rounded Rectangle 43">
          <a:hlinkClick xmlns:r="http://schemas.openxmlformats.org/officeDocument/2006/relationships" r:id="rId8" tooltip="Go to &quot;Output&quot; tab"/>
          <a:extLst>
            <a:ext uri="{FF2B5EF4-FFF2-40B4-BE49-F238E27FC236}">
              <a16:creationId xmlns:a16="http://schemas.microsoft.com/office/drawing/2014/main" id="{00000000-0008-0000-0B00-00002C000000}"/>
            </a:ext>
          </a:extLst>
        </xdr:cNvPr>
        <xdr:cNvSpPr/>
      </xdr:nvSpPr>
      <xdr:spPr>
        <a:xfrm>
          <a:off x="66884550" y="561975"/>
          <a:ext cx="14192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235</xdr:col>
      <xdr:colOff>2824162</xdr:colOff>
      <xdr:row>121</xdr:row>
      <xdr:rowOff>109537</xdr:rowOff>
    </xdr:from>
    <xdr:to>
      <xdr:col>239</xdr:col>
      <xdr:colOff>4762</xdr:colOff>
      <xdr:row>135</xdr:row>
      <xdr:rowOff>185737</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339</xdr:col>
      <xdr:colOff>523875</xdr:colOff>
      <xdr:row>116</xdr:row>
      <xdr:rowOff>176212</xdr:rowOff>
    </xdr:from>
    <xdr:to>
      <xdr:col>341</xdr:col>
      <xdr:colOff>466725</xdr:colOff>
      <xdr:row>131</xdr:row>
      <xdr:rowOff>61912</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861</xdr:col>
      <xdr:colOff>238125</xdr:colOff>
      <xdr:row>107</xdr:row>
      <xdr:rowOff>14287</xdr:rowOff>
    </xdr:from>
    <xdr:to>
      <xdr:col>866</xdr:col>
      <xdr:colOff>276225</xdr:colOff>
      <xdr:row>121</xdr:row>
      <xdr:rowOff>90487</xdr:rowOff>
    </xdr:to>
    <xdr:graphicFrame macro="">
      <xdr:nvGraphicFramePr>
        <xdr:cNvPr id="4" name="Chart 3">
          <a:extLst>
            <a:ext uri="{FF2B5EF4-FFF2-40B4-BE49-F238E27FC236}">
              <a16:creationId xmlns:a16="http://schemas.microsoft.com/office/drawing/2014/main" id="{00000000-0008-0000-0C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937</xdr:col>
      <xdr:colOff>2600325</xdr:colOff>
      <xdr:row>115</xdr:row>
      <xdr:rowOff>176212</xdr:rowOff>
    </xdr:from>
    <xdr:to>
      <xdr:col>940</xdr:col>
      <xdr:colOff>1162050</xdr:colOff>
      <xdr:row>130</xdr:row>
      <xdr:rowOff>61912</xdr:rowOff>
    </xdr:to>
    <xdr:graphicFrame macro="">
      <xdr:nvGraphicFramePr>
        <xdr:cNvPr id="5" name="Chart 4">
          <a:extLst>
            <a:ext uri="{FF2B5EF4-FFF2-40B4-BE49-F238E27FC236}">
              <a16:creationId xmlns:a16="http://schemas.microsoft.com/office/drawing/2014/main" id="{00000000-0008-0000-0C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1197</xdr:col>
      <xdr:colOff>709083</xdr:colOff>
      <xdr:row>118</xdr:row>
      <xdr:rowOff>78317</xdr:rowOff>
    </xdr:from>
    <xdr:to>
      <xdr:col>1199</xdr:col>
      <xdr:colOff>0</xdr:colOff>
      <xdr:row>132</xdr:row>
      <xdr:rowOff>154517</xdr:rowOff>
    </xdr:to>
    <xdr:graphicFrame macro="">
      <xdr:nvGraphicFramePr>
        <xdr:cNvPr id="7" name="Chart 6">
          <a:extLst>
            <a:ext uri="{FF2B5EF4-FFF2-40B4-BE49-F238E27FC236}">
              <a16:creationId xmlns:a16="http://schemas.microsoft.com/office/drawing/2014/main" id="{00000000-0008-0000-0C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1589</xdr:col>
      <xdr:colOff>275167</xdr:colOff>
      <xdr:row>106</xdr:row>
      <xdr:rowOff>184150</xdr:rowOff>
    </xdr:from>
    <xdr:to>
      <xdr:col>1593</xdr:col>
      <xdr:colOff>338667</xdr:colOff>
      <xdr:row>121</xdr:row>
      <xdr:rowOff>69850</xdr:rowOff>
    </xdr:to>
    <xdr:graphicFrame macro="">
      <xdr:nvGraphicFramePr>
        <xdr:cNvPr id="9" name="Chart 8">
          <a:extLst>
            <a:ext uri="{FF2B5EF4-FFF2-40B4-BE49-F238E27FC236}">
              <a16:creationId xmlns:a16="http://schemas.microsoft.com/office/drawing/2014/main" id="{00000000-0008-0000-0C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1303</xdr:col>
      <xdr:colOff>243416</xdr:colOff>
      <xdr:row>106</xdr:row>
      <xdr:rowOff>67733</xdr:rowOff>
    </xdr:from>
    <xdr:to>
      <xdr:col>1307</xdr:col>
      <xdr:colOff>306916</xdr:colOff>
      <xdr:row>120</xdr:row>
      <xdr:rowOff>143933</xdr:rowOff>
    </xdr:to>
    <xdr:graphicFrame macro="">
      <xdr:nvGraphicFramePr>
        <xdr:cNvPr id="11" name="Chart 10">
          <a:extLst>
            <a:ext uri="{FF2B5EF4-FFF2-40B4-BE49-F238E27FC236}">
              <a16:creationId xmlns:a16="http://schemas.microsoft.com/office/drawing/2014/main" id="{00000000-0008-0000-0C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1433</xdr:col>
      <xdr:colOff>285750</xdr:colOff>
      <xdr:row>107</xdr:row>
      <xdr:rowOff>61912</xdr:rowOff>
    </xdr:from>
    <xdr:to>
      <xdr:col>1438</xdr:col>
      <xdr:colOff>323850</xdr:colOff>
      <xdr:row>121</xdr:row>
      <xdr:rowOff>138112</xdr:rowOff>
    </xdr:to>
    <xdr:graphicFrame macro="">
      <xdr:nvGraphicFramePr>
        <xdr:cNvPr id="6" name="Chart 5">
          <a:extLst>
            <a:ext uri="{FF2B5EF4-FFF2-40B4-BE49-F238E27FC236}">
              <a16:creationId xmlns:a16="http://schemas.microsoft.com/office/drawing/2014/main" id="{00000000-0008-0000-0C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313</xdr:col>
      <xdr:colOff>66675</xdr:colOff>
      <xdr:row>113</xdr:row>
      <xdr:rowOff>119062</xdr:rowOff>
    </xdr:from>
    <xdr:to>
      <xdr:col>315</xdr:col>
      <xdr:colOff>9525</xdr:colOff>
      <xdr:row>128</xdr:row>
      <xdr:rowOff>4762</xdr:rowOff>
    </xdr:to>
    <xdr:graphicFrame macro="">
      <xdr:nvGraphicFramePr>
        <xdr:cNvPr id="8" name="Chart 7">
          <a:extLst>
            <a:ext uri="{FF2B5EF4-FFF2-40B4-BE49-F238E27FC236}">
              <a16:creationId xmlns:a16="http://schemas.microsoft.com/office/drawing/2014/main" id="{00000000-0008-0000-0C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416</xdr:col>
      <xdr:colOff>2749550</xdr:colOff>
      <xdr:row>114</xdr:row>
      <xdr:rowOff>146050</xdr:rowOff>
    </xdr:from>
    <xdr:to>
      <xdr:col>418</xdr:col>
      <xdr:colOff>914400</xdr:colOff>
      <xdr:row>132</xdr:row>
      <xdr:rowOff>50800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1121</xdr:col>
      <xdr:colOff>666750</xdr:colOff>
      <xdr:row>107</xdr:row>
      <xdr:rowOff>119062</xdr:rowOff>
    </xdr:from>
    <xdr:to>
      <xdr:col>1127</xdr:col>
      <xdr:colOff>114300</xdr:colOff>
      <xdr:row>122</xdr:row>
      <xdr:rowOff>4762</xdr:rowOff>
    </xdr:to>
    <xdr:graphicFrame macro="">
      <xdr:nvGraphicFramePr>
        <xdr:cNvPr id="12" name="Chart 11">
          <a:extLst>
            <a:ext uri="{FF2B5EF4-FFF2-40B4-BE49-F238E27FC236}">
              <a16:creationId xmlns:a16="http://schemas.microsoft.com/office/drawing/2014/main" id="{00000000-0008-0000-0C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702</xdr:col>
      <xdr:colOff>1174750</xdr:colOff>
      <xdr:row>115</xdr:row>
      <xdr:rowOff>31750</xdr:rowOff>
    </xdr:from>
    <xdr:to>
      <xdr:col>703</xdr:col>
      <xdr:colOff>3670300</xdr:colOff>
      <xdr:row>133</xdr:row>
      <xdr:rowOff>50800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677</xdr:col>
      <xdr:colOff>368300</xdr:colOff>
      <xdr:row>117</xdr:row>
      <xdr:rowOff>69850</xdr:rowOff>
    </xdr:from>
    <xdr:to>
      <xdr:col>678</xdr:col>
      <xdr:colOff>1231900</xdr:colOff>
      <xdr:row>131</xdr:row>
      <xdr:rowOff>146050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6</xdr:col>
      <xdr:colOff>161925</xdr:colOff>
      <xdr:row>133</xdr:row>
      <xdr:rowOff>0</xdr:rowOff>
    </xdr:from>
    <xdr:to>
      <xdr:col>7</xdr:col>
      <xdr:colOff>733425</xdr:colOff>
      <xdr:row>134</xdr:row>
      <xdr:rowOff>0</xdr:rowOff>
    </xdr:to>
    <xdr:sp macro="" textlink="">
      <xdr:nvSpPr>
        <xdr:cNvPr id="2" name="Rounded Rectangle 1">
          <a:hlinkClick xmlns:r="http://schemas.openxmlformats.org/officeDocument/2006/relationships" r:id="rId1" tooltip="Go back to details of pyro process"/>
          <a:extLst>
            <a:ext uri="{FF2B5EF4-FFF2-40B4-BE49-F238E27FC236}">
              <a16:creationId xmlns:a16="http://schemas.microsoft.com/office/drawing/2014/main" id="{00000000-0008-0000-0D00-000002000000}"/>
            </a:ext>
          </a:extLst>
        </xdr:cNvPr>
        <xdr:cNvSpPr/>
      </xdr:nvSpPr>
      <xdr:spPr>
        <a:xfrm>
          <a:off x="5514975" y="5715000"/>
          <a:ext cx="1543050"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Back to Pyro</a:t>
          </a:r>
        </a:p>
      </xdr:txBody>
    </xdr:sp>
    <xdr:clientData/>
  </xdr:twoCellAnchor>
  <xdr:twoCellAnchor>
    <xdr:from>
      <xdr:col>8</xdr:col>
      <xdr:colOff>171450</xdr:colOff>
      <xdr:row>133</xdr:row>
      <xdr:rowOff>0</xdr:rowOff>
    </xdr:from>
    <xdr:to>
      <xdr:col>9</xdr:col>
      <xdr:colOff>752475</xdr:colOff>
      <xdr:row>134</xdr:row>
      <xdr:rowOff>0</xdr:rowOff>
    </xdr:to>
    <xdr:sp macro="" textlink="">
      <xdr:nvSpPr>
        <xdr:cNvPr id="3" name="Rounded Rectangle 2">
          <a:hlinkClick xmlns:r="http://schemas.openxmlformats.org/officeDocument/2006/relationships" r:id="rId2" tooltip="Go back to details of hydro process"/>
          <a:extLst>
            <a:ext uri="{FF2B5EF4-FFF2-40B4-BE49-F238E27FC236}">
              <a16:creationId xmlns:a16="http://schemas.microsoft.com/office/drawing/2014/main" id="{00000000-0008-0000-0D00-000003000000}"/>
            </a:ext>
          </a:extLst>
        </xdr:cNvPr>
        <xdr:cNvSpPr/>
      </xdr:nvSpPr>
      <xdr:spPr>
        <a:xfrm>
          <a:off x="7419975" y="5715000"/>
          <a:ext cx="1533525"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Back to Hydro</a:t>
          </a:r>
        </a:p>
      </xdr:txBody>
    </xdr:sp>
    <xdr:clientData/>
  </xdr:twoCellAnchor>
  <xdr:twoCellAnchor>
    <xdr:from>
      <xdr:col>10</xdr:col>
      <xdr:colOff>171450</xdr:colOff>
      <xdr:row>133</xdr:row>
      <xdr:rowOff>0</xdr:rowOff>
    </xdr:from>
    <xdr:to>
      <xdr:col>11</xdr:col>
      <xdr:colOff>752475</xdr:colOff>
      <xdr:row>134</xdr:row>
      <xdr:rowOff>0</xdr:rowOff>
    </xdr:to>
    <xdr:sp macro="" textlink="">
      <xdr:nvSpPr>
        <xdr:cNvPr id="5" name="Rounded Rectangle 4">
          <a:hlinkClick xmlns:r="http://schemas.openxmlformats.org/officeDocument/2006/relationships" r:id="rId3" tooltip="Go back to details of direct process"/>
          <a:extLst>
            <a:ext uri="{FF2B5EF4-FFF2-40B4-BE49-F238E27FC236}">
              <a16:creationId xmlns:a16="http://schemas.microsoft.com/office/drawing/2014/main" id="{00000000-0008-0000-0D00-000005000000}"/>
            </a:ext>
          </a:extLst>
        </xdr:cNvPr>
        <xdr:cNvSpPr/>
      </xdr:nvSpPr>
      <xdr:spPr>
        <a:xfrm>
          <a:off x="11229975" y="5715000"/>
          <a:ext cx="1533525"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Back to Direct</a:t>
          </a:r>
        </a:p>
      </xdr:txBody>
    </xdr:sp>
    <xdr:clientData/>
  </xdr:twoCellAnchor>
  <xdr:twoCellAnchor>
    <xdr:from>
      <xdr:col>12</xdr:col>
      <xdr:colOff>180975</xdr:colOff>
      <xdr:row>132</xdr:row>
      <xdr:rowOff>180974</xdr:rowOff>
    </xdr:from>
    <xdr:to>
      <xdr:col>13</xdr:col>
      <xdr:colOff>865909</xdr:colOff>
      <xdr:row>134</xdr:row>
      <xdr:rowOff>17317</xdr:rowOff>
    </xdr:to>
    <xdr:sp macro="" textlink="">
      <xdr:nvSpPr>
        <xdr:cNvPr id="6" name="Rounded Rectangle 5">
          <a:hlinkClick xmlns:r="http://schemas.openxmlformats.org/officeDocument/2006/relationships" r:id="rId4" tooltip="Go back to details of custom process"/>
          <a:extLst>
            <a:ext uri="{FF2B5EF4-FFF2-40B4-BE49-F238E27FC236}">
              <a16:creationId xmlns:a16="http://schemas.microsoft.com/office/drawing/2014/main" id="{00000000-0008-0000-0D00-000006000000}"/>
            </a:ext>
          </a:extLst>
        </xdr:cNvPr>
        <xdr:cNvSpPr/>
      </xdr:nvSpPr>
      <xdr:spPr>
        <a:xfrm>
          <a:off x="10381384" y="25136474"/>
          <a:ext cx="1637434" cy="217343"/>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Back to Custom CM Rec</a:t>
          </a:r>
        </a:p>
      </xdr:txBody>
    </xdr:sp>
    <xdr:clientData/>
  </xdr:twoCellAnchor>
  <xdr:twoCellAnchor>
    <xdr:from>
      <xdr:col>2</xdr:col>
      <xdr:colOff>259773</xdr:colOff>
      <xdr:row>133</xdr:row>
      <xdr:rowOff>8659</xdr:rowOff>
    </xdr:from>
    <xdr:to>
      <xdr:col>3</xdr:col>
      <xdr:colOff>493568</xdr:colOff>
      <xdr:row>134</xdr:row>
      <xdr:rowOff>8659</xdr:rowOff>
    </xdr:to>
    <xdr:sp macro="" textlink="">
      <xdr:nvSpPr>
        <xdr:cNvPr id="4" name="Rounded Rectangle 1">
          <a:hlinkClick xmlns:r="http://schemas.openxmlformats.org/officeDocument/2006/relationships" r:id="rId5"/>
          <a:extLst>
            <a:ext uri="{FF2B5EF4-FFF2-40B4-BE49-F238E27FC236}">
              <a16:creationId xmlns:a16="http://schemas.microsoft.com/office/drawing/2014/main" id="{00000000-0008-0000-0D00-000004000000}"/>
            </a:ext>
          </a:extLst>
        </xdr:cNvPr>
        <xdr:cNvSpPr/>
      </xdr:nvSpPr>
      <xdr:spPr>
        <a:xfrm>
          <a:off x="4372841" y="25154659"/>
          <a:ext cx="1619250"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Back to</a:t>
          </a:r>
          <a:r>
            <a:rPr lang="en-US" sz="1100" baseline="0"/>
            <a:t> Generic Preproc</a:t>
          </a:r>
          <a:endParaRPr lang="en-US" sz="1100"/>
        </a:p>
      </xdr:txBody>
    </xdr:sp>
    <xdr:clientData/>
  </xdr:twoCellAnchor>
  <xdr:twoCellAnchor>
    <xdr:from>
      <xdr:col>4</xdr:col>
      <xdr:colOff>0</xdr:colOff>
      <xdr:row>133</xdr:row>
      <xdr:rowOff>0</xdr:rowOff>
    </xdr:from>
    <xdr:to>
      <xdr:col>5</xdr:col>
      <xdr:colOff>658091</xdr:colOff>
      <xdr:row>134</xdr:row>
      <xdr:rowOff>0</xdr:rowOff>
    </xdr:to>
    <xdr:sp macro="" textlink="">
      <xdr:nvSpPr>
        <xdr:cNvPr id="7" name="Rounded Rectangle 1">
          <a:hlinkClick xmlns:r="http://schemas.openxmlformats.org/officeDocument/2006/relationships" r:id="rId6"/>
          <a:extLst>
            <a:ext uri="{FF2B5EF4-FFF2-40B4-BE49-F238E27FC236}">
              <a16:creationId xmlns:a16="http://schemas.microsoft.com/office/drawing/2014/main" id="{00000000-0008-0000-0D00-000007000000}"/>
            </a:ext>
          </a:extLst>
        </xdr:cNvPr>
        <xdr:cNvSpPr/>
      </xdr:nvSpPr>
      <xdr:spPr>
        <a:xfrm>
          <a:off x="6381750" y="25146000"/>
          <a:ext cx="1619250"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Back to</a:t>
          </a:r>
          <a:r>
            <a:rPr lang="en-US" sz="1100" baseline="0"/>
            <a:t> Custom Preproc</a:t>
          </a:r>
          <a:endParaRPr lang="en-US" sz="1100"/>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161925</xdr:colOff>
      <xdr:row>57</xdr:row>
      <xdr:rowOff>9525</xdr:rowOff>
    </xdr:from>
    <xdr:to>
      <xdr:col>14</xdr:col>
      <xdr:colOff>323850</xdr:colOff>
      <xdr:row>58</xdr:row>
      <xdr:rowOff>0</xdr:rowOff>
    </xdr:to>
    <xdr:sp macro="" textlink="">
      <xdr:nvSpPr>
        <xdr:cNvPr id="2" name="Rounded Rectangle 1">
          <a:hlinkClick xmlns:r="http://schemas.openxmlformats.org/officeDocument/2006/relationships" r:id="rId1" tooltip="Go back to &quot;Input&quot; tab"/>
          <a:extLst>
            <a:ext uri="{FF2B5EF4-FFF2-40B4-BE49-F238E27FC236}">
              <a16:creationId xmlns:a16="http://schemas.microsoft.com/office/drawing/2014/main" id="{00000000-0008-0000-0E00-000002000000}"/>
            </a:ext>
          </a:extLst>
        </xdr:cNvPr>
        <xdr:cNvSpPr/>
      </xdr:nvSpPr>
      <xdr:spPr>
        <a:xfrm>
          <a:off x="12820650" y="10925175"/>
          <a:ext cx="1419225" cy="18097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Back to Input</a:t>
          </a:r>
        </a:p>
      </xdr:txBody>
    </xdr:sp>
    <xdr:clientData/>
  </xdr:twoCellAnchor>
  <xdr:twoCellAnchor>
    <xdr:from>
      <xdr:col>1</xdr:col>
      <xdr:colOff>9525</xdr:colOff>
      <xdr:row>1</xdr:row>
      <xdr:rowOff>152400</xdr:rowOff>
    </xdr:from>
    <xdr:to>
      <xdr:col>1</xdr:col>
      <xdr:colOff>1504950</xdr:colOff>
      <xdr:row>2</xdr:row>
      <xdr:rowOff>180975</xdr:rowOff>
    </xdr:to>
    <xdr:sp macro="" textlink="">
      <xdr:nvSpPr>
        <xdr:cNvPr id="3" name="Rounded Rectangle 2">
          <a:hlinkClick xmlns:r="http://schemas.openxmlformats.org/officeDocument/2006/relationships" r:id="rId2" tooltip="Go back to &quot;Input&quot; tab"/>
          <a:extLst>
            <a:ext uri="{FF2B5EF4-FFF2-40B4-BE49-F238E27FC236}">
              <a16:creationId xmlns:a16="http://schemas.microsoft.com/office/drawing/2014/main" id="{00000000-0008-0000-0E00-000003000000}"/>
            </a:ext>
          </a:extLst>
        </xdr:cNvPr>
        <xdr:cNvSpPr/>
      </xdr:nvSpPr>
      <xdr:spPr>
        <a:xfrm>
          <a:off x="619125" y="342900"/>
          <a:ext cx="1495425" cy="21907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2</xdr:col>
      <xdr:colOff>9525</xdr:colOff>
      <xdr:row>1</xdr:row>
      <xdr:rowOff>142875</xdr:rowOff>
    </xdr:from>
    <xdr:to>
      <xdr:col>3</xdr:col>
      <xdr:colOff>762000</xdr:colOff>
      <xdr:row>2</xdr:row>
      <xdr:rowOff>180975</xdr:rowOff>
    </xdr:to>
    <xdr:sp macro="" textlink="">
      <xdr:nvSpPr>
        <xdr:cNvPr id="4" name="Rounded Rectangle 3">
          <a:hlinkClick xmlns:r="http://schemas.openxmlformats.org/officeDocument/2006/relationships" r:id="rId3" tooltip="Go to &quot;Output&quot; tab"/>
          <a:extLst>
            <a:ext uri="{FF2B5EF4-FFF2-40B4-BE49-F238E27FC236}">
              <a16:creationId xmlns:a16="http://schemas.microsoft.com/office/drawing/2014/main" id="{00000000-0008-0000-0E00-000004000000}"/>
            </a:ext>
          </a:extLst>
        </xdr:cNvPr>
        <xdr:cNvSpPr/>
      </xdr:nvSpPr>
      <xdr:spPr>
        <a:xfrm>
          <a:off x="2686050" y="333375"/>
          <a:ext cx="1552575" cy="2286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J216:K227" totalsRowShown="0">
  <autoFilter ref="J216:K227" xr:uid="{00000000-0009-0000-0100-000001000000}">
    <filterColumn colId="1">
      <customFilters>
        <customFilter operator="notEqual" val="0"/>
      </customFilters>
    </filterColumn>
  </autoFilter>
  <tableColumns count="2">
    <tableColumn id="1" xr3:uid="{00000000-0010-0000-0000-000001000000}" name="Column1" dataDxfId="2">
      <calculatedColumnFormula>HLOOKUP($J$80,$L$215:$O$226,ROW(L216)-ROW(L$215)+1,FALSE)</calculatedColumnFormula>
    </tableColumn>
    <tableColumn id="2" xr3:uid="{00000000-0010-0000-0000-000002000000}" name="Column2">
      <calculatedColumnFormula>HLOOKUP($J$80,$P$215:$S$226,ROW(L216)-ROW(L$215)+1,FALSE)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package" Target="../embeddings/Microsoft_Visio_Drawing1.vsdx"/><Relationship Id="rId5" Type="http://schemas.openxmlformats.org/officeDocument/2006/relationships/image" Target="../media/image1.emf"/><Relationship Id="rId4" Type="http://schemas.openxmlformats.org/officeDocument/2006/relationships/package" Target="../embeddings/Microsoft_Visio_Drawing.vsdx"/></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7.bin"/><Relationship Id="rId6" Type="http://schemas.openxmlformats.org/officeDocument/2006/relationships/comments" Target="../comments6.xml"/><Relationship Id="rId5" Type="http://schemas.openxmlformats.org/officeDocument/2006/relationships/image" Target="../media/image3.emf"/><Relationship Id="rId4" Type="http://schemas.openxmlformats.org/officeDocument/2006/relationships/package" Target="../embeddings/Microsoft_Visio_Drawing2.vsdx"/></Relationships>
</file>

<file path=xl/worksheets/_rels/sheet9.xml.rels><?xml version="1.0" encoding="UTF-8" standalone="yes"?>
<Relationships xmlns="http://schemas.openxmlformats.org/package/2006/relationships"><Relationship Id="rId8" Type="http://schemas.openxmlformats.org/officeDocument/2006/relationships/package" Target="../embeddings/Microsoft_Visio_Drawing5.vsdx"/><Relationship Id="rId3" Type="http://schemas.openxmlformats.org/officeDocument/2006/relationships/vmlDrawing" Target="../drawings/vmlDrawing8.vml"/><Relationship Id="rId7" Type="http://schemas.openxmlformats.org/officeDocument/2006/relationships/image" Target="../media/image5.emf"/><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package" Target="../embeddings/Microsoft_Visio_Drawing4.vsdx"/><Relationship Id="rId5" Type="http://schemas.openxmlformats.org/officeDocument/2006/relationships/image" Target="../media/image4.emf"/><Relationship Id="rId10" Type="http://schemas.openxmlformats.org/officeDocument/2006/relationships/comments" Target="../comments7.xml"/><Relationship Id="rId4" Type="http://schemas.openxmlformats.org/officeDocument/2006/relationships/package" Target="../embeddings/Microsoft_Visio_Drawing3.vsdx"/><Relationship Id="rId9" Type="http://schemas.openxmlformats.org/officeDocument/2006/relationships/image" Target="../media/image6.emf"/></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0.bin"/><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1.bin"/><Relationship Id="rId4" Type="http://schemas.openxmlformats.org/officeDocument/2006/relationships/comments" Target="../comments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2.bin"/><Relationship Id="rId4" Type="http://schemas.openxmlformats.org/officeDocument/2006/relationships/comments" Target="../comments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3.bin"/><Relationship Id="rId4" Type="http://schemas.openxmlformats.org/officeDocument/2006/relationships/comments" Target="../comments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4.bin"/><Relationship Id="rId4" Type="http://schemas.openxmlformats.org/officeDocument/2006/relationships/comments" Target="../comments13.x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5.v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U58"/>
  <sheetViews>
    <sheetView topLeftCell="F22" workbookViewId="0">
      <selection activeCell="K28" sqref="K28"/>
    </sheetView>
  </sheetViews>
  <sheetFormatPr defaultColWidth="8.83203125" defaultRowHeight="14"/>
  <cols>
    <col min="2" max="2" width="15.1640625" customWidth="1"/>
    <col min="3" max="3" width="20.4140625" customWidth="1"/>
    <col min="4" max="4" width="8.83203125" customWidth="1"/>
    <col min="5" max="5" width="44.83203125" customWidth="1"/>
    <col min="6" max="6" width="12.83203125" customWidth="1"/>
    <col min="7" max="7" width="11.4140625" customWidth="1"/>
    <col min="10" max="10" width="12.1640625" customWidth="1"/>
    <col min="19" max="19" width="9.4140625" customWidth="1"/>
    <col min="20" max="20" width="10.1640625" customWidth="1"/>
  </cols>
  <sheetData>
    <row r="1" spans="2:21" ht="16" customHeight="1">
      <c r="H1" s="1145"/>
      <c r="J1" s="1713" t="s">
        <v>1287</v>
      </c>
      <c r="K1" s="1714"/>
      <c r="L1" s="1714"/>
      <c r="M1" s="1714"/>
      <c r="N1" s="1714"/>
      <c r="O1" s="1714"/>
      <c r="P1" s="1714"/>
      <c r="Q1" s="1714"/>
      <c r="R1" s="1714"/>
      <c r="S1" s="1714"/>
      <c r="T1" s="1714"/>
      <c r="U1" s="1715"/>
    </row>
    <row r="2" spans="2:21" ht="15.5">
      <c r="B2" s="1736" t="s">
        <v>1279</v>
      </c>
      <c r="C2" s="1737"/>
      <c r="D2" s="1737"/>
      <c r="E2" s="1737"/>
      <c r="F2" s="1737"/>
      <c r="G2" s="1738"/>
      <c r="H2" s="1144"/>
      <c r="J2" s="1716"/>
      <c r="K2" s="1717"/>
      <c r="L2" s="1717"/>
      <c r="M2" s="1717"/>
      <c r="N2" s="1717"/>
      <c r="O2" s="1717"/>
      <c r="P2" s="1717"/>
      <c r="Q2" s="1717"/>
      <c r="R2" s="1717"/>
      <c r="S2" s="1717"/>
      <c r="T2" s="1717"/>
      <c r="U2" s="1718"/>
    </row>
    <row r="3" spans="2:21" ht="15.5">
      <c r="B3" s="1707"/>
      <c r="C3" s="1708"/>
      <c r="D3" s="1708"/>
      <c r="E3" s="1708"/>
      <c r="F3" s="1708"/>
      <c r="G3" s="1709"/>
      <c r="H3" s="1144"/>
      <c r="J3" s="1716"/>
      <c r="K3" s="1717"/>
      <c r="L3" s="1717"/>
      <c r="M3" s="1717"/>
      <c r="N3" s="1717"/>
      <c r="O3" s="1717"/>
      <c r="P3" s="1717"/>
      <c r="Q3" s="1717"/>
      <c r="R3" s="1717"/>
      <c r="S3" s="1717"/>
      <c r="T3" s="1717"/>
      <c r="U3" s="1718"/>
    </row>
    <row r="4" spans="2:21" ht="15.75" customHeight="1">
      <c r="B4" s="1707" t="s">
        <v>1280</v>
      </c>
      <c r="C4" s="1708"/>
      <c r="D4" s="1708"/>
      <c r="E4" s="1708"/>
      <c r="F4" s="1708"/>
      <c r="G4" s="1709"/>
      <c r="H4" s="1144"/>
      <c r="J4" s="1716"/>
      <c r="K4" s="1717"/>
      <c r="L4" s="1717"/>
      <c r="M4" s="1717"/>
      <c r="N4" s="1717"/>
      <c r="O4" s="1717"/>
      <c r="P4" s="1717"/>
      <c r="Q4" s="1717"/>
      <c r="R4" s="1717"/>
      <c r="S4" s="1717"/>
      <c r="T4" s="1717"/>
      <c r="U4" s="1718"/>
    </row>
    <row r="5" spans="2:21" ht="15.5">
      <c r="B5" s="1707"/>
      <c r="C5" s="1708"/>
      <c r="D5" s="1708"/>
      <c r="E5" s="1708"/>
      <c r="F5" s="1708"/>
      <c r="G5" s="1709"/>
      <c r="H5" s="1144"/>
      <c r="J5" s="1716"/>
      <c r="K5" s="1717"/>
      <c r="L5" s="1717"/>
      <c r="M5" s="1717"/>
      <c r="N5" s="1717"/>
      <c r="O5" s="1717"/>
      <c r="P5" s="1717"/>
      <c r="Q5" s="1717"/>
      <c r="R5" s="1717"/>
      <c r="S5" s="1717"/>
      <c r="T5" s="1717"/>
      <c r="U5" s="1718"/>
    </row>
    <row r="6" spans="2:21" ht="15.5">
      <c r="B6" s="1707" t="s">
        <v>1384</v>
      </c>
      <c r="C6" s="1708"/>
      <c r="D6" s="1708"/>
      <c r="E6" s="1708"/>
      <c r="F6" s="1708"/>
      <c r="G6" s="1709"/>
      <c r="H6" s="1144"/>
      <c r="J6" s="1716"/>
      <c r="K6" s="1717"/>
      <c r="L6" s="1717"/>
      <c r="M6" s="1717"/>
      <c r="N6" s="1717"/>
      <c r="O6" s="1717"/>
      <c r="P6" s="1717"/>
      <c r="Q6" s="1717"/>
      <c r="R6" s="1717"/>
      <c r="S6" s="1717"/>
      <c r="T6" s="1717"/>
      <c r="U6" s="1718"/>
    </row>
    <row r="7" spans="2:21" ht="15.5">
      <c r="B7" s="1707"/>
      <c r="C7" s="1708"/>
      <c r="D7" s="1708"/>
      <c r="E7" s="1708"/>
      <c r="F7" s="1708"/>
      <c r="G7" s="1709"/>
      <c r="H7" s="1144"/>
      <c r="J7" s="1716"/>
      <c r="K7" s="1717"/>
      <c r="L7" s="1717"/>
      <c r="M7" s="1717"/>
      <c r="N7" s="1717"/>
      <c r="O7" s="1717"/>
      <c r="P7" s="1717"/>
      <c r="Q7" s="1717"/>
      <c r="R7" s="1717"/>
      <c r="S7" s="1717"/>
      <c r="T7" s="1717"/>
      <c r="U7" s="1718"/>
    </row>
    <row r="8" spans="2:21" ht="15.5">
      <c r="B8" s="1707" t="s">
        <v>1281</v>
      </c>
      <c r="C8" s="1708"/>
      <c r="D8" s="1708"/>
      <c r="E8" s="1708"/>
      <c r="F8" s="1708"/>
      <c r="G8" s="1709"/>
      <c r="H8" s="1144"/>
      <c r="J8" s="1716"/>
      <c r="K8" s="1717"/>
      <c r="L8" s="1717"/>
      <c r="M8" s="1717"/>
      <c r="N8" s="1717"/>
      <c r="O8" s="1717"/>
      <c r="P8" s="1717"/>
      <c r="Q8" s="1717"/>
      <c r="R8" s="1717"/>
      <c r="S8" s="1717"/>
      <c r="T8" s="1717"/>
      <c r="U8" s="1718"/>
    </row>
    <row r="9" spans="2:21" ht="15.5">
      <c r="B9" s="1707"/>
      <c r="C9" s="1708"/>
      <c r="D9" s="1708"/>
      <c r="E9" s="1708"/>
      <c r="F9" s="1708"/>
      <c r="G9" s="1709"/>
      <c r="H9" s="1144"/>
      <c r="J9" s="1716"/>
      <c r="K9" s="1717"/>
      <c r="L9" s="1717"/>
      <c r="M9" s="1717"/>
      <c r="N9" s="1717"/>
      <c r="O9" s="1717"/>
      <c r="P9" s="1717"/>
      <c r="Q9" s="1717"/>
      <c r="R9" s="1717"/>
      <c r="S9" s="1717"/>
      <c r="T9" s="1717"/>
      <c r="U9" s="1718"/>
    </row>
    <row r="10" spans="2:21" ht="15.5">
      <c r="B10" s="1707" t="s">
        <v>1282</v>
      </c>
      <c r="C10" s="1708"/>
      <c r="D10" s="1708"/>
      <c r="E10" s="1708"/>
      <c r="F10" s="1708"/>
      <c r="G10" s="1709"/>
      <c r="H10" s="1144"/>
      <c r="J10" s="1716"/>
      <c r="K10" s="1717"/>
      <c r="L10" s="1717"/>
      <c r="M10" s="1717"/>
      <c r="N10" s="1717"/>
      <c r="O10" s="1717"/>
      <c r="P10" s="1717"/>
      <c r="Q10" s="1717"/>
      <c r="R10" s="1717"/>
      <c r="S10" s="1717"/>
      <c r="T10" s="1717"/>
      <c r="U10" s="1718"/>
    </row>
    <row r="11" spans="2:21" s="799" customFormat="1" ht="16" customHeight="1">
      <c r="B11" s="1707"/>
      <c r="C11" s="1708"/>
      <c r="D11" s="1708"/>
      <c r="E11" s="1708"/>
      <c r="F11" s="1708"/>
      <c r="G11" s="1709"/>
      <c r="H11" s="1166"/>
      <c r="J11" s="1716"/>
      <c r="K11" s="1717"/>
      <c r="L11" s="1717"/>
      <c r="M11" s="1717"/>
      <c r="N11" s="1717"/>
      <c r="O11" s="1717"/>
      <c r="P11" s="1717"/>
      <c r="Q11" s="1717"/>
      <c r="R11" s="1717"/>
      <c r="S11" s="1717"/>
      <c r="T11" s="1717"/>
      <c r="U11" s="1718"/>
    </row>
    <row r="12" spans="2:21" ht="32.15" customHeight="1">
      <c r="B12" s="1731" t="s">
        <v>1283</v>
      </c>
      <c r="C12" s="1732"/>
      <c r="D12" s="1732"/>
      <c r="E12" s="1732"/>
      <c r="F12" s="1732"/>
      <c r="G12" s="1733"/>
      <c r="H12" s="1144"/>
      <c r="J12" s="1719"/>
      <c r="K12" s="1720"/>
      <c r="L12" s="1720"/>
      <c r="M12" s="1720"/>
      <c r="N12" s="1720"/>
      <c r="O12" s="1720"/>
      <c r="P12" s="1720"/>
      <c r="Q12" s="1720"/>
      <c r="R12" s="1720"/>
      <c r="S12" s="1720"/>
      <c r="T12" s="1720"/>
      <c r="U12" s="1721"/>
    </row>
    <row r="13" spans="2:21" ht="16" customHeight="1">
      <c r="B13" s="1707"/>
      <c r="C13" s="1708"/>
      <c r="D13" s="1708"/>
      <c r="E13" s="1708"/>
      <c r="F13" s="1708"/>
      <c r="G13" s="1709"/>
      <c r="H13" s="1144"/>
      <c r="J13" s="1168"/>
      <c r="K13" s="1168"/>
      <c r="L13" s="1168"/>
      <c r="M13" s="1168"/>
      <c r="N13" s="1168"/>
      <c r="O13" s="1168"/>
      <c r="P13" s="1168"/>
      <c r="Q13" s="1168"/>
      <c r="R13" s="1168"/>
      <c r="S13" s="1168"/>
    </row>
    <row r="14" spans="2:21" ht="32.15" customHeight="1">
      <c r="B14" s="1731" t="s">
        <v>1284</v>
      </c>
      <c r="C14" s="1732"/>
      <c r="D14" s="1732"/>
      <c r="E14" s="1732"/>
      <c r="F14" s="1732"/>
      <c r="G14" s="1733"/>
      <c r="H14" s="1144"/>
      <c r="J14" s="1722" t="s">
        <v>1288</v>
      </c>
      <c r="K14" s="1723"/>
      <c r="L14" s="1723"/>
      <c r="M14" s="1723"/>
      <c r="N14" s="1723"/>
      <c r="O14" s="1723"/>
      <c r="P14" s="1723"/>
      <c r="Q14" s="1723"/>
      <c r="R14" s="1723"/>
      <c r="S14" s="1723"/>
      <c r="T14" s="1723"/>
      <c r="U14" s="1724"/>
    </row>
    <row r="15" spans="2:21" ht="32.15" customHeight="1">
      <c r="B15" s="1731" t="s">
        <v>1285</v>
      </c>
      <c r="C15" s="1732"/>
      <c r="D15" s="1732"/>
      <c r="E15" s="1732"/>
      <c r="F15" s="1732"/>
      <c r="G15" s="1733"/>
      <c r="H15" s="1144"/>
      <c r="J15" s="1725"/>
      <c r="K15" s="1726"/>
      <c r="L15" s="1726"/>
      <c r="M15" s="1726"/>
      <c r="N15" s="1726"/>
      <c r="O15" s="1726"/>
      <c r="P15" s="1726"/>
      <c r="Q15" s="1726"/>
      <c r="R15" s="1726"/>
      <c r="S15" s="1726"/>
      <c r="T15" s="1726"/>
      <c r="U15" s="1727"/>
    </row>
    <row r="16" spans="2:21" ht="32.15" customHeight="1">
      <c r="B16" s="1710" t="s">
        <v>1286</v>
      </c>
      <c r="C16" s="1711"/>
      <c r="D16" s="1711"/>
      <c r="E16" s="1711"/>
      <c r="F16" s="1711"/>
      <c r="G16" s="1712"/>
      <c r="H16" s="1144"/>
      <c r="J16" s="1725"/>
      <c r="K16" s="1726"/>
      <c r="L16" s="1726"/>
      <c r="M16" s="1726"/>
      <c r="N16" s="1726"/>
      <c r="O16" s="1726"/>
      <c r="P16" s="1726"/>
      <c r="Q16" s="1726"/>
      <c r="R16" s="1726"/>
      <c r="S16" s="1726"/>
      <c r="T16" s="1726"/>
      <c r="U16" s="1727"/>
    </row>
    <row r="17" spans="1:21" ht="15" customHeight="1">
      <c r="J17" s="1728"/>
      <c r="K17" s="1729"/>
      <c r="L17" s="1729"/>
      <c r="M17" s="1729"/>
      <c r="N17" s="1729"/>
      <c r="O17" s="1729"/>
      <c r="P17" s="1729"/>
      <c r="Q17" s="1729"/>
      <c r="R17" s="1729"/>
      <c r="S17" s="1729"/>
      <c r="T17" s="1729"/>
      <c r="U17" s="1730"/>
    </row>
    <row r="19" spans="1:21" s="1735" customFormat="1">
      <c r="A19" s="1734" t="s">
        <v>1638</v>
      </c>
    </row>
    <row r="21" spans="1:21" ht="17.5">
      <c r="C21" s="1138" t="s">
        <v>621</v>
      </c>
      <c r="D21" s="1149"/>
      <c r="E21" s="1146"/>
      <c r="J21" s="1138" t="s">
        <v>1268</v>
      </c>
      <c r="K21" s="789"/>
      <c r="L21" s="789"/>
      <c r="M21" s="789"/>
      <c r="N21" s="789"/>
      <c r="O21" s="789"/>
      <c r="P21" s="789"/>
      <c r="Q21" s="789"/>
      <c r="R21" s="789"/>
      <c r="S21" s="789"/>
    </row>
    <row r="22" spans="1:21" ht="15.5">
      <c r="C22" s="1150" t="s">
        <v>615</v>
      </c>
      <c r="D22" s="1151"/>
      <c r="E22" s="1152" t="s">
        <v>617</v>
      </c>
      <c r="J22" s="1169" t="s">
        <v>1269</v>
      </c>
      <c r="K22" s="1170" t="s">
        <v>1272</v>
      </c>
      <c r="L22" s="1170"/>
      <c r="M22" s="1170"/>
      <c r="N22" s="1170"/>
      <c r="O22" s="1170"/>
      <c r="P22" s="1170"/>
      <c r="Q22" s="1170"/>
      <c r="R22" s="1171"/>
      <c r="S22" s="1171"/>
      <c r="T22" s="1172"/>
    </row>
    <row r="23" spans="1:21" ht="15.5">
      <c r="C23" s="1153" t="s">
        <v>615</v>
      </c>
      <c r="D23" s="1149"/>
      <c r="E23" s="1154" t="s">
        <v>618</v>
      </c>
      <c r="J23" s="1162" t="s">
        <v>1270</v>
      </c>
      <c r="K23" s="1163" t="s">
        <v>1273</v>
      </c>
      <c r="L23" s="1163"/>
      <c r="M23" s="1163"/>
      <c r="N23" s="1163"/>
      <c r="O23" s="1163"/>
      <c r="P23" s="1163"/>
      <c r="Q23" s="1163"/>
      <c r="R23" s="789"/>
      <c r="S23" s="789"/>
      <c r="T23" s="28"/>
    </row>
    <row r="24" spans="1:21" ht="15.5">
      <c r="C24" s="1155" t="s">
        <v>615</v>
      </c>
      <c r="D24" s="1149"/>
      <c r="E24" s="1154" t="s">
        <v>620</v>
      </c>
      <c r="J24" s="1164" t="s">
        <v>1271</v>
      </c>
      <c r="K24" s="1165" t="s">
        <v>1275</v>
      </c>
      <c r="L24" s="1165"/>
      <c r="M24" s="1165"/>
      <c r="N24" s="1165"/>
      <c r="O24" s="1165"/>
      <c r="P24" s="1165"/>
      <c r="Q24" s="1165"/>
      <c r="R24" s="1165"/>
      <c r="S24" s="1165"/>
      <c r="T24" s="705"/>
    </row>
    <row r="25" spans="1:21" ht="15.5">
      <c r="C25" s="1147" t="s">
        <v>615</v>
      </c>
      <c r="D25" s="1149"/>
      <c r="E25" s="1154" t="s">
        <v>644</v>
      </c>
    </row>
    <row r="26" spans="1:21" ht="15.5">
      <c r="C26" s="1156" t="s">
        <v>615</v>
      </c>
      <c r="D26" s="1149"/>
      <c r="E26" s="1154" t="s">
        <v>619</v>
      </c>
    </row>
    <row r="27" spans="1:21" ht="15.5">
      <c r="C27" s="1157" t="s">
        <v>615</v>
      </c>
      <c r="D27" s="1149"/>
      <c r="E27" s="1154" t="s">
        <v>622</v>
      </c>
    </row>
    <row r="28" spans="1:21" ht="15.5">
      <c r="C28" s="1158" t="s">
        <v>615</v>
      </c>
      <c r="D28" s="1149"/>
      <c r="E28" s="1154" t="s">
        <v>616</v>
      </c>
    </row>
    <row r="29" spans="1:21" ht="15.5">
      <c r="C29" s="1148" t="s">
        <v>615</v>
      </c>
      <c r="D29" s="1149"/>
      <c r="E29" s="1154" t="s">
        <v>623</v>
      </c>
    </row>
    <row r="30" spans="1:21" ht="15.5">
      <c r="C30" s="1159" t="s">
        <v>615</v>
      </c>
      <c r="D30" s="1160"/>
      <c r="E30" s="1161" t="s">
        <v>624</v>
      </c>
    </row>
    <row r="31" spans="1:21" ht="15.5">
      <c r="C31" s="1167"/>
      <c r="D31" s="1149"/>
      <c r="E31" s="1146"/>
    </row>
    <row r="50" spans="3:19" ht="16" customHeight="1"/>
    <row r="52" spans="3:19" ht="16" customHeight="1"/>
    <row r="53" spans="3:19" ht="16" customHeight="1"/>
    <row r="54" spans="3:19" ht="16" customHeight="1"/>
    <row r="58" spans="3:19" ht="17.5">
      <c r="C58" s="1706" t="s">
        <v>1385</v>
      </c>
      <c r="D58" s="1706"/>
      <c r="E58" s="1706"/>
      <c r="F58" s="1706"/>
      <c r="L58" s="1706" t="s">
        <v>1386</v>
      </c>
      <c r="M58" s="1706"/>
      <c r="N58" s="1706"/>
      <c r="O58" s="1706"/>
      <c r="P58" s="1706"/>
      <c r="Q58" s="1706"/>
      <c r="R58" s="1706"/>
      <c r="S58" s="1706"/>
    </row>
  </sheetData>
  <mergeCells count="20">
    <mergeCell ref="B12:G12"/>
    <mergeCell ref="B13:G13"/>
    <mergeCell ref="A19:XFD19"/>
    <mergeCell ref="B2:G2"/>
    <mergeCell ref="C58:F58"/>
    <mergeCell ref="L58:S58"/>
    <mergeCell ref="B3:G3"/>
    <mergeCell ref="B4:G4"/>
    <mergeCell ref="B5:G5"/>
    <mergeCell ref="B16:G16"/>
    <mergeCell ref="J1:U12"/>
    <mergeCell ref="J14:U17"/>
    <mergeCell ref="B14:G14"/>
    <mergeCell ref="B15:G15"/>
    <mergeCell ref="B6:G6"/>
    <mergeCell ref="B7:G7"/>
    <mergeCell ref="B8:G8"/>
    <mergeCell ref="B9:G9"/>
    <mergeCell ref="B10:G10"/>
    <mergeCell ref="B11:G11"/>
  </mergeCells>
  <phoneticPr fontId="153" type="noConversion"/>
  <pageMargins left="0.7" right="0.7" top="0.75" bottom="0.75" header="0.3" footer="0.3"/>
  <pageSetup orientation="portrait" verticalDpi="0" r:id="rId1"/>
  <drawing r:id="rId2"/>
  <legacyDrawing r:id="rId3"/>
  <oleObjects>
    <mc:AlternateContent xmlns:mc="http://schemas.openxmlformats.org/markup-compatibility/2006">
      <mc:Choice Requires="x14">
        <oleObject progId="Visio.Drawing.15" shapeId="45061" r:id="rId4">
          <objectPr defaultSize="0" r:id="rId5">
            <anchor moveWithCells="1">
              <from>
                <xdr:col>1</xdr:col>
                <xdr:colOff>0</xdr:colOff>
                <xdr:row>32</xdr:row>
                <xdr:rowOff>0</xdr:rowOff>
              </from>
              <to>
                <xdr:col>7</xdr:col>
                <xdr:colOff>260350</xdr:colOff>
                <xdr:row>55</xdr:row>
                <xdr:rowOff>76200</xdr:rowOff>
              </to>
            </anchor>
          </objectPr>
        </oleObject>
      </mc:Choice>
      <mc:Fallback>
        <oleObject progId="Visio.Drawing.15" shapeId="45061" r:id="rId4"/>
      </mc:Fallback>
    </mc:AlternateContent>
    <mc:AlternateContent xmlns:mc="http://schemas.openxmlformats.org/markup-compatibility/2006">
      <mc:Choice Requires="x14">
        <oleObject progId="Visio.Drawing.15" shapeId="45062" r:id="rId6">
          <objectPr defaultSize="0" autoPict="0" r:id="rId7">
            <anchor moveWithCells="1" sizeWithCells="1">
              <from>
                <xdr:col>8</xdr:col>
                <xdr:colOff>374650</xdr:colOff>
                <xdr:row>32</xdr:row>
                <xdr:rowOff>12700</xdr:rowOff>
              </from>
              <to>
                <xdr:col>22</xdr:col>
                <xdr:colOff>50800</xdr:colOff>
                <xdr:row>56</xdr:row>
                <xdr:rowOff>76200</xdr:rowOff>
              </to>
            </anchor>
          </objectPr>
        </oleObject>
      </mc:Choice>
      <mc:Fallback>
        <oleObject progId="Visio.Drawing.15" shapeId="45062" r:id="rId6"/>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FF0000"/>
  </sheetPr>
  <dimension ref="A1:AO83"/>
  <sheetViews>
    <sheetView zoomScale="60" zoomScaleNormal="60" workbookViewId="0">
      <selection activeCell="G28" sqref="G28"/>
    </sheetView>
  </sheetViews>
  <sheetFormatPr defaultColWidth="8.83203125" defaultRowHeight="14"/>
  <cols>
    <col min="1" max="1" width="15.75" style="111" customWidth="1"/>
    <col min="2" max="2" width="4.75" style="111" customWidth="1"/>
    <col min="3" max="3" width="45.58203125" style="111" customWidth="1"/>
    <col min="4" max="4" width="9.1640625" style="110" customWidth="1"/>
    <col min="5" max="5" width="22.25" style="111" customWidth="1"/>
    <col min="6" max="6" width="27.1640625" style="111" customWidth="1"/>
    <col min="7" max="7" width="45" style="111" customWidth="1"/>
    <col min="8" max="8" width="60" style="111" customWidth="1"/>
    <col min="9" max="9" width="64" style="111" customWidth="1"/>
    <col min="10" max="28" width="8.83203125" style="111"/>
    <col min="29" max="29" width="35.83203125" style="111" customWidth="1"/>
    <col min="30" max="30" width="17.4140625" style="111" customWidth="1"/>
    <col min="31" max="31" width="33.4140625" style="111" customWidth="1"/>
    <col min="32" max="32" width="38.4140625" style="111" customWidth="1"/>
    <col min="33" max="33" width="20.25" style="111" customWidth="1"/>
    <col min="34" max="34" width="32.4140625" style="111" customWidth="1"/>
    <col min="35" max="35" width="37.4140625" style="111" customWidth="1"/>
    <col min="36" max="36" width="13.1640625" style="111" customWidth="1"/>
    <col min="37" max="37" width="38" style="111" customWidth="1"/>
    <col min="38" max="38" width="8.83203125" style="111"/>
    <col min="39" max="39" width="36.83203125" style="111" customWidth="1"/>
    <col min="40" max="16384" width="8.83203125" style="111"/>
  </cols>
  <sheetData>
    <row r="1" spans="1:36">
      <c r="A1" s="110"/>
    </row>
    <row r="2" spans="1:36" ht="30" customHeight="1">
      <c r="B2" s="1747" t="s">
        <v>0</v>
      </c>
      <c r="C2" s="1747"/>
      <c r="D2" s="1747"/>
      <c r="E2" s="1747"/>
      <c r="F2" s="1747"/>
      <c r="G2" s="1747"/>
    </row>
    <row r="4" spans="1:36" ht="15.5">
      <c r="A4" s="112"/>
      <c r="D4" s="111"/>
      <c r="H4" s="526" t="s">
        <v>1705</v>
      </c>
      <c r="AC4" s="111" t="s">
        <v>144</v>
      </c>
      <c r="AD4"/>
      <c r="AE4" s="111" t="s">
        <v>168</v>
      </c>
      <c r="AF4" s="111" t="s">
        <v>630</v>
      </c>
      <c r="AG4" s="111" t="s">
        <v>629</v>
      </c>
      <c r="AH4" s="111" t="s">
        <v>631</v>
      </c>
      <c r="AI4" s="111" t="s">
        <v>1639</v>
      </c>
      <c r="AJ4" s="111" t="s">
        <v>642</v>
      </c>
    </row>
    <row r="5" spans="1:36" ht="15.5">
      <c r="A5" s="112"/>
      <c r="D5" s="111"/>
      <c r="H5" s="1093" t="str">
        <f>IF(E6="Cell","Model battery cell production.", IF(E6="Pack", "Model battery pack manufacturing",""))</f>
        <v/>
      </c>
      <c r="AC5" s="111" t="s">
        <v>42</v>
      </c>
      <c r="AD5"/>
      <c r="AE5" s="111" t="s">
        <v>67</v>
      </c>
      <c r="AF5" s="111" t="s">
        <v>632</v>
      </c>
      <c r="AG5" s="111" t="s">
        <v>639</v>
      </c>
      <c r="AH5" s="111" t="s">
        <v>634</v>
      </c>
      <c r="AI5" s="111" t="s">
        <v>576</v>
      </c>
      <c r="AJ5" s="111" t="s">
        <v>676</v>
      </c>
    </row>
    <row r="6" spans="1:36">
      <c r="A6" s="112"/>
      <c r="C6" s="1419" t="s">
        <v>1634</v>
      </c>
      <c r="D6" s="1394"/>
      <c r="E6" s="1451" t="s">
        <v>1588</v>
      </c>
      <c r="AC6" s="111" t="s">
        <v>1029</v>
      </c>
      <c r="AD6"/>
      <c r="AE6" s="111" t="s">
        <v>93</v>
      </c>
      <c r="AF6" s="111" t="s">
        <v>633</v>
      </c>
      <c r="AG6" s="111" t="s">
        <v>640</v>
      </c>
      <c r="AH6" s="111" t="s">
        <v>576</v>
      </c>
      <c r="AI6" s="111" t="s">
        <v>635</v>
      </c>
      <c r="AJ6" s="111" t="s">
        <v>576</v>
      </c>
    </row>
    <row r="7" spans="1:36">
      <c r="A7" s="112"/>
      <c r="C7" s="1739" t="s">
        <v>1</v>
      </c>
      <c r="D7" s="1741" t="s">
        <v>1666</v>
      </c>
      <c r="E7" s="1394" t="s">
        <v>51</v>
      </c>
      <c r="F7" s="1315" t="s">
        <v>63</v>
      </c>
      <c r="G7" s="1394" t="s">
        <v>52</v>
      </c>
      <c r="H7" s="133"/>
      <c r="AC7" s="111" t="s">
        <v>1540</v>
      </c>
      <c r="AD7"/>
      <c r="AJ7" s="111" t="s">
        <v>636</v>
      </c>
    </row>
    <row r="8" spans="1:36">
      <c r="A8" s="112"/>
      <c r="C8" s="1740"/>
      <c r="D8" s="1742"/>
      <c r="E8" s="1510">
        <f>IF(ISNUMBER(G8),G8,F8)</f>
        <v>50</v>
      </c>
      <c r="F8" s="1324">
        <v>50</v>
      </c>
      <c r="G8" s="1450">
        <v>50</v>
      </c>
      <c r="AC8" s="111" t="s">
        <v>667</v>
      </c>
      <c r="AD8"/>
    </row>
    <row r="9" spans="1:36" ht="15.5">
      <c r="A9" s="112"/>
      <c r="C9" s="1419" t="s">
        <v>2</v>
      </c>
      <c r="D9" s="1368"/>
      <c r="E9" s="1452" t="s">
        <v>667</v>
      </c>
      <c r="F9"/>
      <c r="G9"/>
      <c r="H9" s="1129" t="str">
        <f>IF(AND(ISNUMBER(E8),E6&lt;&gt;"Select Battery ",E9&lt;&gt;"Select Chemistry",E10&lt;&gt;"Select Location",F10&lt;&gt;"Click to specify geographical parameters"),"Required inputs all entered. Go to Output for results.", "")</f>
        <v/>
      </c>
      <c r="AC9" s="111" t="s">
        <v>669</v>
      </c>
      <c r="AD9"/>
    </row>
    <row r="10" spans="1:36" ht="15.5">
      <c r="A10" s="112"/>
      <c r="C10" s="1419" t="s">
        <v>3</v>
      </c>
      <c r="D10" s="1368"/>
      <c r="E10" s="1453" t="s">
        <v>47</v>
      </c>
      <c r="F10" s="1126" t="str">
        <f>IF(AND(E10="User-defined", OR(ISBLANK('Geographic Par.'!H8), ISBLANK('Geographic Par.'!H9), ISBLANK('Geographic Par.'!H10),'Geographic Par.'!I70=0)),"Click to specify geographical parameters", "")</f>
        <v/>
      </c>
      <c r="G10"/>
      <c r="H10" s="1136" t="str">
        <f>IF(AND(ISNUMBER(E8),E6&lt;&gt;"Select Battery ",E9&lt;&gt;"Select Chemistry",E10&lt;&gt;"Select Location",F10&lt;&gt;"Click to specify geographical parameters"),"Opt to enter detailed inputs for battery manufacture", "")</f>
        <v/>
      </c>
      <c r="AC10" s="111" t="s">
        <v>73</v>
      </c>
    </row>
    <row r="11" spans="1:36">
      <c r="A11" s="112"/>
      <c r="D11" s="111"/>
      <c r="F11"/>
      <c r="G11"/>
      <c r="AC11" s="111" t="s">
        <v>148</v>
      </c>
    </row>
    <row r="12" spans="1:36">
      <c r="A12" s="112"/>
      <c r="AC12" s="111" t="s">
        <v>149</v>
      </c>
    </row>
    <row r="13" spans="1:36">
      <c r="A13" s="112"/>
    </row>
    <row r="14" spans="1:36" ht="15.5">
      <c r="H14" s="1093" t="str">
        <f>IF(E15="Cell","Model collection, transportation, and recycling of battery cells.", IF(E15="Pack", "Model collection, transportation, disassembly, and recycling of battery packs",""))</f>
        <v/>
      </c>
    </row>
    <row r="15" spans="1:36">
      <c r="C15" s="1419" t="s">
        <v>1635</v>
      </c>
      <c r="D15" s="1368"/>
      <c r="E15" s="1453" t="s">
        <v>1970</v>
      </c>
      <c r="H15" s="115" t="str">
        <f>IF(AND(E15="Cell",OR(ISNUMBER(SEARCH("module",D28)),ISNUMBER(SEARCH("module",D29)),ISNUMBER(SEARCH("module",D30)),ISNUMBER(SEARCH("module",D31)),ISNUMBER(SEARCH("module",D32)))),"Error! Please change E15 to Pack","")</f>
        <v/>
      </c>
    </row>
    <row r="16" spans="1:36" ht="15" customHeight="1">
      <c r="C16" s="1419" t="s">
        <v>1707</v>
      </c>
      <c r="D16" s="1457" t="s">
        <v>1708</v>
      </c>
      <c r="E16" s="1394" t="s">
        <v>51</v>
      </c>
      <c r="F16" s="1315" t="s">
        <v>63</v>
      </c>
      <c r="G16" s="1394" t="s">
        <v>52</v>
      </c>
      <c r="J16"/>
      <c r="K16"/>
      <c r="L16"/>
    </row>
    <row r="17" spans="3:34" ht="15" customHeight="1">
      <c r="C17" s="159" t="str">
        <f>IF(E15="Cell", "","From collection to disassembly")</f>
        <v>From collection to disassembly</v>
      </c>
      <c r="D17" s="1456" t="s">
        <v>4</v>
      </c>
      <c r="E17" s="1463">
        <f t="shared" ref="E17:E22" si="0">IF(ISNUMBER(G17),G17,F17)</f>
        <v>100</v>
      </c>
      <c r="F17" s="1324">
        <f>IF(E15="Cell",0,100)</f>
        <v>100</v>
      </c>
      <c r="G17" s="1454"/>
      <c r="H17" s="1356"/>
      <c r="I17"/>
      <c r="J17"/>
      <c r="K17"/>
      <c r="L17"/>
    </row>
    <row r="18" spans="3:34" ht="15" customHeight="1">
      <c r="C18" s="159" t="str">
        <f>IF(E15="Cell","From collection to preprocessor","From disassembly to preprocessor")</f>
        <v>From disassembly to preprocessor</v>
      </c>
      <c r="D18" s="1456" t="s">
        <v>4</v>
      </c>
      <c r="E18" s="1463">
        <f t="shared" si="0"/>
        <v>500</v>
      </c>
      <c r="F18" s="1324">
        <v>500</v>
      </c>
      <c r="G18" s="1454"/>
      <c r="H18" s="111" t="s">
        <v>1882</v>
      </c>
      <c r="I18"/>
      <c r="J18"/>
      <c r="K18"/>
      <c r="L18"/>
    </row>
    <row r="19" spans="3:34" ht="15" customHeight="1">
      <c r="C19" s="159" t="s">
        <v>1953</v>
      </c>
      <c r="D19" s="1456" t="s">
        <v>4</v>
      </c>
      <c r="E19" s="1463">
        <f t="shared" si="0"/>
        <v>1000</v>
      </c>
      <c r="F19" s="1324">
        <v>1000</v>
      </c>
      <c r="G19" s="1454"/>
      <c r="H19" s="111" t="s">
        <v>1969</v>
      </c>
      <c r="I19"/>
      <c r="J19"/>
      <c r="K19"/>
      <c r="L19"/>
    </row>
    <row r="20" spans="3:34" ht="15" customHeight="1">
      <c r="C20" s="159" t="s">
        <v>1954</v>
      </c>
      <c r="D20" s="1456" t="s">
        <v>4</v>
      </c>
      <c r="E20" s="1463">
        <f t="shared" si="0"/>
        <v>1000</v>
      </c>
      <c r="F20" s="1324">
        <v>1000</v>
      </c>
      <c r="G20" s="1454"/>
      <c r="I20"/>
      <c r="J20"/>
      <c r="K20"/>
      <c r="L20"/>
    </row>
    <row r="21" spans="3:34" ht="15.5">
      <c r="C21" s="159" t="s">
        <v>678</v>
      </c>
      <c r="D21" s="1456" t="s">
        <v>4</v>
      </c>
      <c r="E21" s="1463">
        <f t="shared" si="0"/>
        <v>1000</v>
      </c>
      <c r="F21" s="1324">
        <v>1000</v>
      </c>
      <c r="G21" s="1454"/>
      <c r="H21" s="1129" t="str">
        <f>IF(AND(E15&lt;&gt;"Select Battery ",ISNUMBER(E17),ISNUMBER(E18),ISNUMBER(E19),ISNUMBER(E20),ISNUMBER(E21),ISNUMBER(E22)),"Required inputs all entered. Go to Output for results.", "")</f>
        <v>Required inputs all entered. Go to Output for results.</v>
      </c>
      <c r="I21"/>
      <c r="J21"/>
      <c r="K21"/>
      <c r="L21"/>
    </row>
    <row r="22" spans="3:34" ht="15.5">
      <c r="C22" s="1122" t="s">
        <v>679</v>
      </c>
      <c r="D22" s="1446" t="s">
        <v>4</v>
      </c>
      <c r="E22" s="1463">
        <f t="shared" si="0"/>
        <v>1000</v>
      </c>
      <c r="F22" s="1324">
        <v>1000</v>
      </c>
      <c r="G22" s="1450"/>
      <c r="H22" s="1136" t="str">
        <f>IF(AND(E15&lt;&gt;"Select Battery ",ISNUMBER(E17),ISNUMBER(E18),ISNUMBER(E19),ISNUMBER(E20),ISNUMBER(E21),ISNUMBER(E22)),"Opt to enter detailed inputs for transportation", "")</f>
        <v>Opt to enter detailed inputs for transportation</v>
      </c>
      <c r="I22"/>
      <c r="J22"/>
      <c r="K22"/>
      <c r="L22"/>
    </row>
    <row r="23" spans="3:34">
      <c r="AC23" s="111" t="s">
        <v>314</v>
      </c>
      <c r="AD23" s="111" t="s">
        <v>353</v>
      </c>
      <c r="AE23" s="111" t="s">
        <v>382</v>
      </c>
      <c r="AF23" s="111" t="s">
        <v>144</v>
      </c>
      <c r="AG23" s="111" t="s">
        <v>1970</v>
      </c>
      <c r="AH23" s="111" t="s">
        <v>1970</v>
      </c>
    </row>
    <row r="24" spans="3:34">
      <c r="AC24" s="111" t="s">
        <v>309</v>
      </c>
      <c r="AD24" s="111" t="s">
        <v>21</v>
      </c>
      <c r="AE24" s="111" t="s">
        <v>378</v>
      </c>
      <c r="AF24" s="111" t="s">
        <v>42</v>
      </c>
      <c r="AG24" s="111" t="s">
        <v>1575</v>
      </c>
      <c r="AH24" s="111" t="s">
        <v>1575</v>
      </c>
    </row>
    <row r="25" spans="3:34">
      <c r="AC25" s="111" t="s">
        <v>310</v>
      </c>
      <c r="AD25" s="111" t="s">
        <v>354</v>
      </c>
      <c r="AE25" s="111" t="s">
        <v>379</v>
      </c>
      <c r="AF25" s="111" t="s">
        <v>1029</v>
      </c>
      <c r="AG25" s="111" t="s">
        <v>1573</v>
      </c>
      <c r="AH25" s="111" t="s">
        <v>1572</v>
      </c>
    </row>
    <row r="26" spans="3:34">
      <c r="H26" s="115" t="str">
        <f>IF(AND(E15="Cell",OR(ISNUMBER(SEARCH("module",D28)),ISNUMBER(SEARCH("module",D29)),ISNUMBER(SEARCH("module",D30)),ISNUMBER(SEARCH("module",D31)),ISNUMBER(SEARCH("module",D32)))),"Error! Please change E15 to Pack","")</f>
        <v/>
      </c>
      <c r="AC26" s="111" t="s">
        <v>311</v>
      </c>
      <c r="AD26" s="111" t="s">
        <v>385</v>
      </c>
      <c r="AE26" s="111" t="s">
        <v>380</v>
      </c>
      <c r="AF26" s="111" t="s">
        <v>1540</v>
      </c>
    </row>
    <row r="27" spans="3:34" ht="15.5">
      <c r="C27" s="1315" t="s">
        <v>1706</v>
      </c>
      <c r="D27" s="1743" t="s">
        <v>1709</v>
      </c>
      <c r="E27" s="1744"/>
      <c r="F27" s="1394" t="s">
        <v>1716</v>
      </c>
      <c r="G27" s="1752"/>
      <c r="H27" s="1753"/>
      <c r="AC27" s="111" t="s">
        <v>312</v>
      </c>
      <c r="AD27" s="111" t="s">
        <v>355</v>
      </c>
      <c r="AE27" s="111" t="s">
        <v>381</v>
      </c>
      <c r="AF27" s="111" t="s">
        <v>667</v>
      </c>
    </row>
    <row r="28" spans="3:34" ht="15.5">
      <c r="C28" s="1511" t="s">
        <v>667</v>
      </c>
      <c r="D28" s="1745" t="s">
        <v>1713</v>
      </c>
      <c r="E28" s="1746"/>
      <c r="F28" s="1454">
        <v>10000</v>
      </c>
      <c r="G28" s="1126" t="str">
        <f>IF(AND(C28&lt;&gt;"Select Chemistry",D28&lt;&gt;"Select Type",ISNUMBER(F28)),"Opt to specify material composition for feedstock","")</f>
        <v>Opt to specify material composition for feedstock</v>
      </c>
      <c r="H28" s="1093" t="str">
        <f>IF(D28="Black mass","Black mass is sent directly to CM recovery plant","")</f>
        <v>Black mass is sent directly to CM recovery plant</v>
      </c>
      <c r="AC28" s="111" t="s">
        <v>313</v>
      </c>
      <c r="AD28" s="111" t="s">
        <v>356</v>
      </c>
      <c r="AF28" s="111" t="s">
        <v>669</v>
      </c>
    </row>
    <row r="29" spans="3:34" ht="15.5">
      <c r="C29" s="1512" t="s">
        <v>144</v>
      </c>
      <c r="D29" s="1745" t="s">
        <v>1710</v>
      </c>
      <c r="E29" s="1746"/>
      <c r="F29" s="1454"/>
      <c r="G29" s="1126" t="str">
        <f>IF(AND(C29&lt;&gt;"Select Chemistry",D29&lt;&gt;"Select Type",ISNUMBER(F29)),"Opt to specify material composition for feedstock","")</f>
        <v/>
      </c>
      <c r="H29" s="1093" t="str">
        <f>IF(D29="Black mass","Black mass is sent directly to CM recovery plant","")</f>
        <v/>
      </c>
      <c r="AF29" s="111" t="s">
        <v>73</v>
      </c>
    </row>
    <row r="30" spans="3:34" ht="15.5">
      <c r="C30" s="1512" t="s">
        <v>144</v>
      </c>
      <c r="D30" s="1745" t="s">
        <v>1710</v>
      </c>
      <c r="E30" s="1746"/>
      <c r="F30" s="1454"/>
      <c r="G30" s="1126" t="str">
        <f>IF(AND(C30&lt;&gt;"Select Chemistry",D30&lt;&gt;"Select Type",ISNUMBER(F30)),"Opt to specify material composition for feedstock","")</f>
        <v/>
      </c>
      <c r="H30" s="1093" t="str">
        <f>IF(D30="Black mass","Black mass is sent directly to CM recovery plant","")</f>
        <v/>
      </c>
    </row>
    <row r="31" spans="3:34" ht="15.5">
      <c r="C31" s="1512" t="s">
        <v>144</v>
      </c>
      <c r="D31" s="1745" t="s">
        <v>1710</v>
      </c>
      <c r="E31" s="1746"/>
      <c r="F31" s="1454"/>
      <c r="G31" s="1126" t="str">
        <f>IF(AND(C31&lt;&gt;"Select Chemistry",D31&lt;&gt;"Select Type",ISNUMBER(F31)),"Opt to specify material composition for feedstock","")</f>
        <v/>
      </c>
      <c r="H31" s="1093" t="str">
        <f>IF(D31="Black mass","Black mass is sent directly to CM recovery plant","")</f>
        <v/>
      </c>
    </row>
    <row r="32" spans="3:34" ht="15.5">
      <c r="C32" s="1513" t="s">
        <v>144</v>
      </c>
      <c r="D32" s="1745" t="s">
        <v>1710</v>
      </c>
      <c r="E32" s="1746"/>
      <c r="F32" s="1454"/>
      <c r="G32" s="1126" t="str">
        <f>IF(AND(C32&lt;&gt;"Select Chemistry",D32&lt;&gt;"Select Type",ISNUMBER(F32)),"Opt to specify material composition for feedstock","")</f>
        <v/>
      </c>
      <c r="H32" s="1093" t="str">
        <f>IF(D32="Black mass","Black mass is sent directly to CM recovery plant","")</f>
        <v/>
      </c>
    </row>
    <row r="33" spans="1:41" ht="15.75" customHeight="1">
      <c r="C33" s="1693" t="s">
        <v>3</v>
      </c>
      <c r="D33" s="1695"/>
      <c r="E33" s="1453" t="s">
        <v>49</v>
      </c>
      <c r="F33" s="1126" t="str">
        <f>IF(AND(E33="User-defined", OR(ISBLANK('Geographic Par.'!H31),ISBLANK('Geographic Par.'!H32),ISBLANK('Geographic Par.'!H33),ISBLANK('Geographic Par.'!H34),ISBLANK('Geographic Par.'!H35),ISBLANK('Geographic Par.'!H37),ISBLANK('Geographic Par.'!H36), 'Geographic Par.'!J70=0)), "Click to specify geographical parameters", "")</f>
        <v/>
      </c>
      <c r="G33"/>
      <c r="H33" s="1361" t="str">
        <f>IF(AND(AND(C28&lt;&gt;"Select Chemistry",G28="Opt to specify material composition for feedstock"),OR(C29="Select Chemistry",AND(C29&lt;&gt;"Select Chemistry",G29="Opt to specify material composition for feedstock")),OR(C30="Select Chemistry",AND(C30&lt;&gt;"Select Chemistry",G30="Opt to specify material composition for feedstock")),OR(C31="Select Chemistry",AND(C31&lt;&gt;"Select Chemistry",G31="Opt to specify material composition for feedstock")),OR(C32="Select Chemistry",AND(C32&lt;&gt;"Select Chemistry",G32="Opt to specify material composition for feedstock")),E33&lt;&gt;"Select Location", F33&lt;&gt;"Click to specify geographical parameters"), "Required inputs all entered. Go to Output for results.", "")</f>
        <v>Required inputs all entered. Go to Output for results.</v>
      </c>
    </row>
    <row r="34" spans="1:41" ht="15.5">
      <c r="H34" s="1136" t="str">
        <f>IF(AND(AND(C28&lt;&gt;"Select Chemistry",G28="Opt to specify material composition for feedstock"),OR(C29="Select Chemistry",AND(C29&lt;&gt;"Select Chemistry",G29="Opt to specify material composition for feedstock")),OR(C30="Select Chemistry",AND(C30&lt;&gt;"Select Chemistry",G30="Opt to specify material composition for feedstock")),OR(C31="Select Chemistry",AND(C31&lt;&gt;"Select Chemistry",G31="Opt to specify material composition for feedstock")),OR(C32="Select Chemistry",AND(C32&lt;&gt;"Select Chemistry",G32="Opt to specify material composition for feedstock")),E33&lt;&gt;"Select Location", F33&lt;&gt;"Click to specify geographical parameters"), "Opt to enter detailed inputs for preprocessing", "")</f>
        <v>Opt to enter detailed inputs for preprocessing</v>
      </c>
      <c r="AC34" s="111" t="s">
        <v>146</v>
      </c>
      <c r="AD34" s="111" t="s">
        <v>145</v>
      </c>
      <c r="AE34" s="111" t="s">
        <v>1267</v>
      </c>
      <c r="AF34"/>
      <c r="AG34" s="111" t="s">
        <v>1710</v>
      </c>
    </row>
    <row r="35" spans="1:41" ht="15" customHeight="1">
      <c r="H35" s="1136" t="str">
        <f>IF(AND(AND(C28&lt;&gt;"Select Chemistry",G28="Opt to specify material composition for feedstock"),OR(C29="Select Chemistry",AND(C29&lt;&gt;"Select Chemistry",G29="Opt to specify material composition for feedstock")),OR(C30="Select Chemistry",AND(C30&lt;&gt;"Select Chemistry",G30="Opt to specify material composition for feedstock")),OR(C31="Select Chemistry",AND(C31&lt;&gt;"Select Chemistry",G31="Opt to specify material composition for feedstock")),OR(C32="Select Chemistry",AND(C32&lt;&gt;"Select Chemistry",G32="Opt to specify material composition for feedstock")),E33&lt;&gt;"Select Location", F33&lt;&gt;"Click to specify geographical parameters"), "Opt to enter detailed inputs for CM recovery", "")</f>
        <v>Opt to enter detailed inputs for CM recovery</v>
      </c>
      <c r="AC35" s="111" t="s">
        <v>43</v>
      </c>
      <c r="AD35" s="111" t="s">
        <v>47</v>
      </c>
      <c r="AE35" s="111" t="s">
        <v>50</v>
      </c>
      <c r="AF35"/>
      <c r="AG35" s="111" t="s">
        <v>1726</v>
      </c>
    </row>
    <row r="36" spans="1:41">
      <c r="D36" s="111"/>
      <c r="AC36" s="111" t="s">
        <v>44</v>
      </c>
      <c r="AD36" s="111" t="s">
        <v>682</v>
      </c>
      <c r="AE36" s="111" t="s">
        <v>1263</v>
      </c>
      <c r="AF36"/>
      <c r="AG36" s="111" t="s">
        <v>1714</v>
      </c>
    </row>
    <row r="37" spans="1:41">
      <c r="D37" s="111"/>
      <c r="AC37" s="111" t="s">
        <v>672</v>
      </c>
      <c r="AD37" s="111" t="s">
        <v>48</v>
      </c>
      <c r="AG37" s="111" t="s">
        <v>1715</v>
      </c>
    </row>
    <row r="38" spans="1:41">
      <c r="C38" s="1419" t="s">
        <v>153</v>
      </c>
      <c r="D38" s="1368"/>
      <c r="E38" s="1453" t="s">
        <v>144</v>
      </c>
      <c r="AC38" s="111" t="s">
        <v>36</v>
      </c>
      <c r="AD38" s="111" t="s">
        <v>49</v>
      </c>
      <c r="AG38" s="111" t="s">
        <v>1711</v>
      </c>
    </row>
    <row r="39" spans="1:41">
      <c r="C39" s="1748" t="s">
        <v>1</v>
      </c>
      <c r="D39" s="1750" t="s">
        <v>585</v>
      </c>
      <c r="E39" s="1315" t="s">
        <v>51</v>
      </c>
      <c r="F39" s="1315" t="s">
        <v>63</v>
      </c>
      <c r="G39" s="1394" t="s">
        <v>52</v>
      </c>
      <c r="AD39" s="111" t="s">
        <v>52</v>
      </c>
      <c r="AG39" s="111" t="s">
        <v>1712</v>
      </c>
    </row>
    <row r="40" spans="1:41" ht="15.75" customHeight="1">
      <c r="C40" s="1749"/>
      <c r="D40" s="1751"/>
      <c r="E40" s="1449">
        <f>IF(ISNUMBER(G40),G40,F40)</f>
        <v>0</v>
      </c>
      <c r="F40" s="1468">
        <f>IFERROR('Mat. Conv Par.'!D10/VLOOKUP(E38,'CM Rec Par.'!G74:R82,12,FALSE)*SUM(F28:F32),0)</f>
        <v>0</v>
      </c>
      <c r="G40" s="1447">
        <v>0</v>
      </c>
      <c r="H40" s="1361" t="str">
        <f>IF(AND(E38&lt;&gt;"Select Chemistry",E41&lt;&gt;"Select Location",F41&lt;&gt;"Click to Specify geographical parameters", E40&lt;&gt;0), "Required inputs all entered. Go to Output for results. ","")</f>
        <v/>
      </c>
      <c r="AG40" s="111" t="s">
        <v>1713</v>
      </c>
    </row>
    <row r="41" spans="1:41" ht="15.5">
      <c r="C41" s="1419" t="s">
        <v>3</v>
      </c>
      <c r="D41" s="1368"/>
      <c r="E41" s="1453" t="s">
        <v>145</v>
      </c>
      <c r="F41" s="1126" t="str">
        <f>IF(AND(E41="User-defined",OR(ISBLANK('Geographic Par.'!H42), ISBLANK('Geographic Par.'!H43),ISBLANK('Geographic Par.'!H44),ISBLANK('Geographic Par.'!H45),ISBLANK('Geographic Par.'!H46), 'Geographic Par.'!K70=0)),"Click to specify geographical parameters", "")</f>
        <v/>
      </c>
      <c r="G41"/>
      <c r="H41" s="1136" t="str">
        <f>IF(AND(E38&lt;&gt;"Select Chemistry",E41&lt;&gt;"Select Location",F41&lt;&gt;"Click to Specify geographical parameters", E40&lt;&gt;0), "Opt to enter detailed inputs for cathode powder production","")</f>
        <v/>
      </c>
    </row>
    <row r="42" spans="1:41" ht="17.149999999999999" customHeight="1">
      <c r="A42" s="117"/>
      <c r="H42" s="133"/>
    </row>
    <row r="43" spans="1:41" ht="15" customHeight="1">
      <c r="A43" s="117"/>
      <c r="B43"/>
      <c r="C43"/>
      <c r="D43"/>
      <c r="E43"/>
      <c r="F43"/>
      <c r="G43"/>
      <c r="H43"/>
      <c r="AC43"/>
      <c r="AD43"/>
      <c r="AE43"/>
      <c r="AF43"/>
      <c r="AG43"/>
      <c r="AH43"/>
    </row>
    <row r="44" spans="1:41" ht="15.5">
      <c r="A44" s="117"/>
      <c r="B44"/>
      <c r="C44"/>
      <c r="D44"/>
      <c r="E44"/>
      <c r="F44"/>
      <c r="G44"/>
      <c r="H44" s="526" t="s">
        <v>1705</v>
      </c>
      <c r="AC44"/>
      <c r="AD44"/>
      <c r="AE44"/>
      <c r="AF44"/>
      <c r="AG44"/>
      <c r="AH44"/>
      <c r="AI44"/>
      <c r="AJ44"/>
      <c r="AK44"/>
      <c r="AL44"/>
      <c r="AM44"/>
      <c r="AN44"/>
      <c r="AO44"/>
    </row>
    <row r="45" spans="1:41" ht="15.5">
      <c r="A45" s="117"/>
      <c r="B45"/>
      <c r="C45"/>
      <c r="D45"/>
      <c r="E45"/>
      <c r="F45"/>
      <c r="G45"/>
      <c r="H45" s="526"/>
      <c r="AC45"/>
      <c r="AD45"/>
      <c r="AE45"/>
      <c r="AF45"/>
      <c r="AG45"/>
      <c r="AH45"/>
      <c r="AI45"/>
      <c r="AJ45"/>
      <c r="AK45"/>
      <c r="AL45"/>
      <c r="AM45"/>
      <c r="AN45"/>
      <c r="AO45"/>
    </row>
    <row r="46" spans="1:41">
      <c r="A46" s="117"/>
      <c r="B46"/>
      <c r="C46" s="1419" t="s">
        <v>2</v>
      </c>
      <c r="D46" s="1368"/>
      <c r="E46" s="1460" t="str">
        <f>E38</f>
        <v>Select Chemistry</v>
      </c>
      <c r="AC46"/>
      <c r="AD46"/>
      <c r="AE46"/>
      <c r="AF46"/>
      <c r="AG46"/>
      <c r="AH46"/>
      <c r="AI46"/>
      <c r="AJ46"/>
      <c r="AK46"/>
      <c r="AL46"/>
      <c r="AM46"/>
      <c r="AN46"/>
      <c r="AO46"/>
    </row>
    <row r="47" spans="1:41">
      <c r="A47" s="117"/>
      <c r="C47" s="1739" t="s">
        <v>1</v>
      </c>
      <c r="D47" s="1741" t="s">
        <v>1666</v>
      </c>
      <c r="E47" s="1315" t="s">
        <v>51</v>
      </c>
      <c r="F47" s="1315" t="s">
        <v>63</v>
      </c>
      <c r="G47" s="1394" t="s">
        <v>52</v>
      </c>
      <c r="H47" s="133"/>
      <c r="AC47"/>
      <c r="AD47"/>
      <c r="AE47"/>
      <c r="AF47"/>
      <c r="AG47"/>
      <c r="AH47"/>
      <c r="AI47"/>
      <c r="AJ47"/>
      <c r="AK47"/>
      <c r="AL47"/>
      <c r="AM47"/>
      <c r="AN47"/>
      <c r="AO47"/>
    </row>
    <row r="48" spans="1:41" ht="15.5">
      <c r="A48" s="117"/>
      <c r="C48" s="1740"/>
      <c r="D48" s="1742"/>
      <c r="E48" s="1515">
        <f>IF(ISNUMBER(G48),G48,F48)</f>
        <v>0</v>
      </c>
      <c r="F48" s="1514">
        <f>IF(E40&lt;&gt;0,E40/'Man Rec Par.'!AC65/'Man Rec Par.'!AC19*'Man Rec Par.'!AC18,0)/1000</f>
        <v>0</v>
      </c>
      <c r="G48" s="1462"/>
      <c r="H48" s="1356" t="str">
        <f>IF(E40&lt;&gt;0,(ROUNDUP(E40/'Man Rec Par.'!AC65,0)&amp;" tonnes of cells can be produced from recycled cathode"),"")</f>
        <v/>
      </c>
      <c r="AC48"/>
      <c r="AD48"/>
      <c r="AE48"/>
      <c r="AF48"/>
      <c r="AG48"/>
      <c r="AH48"/>
      <c r="AI48"/>
      <c r="AJ48"/>
      <c r="AK48"/>
      <c r="AL48"/>
      <c r="AM48"/>
      <c r="AN48"/>
      <c r="AO48"/>
    </row>
    <row r="49" spans="2:41" ht="15.5">
      <c r="C49" s="1461" t="str">
        <f>E46</f>
        <v>Select Chemistry</v>
      </c>
      <c r="D49" s="1455" t="s">
        <v>6</v>
      </c>
      <c r="E49" s="1464">
        <f>IF(ISNUMBER(G49),G49,F49)</f>
        <v>0</v>
      </c>
      <c r="F49" s="1467">
        <f>IF(ISNUMBER(E40/'Man Rec Par.'!AC65/'Man Rec Par.'!AC19*'Man Rec Par.'!AC18/1000/E48),E40/'Man Rec Par.'!AC65/'Man Rec Par.'!AC19*'Man Rec Par.'!AC18/1000/E48,0)</f>
        <v>0</v>
      </c>
      <c r="G49" s="1465"/>
      <c r="H49" s="115" t="str">
        <f>IF(E49&gt;1,"Warning: percentage &gt;100%", "")</f>
        <v/>
      </c>
      <c r="AC49"/>
      <c r="AD49"/>
      <c r="AE49"/>
      <c r="AF49"/>
      <c r="AG49"/>
      <c r="AH49"/>
      <c r="AI49"/>
      <c r="AJ49"/>
      <c r="AK49"/>
      <c r="AL49"/>
      <c r="AM49"/>
      <c r="AN49"/>
      <c r="AO49"/>
    </row>
    <row r="50" spans="2:41">
      <c r="C50" s="1458" t="s">
        <v>661</v>
      </c>
      <c r="D50" s="1456" t="s">
        <v>6</v>
      </c>
      <c r="E50" s="1464">
        <f>IF(ISNUMBER(G50),G50,F50)</f>
        <v>0</v>
      </c>
      <c r="F50" s="1448">
        <v>0</v>
      </c>
      <c r="G50" s="1465"/>
      <c r="H50" s="115" t="str">
        <f>IF(E50&gt;1,"Warning: percentage &gt;100%", "")</f>
        <v/>
      </c>
      <c r="AC50"/>
      <c r="AD50"/>
      <c r="AE50"/>
      <c r="AF50"/>
      <c r="AG50"/>
      <c r="AH50"/>
      <c r="AI50"/>
      <c r="AJ50"/>
      <c r="AK50"/>
      <c r="AL50"/>
      <c r="AM50"/>
      <c r="AN50"/>
      <c r="AO50"/>
    </row>
    <row r="51" spans="2:41">
      <c r="C51" s="1459" t="s">
        <v>661</v>
      </c>
      <c r="D51" s="1446" t="s">
        <v>6</v>
      </c>
      <c r="E51" s="1464">
        <f>IF(ISNUMBER(G51),G51,F51)</f>
        <v>0</v>
      </c>
      <c r="F51" s="1448">
        <v>0</v>
      </c>
      <c r="G51" s="1466"/>
      <c r="H51" s="115" t="str">
        <f>IF(E51&gt;1,"Warning: percentage &gt;100%", "")</f>
        <v/>
      </c>
      <c r="AC51"/>
      <c r="AD51"/>
      <c r="AE51"/>
      <c r="AF51"/>
      <c r="AG51"/>
      <c r="AH51"/>
      <c r="AI51"/>
      <c r="AJ51"/>
      <c r="AK51"/>
      <c r="AL51"/>
      <c r="AM51"/>
      <c r="AN51"/>
      <c r="AO51"/>
    </row>
    <row r="52" spans="2:41" ht="15.5">
      <c r="C52" s="1419" t="s">
        <v>3</v>
      </c>
      <c r="D52" s="1368"/>
      <c r="E52" s="1453" t="s">
        <v>49</v>
      </c>
      <c r="F52" s="111" t="str">
        <f>IF(AND(E33="User-defined", OR(ISBLANK('Geographic Par.'!H51),ISBLANK('Geographic Par.'!H52),ISBLANK('Geographic Par.'!H53), 'Geographic Par.'!L70=0)), "Click to specify geographical parameters", "")</f>
        <v/>
      </c>
      <c r="H52" s="1129" t="str">
        <f>IF(AND(ISNUMBER(E48),E52&lt;&gt;"Select Location", F52&lt;&gt;"Click to specify geographical parameters",ISNUMBER(E49)),"Required inputs all entered. Go to Output for results","")</f>
        <v>Required inputs all entered. Go to Output for results</v>
      </c>
      <c r="AC52"/>
      <c r="AD52"/>
      <c r="AE52"/>
      <c r="AF52"/>
      <c r="AG52"/>
      <c r="AH52"/>
      <c r="AI52"/>
      <c r="AJ52"/>
      <c r="AK52"/>
      <c r="AL52"/>
      <c r="AM52"/>
      <c r="AN52"/>
      <c r="AO52"/>
    </row>
    <row r="53" spans="2:41" ht="15.5">
      <c r="D53" s="111"/>
      <c r="H53" s="1136" t="str">
        <f>IF(AND(ISNUMBER(E48),E52&lt;&gt;"Select Location", F52&lt;&gt;"Click to specify geographical parameters",ISNUMBER(E49)),"Opt to enter detailed inputs for battery manufacture","")</f>
        <v>Opt to enter detailed inputs for battery manufacture</v>
      </c>
      <c r="AC53"/>
      <c r="AD53"/>
      <c r="AE53"/>
      <c r="AF53"/>
      <c r="AG53"/>
      <c r="AH53"/>
      <c r="AI53"/>
      <c r="AJ53"/>
      <c r="AK53"/>
      <c r="AL53"/>
      <c r="AM53"/>
      <c r="AN53"/>
      <c r="AO53"/>
    </row>
    <row r="54" spans="2:41">
      <c r="B54"/>
      <c r="D54" s="111"/>
      <c r="F54"/>
      <c r="G54"/>
      <c r="H54"/>
      <c r="AC54"/>
      <c r="AD54"/>
      <c r="AE54"/>
      <c r="AF54"/>
      <c r="AG54"/>
      <c r="AH54"/>
      <c r="AI54"/>
      <c r="AJ54"/>
      <c r="AK54"/>
      <c r="AL54"/>
      <c r="AM54"/>
      <c r="AN54"/>
      <c r="AO54"/>
    </row>
    <row r="55" spans="2:41">
      <c r="B55"/>
      <c r="C55"/>
      <c r="D55"/>
      <c r="E55"/>
      <c r="F55"/>
      <c r="G55"/>
      <c r="H55"/>
      <c r="AC55"/>
      <c r="AD55"/>
      <c r="AE55"/>
      <c r="AF55"/>
      <c r="AG55"/>
      <c r="AH55"/>
      <c r="AI55"/>
      <c r="AJ55"/>
      <c r="AK55"/>
      <c r="AL55"/>
      <c r="AM55"/>
      <c r="AN55"/>
      <c r="AO55"/>
    </row>
    <row r="56" spans="2:41">
      <c r="B56"/>
      <c r="C56"/>
      <c r="D56"/>
      <c r="E56"/>
      <c r="F56"/>
      <c r="G56"/>
      <c r="H56"/>
      <c r="AC56"/>
      <c r="AD56"/>
      <c r="AE56"/>
      <c r="AF56"/>
      <c r="AG56"/>
      <c r="AH56"/>
      <c r="AI56"/>
      <c r="AJ56"/>
      <c r="AK56"/>
      <c r="AL56"/>
      <c r="AM56"/>
      <c r="AN56"/>
      <c r="AO56"/>
    </row>
    <row r="57" spans="2:41">
      <c r="D57" s="111"/>
      <c r="AC57"/>
      <c r="AD57"/>
      <c r="AE57"/>
      <c r="AF57"/>
      <c r="AG57"/>
      <c r="AH57"/>
      <c r="AI57"/>
      <c r="AJ57"/>
      <c r="AK57"/>
      <c r="AL57"/>
      <c r="AM57"/>
      <c r="AN57"/>
      <c r="AO57"/>
    </row>
    <row r="58" spans="2:41">
      <c r="AC58"/>
      <c r="AD58"/>
      <c r="AE58"/>
      <c r="AF58"/>
      <c r="AG58"/>
      <c r="AH58"/>
      <c r="AI58"/>
      <c r="AJ58"/>
      <c r="AK58"/>
      <c r="AL58"/>
      <c r="AM58"/>
      <c r="AN58"/>
      <c r="AO58"/>
    </row>
    <row r="59" spans="2:41">
      <c r="AC59"/>
      <c r="AD59"/>
      <c r="AE59"/>
      <c r="AF59"/>
      <c r="AG59"/>
      <c r="AH59"/>
      <c r="AI59"/>
      <c r="AJ59"/>
      <c r="AK59"/>
      <c r="AL59"/>
      <c r="AM59"/>
      <c r="AN59"/>
      <c r="AO59"/>
    </row>
    <row r="60" spans="2:41">
      <c r="AC60"/>
      <c r="AD60"/>
      <c r="AE60"/>
      <c r="AF60"/>
      <c r="AG60"/>
      <c r="AH60"/>
      <c r="AI60"/>
      <c r="AJ60"/>
      <c r="AK60"/>
      <c r="AL60"/>
      <c r="AM60"/>
      <c r="AN60"/>
      <c r="AO60"/>
    </row>
    <row r="61" spans="2:41">
      <c r="AC61"/>
      <c r="AD61"/>
      <c r="AE61"/>
      <c r="AF61"/>
      <c r="AG61"/>
      <c r="AH61"/>
      <c r="AI61"/>
      <c r="AJ61"/>
      <c r="AK61"/>
      <c r="AL61"/>
      <c r="AM61"/>
      <c r="AN61"/>
      <c r="AO61"/>
    </row>
    <row r="62" spans="2:41">
      <c r="AC62"/>
      <c r="AD62"/>
      <c r="AE62"/>
      <c r="AF62"/>
      <c r="AG62"/>
      <c r="AH62"/>
      <c r="AI62"/>
      <c r="AJ62"/>
      <c r="AK62"/>
      <c r="AL62"/>
      <c r="AM62"/>
      <c r="AN62"/>
      <c r="AO62"/>
    </row>
    <row r="63" spans="2:41">
      <c r="AC63"/>
      <c r="AD63"/>
      <c r="AE63"/>
      <c r="AF63"/>
      <c r="AG63"/>
      <c r="AH63"/>
    </row>
    <row r="64" spans="2:41">
      <c r="AC64"/>
      <c r="AD64"/>
      <c r="AE64"/>
      <c r="AF64"/>
      <c r="AG64"/>
      <c r="AH64"/>
    </row>
    <row r="65" spans="5:34">
      <c r="AC65"/>
      <c r="AD65"/>
      <c r="AE65"/>
      <c r="AF65"/>
      <c r="AG65"/>
      <c r="AH65"/>
    </row>
    <row r="66" spans="5:34">
      <c r="AC66"/>
      <c r="AD66"/>
      <c r="AE66"/>
      <c r="AF66"/>
      <c r="AG66"/>
      <c r="AH66"/>
    </row>
    <row r="67" spans="5:34">
      <c r="AC67"/>
      <c r="AD67"/>
      <c r="AE67"/>
      <c r="AF67"/>
      <c r="AG67"/>
      <c r="AH67"/>
    </row>
    <row r="68" spans="5:34">
      <c r="AC68"/>
      <c r="AD68"/>
      <c r="AE68"/>
      <c r="AF68"/>
      <c r="AG68"/>
      <c r="AH68"/>
    </row>
    <row r="69" spans="5:34">
      <c r="AC69"/>
      <c r="AD69"/>
      <c r="AE69"/>
      <c r="AF69"/>
      <c r="AG69"/>
      <c r="AH69"/>
    </row>
    <row r="70" spans="5:34">
      <c r="AC70" s="111" t="s">
        <v>661</v>
      </c>
      <c r="AD70" s="111" t="s">
        <v>43</v>
      </c>
      <c r="AE70" s="111" t="s">
        <v>44</v>
      </c>
      <c r="AF70" s="111" t="s">
        <v>45</v>
      </c>
      <c r="AG70" s="111" t="s">
        <v>46</v>
      </c>
      <c r="AH70" s="111" t="s">
        <v>36</v>
      </c>
    </row>
    <row r="71" spans="5:34">
      <c r="AC71" s="111" t="s">
        <v>54</v>
      </c>
      <c r="AE71" s="111" t="s">
        <v>54</v>
      </c>
      <c r="AF71" s="111" t="s">
        <v>54</v>
      </c>
      <c r="AG71" s="111" t="s">
        <v>54</v>
      </c>
    </row>
    <row r="72" spans="5:34">
      <c r="AC72" s="111" t="s">
        <v>299</v>
      </c>
      <c r="AG72" s="111" t="s">
        <v>299</v>
      </c>
    </row>
    <row r="73" spans="5:34">
      <c r="AC73" s="116" t="str">
        <f>IFERROR(HLOOKUP(#REF!, $AD$70:$AH$75, ROW(AC73)-ROW(AC$70)+1,FALSE), "")</f>
        <v/>
      </c>
    </row>
    <row r="74" spans="5:34">
      <c r="AC74" s="116" t="str">
        <f>IFERROR(HLOOKUP(#REF!, $AD$70:$AH$75, ROW(AC74)-ROW(AC$70)+1,FALSE), "")</f>
        <v/>
      </c>
    </row>
    <row r="75" spans="5:34">
      <c r="AC75" s="116" t="str">
        <f>IFERROR(HLOOKUP(#REF!, $AD$70:$AH$75, ROW(AC75)-ROW(AC$70)+1,FALSE), "")</f>
        <v/>
      </c>
    </row>
    <row r="79" spans="5:34">
      <c r="E79"/>
      <c r="F79"/>
      <c r="G79"/>
    </row>
    <row r="80" spans="5:34">
      <c r="E80"/>
      <c r="F80"/>
      <c r="G80"/>
    </row>
    <row r="83" spans="3:7">
      <c r="C83"/>
      <c r="E83"/>
      <c r="F83"/>
      <c r="G83"/>
    </row>
  </sheetData>
  <dataConsolidate link="1"/>
  <mergeCells count="15">
    <mergeCell ref="B2:G2"/>
    <mergeCell ref="C7:C8"/>
    <mergeCell ref="D7:D8"/>
    <mergeCell ref="C39:C40"/>
    <mergeCell ref="D39:D40"/>
    <mergeCell ref="G27:H27"/>
    <mergeCell ref="C47:C48"/>
    <mergeCell ref="D47:D48"/>
    <mergeCell ref="D27:E27"/>
    <mergeCell ref="D28:E28"/>
    <mergeCell ref="D29:E29"/>
    <mergeCell ref="D30:E30"/>
    <mergeCell ref="D31:E31"/>
    <mergeCell ref="D32:E32"/>
    <mergeCell ref="C33:D33"/>
  </mergeCells>
  <phoneticPr fontId="153" type="noConversion"/>
  <dataValidations count="6">
    <dataValidation type="list" allowBlank="1" showInputMessage="1" showErrorMessage="1" sqref="E10 E41 E33 E52" xr:uid="{00000000-0002-0000-0100-000000000000}">
      <formula1>Locations</formula1>
    </dataValidation>
    <dataValidation type="list" allowBlank="1" showInputMessage="1" showErrorMessage="1" sqref="C28:C32 E9" xr:uid="{00000000-0002-0000-0100-000002000000}">
      <formula1>Chemistry</formula1>
    </dataValidation>
    <dataValidation type="list" allowBlank="1" showInputMessage="1" showErrorMessage="1" sqref="C50:C51" xr:uid="{00000000-0002-0000-0100-000004000000}">
      <formula1>Recycled_Other</formula1>
    </dataValidation>
    <dataValidation type="list" allowBlank="1" showInputMessage="1" showErrorMessage="1" sqref="E38" xr:uid="{00000000-0002-0000-0100-000005000000}">
      <formula1>CathProdChemistry</formula1>
    </dataValidation>
    <dataValidation type="list" allowBlank="1" showInputMessage="1" showErrorMessage="1" sqref="E6 E15" xr:uid="{F0A16A91-6695-074F-80CA-223A1D96319B}">
      <formula1>Select_Battery</formula1>
    </dataValidation>
    <dataValidation type="list" allowBlank="1" showInputMessage="1" showErrorMessage="1" sqref="D28:E32" xr:uid="{436066C2-654A-47E3-8AE2-D88EDCFF73A3}">
      <formula1>Select_Type</formula1>
    </dataValidation>
  </dataValidations>
  <hyperlinks>
    <hyperlink ref="F10" location="'Geographic Par.'!A4" tooltip="Go to details for user-defined location" display="'Geographic Par.'!A4" xr:uid="{00000000-0004-0000-0100-000000000000}"/>
    <hyperlink ref="F33" location="'Geographic Par.'!A29" tooltip="Go to details for user-defined location" display="'Geographic Par.'!A29" xr:uid="{00000000-0004-0000-0100-000001000000}"/>
    <hyperlink ref="F41" location="'Geographic Par.'!A40" tooltip="Go to details for user-defined location" display="'Geographic Par.'!A40" xr:uid="{00000000-0004-0000-0100-000002000000}"/>
    <hyperlink ref="H10" location="'Man Par.'!U1" tooltip="Go to &quot;Man Par.&quot; tab for details of battery manufacture" display="'Man Par.'!U1" xr:uid="{00000000-0004-0000-0100-000003000000}"/>
    <hyperlink ref="H22" location="'Col&amp;Trans Par.'!M1" tooltip="Go to &quot;Col&amp;Trans Par&quot; tab for details of battery collection and transportation" display="'Col&amp;Trans Par.'!M1" xr:uid="{00000000-0004-0000-0100-000004000000}"/>
    <hyperlink ref="H34" location="'Preproc. Par.'!A1" tooltip="Go to &quot;Preproc. Par.&quot; for details of preprocessing processes" display="'Preproc. Par.'!A1" xr:uid="{00000000-0004-0000-0100-000005000000}"/>
    <hyperlink ref="H41" location="'Cath. Prod. Par.'!P1" tooltip="Go to &quot;Cath. Man. Par.&quot; tab for details of cathode power production" display="'Cath. Prod. Par.'!P1" xr:uid="{00000000-0004-0000-0100-000006000000}"/>
    <hyperlink ref="H53" location="'Man Rec Par.'!AS1" tooltip="Go to &quot;Man Rec Par.&quot; for details of battery manufacture with recycled materials" display="'Man Rec Par.'!AS1" xr:uid="{00000000-0004-0000-0100-000007000000}"/>
    <hyperlink ref="G28" location="'Preproc. Par.'!A16" display="'Preproc. Par.'!A16" xr:uid="{E8B8F353-01EE-DD4C-AC35-9BD4B8F50332}"/>
    <hyperlink ref="G29" location="'Preproc. Par.'!L16" display="'Preproc. Par.'!L16" xr:uid="{BFFFF568-E375-8041-BC71-A0D81229BDB7}"/>
    <hyperlink ref="G30" location="'Preproc. Par.'!Z16" display="'Preproc. Par.'!Z16" xr:uid="{ADA1033B-220B-814E-8201-7D2C3DFAFACD}"/>
    <hyperlink ref="G31" location="'Preproc. Par.'!Z16" display="'Preproc. Par.'!Z16" xr:uid="{FA7BD413-2115-944D-8F1C-6B0522096B69}"/>
    <hyperlink ref="G32" location="'Preproc. Par.'!Z16" display="'Preproc. Par.'!Z16" xr:uid="{10F612DC-10C1-2C46-BA7A-D6323BD7CFAF}"/>
    <hyperlink ref="H35" location="'CM Rec Par.'!A1" display="'CM Rec Par.'!A1" xr:uid="{9EFA908B-6075-4D7A-87F4-7012815A1E0E}"/>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FF0000"/>
  </sheetPr>
  <dimension ref="B1:BF227"/>
  <sheetViews>
    <sheetView tabSelected="1" topLeftCell="G1" zoomScale="62" zoomScaleNormal="62" workbookViewId="0">
      <pane ySplit="3" topLeftCell="A28" activePane="bottomLeft" state="frozen"/>
      <selection pane="bottomLeft" activeCell="M64" sqref="M64"/>
    </sheetView>
  </sheetViews>
  <sheetFormatPr defaultColWidth="8.83203125" defaultRowHeight="14"/>
  <cols>
    <col min="1" max="1" width="11.4140625" style="111" customWidth="1"/>
    <col min="2" max="2" width="24.4140625" style="111" customWidth="1"/>
    <col min="3" max="3" width="19" style="111" customWidth="1"/>
    <col min="4" max="4" width="15.75" style="111" customWidth="1"/>
    <col min="5" max="5" width="24.4140625" style="111" customWidth="1"/>
    <col min="6" max="6" width="21.4140625" style="110" customWidth="1"/>
    <col min="7" max="7" width="18.83203125" style="111" customWidth="1"/>
    <col min="8" max="8" width="27.4140625" style="111" customWidth="1"/>
    <col min="9" max="9" width="29" style="111" customWidth="1"/>
    <col min="10" max="10" width="21.75" style="111" customWidth="1"/>
    <col min="11" max="11" width="28" style="111" customWidth="1"/>
    <col min="12" max="12" width="19.83203125" style="111" customWidth="1"/>
    <col min="13" max="13" width="31.4140625" style="111" customWidth="1"/>
    <col min="14" max="14" width="17.25" style="111" customWidth="1"/>
    <col min="15" max="15" width="26.75" style="111" customWidth="1"/>
    <col min="16" max="16" width="24.4140625" style="111" customWidth="1"/>
    <col min="17" max="17" width="29.1640625" style="111" customWidth="1"/>
    <col min="18" max="19" width="10.75" style="111" customWidth="1"/>
    <col min="20" max="20" width="29.25" style="111" customWidth="1"/>
    <col min="21" max="27" width="10.75" style="111" customWidth="1"/>
    <col min="28" max="28" width="15" style="111" customWidth="1"/>
    <col min="29" max="33" width="10.75" style="111" customWidth="1"/>
    <col min="34" max="34" width="13" style="111" customWidth="1"/>
    <col min="35" max="51" width="10.75" style="111" customWidth="1"/>
    <col min="52" max="52" width="8.83203125" style="111"/>
    <col min="53" max="53" width="70.75" style="111" customWidth="1"/>
    <col min="54" max="54" width="4.75" style="111" customWidth="1"/>
    <col min="55" max="55" width="40.75" style="111" customWidth="1"/>
    <col min="56" max="77" width="10.75" style="111" customWidth="1"/>
    <col min="78" max="78" width="8.83203125" style="111"/>
    <col min="79" max="79" width="70.75" style="111" customWidth="1"/>
    <col min="80" max="80" width="4.75" style="111" customWidth="1"/>
    <col min="81" max="81" width="40.75" style="111" customWidth="1"/>
    <col min="82" max="103" width="10.75" style="111" customWidth="1"/>
    <col min="104" max="104" width="8.83203125" style="111"/>
    <col min="105" max="105" width="70.75" style="111" customWidth="1"/>
    <col min="106" max="106" width="4.75" style="111" customWidth="1"/>
    <col min="107" max="107" width="40.75" style="111" customWidth="1"/>
    <col min="108" max="129" width="10.75" style="111" customWidth="1"/>
    <col min="130" max="130" width="8.83203125" style="111"/>
    <col min="131" max="131" width="70.75" style="111" customWidth="1"/>
    <col min="132" max="132" width="4.75" style="111" customWidth="1"/>
    <col min="133" max="133" width="40.75" style="111" customWidth="1"/>
    <col min="134" max="155" width="10.75" style="111" customWidth="1"/>
    <col min="156" max="156" width="8.83203125" style="111"/>
    <col min="157" max="157" width="70.75" style="111" customWidth="1"/>
    <col min="158" max="158" width="4.75" style="111" customWidth="1"/>
    <col min="159" max="159" width="40.75" style="111" customWidth="1"/>
    <col min="160" max="161" width="10.75" style="111" customWidth="1"/>
    <col min="162" max="16384" width="8.83203125" style="111"/>
  </cols>
  <sheetData>
    <row r="1" spans="2:48">
      <c r="F1" s="111"/>
    </row>
    <row r="2" spans="2:48">
      <c r="F2" s="111"/>
    </row>
    <row r="3" spans="2:48" ht="14.5" thickBot="1">
      <c r="F3" s="111"/>
    </row>
    <row r="4" spans="2:48" ht="15" customHeight="1">
      <c r="B4" s="1094" t="s">
        <v>627</v>
      </c>
      <c r="C4" s="1097" t="s">
        <v>633</v>
      </c>
      <c r="D4" s="1100" t="s">
        <v>626</v>
      </c>
      <c r="E4" s="1097" t="s">
        <v>635</v>
      </c>
      <c r="F4" s="1101" t="s">
        <v>1590</v>
      </c>
      <c r="I4"/>
      <c r="J4"/>
      <c r="K4"/>
      <c r="L4"/>
      <c r="M4"/>
      <c r="AB4" s="111" t="s">
        <v>1630</v>
      </c>
      <c r="AC4" s="111" t="s">
        <v>1289</v>
      </c>
      <c r="AD4" s="111" t="s">
        <v>1029</v>
      </c>
      <c r="AE4" s="111" t="s">
        <v>1540</v>
      </c>
      <c r="AF4" s="111" t="s">
        <v>667</v>
      </c>
      <c r="AG4" s="111" t="s">
        <v>669</v>
      </c>
      <c r="AH4" s="111" t="s">
        <v>42</v>
      </c>
      <c r="AI4" s="111" t="s">
        <v>73</v>
      </c>
      <c r="AJ4" s="111" t="s">
        <v>148</v>
      </c>
      <c r="AK4" s="111" t="s">
        <v>149</v>
      </c>
      <c r="AM4" s="111" t="s">
        <v>1631</v>
      </c>
      <c r="AN4" s="111" t="s">
        <v>1289</v>
      </c>
      <c r="AO4" s="111" t="s">
        <v>1029</v>
      </c>
      <c r="AP4" s="111" t="s">
        <v>1540</v>
      </c>
      <c r="AQ4" s="111" t="s">
        <v>667</v>
      </c>
      <c r="AR4" s="111" t="s">
        <v>669</v>
      </c>
      <c r="AS4" s="111" t="s">
        <v>42</v>
      </c>
      <c r="AT4" s="111" t="s">
        <v>73</v>
      </c>
      <c r="AU4" s="111" t="s">
        <v>148</v>
      </c>
      <c r="AV4" s="111" t="s">
        <v>149</v>
      </c>
    </row>
    <row r="5" spans="2:48" ht="15" customHeight="1">
      <c r="B5" s="1095" t="s">
        <v>628</v>
      </c>
      <c r="C5" s="1098" t="s">
        <v>639</v>
      </c>
      <c r="D5" s="526"/>
      <c r="E5" s="1098" t="s">
        <v>576</v>
      </c>
      <c r="F5" s="1102" t="s">
        <v>1897</v>
      </c>
      <c r="K5" s="1360"/>
      <c r="L5" s="1360"/>
      <c r="M5" s="1360"/>
      <c r="AC5" s="111" t="s">
        <v>576</v>
      </c>
      <c r="AD5" s="111">
        <v>1</v>
      </c>
      <c r="AE5" s="111">
        <v>1</v>
      </c>
      <c r="AF5" s="111">
        <v>1</v>
      </c>
      <c r="AG5" s="111">
        <v>1</v>
      </c>
      <c r="AH5" s="111">
        <v>1</v>
      </c>
      <c r="AI5" s="111">
        <v>1</v>
      </c>
      <c r="AJ5" s="111">
        <v>1</v>
      </c>
      <c r="AK5" s="111">
        <v>1</v>
      </c>
      <c r="AN5" s="111" t="s">
        <v>576</v>
      </c>
      <c r="AO5" s="111">
        <v>1</v>
      </c>
      <c r="AP5" s="111">
        <v>1</v>
      </c>
      <c r="AQ5" s="111">
        <v>1</v>
      </c>
      <c r="AR5" s="111">
        <v>1</v>
      </c>
      <c r="AS5" s="111">
        <v>1</v>
      </c>
      <c r="AT5" s="111">
        <v>1</v>
      </c>
      <c r="AU5" s="111">
        <v>1</v>
      </c>
      <c r="AV5" s="111">
        <v>1</v>
      </c>
    </row>
    <row r="6" spans="2:48" ht="15" customHeight="1" thickBot="1">
      <c r="B6" s="1096" t="s">
        <v>625</v>
      </c>
      <c r="C6" s="1099" t="s">
        <v>634</v>
      </c>
      <c r="D6" s="635"/>
      <c r="E6" s="1099" t="s">
        <v>576</v>
      </c>
      <c r="F6" s="1103" t="s">
        <v>1080</v>
      </c>
      <c r="K6" s="1360"/>
      <c r="L6" s="1360"/>
      <c r="M6" s="1360"/>
      <c r="AC6" s="111" t="s">
        <v>635</v>
      </c>
      <c r="AD6" s="119">
        <f>1000/AD7</f>
        <v>3.4095170467256244</v>
      </c>
      <c r="AE6" s="119">
        <f>1000/AE7</f>
        <v>3.2327228900223903</v>
      </c>
      <c r="AF6" s="119">
        <f t="shared" ref="AF6:AK6" si="0">1000/AF7</f>
        <v>3.1926408001006279</v>
      </c>
      <c r="AG6" s="119">
        <f t="shared" si="0"/>
        <v>2.9764961727448909</v>
      </c>
      <c r="AH6" s="119">
        <f t="shared" si="0"/>
        <v>4.1904041490766701</v>
      </c>
      <c r="AI6" s="119">
        <f t="shared" si="0"/>
        <v>3.0772994169626515</v>
      </c>
      <c r="AJ6" s="119">
        <f t="shared" si="0"/>
        <v>4.1904041490766701</v>
      </c>
      <c r="AK6" s="119">
        <f t="shared" si="0"/>
        <v>4.2381741808590681</v>
      </c>
      <c r="AN6" s="111" t="s">
        <v>635</v>
      </c>
      <c r="AO6" s="119">
        <f>1000/AO7</f>
        <v>5.3836499136841836</v>
      </c>
      <c r="AP6" s="119">
        <f t="shared" ref="AP6:AV6" si="1">1000/AP7</f>
        <v>5.185990147856419</v>
      </c>
      <c r="AQ6" s="119">
        <f t="shared" si="1"/>
        <v>5.1478562201988156</v>
      </c>
      <c r="AR6" s="119">
        <f t="shared" si="1"/>
        <v>4.8872637525178506</v>
      </c>
      <c r="AS6" s="119">
        <f t="shared" si="1"/>
        <v>6.322220078160341</v>
      </c>
      <c r="AT6" s="119">
        <f t="shared" si="1"/>
        <v>4.9873346004576957</v>
      </c>
      <c r="AU6" s="119">
        <f t="shared" si="1"/>
        <v>6.322220078160341</v>
      </c>
      <c r="AV6" s="119">
        <f t="shared" si="1"/>
        <v>6.4863035850544843</v>
      </c>
    </row>
    <row r="7" spans="2:48" ht="14.5" thickBot="1">
      <c r="F7" s="111"/>
      <c r="AD7" s="119">
        <f>'Man Par.'!D15*1000/'Man Par.'!D16</f>
        <v>293.29667114008521</v>
      </c>
      <c r="AE7" s="119">
        <f>'Man Par.'!E15*1000/'Man Par.'!E16</f>
        <v>309.33675233545114</v>
      </c>
      <c r="AF7" s="119">
        <f>'Man Par.'!F15*1000/'Man Par.'!F16</f>
        <v>313.22032844048141</v>
      </c>
      <c r="AG7" s="119">
        <f>'Man Par.'!G15*1000/'Man Par.'!G16</f>
        <v>335.96549162628736</v>
      </c>
      <c r="AH7" s="119">
        <f>'Man Par.'!H15*1000/'Man Par.'!H16</f>
        <v>238.64046627109795</v>
      </c>
      <c r="AI7" s="119">
        <f>'Man Par.'!I15*1000/'Man Par.'!I16</f>
        <v>324.96025394468035</v>
      </c>
      <c r="AJ7" s="119">
        <f>'Man Par.'!J15*1000/'Man Par.'!J16</f>
        <v>238.64046627109795</v>
      </c>
      <c r="AK7" s="119">
        <f>'Man Par.'!K15*1000/'Man Par.'!K16</f>
        <v>235.9506611399587</v>
      </c>
      <c r="AO7" s="111">
        <v>185.7475905812887</v>
      </c>
      <c r="AP7" s="111">
        <v>192.82720782131466</v>
      </c>
      <c r="AQ7" s="111">
        <v>194.25561966479688</v>
      </c>
      <c r="AR7" s="111">
        <v>204.61347098052849</v>
      </c>
      <c r="AS7" s="111">
        <v>158.17228562707407</v>
      </c>
      <c r="AT7" s="111">
        <v>200.50790253941022</v>
      </c>
      <c r="AU7" s="111">
        <v>158.17228562707407</v>
      </c>
      <c r="AV7" s="111">
        <v>154.17101387362831</v>
      </c>
    </row>
    <row r="8" spans="2:48" ht="20.5" thickBot="1">
      <c r="B8" s="1763" t="s">
        <v>1589</v>
      </c>
      <c r="C8" s="1764"/>
      <c r="D8" s="1764"/>
      <c r="E8" s="1764"/>
      <c r="F8" s="1764"/>
      <c r="G8" s="1765"/>
      <c r="H8" s="1325" t="s">
        <v>1546</v>
      </c>
      <c r="I8" s="1768" t="s">
        <v>1602</v>
      </c>
      <c r="J8" s="1769"/>
      <c r="K8" s="1009" t="s">
        <v>1086</v>
      </c>
      <c r="M8"/>
      <c r="P8"/>
      <c r="AB8" s="111" t="s">
        <v>1291</v>
      </c>
      <c r="AE8" s="111" t="s">
        <v>637</v>
      </c>
      <c r="AH8" s="111" t="s">
        <v>638</v>
      </c>
      <c r="AK8" s="111" t="s">
        <v>1289</v>
      </c>
    </row>
    <row r="9" spans="2:48">
      <c r="B9" s="639"/>
      <c r="C9" s="1770" t="s">
        <v>674</v>
      </c>
      <c r="D9" s="1760" t="s">
        <v>673</v>
      </c>
      <c r="E9" s="1761"/>
      <c r="F9" s="1761"/>
      <c r="G9" s="1762"/>
      <c r="H9" s="1772" t="s">
        <v>674</v>
      </c>
      <c r="J9"/>
      <c r="K9" s="133" t="str">
        <f>("for"&amp;" "&amp;Input!E9&amp;" "&amp;"cells")</f>
        <v>for NMC(622) cells</v>
      </c>
      <c r="M9"/>
      <c r="P9"/>
      <c r="AB9" s="111" t="s">
        <v>632</v>
      </c>
      <c r="AC9" s="111">
        <v>1</v>
      </c>
      <c r="AE9" s="111" t="s">
        <v>634</v>
      </c>
      <c r="AF9" s="111">
        <v>1</v>
      </c>
      <c r="AH9" s="111" t="s">
        <v>639</v>
      </c>
      <c r="AI9" s="111">
        <v>1</v>
      </c>
      <c r="AK9" s="111" t="s">
        <v>576</v>
      </c>
      <c r="AL9" s="111">
        <v>1</v>
      </c>
    </row>
    <row r="10" spans="2:48">
      <c r="B10" s="653"/>
      <c r="C10" s="1771"/>
      <c r="D10" s="848" t="s">
        <v>677</v>
      </c>
      <c r="E10" s="849" t="s">
        <v>426</v>
      </c>
      <c r="F10" s="848" t="s">
        <v>672</v>
      </c>
      <c r="G10" s="850" t="s">
        <v>36</v>
      </c>
      <c r="H10" s="1773"/>
      <c r="M10"/>
      <c r="P10"/>
      <c r="AB10" s="111" t="s">
        <v>633</v>
      </c>
      <c r="AC10" s="111">
        <f>1055.06</f>
        <v>1055.06</v>
      </c>
      <c r="AE10" s="111" t="s">
        <v>576</v>
      </c>
      <c r="AF10" s="111">
        <v>1E-3</v>
      </c>
      <c r="AH10" s="111" t="s">
        <v>640</v>
      </c>
      <c r="AI10" s="111">
        <v>3.7854000000000001</v>
      </c>
      <c r="AK10" s="111" t="s">
        <v>676</v>
      </c>
      <c r="AL10" s="111">
        <f>1/2.2046</f>
        <v>0.4535970244035199</v>
      </c>
    </row>
    <row r="11" spans="2:48">
      <c r="B11" s="1006" t="str">
        <f>("Cost"&amp;" "&amp;D4&amp;" "&amp;E4&amp;" "&amp;F4)</f>
        <v>Cost per kWh batttery produced</v>
      </c>
      <c r="C11" s="851">
        <f ca="1">'Man Par.'!C119*INDEX($AC$4:$AK$6,MATCH($E$4,$AC$4:$AC$6,0),MATCH('Man Par.'!$C$9,$AC$4:$AK$4,0))</f>
        <v>93.518783787822613</v>
      </c>
      <c r="D11" s="852" t="e">
        <f>'Man Rec Par.'!AC123*INDEX($AC$4:$AK$6,MATCH($E$4,$AC$4:$AC$6,0),MATCH('Man Rec Par.'!$AC$9,$AC$4:$AK$4,0))</f>
        <v>#N/A</v>
      </c>
      <c r="E11" s="852" t="e">
        <f>'Man Rec Par.'!AD123*INDEX($AC$4:$AK$6,MATCH($E$4,$AC$4:$AC$6,0),MATCH('Man Rec Par.'!$AC$9,$AC$4:$AK$4,0))</f>
        <v>#N/A</v>
      </c>
      <c r="F11" s="852" t="e">
        <f>'Man Rec Par.'!AE123*INDEX($AC$4:$AK$6,MATCH($E$4,$AC$4:$AC$6,0),MATCH('Man Rec Par.'!$AC$9,$AC$4:$AK$4,0))</f>
        <v>#N/A</v>
      </c>
      <c r="G11" s="853" t="e">
        <f ca="1">'Man Rec Par.'!AF123*INDEX($AC$4:$AK$6,MATCH($E$4,$AC$4:$AC$6,0),MATCH('Man Rec Par.'!$AC$9,$AC$4:$AK$4,0))*IF(M37=0,0,1)</f>
        <v>#N/A</v>
      </c>
      <c r="H11" s="1326">
        <f ca="1">('Man Par.'!C119*'Man Par.'!$AC$88/'Man Par.'!$AE$88+'Man Par.'!AC145)*INDEX($AN$4:$AV$6,MATCH($E$4,$AN$4:$AN$6,0),MATCH('Man Par.'!$C$9,$AN$4:$AV$4,0))</f>
        <v>115.01373610608208</v>
      </c>
      <c r="I11"/>
      <c r="J11"/>
      <c r="K11"/>
      <c r="M11"/>
      <c r="P11"/>
      <c r="AK11" s="111" t="s">
        <v>636</v>
      </c>
      <c r="AL11" s="111">
        <v>1000</v>
      </c>
    </row>
    <row r="12" spans="2:48">
      <c r="B12" s="854" t="str">
        <f>(B4&amp;" "&amp;C4&amp;" "&amp;D4&amp;" "&amp;E4&amp;" "&amp;F4)</f>
        <v>Energy use in MJ per kWh batttery produced</v>
      </c>
      <c r="C12" s="830"/>
      <c r="D12" s="830"/>
      <c r="E12" s="830"/>
      <c r="F12" s="830"/>
      <c r="G12" s="831"/>
      <c r="H12" s="1327"/>
      <c r="M12"/>
      <c r="P12"/>
    </row>
    <row r="13" spans="2:48">
      <c r="B13" s="122" t="s">
        <v>173</v>
      </c>
      <c r="C13" s="254">
        <f>'Man Par.'!E67*VLOOKUP($C$4,$AB$9:$AC$12,2,FALSE)*INDEX($AC$4:$AK$6,MATCH($E$4,$AC$4:$AC$6,0),MATCH('Man Par.'!$C$9,$AC$4:$AK$4,0))</f>
        <v>961.02222932657503</v>
      </c>
      <c r="D13" s="634" t="e">
        <f>'Man Rec Par.'!AH70*VLOOKUP($C$4,$AB$9:$AC$12,2,FALSE)*INDEX($AC$4:$AK$6,MATCH($E$4,$AC$4:$AC$6,0),MATCH('Man Rec Par.'!$AC$9,$AC$4:$AK$4,0))</f>
        <v>#N/A</v>
      </c>
      <c r="E13" s="634" t="e">
        <f>'Man Rec Par.'!AI70*VLOOKUP($C$4,$AB$9:$AC$12,2,FALSE)*INDEX($AC$4:$AK$6,MATCH($E$4,$AC$4:$AC$6,0),MATCH('Man Rec Par.'!$AC$9,$AC$4:$AK$4,0))</f>
        <v>#N/A</v>
      </c>
      <c r="F13" s="634" t="e">
        <f>'Man Rec Par.'!AJ70*VLOOKUP($C$4,$AB$9:$AC$12,2,FALSE)*INDEX($AC$4:$AK$6,MATCH($E$4,$AC$4:$AC$6,0),MATCH('Man Rec Par.'!$AC$9,$AC$4:$AK$4,0))</f>
        <v>#N/A</v>
      </c>
      <c r="G13" s="661" t="e">
        <f ca="1">'Man Rec Par.'!AK70*VLOOKUP($C$4,$AB$9:$AC$12,2,FALSE)*INDEX($AC$4:$AK$6,MATCH($E$4,$AC$4:$AC$6,0),MATCH('Man Rec Par.'!$AC$9,$AC$4:$AK$4,0))*IF(M37=0,0,1)</f>
        <v>#N/A</v>
      </c>
      <c r="H13" s="1328">
        <f>('Man Par.'!E67*'Man Par.'!$AC$88/'Man Par.'!$AE$88+'Man Par.'!AE97/'Man Par.'!$AE$88)*VLOOKUP($C$4,$AB$9:$AC$12,2,FALSE)*INDEX($AN$4:$AV$6,MATCH($E$4,$AN$4:$AN$6,0),MATCH('Man Par.'!$C$9,$AN$4:$AV$4,0))</f>
        <v>1068.5006367981559</v>
      </c>
      <c r="I13"/>
      <c r="J13"/>
      <c r="K13"/>
      <c r="L13"/>
      <c r="M13"/>
      <c r="AB13" s="111" t="s">
        <v>1086</v>
      </c>
      <c r="AE13" s="111" t="s">
        <v>1095</v>
      </c>
    </row>
    <row r="14" spans="2:48">
      <c r="B14" s="122" t="s">
        <v>174</v>
      </c>
      <c r="C14" s="254">
        <f>'Man Par.'!E68*VLOOKUP($C$4,$AB$9:$AC$12,2,FALSE)*INDEX($AC$4:$AK$6,MATCH($E$4,$AC$4:$AC$6,0),MATCH('Man Par.'!$C$9,$AC$4:$AK$4,0))</f>
        <v>889.75322566291595</v>
      </c>
      <c r="D14" s="634" t="e">
        <f>'Man Rec Par.'!AH71*VLOOKUP($C$4,$AB$9:$AC$12,2,FALSE)*INDEX($AC$4:$AK$6,MATCH($E$4,$AC$4:$AC$6,0),MATCH('Man Rec Par.'!$AC$9,$AC$4:$AK$4,0))</f>
        <v>#N/A</v>
      </c>
      <c r="E14" s="634" t="e">
        <f>'Man Rec Par.'!AI71*VLOOKUP($C$4,$AB$9:$AC$12,2,FALSE)*INDEX($AC$4:$AK$6,MATCH($E$4,$AC$4:$AC$6,0),MATCH('Man Rec Par.'!$AC$9,$AC$4:$AK$4,0))</f>
        <v>#N/A</v>
      </c>
      <c r="F14" s="634" t="e">
        <f>'Man Rec Par.'!AJ71*VLOOKUP($C$4,$AB$9:$AC$12,2,FALSE)*INDEX($AC$4:$AK$6,MATCH($E$4,$AC$4:$AC$6,0),MATCH('Man Rec Par.'!$AC$9,$AC$4:$AK$4,0))</f>
        <v>#N/A</v>
      </c>
      <c r="G14" s="661" t="e">
        <f ca="1">'Man Rec Par.'!AK71*VLOOKUP($C$4,$AB$9:$AC$12,2,FALSE)*INDEX($AC$4:$AK$6,MATCH($E$4,$AC$4:$AC$6,0),MATCH('Man Rec Par.'!$AC$9,$AC$4:$AK$4,0))*IF(M37=0,0,1)</f>
        <v>#N/A</v>
      </c>
      <c r="H14" s="1328">
        <f>('Man Par.'!E68*'Man Par.'!$AC$88/'Man Par.'!$AE$88+'Man Par.'!AE98/'Man Par.'!$AE$88)*VLOOKUP($C$4,$AB$9:$AC$12,2,FALSE)*INDEX($AN$4:$AV$6,MATCH($E$4,$AN$4:$AN$6,0),MATCH('Man Par.'!$C$9,$AN$4:$AV$4,0))</f>
        <v>980.91676954673335</v>
      </c>
      <c r="I14"/>
      <c r="J14"/>
      <c r="K14"/>
      <c r="L14"/>
      <c r="M14"/>
      <c r="N14"/>
      <c r="AB14" s="111" t="s">
        <v>1081</v>
      </c>
      <c r="AE14" s="111" t="s">
        <v>1081</v>
      </c>
    </row>
    <row r="15" spans="2:48">
      <c r="B15" s="122" t="s">
        <v>175</v>
      </c>
      <c r="C15" s="254">
        <f>'Man Par.'!E69*VLOOKUP($C$4,$AB$9:$AC$12,2,FALSE)*INDEX($AC$4:$AK$6,MATCH($E$4,$AC$4:$AC$6,0),MATCH('Man Par.'!$C$9,$AC$4:$AK$4,0))</f>
        <v>191.5368209393379</v>
      </c>
      <c r="D15" s="634" t="e">
        <f>'Man Rec Par.'!AH72*VLOOKUP($C$4,$AB$9:$AC$12,2,FALSE)*INDEX($AC$4:$AK$6,MATCH($E$4,$AC$4:$AC$6,0),MATCH('Man Rec Par.'!$AC$9,$AC$4:$AK$4,0))</f>
        <v>#N/A</v>
      </c>
      <c r="E15" s="634" t="e">
        <f>'Man Rec Par.'!AI72*VLOOKUP($C$4,$AB$9:$AC$12,2,FALSE)*INDEX($AC$4:$AK$6,MATCH($E$4,$AC$4:$AC$6,0),MATCH('Man Rec Par.'!$AC$9,$AC$4:$AK$4,0))</f>
        <v>#N/A</v>
      </c>
      <c r="F15" s="634" t="e">
        <f>'Man Rec Par.'!AJ72*VLOOKUP($C$4,$AB$9:$AC$12,2,FALSE)*INDEX($AC$4:$AK$6,MATCH($E$4,$AC$4:$AC$6,0),MATCH('Man Rec Par.'!$AC$9,$AC$4:$AK$4,0))</f>
        <v>#N/A</v>
      </c>
      <c r="G15" s="661" t="e">
        <f ca="1">'Man Rec Par.'!AK72*VLOOKUP($C$4,$AB$9:$AC$12,2,FALSE)*INDEX($AC$4:$AK$6,MATCH($E$4,$AC$4:$AC$6,0),MATCH('Man Rec Par.'!$AC$9,$AC$4:$AK$4,0))*IF(M37=0,0,1)</f>
        <v>#N/A</v>
      </c>
      <c r="H15" s="1328">
        <f>('Man Par.'!E69*'Man Par.'!$AC$88/'Man Par.'!$AE$88+'Man Par.'!AE99/'Man Par.'!$AE$88)*VLOOKUP($C$4,$AB$9:$AC$12,2,FALSE)*INDEX($AN$4:$AV$6,MATCH($E$4,$AN$4:$AN$6,0),MATCH('Man Par.'!$C$9,$AN$4:$AV$4,0))</f>
        <v>231.43202127561352</v>
      </c>
      <c r="I15"/>
      <c r="J15"/>
      <c r="K15"/>
      <c r="L15"/>
      <c r="M15"/>
      <c r="N15"/>
      <c r="AB15" s="111" t="s">
        <v>1082</v>
      </c>
      <c r="AE15" s="111" t="s">
        <v>1082</v>
      </c>
    </row>
    <row r="16" spans="2:48" ht="15" customHeight="1">
      <c r="B16" s="122" t="s">
        <v>176</v>
      </c>
      <c r="C16" s="254">
        <f>'Man Par.'!E70*VLOOKUP($C$4,$AB$9:$AC$12,2,FALSE)*INDEX($AC$4:$AK$6,MATCH($E$4,$AC$4:$AC$6,0),MATCH('Man Par.'!$C$9,$AC$4:$AK$4,0))</f>
        <v>557.94297555069636</v>
      </c>
      <c r="D16" s="634" t="e">
        <f>'Man Rec Par.'!AH73*VLOOKUP($C$4,$AB$9:$AC$12,2,FALSE)*INDEX($AC$4:$AK$6,MATCH($E$4,$AC$4:$AC$6,0),MATCH('Man Rec Par.'!$AC$9,$AC$4:$AK$4,0))</f>
        <v>#N/A</v>
      </c>
      <c r="E16" s="634" t="e">
        <f>'Man Rec Par.'!AI73*VLOOKUP($C$4,$AB$9:$AC$12,2,FALSE)*INDEX($AC$4:$AK$6,MATCH($E$4,$AC$4:$AC$6,0),MATCH('Man Rec Par.'!$AC$9,$AC$4:$AK$4,0))</f>
        <v>#N/A</v>
      </c>
      <c r="F16" s="634" t="e">
        <f>'Man Rec Par.'!AJ73*VLOOKUP($C$4,$AB$9:$AC$12,2,FALSE)*INDEX($AC$4:$AK$6,MATCH($E$4,$AC$4:$AC$6,0),MATCH('Man Rec Par.'!$AC$9,$AC$4:$AK$4,0))</f>
        <v>#N/A</v>
      </c>
      <c r="G16" s="661" t="e">
        <f ca="1">'Man Rec Par.'!AK73*VLOOKUP($C$4,$AB$9:$AC$12,2,FALSE)*INDEX($AC$4:$AK$6,MATCH($E$4,$AC$4:$AC$6,0),MATCH('Man Rec Par.'!$AC$9,$AC$4:$AK$4,0))*IF(M37=0,0,1)</f>
        <v>#N/A</v>
      </c>
      <c r="H16" s="1328">
        <f>('Man Par.'!E70*'Man Par.'!$AC$88/'Man Par.'!$AE$88+'Man Par.'!AE100/'Man Par.'!$AE$88)*VLOOKUP($C$4,$AB$9:$AC$12,2,FALSE)*INDEX($AN$4:$AV$6,MATCH($E$4,$AN$4:$AN$6,0),MATCH('Man Par.'!$C$9,$AN$4:$AV$4,0))</f>
        <v>602.87483412053155</v>
      </c>
      <c r="I16"/>
      <c r="J16"/>
      <c r="K16"/>
      <c r="L16"/>
      <c r="M16"/>
      <c r="N16"/>
      <c r="AB16" s="111" t="s">
        <v>1083</v>
      </c>
      <c r="AE16" s="111" t="s">
        <v>1083</v>
      </c>
    </row>
    <row r="17" spans="2:31">
      <c r="B17" s="122" t="s">
        <v>177</v>
      </c>
      <c r="C17" s="254">
        <f>'Man Par.'!E71*VLOOKUP($C$4,$AB$9:$AC$12,2,FALSE)*INDEX($AC$4:$AK$6,MATCH($E$4,$AC$4:$AC$6,0),MATCH('Man Par.'!$C$9,$AC$4:$AK$4,0))</f>
        <v>140.27342917288186</v>
      </c>
      <c r="D17" s="634" t="e">
        <f>'Man Rec Par.'!AH74*VLOOKUP($C$4,$AB$9:$AC$12,2,FALSE)*INDEX($AC$4:$AK$6,MATCH($E$4,$AC$4:$AC$6,0),MATCH('Man Rec Par.'!$AC$9,$AC$4:$AK$4,0))</f>
        <v>#N/A</v>
      </c>
      <c r="E17" s="634" t="e">
        <f>'Man Rec Par.'!AI74*VLOOKUP($C$4,$AB$9:$AC$12,2,FALSE)*INDEX($AC$4:$AK$6,MATCH($E$4,$AC$4:$AC$6,0),MATCH('Man Rec Par.'!$AC$9,$AC$4:$AK$4,0))</f>
        <v>#N/A</v>
      </c>
      <c r="F17" s="634" t="e">
        <f>'Man Rec Par.'!AJ74*VLOOKUP($C$4,$AB$9:$AC$12,2,FALSE)*INDEX($AC$4:$AK$6,MATCH($E$4,$AC$4:$AC$6,0),MATCH('Man Rec Par.'!$AC$9,$AC$4:$AK$4,0))</f>
        <v>#N/A</v>
      </c>
      <c r="G17" s="661" t="e">
        <f ca="1">'Man Rec Par.'!AK74*VLOOKUP($C$4,$AB$9:$AC$12,2,FALSE)*INDEX($AC$4:$AK$6,MATCH($E$4,$AC$4:$AC$6,0),MATCH('Man Rec Par.'!$AC$9,$AC$4:$AK$4,0))*IF(M37=0,0,1)</f>
        <v>#N/A</v>
      </c>
      <c r="H17" s="1331">
        <f>('Man Par.'!E71*'Man Par.'!$AC$88/'Man Par.'!$AE$88+'Man Par.'!AE101/'Man Par.'!$AE$88)*VLOOKUP($C$4,$AB$9:$AC$12,2,FALSE)*INDEX($AN$4:$AV$6,MATCH($E$4,$AN$4:$AN$6,0),MATCH('Man Par.'!$C$9,$AN$4:$AV$4,0))</f>
        <v>146.60991415058837</v>
      </c>
      <c r="I17"/>
      <c r="J17"/>
      <c r="K17"/>
      <c r="L17"/>
      <c r="M17"/>
      <c r="N17"/>
      <c r="AB17" s="111" t="s">
        <v>1084</v>
      </c>
      <c r="AE17" s="111" t="s">
        <v>1085</v>
      </c>
    </row>
    <row r="18" spans="2:31">
      <c r="B18" s="832" t="str">
        <f>($B$5&amp;" "&amp;$C$5)</f>
        <v>Water use in gallon</v>
      </c>
      <c r="C18" s="833">
        <f>'Man Par.'!E72*VLOOKUP($C$5,$AH$9:$AI$12,2,FALSE)*INDEX($AC$4:$AK$6,MATCH($E$4,$AC$4:$AC$6,0),MATCH('Man Par.'!$C$9,$AC$4:$AK$4,0))</f>
        <v>61.203592781705311</v>
      </c>
      <c r="D18" s="855" t="e">
        <f>'Man Rec Par.'!AH75*VLOOKUP($C$5,$AH$9:$AI$12,2,FALSE)*INDEX($AC$4:$AK$6,MATCH($E$4,$AC$4:$AC$6,0),MATCH('Man Rec Par.'!$AC$9,$AC$4:$AK$4,0))</f>
        <v>#N/A</v>
      </c>
      <c r="E18" s="855" t="e">
        <f>'Man Rec Par.'!AI75*VLOOKUP($C$5,$AH$9:$AI$12,2,FALSE)*INDEX($AC$4:$AK$6,MATCH($E$4,$AC$4:$AC$6,0),MATCH('Man Rec Par.'!$AC$9,$AC$4:$AK$4,0))</f>
        <v>#N/A</v>
      </c>
      <c r="F18" s="855" t="e">
        <f>'Man Rec Par.'!AJ75*VLOOKUP($C$5,$AH$9:$AI$12,2,FALSE)*INDEX($AC$4:$AK$6,MATCH($E$4,$AC$4:$AC$6,0),MATCH('Man Rec Par.'!$AC$9,$AC$4:$AK$4,0))</f>
        <v>#N/A</v>
      </c>
      <c r="G18" s="1016" t="e">
        <f ca="1">'Man Rec Par.'!AK75*VLOOKUP($C$5,$AH$9:$AI$12,2,FALSE)*INDEX($AC$4:$AK$6,MATCH($E$4,$AC$4:$AC$6,0),MATCH('Man Rec Par.'!$AC$9,$AC$4:$AK$4,0))*IF(M37=0,0,1)</f>
        <v>#N/A</v>
      </c>
      <c r="H18" s="1328">
        <f>('Man Par.'!E72*'Man Par.'!$AC$88/'Man Par.'!$AE$88+'Man Par.'!AE102/'Man Par.'!$AE$88)*VLOOKUP($C$5,$AH$9:$AI$12,2,FALSE)*INDEX($AN$4:$AV$6,MATCH($E$4,$AN$4:$AN$6,0),MATCH('Man Par.'!$C$9,$AN$4:$AV$4,0))</f>
        <v>75.568964087934432</v>
      </c>
      <c r="I18"/>
      <c r="J18"/>
      <c r="K18"/>
      <c r="L18"/>
      <c r="M18"/>
      <c r="N18"/>
      <c r="AB18" s="111" t="s">
        <v>1085</v>
      </c>
    </row>
    <row r="19" spans="2:31">
      <c r="B19" s="854" t="str">
        <f>("Total"&amp;" "&amp;B6&amp;" "&amp;C6&amp;" "&amp;D4&amp;" "&amp;E4&amp;" "&amp;F4)</f>
        <v>Total Emissions in  g per kWh batttery produced</v>
      </c>
      <c r="C19" s="830"/>
      <c r="D19" s="830"/>
      <c r="E19" s="830"/>
      <c r="F19" s="856"/>
      <c r="G19" s="831"/>
      <c r="H19" s="1327"/>
      <c r="I19"/>
      <c r="J19"/>
      <c r="K19"/>
      <c r="L19"/>
      <c r="M19"/>
      <c r="N19"/>
    </row>
    <row r="20" spans="2:31">
      <c r="B20" s="122" t="s">
        <v>180</v>
      </c>
      <c r="C20" s="254">
        <f>'Man Par.'!E74*VLOOKUP($C$6,$AE$9:$AF$12,2,FALSE)*INDEX($AC$4:$AK$6,MATCH($E$4,$AC$4:$AC$6,0),MATCH('Man Par.'!$C$9,$AC$4:$AK$4,0))</f>
        <v>13.350688050351629</v>
      </c>
      <c r="D20" s="634" t="e">
        <f>'Man Rec Par.'!AH77*VLOOKUP($C$6,$AE$9:$AF$12,2,FALSE)*INDEX($AC$4:$AK$6,MATCH($E$4,$AC$4:$AC$6,0),MATCH('Man Rec Par.'!$AC$9,$AC$4:$AK$4,0))</f>
        <v>#N/A</v>
      </c>
      <c r="E20" s="634" t="e">
        <f>'Man Rec Par.'!AI77*VLOOKUP($C$6,$AE$9:$AF$12,2,FALSE)*INDEX($AC$4:$AK$6,MATCH($E$4,$AC$4:$AC$6,0),MATCH('Man Rec Par.'!$AC$9,$AC$4:$AK$4,0))</f>
        <v>#N/A</v>
      </c>
      <c r="F20" s="634" t="e">
        <f>'Man Rec Par.'!AJ77*VLOOKUP($C$6,$AE$9:$AF$12,2,FALSE)*INDEX($AC$4:$AK$6,MATCH($E$4,$AC$4:$AC$6,0),MATCH('Man Rec Par.'!$AC$9,$AC$4:$AK$4,0))</f>
        <v>#N/A</v>
      </c>
      <c r="G20" s="661" t="e">
        <f ca="1">'Man Rec Par.'!AK77*VLOOKUP($C$6,$AE$9:$AF$12,2,FALSE)*INDEX($AC$4:$AK$6,MATCH($E$4,$AC$4:$AC$6,0),MATCH('Man Rec Par.'!$AC$9,$AC$4:$AK$4,0))*IF(M37=0,0,1)</f>
        <v>#N/A</v>
      </c>
      <c r="H20" s="1328">
        <f>('Man Par.'!E74*'Man Par.'!$AC$88/'Man Par.'!$AE$88+'Man Par.'!AE104/'Man Par.'!$AE$88)*VLOOKUP($C$6,$AE$9:$AF$12,2,FALSE)*INDEX($AN$4:$AV$6,MATCH($E$4,$AN$4:$AN$6,0),MATCH('Man Par.'!$C$9,$AN$4:$AV$4,0))</f>
        <v>17.215281213036359</v>
      </c>
      <c r="I20"/>
      <c r="J20"/>
      <c r="K20"/>
      <c r="L20"/>
      <c r="M20"/>
      <c r="N20"/>
    </row>
    <row r="21" spans="2:31">
      <c r="B21" s="122" t="s">
        <v>181</v>
      </c>
      <c r="C21" s="254">
        <f>'Man Par.'!E75*VLOOKUP($C$6,$AE$9:$AF$12,2,FALSE)*INDEX($AC$4:$AK$6,MATCH($E$4,$AC$4:$AC$6,0),MATCH('Man Par.'!$C$9,$AC$4:$AK$4,0))</f>
        <v>85.194385766526395</v>
      </c>
      <c r="D21" s="634" t="e">
        <f>'Man Rec Par.'!AH78*VLOOKUP($C$6,$AE$9:$AF$12,2,FALSE)*INDEX($AC$4:$AK$6,MATCH($E$4,$AC$4:$AC$6,0),MATCH('Man Rec Par.'!$AC$9,$AC$4:$AK$4,0))</f>
        <v>#N/A</v>
      </c>
      <c r="E21" s="634" t="e">
        <f>'Man Rec Par.'!AI78*VLOOKUP($C$6,$AE$9:$AF$12,2,FALSE)*INDEX($AC$4:$AK$6,MATCH($E$4,$AC$4:$AC$6,0),MATCH('Man Rec Par.'!$AC$9,$AC$4:$AK$4,0))</f>
        <v>#N/A</v>
      </c>
      <c r="F21" s="634" t="e">
        <f>'Man Rec Par.'!AJ78*VLOOKUP($C$6,$AE$9:$AF$12,2,FALSE)*INDEX($AC$4:$AK$6,MATCH($E$4,$AC$4:$AC$6,0),MATCH('Man Rec Par.'!$AC$9,$AC$4:$AK$4,0))</f>
        <v>#N/A</v>
      </c>
      <c r="G21" s="661" t="e">
        <f ca="1">'Man Rec Par.'!AK78*VLOOKUP($C$6,$AE$9:$AF$12,2,FALSE)*INDEX($AC$4:$AK$6,MATCH($E$4,$AC$4:$AC$6,0),MATCH('Man Rec Par.'!$AC$9,$AC$4:$AK$4,0))*IF(M37=0,0,1)</f>
        <v>#N/A</v>
      </c>
      <c r="H21" s="1328">
        <f>('Man Par.'!E75*'Man Par.'!$AC$88/'Man Par.'!$AE$88+'Man Par.'!AE105/'Man Par.'!$AE$88)*VLOOKUP($C$6,$AE$9:$AF$12,2,FALSE)*INDEX($AN$4:$AV$6,MATCH($E$4,$AN$4:$AN$6,0),MATCH('Man Par.'!$C$9,$AN$4:$AV$4,0))</f>
        <v>106.55139765247065</v>
      </c>
      <c r="I21"/>
      <c r="J21"/>
      <c r="K21"/>
      <c r="L21"/>
      <c r="M21"/>
      <c r="N21"/>
    </row>
    <row r="22" spans="2:31">
      <c r="B22" s="122" t="s">
        <v>182</v>
      </c>
      <c r="C22" s="254">
        <f>'Man Par.'!E76*VLOOKUP($C$6,$AE$9:$AF$12,2,FALSE)*INDEX($AC$4:$AK$6,MATCH($E$4,$AC$4:$AC$6,0),MATCH('Man Par.'!$C$9,$AC$4:$AK$4,0))</f>
        <v>77.12252107732796</v>
      </c>
      <c r="D22" s="634" t="e">
        <f>'Man Rec Par.'!AH79*VLOOKUP($C$6,$AE$9:$AF$12,2,FALSE)*INDEX($AC$4:$AK$6,MATCH($E$4,$AC$4:$AC$6,0),MATCH('Man Rec Par.'!$AC$9,$AC$4:$AK$4,0))</f>
        <v>#N/A</v>
      </c>
      <c r="E22" s="634" t="e">
        <f>'Man Rec Par.'!AI79*VLOOKUP($C$6,$AE$9:$AF$12,2,FALSE)*INDEX($AC$4:$AK$6,MATCH($E$4,$AC$4:$AC$6,0),MATCH('Man Rec Par.'!$AC$9,$AC$4:$AK$4,0))</f>
        <v>#N/A</v>
      </c>
      <c r="F22" s="634" t="e">
        <f>'Man Rec Par.'!AJ79*VLOOKUP($C$6,$AE$9:$AF$12,2,FALSE)*INDEX($AC$4:$AK$6,MATCH($E$4,$AC$4:$AC$6,0),MATCH('Man Rec Par.'!$AC$9,$AC$4:$AK$4,0))</f>
        <v>#N/A</v>
      </c>
      <c r="G22" s="661" t="e">
        <f ca="1">'Man Rec Par.'!AK79*VLOOKUP($C$6,$AE$9:$AF$12,2,FALSE)*INDEX($AC$4:$AK$6,MATCH($E$4,$AC$4:$AC$6,0),MATCH('Man Rec Par.'!$AC$9,$AC$4:$AK$4,0))*IF(M37=0,0,1)</f>
        <v>#N/A</v>
      </c>
      <c r="H22" s="1328">
        <f>('Man Par.'!E76*'Man Par.'!$AC$88/'Man Par.'!$AE$88+'Man Par.'!AE106/'Man Par.'!$AE$88)*VLOOKUP($C$6,$AE$9:$AF$12,2,FALSE)*INDEX($AN$4:$AV$6,MATCH($E$4,$AN$4:$AN$6,0),MATCH('Man Par.'!$C$9,$AN$4:$AV$4,0))</f>
        <v>84.055745052365111</v>
      </c>
      <c r="I22"/>
      <c r="J22"/>
      <c r="K22"/>
      <c r="L22"/>
      <c r="M22"/>
      <c r="N22"/>
    </row>
    <row r="23" spans="2:31">
      <c r="B23" s="122" t="s">
        <v>183</v>
      </c>
      <c r="C23" s="254">
        <f>'Man Par.'!E77*VLOOKUP($C$6,$AE$9:$AF$12,2,FALSE)*INDEX($AC$4:$AK$6,MATCH($E$4,$AC$4:$AC$6,0),MATCH('Man Par.'!$C$9,$AC$4:$AK$4,0))</f>
        <v>21.468265714444907</v>
      </c>
      <c r="D23" s="634" t="e">
        <f>'Man Rec Par.'!AH80*VLOOKUP($C$6,$AE$9:$AF$12,2,FALSE)*INDEX($AC$4:$AK$6,MATCH($E$4,$AC$4:$AC$6,0),MATCH('Man Rec Par.'!$AC$9,$AC$4:$AK$4,0))</f>
        <v>#N/A</v>
      </c>
      <c r="E23" s="634" t="e">
        <f>'Man Rec Par.'!AI80*VLOOKUP($C$6,$AE$9:$AF$12,2,FALSE)*INDEX($AC$4:$AK$6,MATCH($E$4,$AC$4:$AC$6,0),MATCH('Man Rec Par.'!$AC$9,$AC$4:$AK$4,0))</f>
        <v>#N/A</v>
      </c>
      <c r="F23" s="634" t="e">
        <f>'Man Rec Par.'!AJ80*VLOOKUP($C$6,$AE$9:$AF$12,2,FALSE)*INDEX($AC$4:$AK$6,MATCH($E$4,$AC$4:$AC$6,0),MATCH('Man Rec Par.'!$AC$9,$AC$4:$AK$4,0))</f>
        <v>#N/A</v>
      </c>
      <c r="G23" s="661" t="e">
        <f ca="1">'Man Rec Par.'!AK80*VLOOKUP($C$6,$AE$9:$AF$12,2,FALSE)*INDEX($AC$4:$AK$6,MATCH($E$4,$AC$4:$AC$6,0),MATCH('Man Rec Par.'!$AC$9,$AC$4:$AK$4,0))*IF(M37=0,0,1)</f>
        <v>#N/A</v>
      </c>
      <c r="H23" s="1328">
        <f>('Man Par.'!E77*'Man Par.'!$AC$88/'Man Par.'!$AE$88+'Man Par.'!AE107/'Man Par.'!$AE$88)*VLOOKUP($C$6,$AE$9:$AF$12,2,FALSE)*INDEX($AN$4:$AV$6,MATCH($E$4,$AN$4:$AN$6,0),MATCH('Man Par.'!$C$9,$AN$4:$AV$4,0))</f>
        <v>23.897694796944929</v>
      </c>
      <c r="I23"/>
      <c r="J23"/>
      <c r="K23"/>
      <c r="L23"/>
      <c r="M23"/>
      <c r="N23"/>
    </row>
    <row r="24" spans="2:31">
      <c r="B24" s="122" t="s">
        <v>184</v>
      </c>
      <c r="C24" s="254">
        <f>'Man Par.'!E78*VLOOKUP($C$6,$AE$9:$AF$12,2,FALSE)*INDEX($AC$4:$AK$6,MATCH($E$4,$AC$4:$AC$6,0),MATCH('Man Par.'!$C$9,$AC$4:$AK$4,0))</f>
        <v>7.7290917943103317</v>
      </c>
      <c r="D24" s="634" t="e">
        <f>'Man Rec Par.'!AH81*VLOOKUP($C$6,$AE$9:$AF$12,2,FALSE)*INDEX($AC$4:$AK$6,MATCH($E$4,$AC$4:$AC$6,0),MATCH('Man Rec Par.'!$AC$9,$AC$4:$AK$4,0))</f>
        <v>#N/A</v>
      </c>
      <c r="E24" s="634" t="e">
        <f>'Man Rec Par.'!AI81*VLOOKUP($C$6,$AE$9:$AF$12,2,FALSE)*INDEX($AC$4:$AK$6,MATCH($E$4,$AC$4:$AC$6,0),MATCH('Man Rec Par.'!$AC$9,$AC$4:$AK$4,0))</f>
        <v>#N/A</v>
      </c>
      <c r="F24" s="634" t="e">
        <f>'Man Rec Par.'!AJ81*VLOOKUP($C$6,$AE$9:$AF$12,2,FALSE)*INDEX($AC$4:$AK$6,MATCH($E$4,$AC$4:$AC$6,0),MATCH('Man Rec Par.'!$AC$9,$AC$4:$AK$4,0))</f>
        <v>#N/A</v>
      </c>
      <c r="G24" s="661" t="e">
        <f ca="1">'Man Rec Par.'!AK81*VLOOKUP($C$6,$AE$9:$AF$12,2,FALSE)*INDEX($AC$4:$AK$6,MATCH($E$4,$AC$4:$AC$6,0),MATCH('Man Rec Par.'!$AC$9,$AC$4:$AK$4,0))*IF(M37=0,0,1)</f>
        <v>#N/A</v>
      </c>
      <c r="H24" s="1328">
        <f>('Man Par.'!E78*'Man Par.'!$AC$88/'Man Par.'!$AE$88+'Man Par.'!AE108/'Man Par.'!$AE$88)*VLOOKUP($C$6,$AE$9:$AF$12,2,FALSE)*INDEX($AN$4:$AV$6,MATCH($E$4,$AN$4:$AN$6,0),MATCH('Man Par.'!$C$9,$AN$4:$AV$4,0))</f>
        <v>9.201704709436358</v>
      </c>
    </row>
    <row r="25" spans="2:31">
      <c r="B25" s="122" t="s">
        <v>185</v>
      </c>
      <c r="C25" s="254">
        <f>'Man Par.'!E79*VLOOKUP($C$6,$AE$9:$AF$12,2,FALSE)*INDEX($AC$4:$AK$6,MATCH($E$4,$AC$4:$AC$6,0),MATCH('Man Par.'!$C$9,$AC$4:$AK$4,0))</f>
        <v>209.11911352145046</v>
      </c>
      <c r="D25" s="634" t="e">
        <f>'Man Rec Par.'!AH82*VLOOKUP($C$6,$AE$9:$AF$12,2,FALSE)*INDEX($AC$4:$AK$6,MATCH($E$4,$AC$4:$AC$6,0),MATCH('Man Rec Par.'!$AC$9,$AC$4:$AK$4,0))</f>
        <v>#N/A</v>
      </c>
      <c r="E25" s="634" t="e">
        <f>'Man Rec Par.'!AI82*VLOOKUP($C$6,$AE$9:$AF$12,2,FALSE)*INDEX($AC$4:$AK$6,MATCH($E$4,$AC$4:$AC$6,0),MATCH('Man Rec Par.'!$AC$9,$AC$4:$AK$4,0))</f>
        <v>#N/A</v>
      </c>
      <c r="F25" s="634" t="e">
        <f>'Man Rec Par.'!AJ82*VLOOKUP($C$6,$AE$9:$AF$12,2,FALSE)*INDEX($AC$4:$AK$6,MATCH($E$4,$AC$4:$AC$6,0),MATCH('Man Rec Par.'!$AC$9,$AC$4:$AK$4,0))</f>
        <v>#N/A</v>
      </c>
      <c r="G25" s="661" t="e">
        <f ca="1">'Man Rec Par.'!AK82*VLOOKUP($C$6,$AE$9:$AF$12,2,FALSE)*INDEX($AC$4:$AK$6,MATCH($E$4,$AC$4:$AC$6,0),MATCH('Man Rec Par.'!$AC$9,$AC$4:$AK$4,0))*IF(M37=0,0,1)</f>
        <v>#N/A</v>
      </c>
      <c r="H25" s="1328">
        <f>('Man Par.'!E79*'Man Par.'!$AC$88/'Man Par.'!$AE$88+'Man Par.'!AE109/'Man Par.'!$AE$88)*VLOOKUP($C$6,$AE$9:$AF$12,2,FALSE)*INDEX($AN$4:$AV$6,MATCH($E$4,$AN$4:$AN$6,0),MATCH('Man Par.'!$C$9,$AN$4:$AV$4,0))</f>
        <v>225.59855657148606</v>
      </c>
    </row>
    <row r="26" spans="2:31">
      <c r="B26" s="122" t="s">
        <v>186</v>
      </c>
      <c r="C26" s="254">
        <f>'Man Par.'!E80*VLOOKUP($C$6,$AE$9:$AF$12,2,FALSE)*INDEX($AC$4:$AK$6,MATCH($E$4,$AC$4:$AC$6,0),MATCH('Man Par.'!$C$9,$AC$4:$AK$4,0))</f>
        <v>0.59980509836232687</v>
      </c>
      <c r="D26" s="634" t="e">
        <f>'Man Rec Par.'!AH83*VLOOKUP($C$6,$AE$9:$AF$12,2,FALSE)*INDEX($AC$4:$AK$6,MATCH($E$4,$AC$4:$AC$6,0),MATCH('Man Rec Par.'!$AC$9,$AC$4:$AK$4,0))</f>
        <v>#N/A</v>
      </c>
      <c r="E26" s="634" t="e">
        <f>'Man Rec Par.'!AI83*VLOOKUP($C$6,$AE$9:$AF$12,2,FALSE)*INDEX($AC$4:$AK$6,MATCH($E$4,$AC$4:$AC$6,0),MATCH('Man Rec Par.'!$AC$9,$AC$4:$AK$4,0))</f>
        <v>#N/A</v>
      </c>
      <c r="F26" s="634" t="e">
        <f>'Man Rec Par.'!AJ83*VLOOKUP($C$6,$AE$9:$AF$12,2,FALSE)*INDEX($AC$4:$AK$6,MATCH($E$4,$AC$4:$AC$6,0),MATCH('Man Rec Par.'!$AC$9,$AC$4:$AK$4,0))</f>
        <v>#N/A</v>
      </c>
      <c r="G26" s="661" t="e">
        <f ca="1">'Man Rec Par.'!AK83*VLOOKUP($C$6,$AE$9:$AF$12,2,FALSE)*INDEX($AC$4:$AK$6,MATCH($E$4,$AC$4:$AC$6,0),MATCH('Man Rec Par.'!$AC$9,$AC$4:$AK$4,0))*IF(M37=0,0,1)</f>
        <v>#N/A</v>
      </c>
      <c r="H26" s="1328">
        <f>('Man Par.'!E80*'Man Par.'!$AC$88/'Man Par.'!$AE$88+'Man Par.'!AE110/'Man Par.'!$AE$88)*VLOOKUP($C$6,$AE$9:$AF$12,2,FALSE)*INDEX($AN$4:$AV$6,MATCH($E$4,$AN$4:$AN$6,0),MATCH('Man Par.'!$C$9,$AN$4:$AV$4,0))</f>
        <v>0.6315896341398618</v>
      </c>
    </row>
    <row r="27" spans="2:31">
      <c r="B27" s="122" t="s">
        <v>187</v>
      </c>
      <c r="C27" s="254">
        <f>'Man Par.'!E81*VLOOKUP($C$6,$AE$9:$AF$12,2,FALSE)*INDEX($AC$4:$AK$6,MATCH($E$4,$AC$4:$AC$6,0),MATCH('Man Par.'!$C$9,$AC$4:$AK$4,0))</f>
        <v>1.3648625829497758</v>
      </c>
      <c r="D27" s="634" t="e">
        <f>'Man Rec Par.'!AH84*VLOOKUP($C$6,$AE$9:$AF$12,2,FALSE)*INDEX($AC$4:$AK$6,MATCH($E$4,$AC$4:$AC$6,0),MATCH('Man Rec Par.'!$AC$9,$AC$4:$AK$4,0))</f>
        <v>#N/A</v>
      </c>
      <c r="E27" s="634" t="e">
        <f>'Man Rec Par.'!AI84*VLOOKUP($C$6,$AE$9:$AF$12,2,FALSE)*INDEX($AC$4:$AK$6,MATCH($E$4,$AC$4:$AC$6,0),MATCH('Man Rec Par.'!$AC$9,$AC$4:$AK$4,0))</f>
        <v>#N/A</v>
      </c>
      <c r="F27" s="634" t="e">
        <f>'Man Rec Par.'!AJ84*VLOOKUP($C$6,$AE$9:$AF$12,2,FALSE)*INDEX($AC$4:$AK$6,MATCH($E$4,$AC$4:$AC$6,0),MATCH('Man Rec Par.'!$AC$9,$AC$4:$AK$4,0))</f>
        <v>#N/A</v>
      </c>
      <c r="G27" s="661" t="e">
        <f ca="1">'Man Rec Par.'!AK84*VLOOKUP($C$6,$AE$9:$AF$12,2,FALSE)*INDEX($AC$4:$AK$6,MATCH($E$4,$AC$4:$AC$6,0),MATCH('Man Rec Par.'!$AC$9,$AC$4:$AK$4,0))*IF(M37=0,0,1)</f>
        <v>#N/A</v>
      </c>
      <c r="H27" s="1328">
        <f>('Man Par.'!E81*'Man Par.'!$AC$88/'Man Par.'!$AE$88+'Man Par.'!AE111/'Man Par.'!$AE$88)*VLOOKUP($C$6,$AE$9:$AF$12,2,FALSE)*INDEX($AN$4:$AV$6,MATCH($E$4,$AN$4:$AN$6,0),MATCH('Man Par.'!$C$9,$AN$4:$AV$4,0))</f>
        <v>1.4585823765492059</v>
      </c>
    </row>
    <row r="28" spans="2:31" ht="15" customHeight="1">
      <c r="B28" s="122" t="s">
        <v>188</v>
      </c>
      <c r="C28" s="254">
        <f>'Man Par.'!E82*VLOOKUP($C$6,$AE$9:$AF$12,2,FALSE)*INDEX($AC$4:$AK$6,MATCH($E$4,$AC$4:$AC$6,0),MATCH('Man Par.'!$C$9,$AC$4:$AK$4,0))</f>
        <v>322.62110068069387</v>
      </c>
      <c r="D28" s="634" t="e">
        <f>'Man Rec Par.'!AH85*VLOOKUP($C$6,$AE$9:$AF$12,2,FALSE)*INDEX($AC$4:$AK$6,MATCH($E$4,$AC$4:$AC$6,0),MATCH('Man Rec Par.'!$AC$9,$AC$4:$AK$4,0))</f>
        <v>#N/A</v>
      </c>
      <c r="E28" s="634" t="e">
        <f>'Man Rec Par.'!AI85*VLOOKUP($C$6,$AE$9:$AF$12,2,FALSE)*INDEX($AC$4:$AK$6,MATCH($E$4,$AC$4:$AC$6,0),MATCH('Man Rec Par.'!$AC$9,$AC$4:$AK$4,0))</f>
        <v>#N/A</v>
      </c>
      <c r="F28" s="634" t="e">
        <f>'Man Rec Par.'!AJ85*VLOOKUP($C$6,$AE$9:$AF$12,2,FALSE)*INDEX($AC$4:$AK$6,MATCH($E$4,$AC$4:$AC$6,0),MATCH('Man Rec Par.'!$AC$9,$AC$4:$AK$4,0))</f>
        <v>#N/A</v>
      </c>
      <c r="G28" s="661" t="e">
        <f ca="1">'Man Rec Par.'!AK85*VLOOKUP($C$6,$AE$9:$AF$12,2,FALSE)*INDEX($AC$4:$AK$6,MATCH($E$4,$AC$4:$AC$6,0),MATCH('Man Rec Par.'!$AC$9,$AC$4:$AK$4,0))*IF(M37=0,0,1)</f>
        <v>#N/A</v>
      </c>
      <c r="H28" s="1328">
        <f>('Man Par.'!E82*'Man Par.'!$AC$88/'Man Par.'!$AE$88+'Man Par.'!AE112/'Man Par.'!$AE$88)*VLOOKUP($C$6,$AE$9:$AF$12,2,FALSE)*INDEX($AN$4:$AV$6,MATCH($E$4,$AN$4:$AN$6,0),MATCH('Man Par.'!$C$9,$AN$4:$AV$4,0))</f>
        <v>337.19218631172964</v>
      </c>
    </row>
    <row r="29" spans="2:31">
      <c r="B29" s="122" t="s">
        <v>189</v>
      </c>
      <c r="C29" s="254">
        <f>'Man Par.'!E83*VLOOKUP($C$6,$AE$9:$AF$12,2,FALSE)*INDEX($AC$4:$AK$6,MATCH($E$4,$AC$4:$AC$6,0),MATCH('Man Par.'!$C$9,$AC$4:$AK$4,0))</f>
        <v>1.6092797528260543</v>
      </c>
      <c r="D29" s="634" t="e">
        <f>'Man Rec Par.'!AH86*VLOOKUP($C$6,$AE$9:$AF$12,2,FALSE)*INDEX($AC$4:$AK$6,MATCH($E$4,$AC$4:$AC$6,0),MATCH('Man Rec Par.'!$AC$9,$AC$4:$AK$4,0))</f>
        <v>#N/A</v>
      </c>
      <c r="E29" s="634" t="e">
        <f>'Man Rec Par.'!AI86*VLOOKUP($C$6,$AE$9:$AF$12,2,FALSE)*INDEX($AC$4:$AK$6,MATCH($E$4,$AC$4:$AC$6,0),MATCH('Man Rec Par.'!$AC$9,$AC$4:$AK$4,0))</f>
        <v>#N/A</v>
      </c>
      <c r="F29" s="634" t="e">
        <f>'Man Rec Par.'!AJ86*VLOOKUP($C$6,$AE$9:$AF$12,2,FALSE)*INDEX($AC$4:$AK$6,MATCH($E$4,$AC$4:$AC$6,0),MATCH('Man Rec Par.'!$AC$9,$AC$4:$AK$4,0))</f>
        <v>#N/A</v>
      </c>
      <c r="G29" s="661" t="e">
        <f ca="1">'Man Rec Par.'!AK86*VLOOKUP($C$6,$AE$9:$AF$12,2,FALSE)*INDEX($AC$4:$AK$6,MATCH($E$4,$AC$4:$AC$6,0),MATCH('Man Rec Par.'!$AC$9,$AC$4:$AK$4,0))*IF(M37=0,0,1)</f>
        <v>#N/A</v>
      </c>
      <c r="H29" s="1328">
        <f>('Man Par.'!E83*'Man Par.'!$AC$88/'Man Par.'!$AE$88+'Man Par.'!AE113/'Man Par.'!$AE$88)*VLOOKUP($C$6,$AE$9:$AF$12,2,FALSE)*INDEX($AN$4:$AV$6,MATCH($E$4,$AN$4:$AN$6,0),MATCH('Man Par.'!$C$9,$AN$4:$AV$4,0))</f>
        <v>1.8353307882914285</v>
      </c>
    </row>
    <row r="30" spans="2:31">
      <c r="B30" s="122" t="s">
        <v>190</v>
      </c>
      <c r="C30" s="648">
        <f>'Man Par.'!E84*VLOOKUP($C$6,$AE$9:$AF$12,2,FALSE)*INDEX($AC$4:$AK$6,MATCH($E$4,$AC$4:$AC$6,0),MATCH('Man Par.'!$C$9,$AC$4:$AK$4,0))</f>
        <v>56502.711676213046</v>
      </c>
      <c r="D30" s="139" t="e">
        <f>'Man Rec Par.'!AH87*VLOOKUP($C$6,$AE$9:$AF$12,2,FALSE)*INDEX($AC$4:$AK$6,MATCH($E$4,$AC$4:$AC$6,0),MATCH('Man Rec Par.'!$AC$9,$AC$4:$AK$4,0))</f>
        <v>#N/A</v>
      </c>
      <c r="E30" s="139" t="e">
        <f>'Man Rec Par.'!AI87*VLOOKUP($C$6,$AE$9:$AF$12,2,FALSE)*INDEX($AC$4:$AK$6,MATCH($E$4,$AC$4:$AC$6,0),MATCH('Man Rec Par.'!$AC$9,$AC$4:$AK$4,0))</f>
        <v>#N/A</v>
      </c>
      <c r="F30" s="139" t="e">
        <f>'Man Rec Par.'!AJ87*VLOOKUP($C$6,$AE$9:$AF$12,2,FALSE)*INDEX($AC$4:$AK$6,MATCH($E$4,$AC$4:$AC$6,0),MATCH('Man Rec Par.'!$AC$9,$AC$4:$AK$4,0))</f>
        <v>#N/A</v>
      </c>
      <c r="G30" s="127" t="e">
        <f ca="1">'Man Rec Par.'!AK87*VLOOKUP($C$6,$AE$9:$AF$12,2,FALSE)*INDEX($AC$4:$AK$6,MATCH($E$4,$AC$4:$AC$6,0),MATCH('Man Rec Par.'!$AC$9,$AC$4:$AK$4,0))*IF(M37=0,0,1)</f>
        <v>#N/A</v>
      </c>
      <c r="H30" s="1329">
        <f>('Man Par.'!E84*'Man Par.'!$AC$88/'Man Par.'!$AE$88+'Man Par.'!AE114/'Man Par.'!$AE$88)*VLOOKUP($C$6,$AE$9:$AF$12,2,FALSE)*INDEX($AN$4:$AV$6,MATCH($E$4,$AN$4:$AN$6,0),MATCH('Man Par.'!$C$9,$AN$4:$AV$4,0))</f>
        <v>63068.936820545823</v>
      </c>
    </row>
    <row r="31" spans="2:31">
      <c r="B31" s="122" t="s">
        <v>198</v>
      </c>
      <c r="C31" s="648">
        <f>'Man Par.'!E85*VLOOKUP($C$6,$AE$9:$AF$12,2,FALSE)*INDEX($AC$4:$AK$6,MATCH($E$4,$AC$4:$AC$6,0),MATCH('Man Par.'!$C$9,$AC$4:$AK$4,0))</f>
        <v>56678.198212555457</v>
      </c>
      <c r="D31" s="139" t="e">
        <f>'Man Rec Par.'!AH88*VLOOKUP($C$6,$AE$9:$AF$12,2,FALSE)*INDEX($AC$4:$AK$6,MATCH($E$4,$AC$4:$AC$6,0),MATCH('Man Rec Par.'!$AC$9,$AC$4:$AK$4,0))</f>
        <v>#N/A</v>
      </c>
      <c r="E31" s="139" t="e">
        <f>'Man Rec Par.'!AI88*VLOOKUP($C$6,$AE$9:$AF$12,2,FALSE)*INDEX($AC$4:$AK$6,MATCH($E$4,$AC$4:$AC$6,0),MATCH('Man Rec Par.'!$AC$9,$AC$4:$AK$4,0))</f>
        <v>#N/A</v>
      </c>
      <c r="F31" s="139" t="e">
        <f>'Man Rec Par.'!AJ88*VLOOKUP($C$6,$AE$9:$AF$12,2,FALSE)*INDEX($AC$4:$AK$6,MATCH($E$4,$AC$4:$AC$6,0),MATCH('Man Rec Par.'!$AC$9,$AC$4:$AK$4,0))</f>
        <v>#N/A</v>
      </c>
      <c r="G31" s="127" t="e">
        <f ca="1">'Man Rec Par.'!AK88*VLOOKUP($C$6,$AE$9:$AF$12,2,FALSE)*INDEX($AC$4:$AK$6,MATCH($E$4,$AC$4:$AC$6,0),MATCH('Man Rec Par.'!$AC$9,$AC$4:$AK$4,0))*IF(M37=0,0,1)</f>
        <v>#N/A</v>
      </c>
      <c r="H31" s="1329">
        <f>('Man Par.'!E85*'Man Par.'!$AC$88/'Man Par.'!$AE$88+'Man Par.'!AE115/'Man Par.'!$AE$88)*VLOOKUP($C$6,$AE$9:$AF$12,2,FALSE)*INDEX($AN$4:$AV$6,MATCH($E$4,$AN$4:$AN$6,0),MATCH('Man Par.'!$C$9,$AN$4:$AV$4,0))</f>
        <v>63290.029024256517</v>
      </c>
    </row>
    <row r="32" spans="2:31" ht="14.5" thickBot="1">
      <c r="B32" s="857" t="s">
        <v>199</v>
      </c>
      <c r="C32" s="858">
        <f>'Man Par.'!E86*VLOOKUP($C$6,$AE$9:$AF$12,2,FALSE)*INDEX($AC$4:$AK$6,MATCH($E$4,$AC$4:$AC$6,0),MATCH('Man Par.'!$C$9,$AC$4:$AK$4,0))</f>
        <v>66761.522134225699</v>
      </c>
      <c r="D32" s="859" t="e">
        <f>'Man Rec Par.'!AH89*VLOOKUP($C$6,$AE$9:$AF$12,2,FALSE)*INDEX($AC$4:$AK$6,MATCH($E$4,$AC$4:$AC$6,0),MATCH('Man Rec Par.'!$AC$9,$AC$4:$AK$4,0))</f>
        <v>#N/A</v>
      </c>
      <c r="E32" s="859" t="e">
        <f>'Man Rec Par.'!AI89*VLOOKUP($C$6,$AE$9:$AF$12,2,FALSE)*INDEX($AC$4:$AK$6,MATCH($E$4,$AC$4:$AC$6,0),MATCH('Man Rec Par.'!$AC$9,$AC$4:$AK$4,0))</f>
        <v>#N/A</v>
      </c>
      <c r="F32" s="859" t="e">
        <f>'Man Rec Par.'!AJ89*VLOOKUP($C$6,$AE$9:$AF$12,2,FALSE)*INDEX($AC$4:$AK$6,MATCH($E$4,$AC$4:$AC$6,0),MATCH('Man Rec Par.'!$AC$9,$AC$4:$AK$4,0))</f>
        <v>#N/A</v>
      </c>
      <c r="G32" s="860" t="e">
        <f ca="1">'Man Rec Par.'!AK89*VLOOKUP($C$6,$AE$9:$AF$12,2,FALSE)*INDEX($AC$4:$AK$6,MATCH($E$4,$AC$4:$AC$6,0),MATCH('Man Rec Par.'!$AC$9,$AC$4:$AK$4,0))*IF(M37=0,0,1)</f>
        <v>#N/A</v>
      </c>
      <c r="H32" s="1330">
        <f>('Man Par.'!E86*'Man Par.'!$AC$88/'Man Par.'!$AE$88+'Man Par.'!AE116/'Man Par.'!$AE$88)*VLOOKUP($C$6,$AE$9:$AF$12,2,FALSE)*INDEX($AN$4:$AV$6,MATCH($E$4,$AN$4:$AN$6,0),MATCH('Man Par.'!$C$9,$AN$4:$AV$4,0))</f>
        <v>73869.283230413668</v>
      </c>
      <c r="K32"/>
      <c r="L32"/>
      <c r="M32"/>
    </row>
    <row r="33" spans="2:20" ht="15.5">
      <c r="F33" s="111"/>
      <c r="J33" s="1677" t="s">
        <v>1096</v>
      </c>
      <c r="K33" s="1678">
        <v>1</v>
      </c>
      <c r="P33" s="1677" t="s">
        <v>1097</v>
      </c>
      <c r="Q33" s="1678">
        <v>1</v>
      </c>
    </row>
    <row r="34" spans="2:20" ht="14.5" thickBot="1">
      <c r="B34" s="355" t="str">
        <f>$E$5</f>
        <v>kg</v>
      </c>
      <c r="C34" s="133" t="s">
        <v>1895</v>
      </c>
      <c r="E34" s="355" t="str">
        <f>$E$5</f>
        <v>kg</v>
      </c>
      <c r="F34" s="217" t="s">
        <v>1896</v>
      </c>
      <c r="I34" s="355" t="str">
        <f>$E$5</f>
        <v>kg</v>
      </c>
      <c r="J34" s="133" t="s">
        <v>1881</v>
      </c>
      <c r="O34" s="355" t="str">
        <f>E6</f>
        <v>kg</v>
      </c>
      <c r="P34" s="133" t="s">
        <v>643</v>
      </c>
    </row>
    <row r="35" spans="2:20" ht="20">
      <c r="B35" s="1766" t="s">
        <v>641</v>
      </c>
      <c r="C35" s="1767"/>
      <c r="E35" s="1758" t="s">
        <v>1603</v>
      </c>
      <c r="F35" s="1756"/>
      <c r="G35" s="1759"/>
      <c r="I35" s="1758" t="s">
        <v>21</v>
      </c>
      <c r="J35" s="1756"/>
      <c r="K35" s="1756"/>
      <c r="L35" s="1756"/>
      <c r="M35" s="1759"/>
      <c r="O35" s="985"/>
      <c r="P35" s="1755" t="s">
        <v>671</v>
      </c>
      <c r="Q35" s="1756"/>
      <c r="R35" s="1756"/>
      <c r="S35" s="1757"/>
      <c r="T35" s="986" t="s">
        <v>1079</v>
      </c>
    </row>
    <row r="36" spans="2:20" ht="20">
      <c r="B36" s="650"/>
      <c r="C36" s="651"/>
      <c r="E36" s="975"/>
      <c r="F36" s="1357" t="s">
        <v>1747</v>
      </c>
      <c r="G36" s="1382" t="s">
        <v>1748</v>
      </c>
      <c r="I36" s="1679"/>
      <c r="J36" s="1680" t="s">
        <v>677</v>
      </c>
      <c r="K36" s="1680" t="s">
        <v>426</v>
      </c>
      <c r="L36" s="1680" t="s">
        <v>672</v>
      </c>
      <c r="M36" s="1681" t="s">
        <v>36</v>
      </c>
      <c r="O36" s="975"/>
      <c r="P36" s="976" t="s">
        <v>677</v>
      </c>
      <c r="Q36" s="976" t="s">
        <v>426</v>
      </c>
      <c r="R36" s="987" t="s">
        <v>36</v>
      </c>
      <c r="S36" s="977" t="s">
        <v>718</v>
      </c>
      <c r="T36" s="988" t="s">
        <v>672</v>
      </c>
    </row>
    <row r="37" spans="2:20">
      <c r="B37" s="1007" t="str">
        <f>("Cost"&amp;" "&amp;$D$4&amp;" "&amp;$E$5&amp;"feedstock")</f>
        <v>Cost per kgfeedstock</v>
      </c>
      <c r="C37" s="130">
        <f>'Col&amp;Trans Par.'!C76*VLOOKUP($E$5,$AK$9:$AL$12,2,FALSE)</f>
        <v>1.240519995666417E-2</v>
      </c>
      <c r="E37" s="1383" t="str">
        <f>("Cost"&amp;" "&amp;$D$4&amp;" "&amp;$E$5&amp;" feedstock")</f>
        <v>Cost per kg feedstock</v>
      </c>
      <c r="F37" s="1384">
        <f>IF(Input!E15="Pack",(IF(Disassembly!C11&gt;0,Disassembly!C11*Disassembly!C86,0)+IF(Disassembly!D11&gt;0,Disassembly!D11*Disassembly!C86,0)+IF(Disassembly!E11&gt;0,Disassembly!E11*Disassembly!C86,0)+IF(Disassembly!F11&gt;0,Disassembly!F11*Disassembly!C86,0)+IF(Disassembly!G11&gt;0,Disassembly!G11*Disassembly!C86,0))/SUM(Input!F28:F32),0)*VLOOKUP($E$5,$AK$9:$AL$12,2,FALSE)</f>
        <v>0</v>
      </c>
      <c r="G37" s="1385">
        <f>IF(Input!E15="Pack",(IF(Disassembly!C13="Cell",Disassembly!C11*Disassembly!$D86,0)+IF(Disassembly!D13="Cell",Disassembly!D11*Disassembly!$D86,0)+IF(Disassembly!E13="Cell",Disassembly!E11*Disassembly!$D86,0)+IF(Disassembly!F13="Cell",Disassembly!F11*Disassembly!$D86,0)+IF(Disassembly!G13="Cell",Disassembly!G11*Disassembly!$D86,0))/SUM(Input!F28:F32),0)*VLOOKUP($E$5,$AK$9:$AL$12,2,FALSE)</f>
        <v>0</v>
      </c>
      <c r="I37" s="1682" t="str">
        <f>("Cost"&amp;" "&amp;$D$4&amp;" "&amp;$E$5&amp;" feedstock processed")</f>
        <v>Cost per kg feedstock processed</v>
      </c>
      <c r="J37" s="1683">
        <f ca="1">IF('CM Rec Par.'!BC8="No preprocessing",'CM Rec Par.'!BC197,IF('CM Rec Par.'!BC8="Generic",'Preproc. Par.'!AC195*'Preproc. Par.'!AD14/SUM(Input!$F$28:$F$32)+'CM Rec Par.'!BC197*'CM Rec Par.'!BD25/SUM(Input!$F$28:$F$32),'Preproc. Par.'!BC195*'Preproc. Par.'!BD15/SUM(Input!$F$28:$F$32)+'CM Rec Par.'!BC197*'CM Rec Par.'!BD25/SUM(Input!$F$28:$F$32)))*VLOOKUP($E$5,$AK$9:$AL$12,2,FALSE)</f>
        <v>4.7326688973656124</v>
      </c>
      <c r="K37" s="1683">
        <f ca="1">IF('CM Rec Par.'!CC8="No preprocessing",'CM Rec Par.'!CC197,IF('CM Rec Par.'!CC8="Generic",'Preproc. Par.'!AC195*'Preproc. Par.'!AD14/SUM(Input!$F$28:$F$32)+'CM Rec Par.'!CC197*'CM Rec Par.'!CD25/SUM(Input!$F$28:$F$32),'Preproc. Par.'!BC195*'Preproc. Par.'!BD15/SUM(Input!$F$28:$F$32)+'CM Rec Par.'!CC197*'CM Rec Par.'!CD25/SUM(Input!$F$28:$F$32)))*VLOOKUP($E$5,$AK$9:$AL$12,2,FALSE)</f>
        <v>5.0853182178253569</v>
      </c>
      <c r="L37" s="1683">
        <f ca="1">IF('CM Rec Par.'!DC8="No preprocessing",'CM Rec Par.'!DC197,IF('CM Rec Par.'!DC8="Generic",'Preproc. Par.'!AC195*'Preproc. Par.'!AD14/SUM(Input!$F$28:$F$32)+'CM Rec Par.'!DC197*'CM Rec Par.'!DD25/SUM(Input!$F$28:$F$32),'Preproc. Par.'!BC195*'Preproc. Par.'!BD15/SUM(Input!$F$28:$F$32)+'CM Rec Par.'!DC197*'CM Rec Par.'!DD25/SUM(Input!$F$28:$F$32)))*VLOOKUP($E$5,$AK$9:$AL$12,2,FALSE)</f>
        <v>6.5905495121319513</v>
      </c>
      <c r="M37" s="1684">
        <f ca="1">IF('CM Rec Par.'!EC19="Select plant type",0,IF('CM Rec Par.'!EC8="No preprocessing",'CM Rec Par.'!EC199,IF('CM Rec Par.'!EC8="Generic",'Preproc. Par.'!AC195*'Preproc. Par.'!AD14/SUM(Input!$F$28:$F$32)+'CM Rec Par.'!EC199*'CM Rec Par.'!ED26/SUM(Input!$F$28:$F$32),'Preproc. Par.'!BC195*'Preproc. Par.'!BD15/SUM(Input!$F$28:$F$32)+'CM Rec Par.'!EC199*'CM Rec Par.'!ED26/SUM(Input!$F$28:$F$32))))*VLOOKUP($E$5,$AK$9:$AL$12,2,FALSE)</f>
        <v>5.7379241570405419</v>
      </c>
      <c r="O37" s="1008" t="str">
        <f>("Cost"&amp;" "&amp;$D$4&amp;" "&amp;$E$5&amp;" "&amp;$F$6)</f>
        <v>Cost per kg cathode produced</v>
      </c>
      <c r="P37" s="989" t="e">
        <f>HLOOKUP('Cath. Prod. Par.'!$D$9,'Man Rec Par.'!B103:J104,2,FALSE)*VLOOKUP($E$6,$AK$9:$AL$12,2,FALSE)</f>
        <v>#N/A</v>
      </c>
      <c r="Q37" s="989" t="e">
        <f>HLOOKUP('Cath. Prod. Par.'!$D$9,'Man Rec Par.'!B107:J108,2,FALSE)*VLOOKUP($E$6,$AK$9:$AL$12,2,FALSE)</f>
        <v>#N/A</v>
      </c>
      <c r="R37" s="990" t="e">
        <f ca="1">HLOOKUP('Cath. Prod. Par.'!$D$9,'Man Rec Par.'!B115:J116,2,FALSE)*VLOOKUP($E$6,$AK$9:$AL$12,2,FALSE)*IF(M37=0,0,1)</f>
        <v>#N/A</v>
      </c>
      <c r="S37" s="978" t="e">
        <f>HLOOKUP('Cath. Prod. Par.'!$D$9,'Man Rec Par.'!B119:J120,2,FALSE)*VLOOKUP($E$6,$AK$9:$AL$12,2,FALSE)</f>
        <v>#N/A</v>
      </c>
      <c r="T37" s="991" t="e">
        <f>HLOOKUP('Cath. Prod. Par.'!$D$9,'Man Rec Par.'!B111:J112,2,FALSE)*VLOOKUP($E$6,$AK$9:$AL$12,2,FALSE)</f>
        <v>#N/A</v>
      </c>
    </row>
    <row r="38" spans="2:20">
      <c r="B38" s="1665" t="str">
        <f>($B$4&amp;" "&amp;$C$4&amp;" "&amp;$D$4&amp;" "&amp;$E$5&amp;" feedstock")</f>
        <v>Energy use in MJ per kg feedstock</v>
      </c>
      <c r="C38" s="1666"/>
      <c r="E38" s="1665" t="str">
        <f>($B$4&amp;" "&amp;$C$4&amp;" "&amp;$D$4&amp;" "&amp;$E$5&amp;" feedstock")</f>
        <v>Energy use in MJ per kg feedstock</v>
      </c>
      <c r="F38" s="1386"/>
      <c r="G38" s="1387"/>
      <c r="I38" s="1685" t="str">
        <f>($B$4&amp;" "&amp;$C$4&amp;" "&amp;$D$4&amp;" "&amp;$E$5&amp;" feedstock processed")</f>
        <v>Energy use in MJ per kg feedstock processed</v>
      </c>
      <c r="J38" s="1686"/>
      <c r="K38" s="1686"/>
      <c r="L38" s="1686"/>
      <c r="M38" s="1666"/>
      <c r="O38" s="122" t="str">
        <f>($B$4&amp;" "&amp;$C$4&amp;" "&amp;$D$4&amp;" "&amp;$E$5&amp;" "&amp;$F$6)</f>
        <v>Energy use in MJ per kg cathode produced</v>
      </c>
      <c r="P38" s="992"/>
      <c r="Q38" s="992"/>
      <c r="R38" s="992"/>
      <c r="S38" s="123"/>
      <c r="T38" s="124"/>
    </row>
    <row r="39" spans="2:20">
      <c r="B39" s="122" t="s">
        <v>173</v>
      </c>
      <c r="C39" s="125">
        <f>'Col&amp;Trans Par.'!I81*VLOOKUP($E$5,$AK$9:$AL$12,2,FALSE)*VLOOKUP($C$4,$AB$9:$AC$12,2,FALSE)</f>
        <v>5.3936415336786805</v>
      </c>
      <c r="E39" s="122" t="s">
        <v>173</v>
      </c>
      <c r="F39" s="634">
        <v>0</v>
      </c>
      <c r="G39" s="125">
        <v>0</v>
      </c>
      <c r="I39" s="122" t="s">
        <v>1979</v>
      </c>
      <c r="J39" s="634">
        <f>IF('CM Rec Par.'!BC$8="No preprocessing",'CM Rec Par.'!BF157,IF('CM Rec Par.'!BC$8="Generic",'Preproc. Par.'!$AF155*'Preproc. Par.'!$AD$14/SUM(Input!$F$28:$F$32)+'CM Rec Par.'!BF157*'CM Rec Par.'!BD$25/SUM(Input!$F$28:$F$32),'Preproc. Par.'!$BF155*'Preproc. Par.'!$BD$14/SUM(Input!$F$28:$F$32)+'CM Rec Par.'!BF157*'CM Rec Par.'!BD$25/SUM(Input!$F$28:$F$32)))*VLOOKUP($E$5,$AK$9:$AL$12,2,FALSE)*VLOOKUP($C$4,$AB$9:$AC$12,2,FALSE)</f>
        <v>447.79677222662565</v>
      </c>
      <c r="K39" s="634">
        <f>IF('CM Rec Par.'!CC$8="No preprocessing",'CM Rec Par.'!CF157,IF('CM Rec Par.'!CC$8="Generic",'Preproc. Par.'!$AF155*'Preproc. Par.'!$AD$14/SUM(Input!$F$28:$F$32)+'CM Rec Par.'!CF157*'CM Rec Par.'!CD$25/SUM(Input!$F$28:$F$32),'Preproc. Par.'!$BF155*'Preproc. Par.'!$BD$14/SUM(Input!$F$28:$F$32)+'CM Rec Par.'!CF157*'CM Rec Par.'!CD$25/SUM(Input!$F$28:$F$32)))*VLOOKUP($E$5,$AK$9:$AL$12,2,FALSE)*VLOOKUP($C$4,$AB$9:$AC$12,2,FALSE)</f>
        <v>413.88635463185437</v>
      </c>
      <c r="L39" s="634">
        <f>IF('CM Rec Par.'!DC$8="No preprocessing",'CM Rec Par.'!DF157,IF('CM Rec Par.'!DC$8="Generic",'Preproc. Par.'!$AF155*'Preproc. Par.'!$AD$14/SUM(Input!$F$28:$F$32)+'CM Rec Par.'!DF157*'CM Rec Par.'!DD$25/SUM(Input!$F$28:$F$32),'Preproc. Par.'!$BF155*'Preproc. Par.'!$BD$14/SUM(Input!$F$28:$F$32)+'CM Rec Par.'!DF157*'CM Rec Par.'!DD$25/SUM(Input!$F$28:$F$32)))*VLOOKUP($E$5,$AK$9:$AL$12,2,FALSE)*VLOOKUP($C$4,$AB$9:$AC$12,2,FALSE)</f>
        <v>88.766281850167758</v>
      </c>
      <c r="M39" s="125">
        <f>IF('CM Rec Par.'!EC$19="Select plant type",0,IF('CM Rec Par.'!EC$8="No preprocessing",'CM Rec Par.'!EF159,IF('CM Rec Par.'!EC$8="Generic",'Preproc. Par.'!$AF155*'Preproc. Par.'!$AD$14/SUM(Input!$F$28:$F$32)+'CM Rec Par.'!EF159*'CM Rec Par.'!ED$26/SUM(Input!$F$28:$F$32),'Preproc. Par.'!$BF155*'Preproc. Par.'!$BD$14/SUM(Input!$F$28:$F$32)+'CM Rec Par.'!EF159*'CM Rec Par.'!ED$26/SUM(Input!$F$28:$F$32))))*VLOOKUP($E$5,$AK$9:$AL$12,2,FALSE)*VLOOKUP($C$4,$AB$9:$AC$12,2,FALSE)</f>
        <v>126.76231235986792</v>
      </c>
      <c r="O39" s="122" t="s">
        <v>173</v>
      </c>
      <c r="P39" s="634" t="e">
        <f>HLOOKUP('Cath. Prod. Par.'!$D$9,'Man Rec Par.'!$B$7:$I$28,ROW(O39)-ROW(O$37)+1,FALSE)*VLOOKUP($E$6,$AK$9:$AL$12,2,FALSE)*VLOOKUP($C$4,$AB$9:$AC$12,2,FALSE)</f>
        <v>#N/A</v>
      </c>
      <c r="Q39" s="634" t="e">
        <f>HLOOKUP('Cath. Prod. Par.'!$D$9,'Man Rec Par.'!$B$31:$I$52,ROW(P39)-ROW(P$37)+1,FALSE)*VLOOKUP($E$6,$AK$9:$AL$12,2,FALSE)*VLOOKUP($C$4,$AB$9:$AC$12,2,FALSE)</f>
        <v>#N/A</v>
      </c>
      <c r="R39" s="1017" t="e">
        <f ca="1">HLOOKUP('Cath. Prod. Par.'!$D$9,'Man Rec Par.'!$B$79:$I$100,ROW(Q39)-ROW(Q$37)+1,FALSE)*VLOOKUP($E$6,$AK$9:$AL$12,2,FALSE)*VLOOKUP($C$4,$AB$9:$AC$12,2,FALSE)*IF(M37=0,0,1)</f>
        <v>#N/A</v>
      </c>
      <c r="S39" s="979" t="e">
        <f>HLOOKUP('Cath. Prod. Par.'!$D$9,'GREET IO'!$A$77:$AZ$98,ROW('GREET IO'!A79)-ROW('GREET IO'!A$77)+1,FALSE)/907.2*VLOOKUP($E$6,$AK$9:$AL$12,2,FALSE)*VLOOKUP($C$4,$AB$9:$AC$12,2,FALSE)</f>
        <v>#N/A</v>
      </c>
      <c r="T39" s="998" t="e">
        <f>HLOOKUP('Cath. Prod. Par.'!$D$9,'Man Rec Par.'!$B$55:$J$76,ROW(S39)-ROW(S$37)+1,FALSE)*VLOOKUP($E$6,$AK$9:$AL$12,2,FALSE)*VLOOKUP($C$4,$AB$9:$AC$12,2,FALSE)</f>
        <v>#N/A</v>
      </c>
    </row>
    <row r="40" spans="2:20">
      <c r="B40" s="122" t="s">
        <v>174</v>
      </c>
      <c r="C40" s="125">
        <f>'Col&amp;Trans Par.'!I82*VLOOKUP($E$5,$AK$9:$AL$12,2,FALSE)*VLOOKUP($C$4,$AB$9:$AC$12,2,FALSE)</f>
        <v>5.3666383047165267</v>
      </c>
      <c r="E40" s="122" t="s">
        <v>174</v>
      </c>
      <c r="F40" s="634">
        <v>0</v>
      </c>
      <c r="G40" s="125">
        <v>0</v>
      </c>
      <c r="I40" s="122" t="s">
        <v>174</v>
      </c>
      <c r="J40" s="634">
        <f>IF('CM Rec Par.'!BC$8="No preprocessing",'CM Rec Par.'!BF158,IF('CM Rec Par.'!BC$8="Generic",'Preproc. Par.'!$AF156*'Preproc. Par.'!$AD$14/SUM(Input!$F$28:$F$32)+'CM Rec Par.'!BF158*'CM Rec Par.'!BD$25/SUM(Input!$F$28:$F$32),'Preproc. Par.'!$BF156*'Preproc. Par.'!$BD$14/SUM(Input!$F$28:$F$32)+'CM Rec Par.'!BF158*'CM Rec Par.'!BD$25/SUM(Input!$F$28:$F$32)))*VLOOKUP($E$5,$AK$9:$AL$12,2,FALSE)*VLOOKUP($C$4,$AB$9:$AC$12,2,FALSE)</f>
        <v>365.8723570724913</v>
      </c>
      <c r="K40" s="634">
        <f>IF('CM Rec Par.'!CC$8="No preprocessing",'CM Rec Par.'!CF158,IF('CM Rec Par.'!CC$8="Generic",'Preproc. Par.'!$AF156*'Preproc. Par.'!$AD$14/SUM(Input!$F$28:$F$32)+'CM Rec Par.'!CF158*'CM Rec Par.'!CD$25/SUM(Input!$F$28:$F$32),'Preproc. Par.'!$BF156*'Preproc. Par.'!$BD$14/SUM(Input!$F$28:$F$32)+'CM Rec Par.'!CF158*'CM Rec Par.'!CD$25/SUM(Input!$F$28:$F$32)))*VLOOKUP($E$5,$AK$9:$AL$12,2,FALSE)*VLOOKUP($C$4,$AB$9:$AC$12,2,FALSE)</f>
        <v>342.36398511709922</v>
      </c>
      <c r="L40" s="634">
        <f>IF('CM Rec Par.'!DC$8="No preprocessing",'CM Rec Par.'!DF158,IF('CM Rec Par.'!DC$8="Generic",'Preproc. Par.'!$AF156*'Preproc. Par.'!$AD$14/SUM(Input!$F$28:$F$32)+'CM Rec Par.'!DF158*'CM Rec Par.'!DD$25/SUM(Input!$F$28:$F$32),'Preproc. Par.'!$BF156*'Preproc. Par.'!$BD$14/SUM(Input!$F$28:$F$32)+'CM Rec Par.'!DF158*'CM Rec Par.'!DD$25/SUM(Input!$F$28:$F$32)))*VLOOKUP($E$5,$AK$9:$AL$12,2,FALSE)*VLOOKUP($C$4,$AB$9:$AC$12,2,FALSE)</f>
        <v>74.379916196107473</v>
      </c>
      <c r="M40" s="125">
        <f>IF('CM Rec Par.'!EC$19="Select plant type",0,IF('CM Rec Par.'!EC$8="No preprocessing",'CM Rec Par.'!EF160,IF('CM Rec Par.'!EC$8="Generic",'Preproc. Par.'!$AF156*'Preproc. Par.'!$AD$14/SUM(Input!$F$28:$F$32)+'CM Rec Par.'!EF160*'CM Rec Par.'!ED$26/SUM(Input!$F$28:$F$32),'Preproc. Par.'!$BF156*'Preproc. Par.'!$BD$14/SUM(Input!$F$28:$F$32)+'CM Rec Par.'!EF160*'CM Rec Par.'!ED$26/SUM(Input!$F$28:$F$32))))*VLOOKUP($E$5,$AK$9:$AL$12,2,FALSE)*VLOOKUP($C$4,$AB$9:$AC$12,2,FALSE)</f>
        <v>110.21878270097397</v>
      </c>
      <c r="O40" s="122" t="s">
        <v>174</v>
      </c>
      <c r="P40" s="634" t="e">
        <f>HLOOKUP('Cath. Prod. Par.'!$D$9,'Man Rec Par.'!$B$7:$I$28,ROW(O40)-ROW(O$37)+1,FALSE)*VLOOKUP($E$6,$AK$9:$AL$12,2,FALSE)*VLOOKUP($C$4,$AB$9:$AC$12,2,FALSE)</f>
        <v>#N/A</v>
      </c>
      <c r="Q40" s="634" t="e">
        <f>HLOOKUP('Cath. Prod. Par.'!$D$9,'Man Rec Par.'!$B$31:$I$52,ROW(P40)-ROW(P$37)+1,FALSE)*VLOOKUP($E$6,$AK$9:$AL$12,2,FALSE)*VLOOKUP($C$4,$AB$9:$AC$12,2,FALSE)</f>
        <v>#N/A</v>
      </c>
      <c r="R40" s="1017" t="e">
        <f ca="1">HLOOKUP('Cath. Prod. Par.'!$D$9,'Man Rec Par.'!$B$79:$I$100,ROW(Q40)-ROW(Q$37)+1,FALSE)*VLOOKUP($E$6,$AK$9:$AL$12,2,FALSE)*VLOOKUP($C$4,$AB$9:$AC$12,2,FALSE)*IF(M37=0,0,1)</f>
        <v>#N/A</v>
      </c>
      <c r="S40" s="980" t="e">
        <f>HLOOKUP('Cath. Prod. Par.'!$D$9,'GREET IO'!$A$77:$AZ$98,ROW('GREET IO'!A80)-ROW('GREET IO'!A$77)+1,FALSE)/907.2*VLOOKUP($E$6,$AK$9:$AL$12,2,FALSE)*VLOOKUP($C$4,$AB$9:$AC$12,2,FALSE)</f>
        <v>#N/A</v>
      </c>
      <c r="T40" s="999" t="e">
        <f>HLOOKUP('Cath. Prod. Par.'!$D$9,'Man Rec Par.'!$B$55:$J$76,ROW(S40)-ROW(S$37)+1,FALSE)*VLOOKUP($E$6,$AK$9:$AL$12,2,FALSE)*VLOOKUP($C$4,$AB$9:$AC$12,2,FALSE)</f>
        <v>#N/A</v>
      </c>
    </row>
    <row r="41" spans="2:20">
      <c r="B41" s="122" t="s">
        <v>175</v>
      </c>
      <c r="C41" s="125">
        <f>'Col&amp;Trans Par.'!I83*VLOOKUP($E$5,$AK$9:$AL$12,2,FALSE)*VLOOKUP($C$4,$AB$9:$AC$12,2,FALSE)</f>
        <v>4.4505329192284934E-2</v>
      </c>
      <c r="E41" s="122" t="s">
        <v>175</v>
      </c>
      <c r="F41" s="634">
        <v>0</v>
      </c>
      <c r="G41" s="125">
        <v>0</v>
      </c>
      <c r="I41" s="122" t="s">
        <v>175</v>
      </c>
      <c r="J41" s="634">
        <f>IF('CM Rec Par.'!BC$8="No preprocessing",'CM Rec Par.'!BF159,IF('CM Rec Par.'!BC$8="Generic",'Preproc. Par.'!$AF157*'Preproc. Par.'!$AD$14/SUM(Input!$F$28:$F$32)+'CM Rec Par.'!BF159*'CM Rec Par.'!BD$25/SUM(Input!$F$28:$F$32),'Preproc. Par.'!$BF157*'Preproc. Par.'!$BD$14/SUM(Input!$F$28:$F$32)+'CM Rec Par.'!BF159*'CM Rec Par.'!BD$25/SUM(Input!$F$28:$F$32)))*VLOOKUP($E$5,$AK$9:$AL$12,2,FALSE)*VLOOKUP($C$4,$AB$9:$AC$12,2,FALSE)</f>
        <v>337.25126023186539</v>
      </c>
      <c r="K41" s="634">
        <f>IF('CM Rec Par.'!CC$8="No preprocessing",'CM Rec Par.'!CF159,IF('CM Rec Par.'!CC$8="Generic",'Preproc. Par.'!$AF157*'Preproc. Par.'!$AD$14/SUM(Input!$F$28:$F$32)+'CM Rec Par.'!CF159*'CM Rec Par.'!CD$25/SUM(Input!$F$28:$F$32),'Preproc. Par.'!$BF157*'Preproc. Par.'!$BD$14/SUM(Input!$F$28:$F$32)+'CM Rec Par.'!CF159*'CM Rec Par.'!CD$25/SUM(Input!$F$28:$F$32)))*VLOOKUP($E$5,$AK$9:$AL$12,2,FALSE)*VLOOKUP($C$4,$AB$9:$AC$12,2,FALSE)</f>
        <v>288.83074764784988</v>
      </c>
      <c r="L41" s="634">
        <f>IF('CM Rec Par.'!DC$8="No preprocessing",'CM Rec Par.'!DF159,IF('CM Rec Par.'!DC$8="Generic",'Preproc. Par.'!$AF157*'Preproc. Par.'!$AD$14/SUM(Input!$F$28:$F$32)+'CM Rec Par.'!DF159*'CM Rec Par.'!DD$25/SUM(Input!$F$28:$F$32),'Preproc. Par.'!$BF157*'Preproc. Par.'!$BD$14/SUM(Input!$F$28:$F$32)+'CM Rec Par.'!DF159*'CM Rec Par.'!DD$25/SUM(Input!$F$28:$F$32)))*VLOOKUP($E$5,$AK$9:$AL$12,2,FALSE)*VLOOKUP($C$4,$AB$9:$AC$12,2,FALSE)</f>
        <v>63.969996090581532</v>
      </c>
      <c r="M41" s="125">
        <f>IF('CM Rec Par.'!EC$19="Select plant type",0,IF('CM Rec Par.'!EC$8="No preprocessing",'CM Rec Par.'!EF161,IF('CM Rec Par.'!EC$8="Generic",'Preproc. Par.'!$AF157*'Preproc. Par.'!$AD$14/SUM(Input!$F$28:$F$32)+'CM Rec Par.'!EF161*'CM Rec Par.'!ED$26/SUM(Input!$F$28:$F$32),'Preproc. Par.'!$BF157*'Preproc. Par.'!$BD$14/SUM(Input!$F$28:$F$32)+'CM Rec Par.'!EF161*'CM Rec Par.'!ED$26/SUM(Input!$F$28:$F$32))))*VLOOKUP($E$5,$AK$9:$AL$12,2,FALSE)*VLOOKUP($C$4,$AB$9:$AC$12,2,FALSE)</f>
        <v>59.604496112385846</v>
      </c>
      <c r="O41" s="122" t="s">
        <v>175</v>
      </c>
      <c r="P41" s="634" t="e">
        <f>HLOOKUP('Cath. Prod. Par.'!$D$9,'Man Rec Par.'!$B$7:$I$28,ROW(O41)-ROW(O$37)+1,FALSE)*VLOOKUP($E$6,$AK$9:$AL$12,2,FALSE)*VLOOKUP($C$4,$AB$9:$AC$12,2,FALSE)</f>
        <v>#N/A</v>
      </c>
      <c r="Q41" s="634" t="e">
        <f>HLOOKUP('Cath. Prod. Par.'!$D$9,'Man Rec Par.'!$B$31:$I$52,ROW(P41)-ROW(P$37)+1,FALSE)*VLOOKUP($E$6,$AK$9:$AL$12,2,FALSE)*VLOOKUP($C$4,$AB$9:$AC$12,2,FALSE)</f>
        <v>#N/A</v>
      </c>
      <c r="R41" s="1017" t="e">
        <f ca="1">HLOOKUP('Cath. Prod. Par.'!$D$9,'Man Rec Par.'!$B$79:$I$100,ROW(Q41)-ROW(Q$37)+1,FALSE)*VLOOKUP($E$6,$AK$9:$AL$12,2,FALSE)*VLOOKUP($C$4,$AB$9:$AC$12,2,FALSE)*IF(M37=0,0,1)</f>
        <v>#N/A</v>
      </c>
      <c r="S41" s="980" t="e">
        <f>HLOOKUP('Cath. Prod. Par.'!$D$9,'GREET IO'!$A$77:$AZ$98,ROW('GREET IO'!A81)-ROW('GREET IO'!A$77)+1,FALSE)/907.2*VLOOKUP($E$6,$AK$9:$AL$12,2,FALSE)*VLOOKUP($C$4,$AB$9:$AC$12,2,FALSE)</f>
        <v>#N/A</v>
      </c>
      <c r="T41" s="999" t="e">
        <f>HLOOKUP('Cath. Prod. Par.'!$D$9,'Man Rec Par.'!$B$55:$J$76,ROW(S41)-ROW(S$37)+1,FALSE)*VLOOKUP($E$6,$AK$9:$AL$12,2,FALSE)*VLOOKUP($C$4,$AB$9:$AC$12,2,FALSE)</f>
        <v>#N/A</v>
      </c>
    </row>
    <row r="42" spans="2:20">
      <c r="B42" s="122" t="s">
        <v>176</v>
      </c>
      <c r="C42" s="125">
        <f>'Col&amp;Trans Par.'!I84*VLOOKUP($E$5,$AK$9:$AL$12,2,FALSE)*VLOOKUP($C$4,$AB$9:$AC$12,2,FALSE)</f>
        <v>0.56387113635886899</v>
      </c>
      <c r="E42" s="122" t="s">
        <v>176</v>
      </c>
      <c r="F42" s="634">
        <v>0</v>
      </c>
      <c r="G42" s="125">
        <v>0</v>
      </c>
      <c r="I42" s="122" t="s">
        <v>176</v>
      </c>
      <c r="J42" s="634">
        <f>IF('CM Rec Par.'!BC$8="No preprocessing",'CM Rec Par.'!BF160,IF('CM Rec Par.'!BC$8="Generic",'Preproc. Par.'!$AF158*'Preproc. Par.'!$AD$14/SUM(Input!$F$28:$F$32)+'CM Rec Par.'!BF160*'CM Rec Par.'!BD$25/SUM(Input!$F$28:$F$32),'Preproc. Par.'!$BF158*'Preproc. Par.'!$BD$14/SUM(Input!$F$28:$F$32)+'CM Rec Par.'!BF160*'CM Rec Par.'!BD$25/SUM(Input!$F$28:$F$32)))*VLOOKUP($E$5,$AK$9:$AL$12,2,FALSE)*VLOOKUP($C$4,$AB$9:$AC$12,2,FALSE)</f>
        <v>21.945455564764853</v>
      </c>
      <c r="K42" s="634">
        <f>IF('CM Rec Par.'!CC$8="No preprocessing",'CM Rec Par.'!CF160,IF('CM Rec Par.'!CC$8="Generic",'Preproc. Par.'!$AF158*'Preproc. Par.'!$AD$14/SUM(Input!$F$28:$F$32)+'CM Rec Par.'!CF160*'CM Rec Par.'!CD$25/SUM(Input!$F$28:$F$32),'Preproc. Par.'!$BF158*'Preproc. Par.'!$BD$14/SUM(Input!$F$28:$F$32)+'CM Rec Par.'!CF160*'CM Rec Par.'!CD$25/SUM(Input!$F$28:$F$32)))*VLOOKUP($E$5,$AK$9:$AL$12,2,FALSE)*VLOOKUP($C$4,$AB$9:$AC$12,2,FALSE)</f>
        <v>45.472049447415657</v>
      </c>
      <c r="L42" s="634">
        <f>IF('CM Rec Par.'!DC$8="No preprocessing",'CM Rec Par.'!DF160,IF('CM Rec Par.'!DC$8="Generic",'Preproc. Par.'!$AF158*'Preproc. Par.'!$AD$14/SUM(Input!$F$28:$F$32)+'CM Rec Par.'!DF160*'CM Rec Par.'!DD$25/SUM(Input!$F$28:$F$32),'Preproc. Par.'!$BF158*'Preproc. Par.'!$BD$14/SUM(Input!$F$28:$F$32)+'CM Rec Par.'!DF160*'CM Rec Par.'!DD$25/SUM(Input!$F$28:$F$32)))*VLOOKUP($E$5,$AK$9:$AL$12,2,FALSE)*VLOOKUP($C$4,$AB$9:$AC$12,2,FALSE)</f>
        <v>5.5727990594259253</v>
      </c>
      <c r="M42" s="125">
        <f>IF('CM Rec Par.'!EC$19="Select plant type",0,IF('CM Rec Par.'!EC$8="No preprocessing",'CM Rec Par.'!EF162,IF('CM Rec Par.'!EC$8="Generic",'Preproc. Par.'!$AF158*'Preproc. Par.'!$AD$14/SUM(Input!$F$28:$F$32)+'CM Rec Par.'!EF162*'CM Rec Par.'!ED$26/SUM(Input!$F$28:$F$32),'Preproc. Par.'!$BF158*'Preproc. Par.'!$BD$14/SUM(Input!$F$28:$F$32)+'CM Rec Par.'!EF162*'CM Rec Par.'!ED$26/SUM(Input!$F$28:$F$32))))*VLOOKUP($E$5,$AK$9:$AL$12,2,FALSE)*VLOOKUP($C$4,$AB$9:$AC$12,2,FALSE)</f>
        <v>46.277592944577918</v>
      </c>
      <c r="O42" s="122" t="s">
        <v>176</v>
      </c>
      <c r="P42" s="634" t="e">
        <f>HLOOKUP('Cath. Prod. Par.'!$D$9,'Man Rec Par.'!$B$7:$I$28,ROW(O42)-ROW(O$37)+1,FALSE)*VLOOKUP($E$6,$AK$9:$AL$12,2,FALSE)*VLOOKUP($C$4,$AB$9:$AC$12,2,FALSE)</f>
        <v>#N/A</v>
      </c>
      <c r="Q42" s="634" t="e">
        <f>HLOOKUP('Cath. Prod. Par.'!$D$9,'Man Rec Par.'!$B$31:$I$52,ROW(P42)-ROW(P$37)+1,FALSE)*VLOOKUP($E$6,$AK$9:$AL$12,2,FALSE)*VLOOKUP($C$4,$AB$9:$AC$12,2,FALSE)</f>
        <v>#N/A</v>
      </c>
      <c r="R42" s="1017" t="e">
        <f ca="1">HLOOKUP('Cath. Prod. Par.'!$D$9,'Man Rec Par.'!$B$79:$I$100,ROW(Q42)-ROW(Q$37)+1,FALSE)*VLOOKUP($E$6,$AK$9:$AL$12,2,FALSE)*VLOOKUP($C$4,$AB$9:$AC$12,2,FALSE)*IF(M37=0,0,1)</f>
        <v>#N/A</v>
      </c>
      <c r="S42" s="980" t="e">
        <f>HLOOKUP('Cath. Prod. Par.'!$D$9,'GREET IO'!$A$77:$AZ$98,ROW('GREET IO'!A82)-ROW('GREET IO'!A$77)+1,FALSE)/907.2*VLOOKUP($E$6,$AK$9:$AL$12,2,FALSE)*VLOOKUP($C$4,$AB$9:$AC$12,2,FALSE)</f>
        <v>#N/A</v>
      </c>
      <c r="T42" s="999" t="e">
        <f>HLOOKUP('Cath. Prod. Par.'!$D$9,'Man Rec Par.'!$B$55:$J$76,ROW(S42)-ROW(S$37)+1,FALSE)*VLOOKUP($E$6,$AK$9:$AL$12,2,FALSE)*VLOOKUP($C$4,$AB$9:$AC$12,2,FALSE)</f>
        <v>#N/A</v>
      </c>
    </row>
    <row r="43" spans="2:20">
      <c r="B43" s="122" t="s">
        <v>177</v>
      </c>
      <c r="C43" s="131">
        <f>'Col&amp;Trans Par.'!I85*VLOOKUP($E$5,$AK$9:$AL$12,2,FALSE)*VLOOKUP($C$4,$AB$9:$AC$12,2,FALSE)</f>
        <v>4.7582618391653719</v>
      </c>
      <c r="E43" s="653" t="s">
        <v>177</v>
      </c>
      <c r="F43" s="634">
        <v>0</v>
      </c>
      <c r="G43" s="125">
        <v>0</v>
      </c>
      <c r="I43" s="653" t="s">
        <v>177</v>
      </c>
      <c r="J43" s="634">
        <f>IF('CM Rec Par.'!BC$8="No preprocessing",'CM Rec Par.'!BF161,IF('CM Rec Par.'!BC$8="Generic",'Preproc. Par.'!$AF159*'Preproc. Par.'!$AD$14/SUM(Input!$F$28:$F$32)+'CM Rec Par.'!BF161*'CM Rec Par.'!BD$25/SUM(Input!$F$28:$F$32),'Preproc. Par.'!$BF159*'Preproc. Par.'!$BD$14/SUM(Input!$F$28:$F$32)+'CM Rec Par.'!BF161*'CM Rec Par.'!BD$25/SUM(Input!$F$28:$F$32)))*VLOOKUP($E$5,$AK$9:$AL$12,2,FALSE)*VLOOKUP($C$4,$AB$9:$AC$12,2,FALSE)</f>
        <v>6.6756412758609915</v>
      </c>
      <c r="K43" s="634">
        <f>IF('CM Rec Par.'!CC$8="No preprocessing",'CM Rec Par.'!CF161,IF('CM Rec Par.'!CC$8="Generic",'Preproc. Par.'!$AF159*'Preproc. Par.'!$AD$14/SUM(Input!$F$28:$F$32)+'CM Rec Par.'!CF161*'CM Rec Par.'!CD$25/SUM(Input!$F$28:$F$32),'Preproc. Par.'!$BF159*'Preproc. Par.'!$BD$14/SUM(Input!$F$28:$F$32)+'CM Rec Par.'!CF161*'CM Rec Par.'!CD$25/SUM(Input!$F$28:$F$32)))*VLOOKUP($E$5,$AK$9:$AL$12,2,FALSE)*VLOOKUP($C$4,$AB$9:$AC$12,2,FALSE)</f>
        <v>8.0611880218336989</v>
      </c>
      <c r="L43" s="634">
        <f>IF('CM Rec Par.'!DC$8="No preprocessing",'CM Rec Par.'!DF161,IF('CM Rec Par.'!DC$8="Generic",'Preproc. Par.'!$AF159*'Preproc. Par.'!$AD$14/SUM(Input!$F$28:$F$32)+'CM Rec Par.'!DF161*'CM Rec Par.'!DD$25/SUM(Input!$F$28:$F$32),'Preproc. Par.'!$BF159*'Preproc. Par.'!$BD$14/SUM(Input!$F$28:$F$32)+'CM Rec Par.'!DF161*'CM Rec Par.'!DD$25/SUM(Input!$F$28:$F$32)))*VLOOKUP($E$5,$AK$9:$AL$12,2,FALSE)*VLOOKUP($C$4,$AB$9:$AC$12,2,FALSE)</f>
        <v>4.8371210461000107</v>
      </c>
      <c r="M43" s="125">
        <f>IF('CM Rec Par.'!EC$19="Select plant type",0,IF('CM Rec Par.'!EC$8="No preprocessing",'CM Rec Par.'!EF163,IF('CM Rec Par.'!EC$8="Generic",'Preproc. Par.'!$AF159*'Preproc. Par.'!$AD$14/SUM(Input!$F$28:$F$32)+'CM Rec Par.'!EF163*'CM Rec Par.'!ED$26/SUM(Input!$F$28:$F$32),'Preproc. Par.'!$BF159*'Preproc. Par.'!$BD$14/SUM(Input!$F$28:$F$32)+'CM Rec Par.'!EF163*'CM Rec Par.'!ED$26/SUM(Input!$F$28:$F$32))))*VLOOKUP($E$5,$AK$9:$AL$12,2,FALSE)*VLOOKUP($C$4,$AB$9:$AC$12,2,FALSE)</f>
        <v>4.3366936440102082</v>
      </c>
      <c r="O43" s="122" t="s">
        <v>177</v>
      </c>
      <c r="P43" s="634" t="e">
        <f>HLOOKUP('Cath. Prod. Par.'!$D$9,'Man Rec Par.'!$B$7:$I$28,ROW(O43)-ROW(O$37)+1,FALSE)*VLOOKUP($E$6,$AK$9:$AL$12,2,FALSE)*VLOOKUP($C$4,$AB$9:$AC$12,2,FALSE)</f>
        <v>#N/A</v>
      </c>
      <c r="Q43" s="634" t="e">
        <f>HLOOKUP('Cath. Prod. Par.'!$D$9,'Man Rec Par.'!$B$31:$I$52,ROW(P43)-ROW(P$37)+1,FALSE)*VLOOKUP($E$6,$AK$9:$AL$12,2,FALSE)*VLOOKUP($C$4,$AB$9:$AC$12,2,FALSE)</f>
        <v>#N/A</v>
      </c>
      <c r="R43" s="1017" t="e">
        <f ca="1">HLOOKUP('Cath. Prod. Par.'!$D$9,'Man Rec Par.'!$B$79:$I$100,ROW(Q43)-ROW(Q$37)+1,FALSE)*VLOOKUP($E$6,$AK$9:$AL$12,2,FALSE)*VLOOKUP($C$4,$AB$9:$AC$12,2,FALSE)*IF(M37=0,0,1)</f>
        <v>#N/A</v>
      </c>
      <c r="S43" s="980" t="e">
        <f>HLOOKUP('Cath. Prod. Par.'!$D$9,'GREET IO'!$A$77:$AZ$98,ROW('GREET IO'!A83)-ROW('GREET IO'!A$77)+1,FALSE)/907.2*VLOOKUP($E$6,$AK$9:$AL$12,2,FALSE)*VLOOKUP($C$4,$AB$9:$AC$12,2,FALSE)</f>
        <v>#N/A</v>
      </c>
      <c r="T43" s="131" t="e">
        <f>HLOOKUP('Cath. Prod. Par.'!$D$9,'Man Rec Par.'!$B$55:$J$76,ROW(S43)-ROW(S$37)+1,FALSE)*VLOOKUP($E$6,$AK$9:$AL$12,2,FALSE)*VLOOKUP($C$4,$AB$9:$AC$12,2,FALSE)</f>
        <v>#N/A</v>
      </c>
    </row>
    <row r="44" spans="2:20">
      <c r="B44" s="126" t="str">
        <f>($B$5&amp;" "&amp;$C$5)</f>
        <v>Water use in gallon</v>
      </c>
      <c r="C44" s="132">
        <f>'Col&amp;Trans Par.'!I86*VLOOKUP($E$5,$AK$9:$AL$12,2,FALSE)*VLOOKUP($C$5,$AH$9:$AI$12,2,FALSE)</f>
        <v>9.9940576213339335E-2</v>
      </c>
      <c r="E44" s="653" t="str">
        <f>($B$5&amp;" "&amp;$C$5)</f>
        <v>Water use in gallon</v>
      </c>
      <c r="F44" s="1388">
        <v>0</v>
      </c>
      <c r="G44" s="1389">
        <v>0</v>
      </c>
      <c r="I44" s="653" t="str">
        <f>($B$5&amp;" "&amp;$C$5)</f>
        <v>Water use in gallon</v>
      </c>
      <c r="J44" s="1687">
        <f>IF('CM Rec Par.'!BC$8="No preprocessing",'CM Rec Par.'!BF162,IF('CM Rec Par.'!BC$8="Generic",'Preproc. Par.'!$AF160*'Preproc. Par.'!$AD$14/SUM(Input!$F$28:$F$32)+'CM Rec Par.'!BF162*'CM Rec Par.'!BD$25/SUM(Input!$F$28:$F$32),'Preproc. Par.'!$BF160*'Preproc. Par.'!$BD$14/SUM(Input!$F$28:$F$32)+'CM Rec Par.'!BF162*'CM Rec Par.'!BD$25/SUM(Input!$F$28:$F$32)))*VLOOKUP($E$5,$AK$9:$AL$12,2,FALSE)*VLOOKUP($C$5,$AH$9:$AI$12,2,FALSE)</f>
        <v>58.952267679149678</v>
      </c>
      <c r="K44" s="1687">
        <f>IF('CM Rec Par.'!CC$8="No preprocessing",'CM Rec Par.'!CF162,IF('CM Rec Par.'!CC$8="Generic",'Preproc. Par.'!$AF160*'Preproc. Par.'!$AD$14/SUM(Input!$F$28:$F$32)+'CM Rec Par.'!CF162*'CM Rec Par.'!CD$25/SUM(Input!$F$28:$F$32),'Preproc. Par.'!$BF160*'Preproc. Par.'!$BD$14/SUM(Input!$F$28:$F$32)+'CM Rec Par.'!CF162*'CM Rec Par.'!CD$25/SUM(Input!$F$28:$F$32)))*VLOOKUP($E$5,$AK$9:$AL$12,2,FALSE)*VLOOKUP($C$5,$AH$9:$AI$12,2,FALSE)</f>
        <v>53.111443744784395</v>
      </c>
      <c r="L44" s="1687">
        <f>IF('CM Rec Par.'!DC$8="No preprocessing",'CM Rec Par.'!DF162,IF('CM Rec Par.'!DC$8="Generic",'Preproc. Par.'!$AF160*'Preproc. Par.'!$AD$14/SUM(Input!$F$28:$F$32)+'CM Rec Par.'!DF162*'CM Rec Par.'!DD$25/SUM(Input!$F$28:$F$32),'Preproc. Par.'!$BF160*'Preproc. Par.'!$BD$14/SUM(Input!$F$28:$F$32)+'CM Rec Par.'!DF162*'CM Rec Par.'!DD$25/SUM(Input!$F$28:$F$32)))*VLOOKUP($E$5,$AK$9:$AL$12,2,FALSE)*VLOOKUP($C$5,$AH$9:$AI$12,2,FALSE)</f>
        <v>12.032387409609116</v>
      </c>
      <c r="M44" s="1688">
        <f>IF('CM Rec Par.'!EC$19="Select plant type",0,IF('CM Rec Par.'!EC$8="No preprocessing",'CM Rec Par.'!EF164,IF('CM Rec Par.'!EC$8="Generic",'Preproc. Par.'!$AF160*'Preproc. Par.'!$AD$14/SUM(Input!$F$28:$F$32)+'CM Rec Par.'!EF164*'CM Rec Par.'!ED$26/SUM(Input!$F$28:$F$32),'Preproc. Par.'!$BF160*'Preproc. Par.'!$BD$14/SUM(Input!$F$28:$F$32)+'CM Rec Par.'!EF164*'CM Rec Par.'!ED$26/SUM(Input!$F$28:$F$32))))*VLOOKUP($E$5,$AK$9:$AL$12,2,FALSE)*VLOOKUP($C$5,$AH$9:$AI$12,2,FALSE)</f>
        <v>14.347673135437001</v>
      </c>
      <c r="O44" s="993" t="str">
        <f>($B$5&amp;" "&amp;$C$5)</f>
        <v>Water use in gallon</v>
      </c>
      <c r="P44" s="994" t="e">
        <f>HLOOKUP('Cath. Prod. Par.'!$D$9,'Man Rec Par.'!$B$7:$I$28,ROW(O44)-ROW(O$37)+1,FALSE)*VLOOKUP($E$6,$AK$9:$AL$12,2,FALSE)*VLOOKUP($C$5,$AH$9:$AI$12,2,FALSE)</f>
        <v>#N/A</v>
      </c>
      <c r="Q44" s="994" t="e">
        <f>HLOOKUP('Cath. Prod. Par.'!$D$9,'Man Rec Par.'!$B$31:$I$52,ROW(P44)-ROW(P$37)+1,FALSE)*VLOOKUP($E$6,$AK$9:$AL$12,2,FALSE)*VLOOKUP($C$5,$AH$9:$AI$12,2,FALSE)</f>
        <v>#N/A</v>
      </c>
      <c r="R44" s="1018" t="e">
        <f ca="1">HLOOKUP('Cath. Prod. Par.'!$D$9,'Man Rec Par.'!$B$79:$I$100,ROW(Q44)-ROW(Q$37)+1,FALSE)*VLOOKUP($E$6,$AK$9:$AL$12,2,FALSE)*VLOOKUP($C$5,$AH$9:$AI$12,2,FALSE)*IF(M37=0,0,1)</f>
        <v>#N/A</v>
      </c>
      <c r="S44" s="981" t="e">
        <f>HLOOKUP('Cath. Prod. Par.'!$D$9,'GREET IO'!$A$77:$AZ$98,ROW('GREET IO'!A84)-ROW('GREET IO'!A$77)+1,FALSE)/907.2*VLOOKUP($E$6,$AK$9:$AL$12,2,FALSE)*VLOOKUP($C$5,$AH$9:$AI$12,2,FALSE)</f>
        <v>#N/A</v>
      </c>
      <c r="T44" s="995" t="e">
        <f>HLOOKUP('Cath. Prod. Par.'!$D$9,'Man Rec Par.'!$B$55:$J$76,ROW(S44)-ROW(S$37)+1,FALSE)*VLOOKUP($E$6,$AK$9:$AL$12,2,FALSE)*VLOOKUP($C$5,$AH$9:$AI$12,2,FALSE)</f>
        <v>#N/A</v>
      </c>
    </row>
    <row r="45" spans="2:20">
      <c r="B45" s="1665" t="str">
        <f>("Total"&amp;" "&amp;$B$6&amp;" "&amp;$C$6&amp;" "&amp;$D$4&amp;" "&amp;$E$5&amp;" feedstock")</f>
        <v>Total Emissions in  g per kg feedstock</v>
      </c>
      <c r="C45" s="1666"/>
      <c r="E45" s="1665" t="str">
        <f>("Total"&amp;" "&amp;$B$6&amp;" "&amp;$C$6&amp;" "&amp;$D$4&amp;" "&amp;$E$5&amp;" feedstock")</f>
        <v>Total Emissions in  g per kg feedstock</v>
      </c>
      <c r="F45" s="1390"/>
      <c r="G45" s="1387"/>
      <c r="I45" s="652" t="str">
        <f>("Total"&amp;" "&amp;$B$6&amp;" "&amp;$C$6&amp;" "&amp;$D$4&amp;" "&amp;$E$5&amp;" feedstock processed")</f>
        <v>Total Emissions in  g per kg feedstock processed</v>
      </c>
      <c r="J45" s="1390"/>
      <c r="K45" s="1390"/>
      <c r="L45" s="1390"/>
      <c r="M45" s="662"/>
      <c r="O45" s="122" t="str">
        <f>("Total"&amp;" "&amp;$B$6&amp;" "&amp;$C$6&amp;" "&amp;$D$4&amp;" "&amp;$E$5&amp;" "&amp;$F$6)</f>
        <v>Total Emissions in  g per kg cathode produced</v>
      </c>
      <c r="P45" s="982"/>
      <c r="Q45" s="982"/>
      <c r="R45" s="982"/>
      <c r="S45" s="982"/>
      <c r="T45" s="863"/>
    </row>
    <row r="46" spans="2:20">
      <c r="B46" s="122" t="s">
        <v>180</v>
      </c>
      <c r="C46" s="125">
        <f>'Col&amp;Trans Par.'!I88*VLOOKUP($E$5,$AK$9:$AL$12,2,FALSE)*VLOOKUP($C$6,$AE$9:$AF$12,2,FALSE)</f>
        <v>5.7382318857359026E-2</v>
      </c>
      <c r="E46" s="122" t="s">
        <v>180</v>
      </c>
      <c r="F46" s="634">
        <v>0</v>
      </c>
      <c r="G46" s="125">
        <v>0</v>
      </c>
      <c r="I46" s="122" t="s">
        <v>180</v>
      </c>
      <c r="J46" s="634">
        <f>IF('CM Rec Par.'!BC$8="No preprocessing",'CM Rec Par.'!BF164,IF('CM Rec Par.'!BC$8="Generic",'Preproc. Par.'!$AF162*'Preproc. Par.'!$AD$14/SUM(Input!$F$28:$F$32)+'CM Rec Par.'!BF164*'CM Rec Par.'!BD$25/SUM(Input!$F$28:$F$32),'Preproc. Par.'!$BF162*'Preproc. Par.'!$BD$14/SUM(Input!$F$28:$F$32)+'CM Rec Par.'!BF164*'CM Rec Par.'!BD$25/SUM(Input!$F$28:$F$32)))*VLOOKUP($E$5,$AK$9:$AL$12,2,FALSE)*VLOOKUP($C$6,$AE$9:$AF$12,2,FALSE)</f>
        <v>3.0658447410345779</v>
      </c>
      <c r="K46" s="634">
        <f>IF('CM Rec Par.'!CC$8="No preprocessing",'CM Rec Par.'!CF164,IF('CM Rec Par.'!CC$8="Generic",'Preproc. Par.'!$AF162*'Preproc. Par.'!$AD$14/SUM(Input!$F$28:$F$32)+'CM Rec Par.'!CF164*'CM Rec Par.'!CD$25/SUM(Input!$F$28:$F$32),'Preproc. Par.'!$BF162*'Preproc. Par.'!$BD$14/SUM(Input!$F$28:$F$32)+'CM Rec Par.'!CF164*'CM Rec Par.'!CD$25/SUM(Input!$F$28:$F$32)))*VLOOKUP($E$5,$AK$9:$AL$12,2,FALSE)*VLOOKUP($C$6,$AE$9:$AF$12,2,FALSE)</f>
        <v>3.6736751557972007</v>
      </c>
      <c r="L46" s="634">
        <f>IF('CM Rec Par.'!DC$8="No preprocessing",'CM Rec Par.'!DF164,IF('CM Rec Par.'!DC$8="Generic",'Preproc. Par.'!$AF162*'Preproc. Par.'!$AD$14/SUM(Input!$F$28:$F$32)+'CM Rec Par.'!DF164*'CM Rec Par.'!DD$25/SUM(Input!$F$28:$F$32),'Preproc. Par.'!$BF162*'Preproc. Par.'!$BD$14/SUM(Input!$F$28:$F$32)+'CM Rec Par.'!DF164*'CM Rec Par.'!DD$25/SUM(Input!$F$28:$F$32)))*VLOOKUP($E$5,$AK$9:$AL$12,2,FALSE)*VLOOKUP($C$6,$AE$9:$AF$12,2,FALSE)</f>
        <v>0.74866303692649327</v>
      </c>
      <c r="M46" s="125">
        <f>IF('CM Rec Par.'!EC$19="Select plant type",0,IF('CM Rec Par.'!EC$8="No preprocessing",'CM Rec Par.'!EF166,IF('CM Rec Par.'!EC$8="Generic",'Preproc. Par.'!$AF162*'Preproc. Par.'!$AD$14/SUM(Input!$F$28:$F$32)+'CM Rec Par.'!EF166*'CM Rec Par.'!ED$26/SUM(Input!$F$28:$F$32),'Preproc. Par.'!$BF162*'Preproc. Par.'!$BD$14/SUM(Input!$F$28:$F$32)+'CM Rec Par.'!EF166*'CM Rec Par.'!ED$26/SUM(Input!$F$28:$F$32))))*VLOOKUP($E$5,$AK$9:$AL$12,2,FALSE)*VLOOKUP($C$6,$AE$9:$AF$12,2,FALSE)</f>
        <v>3.459875210618566</v>
      </c>
      <c r="O46" s="122" t="s">
        <v>180</v>
      </c>
      <c r="P46" s="634" t="e">
        <f>HLOOKUP('Cath. Prod. Par.'!$D$9,'Man Rec Par.'!$B$7:$I$28,ROW(O46)-ROW(O$37)+1,FALSE)*VLOOKUP($E$6,$AK$9:$AL$12,2,FALSE)*VLOOKUP($C$6,$AE$9:$AF$12,2,FALSE)</f>
        <v>#N/A</v>
      </c>
      <c r="Q46" s="634" t="e">
        <f>HLOOKUP('Cath. Prod. Par.'!$D$9,'Man Rec Par.'!$B$31:$I$52,ROW(P46)-ROW(P$37)+1,FALSE)*VLOOKUP($E$6,$AK$9:$AL$12,2,FALSE)*VLOOKUP($C$6,$AE$9:$AF$12,2,FALSE)</f>
        <v>#N/A</v>
      </c>
      <c r="R46" s="1017" t="e">
        <f ca="1">HLOOKUP('Cath. Prod. Par.'!$D$9,'Man Rec Par.'!$B$79:$I$100,ROW(Q46)-ROW(Q$37)+1,FALSE)*VLOOKUP($E$6,$AK$9:$AL$12,2,FALSE)*VLOOKUP($C$6,$AE$9:$AF$12,2,FALSE)*IF(M37=0,0,1)</f>
        <v>#N/A</v>
      </c>
      <c r="S46" s="980" t="e">
        <f>HLOOKUP('Cath. Prod. Par.'!$D$9,'GREET IO'!$A$77:$AZ$98,ROW('GREET IO'!A86)-ROW('GREET IO'!A$77)+1,FALSE)/907.2*VLOOKUP($E$6,$AK$9:$AL$12,2,FALSE)*VLOOKUP($C$6,$AE$9:$AF$12,2,FALSE)</f>
        <v>#N/A</v>
      </c>
      <c r="T46" s="998" t="e">
        <f>HLOOKUP('Cath. Prod. Par.'!$D$9,'Man Rec Par.'!$B$55:$J$76,ROW(S46)-ROW(S$37)+1,FALSE)*VLOOKUP($E$6,$AK$9:$AL$12,2,FALSE)*VLOOKUP($C$6,$AE$9:$AF$12,2,FALSE)</f>
        <v>#N/A</v>
      </c>
    </row>
    <row r="47" spans="2:20">
      <c r="B47" s="122" t="s">
        <v>181</v>
      </c>
      <c r="C47" s="125">
        <f>'Col&amp;Trans Par.'!I89*VLOOKUP($E$5,$AK$9:$AL$12,2,FALSE)*VLOOKUP($C$6,$AE$9:$AF$12,2,FALSE)</f>
        <v>0.75081189274711013</v>
      </c>
      <c r="E47" s="122" t="s">
        <v>181</v>
      </c>
      <c r="F47" s="634">
        <v>0</v>
      </c>
      <c r="G47" s="125">
        <v>0</v>
      </c>
      <c r="I47" s="122" t="s">
        <v>181</v>
      </c>
      <c r="J47" s="634">
        <f>IF('CM Rec Par.'!BC$8="No preprocessing",'CM Rec Par.'!BF165,IF('CM Rec Par.'!BC$8="Generic",'Preproc. Par.'!$AF163*'Preproc. Par.'!$AD$14/SUM(Input!$F$28:$F$32)+'CM Rec Par.'!BF165*'CM Rec Par.'!BD$25/SUM(Input!$F$28:$F$32),'Preproc. Par.'!$BF163*'Preproc. Par.'!$BD$14/SUM(Input!$F$28:$F$32)+'CM Rec Par.'!BF165*'CM Rec Par.'!BD$25/SUM(Input!$F$28:$F$32)))*VLOOKUP($E$5,$AK$9:$AL$12,2,FALSE)*VLOOKUP($C$6,$AE$9:$AF$12,2,FALSE)</f>
        <v>12.240932410547829</v>
      </c>
      <c r="K47" s="634">
        <f>IF('CM Rec Par.'!CC$8="No preprocessing",'CM Rec Par.'!CF165,IF('CM Rec Par.'!CC$8="Generic",'Preproc. Par.'!$AF163*'Preproc. Par.'!$AD$14/SUM(Input!$F$28:$F$32)+'CM Rec Par.'!CF165*'CM Rec Par.'!CD$25/SUM(Input!$F$28:$F$32),'Preproc. Par.'!$BF163*'Preproc. Par.'!$BD$14/SUM(Input!$F$28:$F$32)+'CM Rec Par.'!CF165*'CM Rec Par.'!CD$25/SUM(Input!$F$28:$F$32)))*VLOOKUP($E$5,$AK$9:$AL$12,2,FALSE)*VLOOKUP($C$6,$AE$9:$AF$12,2,FALSE)</f>
        <v>12.511115753268861</v>
      </c>
      <c r="L47" s="634">
        <f>IF('CM Rec Par.'!DC$8="No preprocessing",'CM Rec Par.'!DF165,IF('CM Rec Par.'!DC$8="Generic",'Preproc. Par.'!$AF163*'Preproc. Par.'!$AD$14/SUM(Input!$F$28:$F$32)+'CM Rec Par.'!DF165*'CM Rec Par.'!DD$25/SUM(Input!$F$28:$F$32),'Preproc. Par.'!$BF163*'Preproc. Par.'!$BD$14/SUM(Input!$F$28:$F$32)+'CM Rec Par.'!DF165*'CM Rec Par.'!DD$25/SUM(Input!$F$28:$F$32)))*VLOOKUP($E$5,$AK$9:$AL$12,2,FALSE)*VLOOKUP($C$6,$AE$9:$AF$12,2,FALSE)</f>
        <v>2.8681103644752515</v>
      </c>
      <c r="M47" s="125">
        <f>IF('CM Rec Par.'!EC$19="Select plant type",0,IF('CM Rec Par.'!EC$8="No preprocessing",'CM Rec Par.'!EF167,IF('CM Rec Par.'!EC$8="Generic",'Preproc. Par.'!$AF163*'Preproc. Par.'!$AD$14/SUM(Input!$F$28:$F$32)+'CM Rec Par.'!EF167*'CM Rec Par.'!ED$26/SUM(Input!$F$28:$F$32),'Preproc. Par.'!$BF163*'Preproc. Par.'!$BD$14/SUM(Input!$F$28:$F$32)+'CM Rec Par.'!EF167*'CM Rec Par.'!ED$26/SUM(Input!$F$28:$F$32))))*VLOOKUP($E$5,$AK$9:$AL$12,2,FALSE)*VLOOKUP($C$6,$AE$9:$AF$12,2,FALSE)</f>
        <v>6.1614732089224624</v>
      </c>
      <c r="O47" s="122" t="s">
        <v>181</v>
      </c>
      <c r="P47" s="634" t="e">
        <f>HLOOKUP('Cath. Prod. Par.'!$D$9,'Man Rec Par.'!$B$7:$I$28,ROW(O47)-ROW(O$37)+1,FALSE)*VLOOKUP($E$6,$AK$9:$AL$12,2,FALSE)*VLOOKUP($C$6,$AE$9:$AF$12,2,FALSE)</f>
        <v>#N/A</v>
      </c>
      <c r="Q47" s="634" t="e">
        <f>HLOOKUP('Cath. Prod. Par.'!$D$9,'Man Rec Par.'!$B$31:$I$52,ROW(P47)-ROW(P$37)+1,FALSE)*VLOOKUP($E$6,$AK$9:$AL$12,2,FALSE)*VLOOKUP($C$6,$AE$9:$AF$12,2,FALSE)</f>
        <v>#N/A</v>
      </c>
      <c r="R47" s="1017" t="e">
        <f ca="1">HLOOKUP('Cath. Prod. Par.'!$D$9,'Man Rec Par.'!$B$79:$I$100,ROW(Q47)-ROW(Q$37)+1,FALSE)*VLOOKUP($E$6,$AK$9:$AL$12,2,FALSE)*VLOOKUP($C$6,$AE$9:$AF$12,2,FALSE)*IF(M37=0,0,1)</f>
        <v>#N/A</v>
      </c>
      <c r="S47" s="980" t="e">
        <f>HLOOKUP('Cath. Prod. Par.'!$D$9,'GREET IO'!$A$77:$AZ$98,ROW('GREET IO'!A87)-ROW('GREET IO'!A$77)+1,FALSE)/907.2*VLOOKUP($E$6,$AK$9:$AL$12,2,FALSE)*VLOOKUP($C$6,$AE$9:$AF$12,2,FALSE)</f>
        <v>#N/A</v>
      </c>
      <c r="T47" s="999" t="e">
        <f>HLOOKUP('Cath. Prod. Par.'!$D$9,'Man Rec Par.'!$B$55:$J$76,ROW(S47)-ROW(S$37)+1,FALSE)*VLOOKUP($E$6,$AK$9:$AL$12,2,FALSE)*VLOOKUP($C$6,$AE$9:$AF$12,2,FALSE)</f>
        <v>#N/A</v>
      </c>
    </row>
    <row r="48" spans="2:20">
      <c r="B48" s="122" t="s">
        <v>182</v>
      </c>
      <c r="C48" s="125">
        <f>'Col&amp;Trans Par.'!I90*VLOOKUP($E$5,$AK$9:$AL$12,2,FALSE)*VLOOKUP($C$6,$AE$9:$AF$12,2,FALSE)</f>
        <v>0.51982350547257239</v>
      </c>
      <c r="E48" s="122" t="s">
        <v>182</v>
      </c>
      <c r="F48" s="634">
        <v>0</v>
      </c>
      <c r="G48" s="125">
        <v>0</v>
      </c>
      <c r="I48" s="122" t="s">
        <v>182</v>
      </c>
      <c r="J48" s="634">
        <f>IF('CM Rec Par.'!BC$8="No preprocessing",'CM Rec Par.'!BF166,IF('CM Rec Par.'!BC$8="Generic",'Preproc. Par.'!$AF164*'Preproc. Par.'!$AD$14/SUM(Input!$F$28:$F$32)+'CM Rec Par.'!BF166*'CM Rec Par.'!BD$25/SUM(Input!$F$28:$F$32),'Preproc. Par.'!$BF164*'Preproc. Par.'!$BD$14/SUM(Input!$F$28:$F$32)+'CM Rec Par.'!BF166*'CM Rec Par.'!BD$25/SUM(Input!$F$28:$F$32)))*VLOOKUP($E$5,$AK$9:$AL$12,2,FALSE)*VLOOKUP($C$6,$AE$9:$AF$12,2,FALSE)</f>
        <v>26.849823400258519</v>
      </c>
      <c r="K48" s="634">
        <f>IF('CM Rec Par.'!CC$8="No preprocessing",'CM Rec Par.'!CF166,IF('CM Rec Par.'!CC$8="Generic",'Preproc. Par.'!$AF164*'Preproc. Par.'!$AD$14/SUM(Input!$F$28:$F$32)+'CM Rec Par.'!CF166*'CM Rec Par.'!CD$25/SUM(Input!$F$28:$F$32),'Preproc. Par.'!$BF164*'Preproc. Par.'!$BD$14/SUM(Input!$F$28:$F$32)+'CM Rec Par.'!CF166*'CM Rec Par.'!CD$25/SUM(Input!$F$28:$F$32)))*VLOOKUP($E$5,$AK$9:$AL$12,2,FALSE)*VLOOKUP($C$6,$AE$9:$AF$12,2,FALSE)</f>
        <v>25.188895224439339</v>
      </c>
      <c r="L48" s="634">
        <f>IF('CM Rec Par.'!DC$8="No preprocessing",'CM Rec Par.'!DF166,IF('CM Rec Par.'!DC$8="Generic",'Preproc. Par.'!$AF164*'Preproc. Par.'!$AD$14/SUM(Input!$F$28:$F$32)+'CM Rec Par.'!DF166*'CM Rec Par.'!DD$25/SUM(Input!$F$28:$F$32),'Preproc. Par.'!$BF164*'Preproc. Par.'!$BD$14/SUM(Input!$F$28:$F$32)+'CM Rec Par.'!DF166*'CM Rec Par.'!DD$25/SUM(Input!$F$28:$F$32)))*VLOOKUP($E$5,$AK$9:$AL$12,2,FALSE)*VLOOKUP($C$6,$AE$9:$AF$12,2,FALSE)</f>
        <v>6.6398799870118532</v>
      </c>
      <c r="M48" s="125">
        <f>IF('CM Rec Par.'!EC$19="Select plant type",0,IF('CM Rec Par.'!EC$8="No preprocessing",'CM Rec Par.'!EF168,IF('CM Rec Par.'!EC$8="Generic",'Preproc. Par.'!$AF164*'Preproc. Par.'!$AD$14/SUM(Input!$F$28:$F$32)+'CM Rec Par.'!EF168*'CM Rec Par.'!ED$26/SUM(Input!$F$28:$F$32),'Preproc. Par.'!$BF164*'Preproc. Par.'!$BD$14/SUM(Input!$F$28:$F$32)+'CM Rec Par.'!EF168*'CM Rec Par.'!ED$26/SUM(Input!$F$28:$F$32))))*VLOOKUP($E$5,$AK$9:$AL$12,2,FALSE)*VLOOKUP($C$6,$AE$9:$AF$12,2,FALSE)</f>
        <v>8.1807249861160365</v>
      </c>
      <c r="O48" s="122" t="s">
        <v>182</v>
      </c>
      <c r="P48" s="634" t="e">
        <f>HLOOKUP('Cath. Prod. Par.'!$D$9,'Man Rec Par.'!$B$7:$I$28,ROW(O48)-ROW(O$37)+1,FALSE)*VLOOKUP($E$6,$AK$9:$AL$12,2,FALSE)*VLOOKUP($C$6,$AE$9:$AF$12,2,FALSE)</f>
        <v>#N/A</v>
      </c>
      <c r="Q48" s="634" t="e">
        <f>HLOOKUP('Cath. Prod. Par.'!$D$9,'Man Rec Par.'!$B$31:$I$52,ROW(P48)-ROW(P$37)+1,FALSE)*VLOOKUP($E$6,$AK$9:$AL$12,2,FALSE)*VLOOKUP($C$6,$AE$9:$AF$12,2,FALSE)</f>
        <v>#N/A</v>
      </c>
      <c r="R48" s="1017" t="e">
        <f ca="1">HLOOKUP('Cath. Prod. Par.'!$D$9,'Man Rec Par.'!$B$79:$I$100,ROW(Q48)-ROW(Q$37)+1,FALSE)*VLOOKUP($E$6,$AK$9:$AL$12,2,FALSE)*VLOOKUP($C$6,$AE$9:$AF$12,2,FALSE)*IF(M37=0,0,1)</f>
        <v>#N/A</v>
      </c>
      <c r="S48" s="980" t="e">
        <f>HLOOKUP('Cath. Prod. Par.'!$D$9,'GREET IO'!$A$77:$AZ$98,ROW('GREET IO'!A88)-ROW('GREET IO'!A$77)+1,FALSE)/907.2*VLOOKUP($E$6,$AK$9:$AL$12,2,FALSE)*VLOOKUP($C$6,$AE$9:$AF$12,2,FALSE)</f>
        <v>#N/A</v>
      </c>
      <c r="T48" s="999" t="e">
        <f>HLOOKUP('Cath. Prod. Par.'!$D$9,'Man Rec Par.'!$B$55:$J$76,ROW(S48)-ROW(S$37)+1,FALSE)*VLOOKUP($E$6,$AK$9:$AL$12,2,FALSE)*VLOOKUP($C$6,$AE$9:$AF$12,2,FALSE)</f>
        <v>#N/A</v>
      </c>
    </row>
    <row r="49" spans="2:20">
      <c r="B49" s="122" t="s">
        <v>183</v>
      </c>
      <c r="C49" s="125">
        <f>'Col&amp;Trans Par.'!I91*VLOOKUP($E$5,$AK$9:$AL$12,2,FALSE)*VLOOKUP($C$6,$AE$9:$AF$12,2,FALSE)</f>
        <v>2.9316341886742821E-2</v>
      </c>
      <c r="E49" s="122" t="s">
        <v>183</v>
      </c>
      <c r="F49" s="634">
        <v>0</v>
      </c>
      <c r="G49" s="125">
        <v>0</v>
      </c>
      <c r="I49" s="122" t="s">
        <v>183</v>
      </c>
      <c r="J49" s="634">
        <f>IF('CM Rec Par.'!BC$8="No preprocessing",'CM Rec Par.'!BF167,IF('CM Rec Par.'!BC$8="Generic",'Preproc. Par.'!$AF165*'Preproc. Par.'!$AD$14/SUM(Input!$F$28:$F$32)+'CM Rec Par.'!BF167*'CM Rec Par.'!BD$25/SUM(Input!$F$28:$F$32),'Preproc. Par.'!$BF165*'Preproc. Par.'!$BD$14/SUM(Input!$F$28:$F$32)+'CM Rec Par.'!BF167*'CM Rec Par.'!BD$25/SUM(Input!$F$28:$F$32)))*VLOOKUP($E$5,$AK$9:$AL$12,2,FALSE)*VLOOKUP($C$6,$AE$9:$AF$12,2,FALSE)</f>
        <v>5.3542397993483331</v>
      </c>
      <c r="K49" s="634">
        <f>IF('CM Rec Par.'!CC$8="No preprocessing",'CM Rec Par.'!CF167,IF('CM Rec Par.'!CC$8="Generic",'Preproc. Par.'!$AF165*'Preproc. Par.'!$AD$14/SUM(Input!$F$28:$F$32)+'CM Rec Par.'!CF167*'CM Rec Par.'!CD$25/SUM(Input!$F$28:$F$32),'Preproc. Par.'!$BF165*'Preproc. Par.'!$BD$14/SUM(Input!$F$28:$F$32)+'CM Rec Par.'!CF167*'CM Rec Par.'!CD$25/SUM(Input!$F$28:$F$32)))*VLOOKUP($E$5,$AK$9:$AL$12,2,FALSE)*VLOOKUP($C$6,$AE$9:$AF$12,2,FALSE)</f>
        <v>4.7455520261108335</v>
      </c>
      <c r="L49" s="634">
        <f>IF('CM Rec Par.'!DC$8="No preprocessing",'CM Rec Par.'!DF167,IF('CM Rec Par.'!DC$8="Generic",'Preproc. Par.'!$AF165*'Preproc. Par.'!$AD$14/SUM(Input!$F$28:$F$32)+'CM Rec Par.'!DF167*'CM Rec Par.'!DD$25/SUM(Input!$F$28:$F$32),'Preproc. Par.'!$BF165*'Preproc. Par.'!$BD$14/SUM(Input!$F$28:$F$32)+'CM Rec Par.'!DF167*'CM Rec Par.'!DD$25/SUM(Input!$F$28:$F$32)))*VLOOKUP($E$5,$AK$9:$AL$12,2,FALSE)*VLOOKUP($C$6,$AE$9:$AF$12,2,FALSE)</f>
        <v>1.1804300769023357</v>
      </c>
      <c r="M49" s="125">
        <f>IF('CM Rec Par.'!EC$19="Select plant type",0,IF('CM Rec Par.'!EC$8="No preprocessing",'CM Rec Par.'!EF169,IF('CM Rec Par.'!EC$8="Generic",'Preproc. Par.'!$AF165*'Preproc. Par.'!$AD$14/SUM(Input!$F$28:$F$32)+'CM Rec Par.'!EF169*'CM Rec Par.'!ED$26/SUM(Input!$F$28:$F$32),'Preproc. Par.'!$BF165*'Preproc. Par.'!$BD$14/SUM(Input!$F$28:$F$32)+'CM Rec Par.'!EF169*'CM Rec Par.'!ED$26/SUM(Input!$F$28:$F$32))))*VLOOKUP($E$5,$AK$9:$AL$12,2,FALSE)*VLOOKUP($C$6,$AE$9:$AF$12,2,FALSE)</f>
        <v>1.1315125655014624</v>
      </c>
      <c r="O49" s="122" t="s">
        <v>183</v>
      </c>
      <c r="P49" s="634" t="e">
        <f>HLOOKUP('Cath. Prod. Par.'!$D$9,'Man Rec Par.'!$B$7:$I$28,ROW(O49)-ROW(O$37)+1,FALSE)*VLOOKUP($E$6,$AK$9:$AL$12,2,FALSE)*VLOOKUP($C$6,$AE$9:$AF$12,2,FALSE)</f>
        <v>#N/A</v>
      </c>
      <c r="Q49" s="634" t="e">
        <f>HLOOKUP('Cath. Prod. Par.'!$D$9,'Man Rec Par.'!$B$31:$I$52,ROW(P49)-ROW(P$37)+1,FALSE)*VLOOKUP($E$6,$AK$9:$AL$12,2,FALSE)*VLOOKUP($C$6,$AE$9:$AF$12,2,FALSE)</f>
        <v>#N/A</v>
      </c>
      <c r="R49" s="1017" t="e">
        <f ca="1">HLOOKUP('Cath. Prod. Par.'!$D$9,'Man Rec Par.'!$B$79:$I$100,ROW(Q49)-ROW(Q$37)+1,FALSE)*VLOOKUP($E$6,$AK$9:$AL$12,2,FALSE)*VLOOKUP($C$6,$AE$9:$AF$12,2,FALSE)*IF(M37=0,0,1)</f>
        <v>#N/A</v>
      </c>
      <c r="S49" s="980" t="e">
        <f>HLOOKUP('Cath. Prod. Par.'!$D$9,'GREET IO'!$A$77:$AZ$98,ROW('GREET IO'!A89)-ROW('GREET IO'!A$77)+1,FALSE)/907.2*VLOOKUP($E$6,$AK$9:$AL$12,2,FALSE)*VLOOKUP($C$6,$AE$9:$AF$12,2,FALSE)</f>
        <v>#N/A</v>
      </c>
      <c r="T49" s="999" t="e">
        <f>HLOOKUP('Cath. Prod. Par.'!$D$9,'Man Rec Par.'!$B$55:$J$76,ROW(S49)-ROW(S$37)+1,FALSE)*VLOOKUP($E$6,$AK$9:$AL$12,2,FALSE)*VLOOKUP($C$6,$AE$9:$AF$12,2,FALSE)</f>
        <v>#N/A</v>
      </c>
    </row>
    <row r="50" spans="2:20">
      <c r="B50" s="122" t="s">
        <v>184</v>
      </c>
      <c r="C50" s="125">
        <f>'Col&amp;Trans Par.'!I92*VLOOKUP($E$5,$AK$9:$AL$12,2,FALSE)*VLOOKUP($C$6,$AE$9:$AF$12,2,FALSE)</f>
        <v>8.9310077658152059E-3</v>
      </c>
      <c r="E50" s="122" t="s">
        <v>184</v>
      </c>
      <c r="F50" s="634">
        <v>0</v>
      </c>
      <c r="G50" s="125">
        <v>0</v>
      </c>
      <c r="I50" s="122" t="s">
        <v>184</v>
      </c>
      <c r="J50" s="634">
        <f>IF('CM Rec Par.'!BC$8="No preprocessing",'CM Rec Par.'!BF168,IF('CM Rec Par.'!BC$8="Generic",'Preproc. Par.'!$AF166*'Preproc. Par.'!$AD$14/SUM(Input!$F$28:$F$32)+'CM Rec Par.'!BF168*'CM Rec Par.'!BD$25/SUM(Input!$F$28:$F$32),'Preproc. Par.'!$BF166*'Preproc. Par.'!$BD$14/SUM(Input!$F$28:$F$32)+'CM Rec Par.'!BF168*'CM Rec Par.'!BD$25/SUM(Input!$F$28:$F$32)))*VLOOKUP($E$5,$AK$9:$AL$12,2,FALSE)*VLOOKUP($C$6,$AE$9:$AF$12,2,FALSE)</f>
        <v>2.4584894131592665</v>
      </c>
      <c r="K50" s="634">
        <f>IF('CM Rec Par.'!CC$8="No preprocessing",'CM Rec Par.'!CF168,IF('CM Rec Par.'!CC$8="Generic",'Preproc. Par.'!$AF166*'Preproc. Par.'!$AD$14/SUM(Input!$F$28:$F$32)+'CM Rec Par.'!CF168*'CM Rec Par.'!CD$25/SUM(Input!$F$28:$F$32),'Preproc. Par.'!$BF166*'Preproc. Par.'!$BD$14/SUM(Input!$F$28:$F$32)+'CM Rec Par.'!CF168*'CM Rec Par.'!CD$25/SUM(Input!$F$28:$F$32)))*VLOOKUP($E$5,$AK$9:$AL$12,2,FALSE)*VLOOKUP($C$6,$AE$9:$AF$12,2,FALSE)</f>
        <v>2.2439829821011035</v>
      </c>
      <c r="L50" s="634">
        <f>IF('CM Rec Par.'!DC$8="No preprocessing",'CM Rec Par.'!DF168,IF('CM Rec Par.'!DC$8="Generic",'Preproc. Par.'!$AF166*'Preproc. Par.'!$AD$14/SUM(Input!$F$28:$F$32)+'CM Rec Par.'!DF168*'CM Rec Par.'!DD$25/SUM(Input!$F$28:$F$32),'Preproc. Par.'!$BF166*'Preproc. Par.'!$BD$14/SUM(Input!$F$28:$F$32)+'CM Rec Par.'!DF168*'CM Rec Par.'!DD$25/SUM(Input!$F$28:$F$32)))*VLOOKUP($E$5,$AK$9:$AL$12,2,FALSE)*VLOOKUP($C$6,$AE$9:$AF$12,2,FALSE)</f>
        <v>0.62252419694557448</v>
      </c>
      <c r="M50" s="125">
        <f>IF('CM Rec Par.'!EC$19="Select plant type",0,IF('CM Rec Par.'!EC$8="No preprocessing",'CM Rec Par.'!EF170,IF('CM Rec Par.'!EC$8="Generic",'Preproc. Par.'!$AF166*'Preproc. Par.'!$AD$14/SUM(Input!$F$28:$F$32)+'CM Rec Par.'!EF170*'CM Rec Par.'!ED$26/SUM(Input!$F$28:$F$32),'Preproc. Par.'!$BF166*'Preproc. Par.'!$BD$14/SUM(Input!$F$28:$F$32)+'CM Rec Par.'!EF170*'CM Rec Par.'!ED$26/SUM(Input!$F$28:$F$32))))*VLOOKUP($E$5,$AK$9:$AL$12,2,FALSE)*VLOOKUP($C$6,$AE$9:$AF$12,2,FALSE)</f>
        <v>0.59986876662957145</v>
      </c>
      <c r="O50" s="122" t="s">
        <v>184</v>
      </c>
      <c r="P50" s="634" t="e">
        <f>HLOOKUP('Cath. Prod. Par.'!$D$9,'Man Rec Par.'!$B$7:$I$28,ROW(O50)-ROW(O$37)+1,FALSE)*VLOOKUP($E$6,$AK$9:$AL$12,2,FALSE)*VLOOKUP($C$6,$AE$9:$AF$12,2,FALSE)</f>
        <v>#N/A</v>
      </c>
      <c r="Q50" s="634" t="e">
        <f>HLOOKUP('Cath. Prod. Par.'!$D$9,'Man Rec Par.'!$B$31:$I$52,ROW(P50)-ROW(P$37)+1,FALSE)*VLOOKUP($E$6,$AK$9:$AL$12,2,FALSE)*VLOOKUP($C$6,$AE$9:$AF$12,2,FALSE)</f>
        <v>#N/A</v>
      </c>
      <c r="R50" s="1017" t="e">
        <f ca="1">HLOOKUP('Cath. Prod. Par.'!$D$9,'Man Rec Par.'!$B$79:$I$100,ROW(Q50)-ROW(Q$37)+1,FALSE)*VLOOKUP($E$6,$AK$9:$AL$12,2,FALSE)*VLOOKUP($C$6,$AE$9:$AF$12,2,FALSE)*IF(M37=0,0,1)</f>
        <v>#N/A</v>
      </c>
      <c r="S50" s="980" t="e">
        <f>HLOOKUP('Cath. Prod. Par.'!$D$9,'GREET IO'!$A$77:$AZ$98,ROW('GREET IO'!A90)-ROW('GREET IO'!A$77)+1,FALSE)/907.2*VLOOKUP($E$6,$AK$9:$AL$12,2,FALSE)*VLOOKUP($C$6,$AE$9:$AF$12,2,FALSE)</f>
        <v>#N/A</v>
      </c>
      <c r="T50" s="999" t="e">
        <f>HLOOKUP('Cath. Prod. Par.'!$D$9,'Man Rec Par.'!$B$55:$J$76,ROW(S50)-ROW(S$37)+1,FALSE)*VLOOKUP($E$6,$AK$9:$AL$12,2,FALSE)*VLOOKUP($C$6,$AE$9:$AF$12,2,FALSE)</f>
        <v>#N/A</v>
      </c>
    </row>
    <row r="51" spans="2:20">
      <c r="B51" s="122" t="s">
        <v>185</v>
      </c>
      <c r="C51" s="125">
        <f>'Col&amp;Trans Par.'!I93*VLOOKUP($E$5,$AK$9:$AL$12,2,FALSE)*VLOOKUP($C$6,$AE$9:$AF$12,2,FALSE)</f>
        <v>2.4824254063830889E-2</v>
      </c>
      <c r="E51" s="122" t="s">
        <v>185</v>
      </c>
      <c r="F51" s="634">
        <v>0</v>
      </c>
      <c r="G51" s="125">
        <v>0</v>
      </c>
      <c r="I51" s="122" t="s">
        <v>185</v>
      </c>
      <c r="J51" s="634">
        <f>IF('CM Rec Par.'!BC$8="No preprocessing",'CM Rec Par.'!BF169,IF('CM Rec Par.'!BC$8="Generic",'Preproc. Par.'!$AF167*'Preproc. Par.'!$AD$14/SUM(Input!$F$28:$F$32)+'CM Rec Par.'!BF169*'CM Rec Par.'!BD$25/SUM(Input!$F$28:$F$32),'Preproc. Par.'!$BF167*'Preproc. Par.'!$BD$14/SUM(Input!$F$28:$F$32)+'CM Rec Par.'!BF169*'CM Rec Par.'!BD$25/SUM(Input!$F$28:$F$32)))*VLOOKUP($E$5,$AK$9:$AL$12,2,FALSE)*VLOOKUP($C$6,$AE$9:$AF$12,2,FALSE)</f>
        <v>34.425486978727832</v>
      </c>
      <c r="K51" s="634">
        <f>IF('CM Rec Par.'!CC$8="No preprocessing",'CM Rec Par.'!CF169,IF('CM Rec Par.'!CC$8="Generic",'Preproc. Par.'!$AF167*'Preproc. Par.'!$AD$14/SUM(Input!$F$28:$F$32)+'CM Rec Par.'!CF169*'CM Rec Par.'!CD$25/SUM(Input!$F$28:$F$32),'Preproc. Par.'!$BF167*'Preproc. Par.'!$BD$14/SUM(Input!$F$28:$F$32)+'CM Rec Par.'!CF169*'CM Rec Par.'!CD$25/SUM(Input!$F$28:$F$32)))*VLOOKUP($E$5,$AK$9:$AL$12,2,FALSE)*VLOOKUP($C$6,$AE$9:$AF$12,2,FALSE)</f>
        <v>32.470193865335006</v>
      </c>
      <c r="L51" s="634">
        <f>IF('CM Rec Par.'!DC$8="No preprocessing",'CM Rec Par.'!DF169,IF('CM Rec Par.'!DC$8="Generic",'Preproc. Par.'!$AF167*'Preproc. Par.'!$AD$14/SUM(Input!$F$28:$F$32)+'CM Rec Par.'!DF169*'CM Rec Par.'!DD$25/SUM(Input!$F$28:$F$32),'Preproc. Par.'!$BF167*'Preproc. Par.'!$BD$14/SUM(Input!$F$28:$F$32)+'CM Rec Par.'!DF169*'CM Rec Par.'!DD$25/SUM(Input!$F$28:$F$32)))*VLOOKUP($E$5,$AK$9:$AL$12,2,FALSE)*VLOOKUP($C$6,$AE$9:$AF$12,2,FALSE)</f>
        <v>7.1862084378308673</v>
      </c>
      <c r="M51" s="125">
        <f>IF('CM Rec Par.'!EC$19="Select plant type",0,IF('CM Rec Par.'!EC$8="No preprocessing",'CM Rec Par.'!EF171,IF('CM Rec Par.'!EC$8="Generic",'Preproc. Par.'!$AF167*'Preproc. Par.'!$AD$14/SUM(Input!$F$28:$F$32)+'CM Rec Par.'!EF171*'CM Rec Par.'!ED$26/SUM(Input!$F$28:$F$32),'Preproc. Par.'!$BF167*'Preproc. Par.'!$BD$14/SUM(Input!$F$28:$F$32)+'CM Rec Par.'!EF171*'CM Rec Par.'!ED$26/SUM(Input!$F$28:$F$32))))*VLOOKUP($E$5,$AK$9:$AL$12,2,FALSE)*VLOOKUP($C$6,$AE$9:$AF$12,2,FALSE)</f>
        <v>10.102458233739148</v>
      </c>
      <c r="O51" s="122" t="s">
        <v>185</v>
      </c>
      <c r="P51" s="634" t="e">
        <f>HLOOKUP('Cath. Prod. Par.'!$D$9,'Man Rec Par.'!$B$7:$I$28,ROW(O51)-ROW(O$37)+1,FALSE)*VLOOKUP($E$6,$AK$9:$AL$12,2,FALSE)*VLOOKUP($C$6,$AE$9:$AF$12,2,FALSE)</f>
        <v>#N/A</v>
      </c>
      <c r="Q51" s="634" t="e">
        <f>HLOOKUP('Cath. Prod. Par.'!$D$9,'Man Rec Par.'!$B$31:$I$52,ROW(P51)-ROW(P$37)+1,FALSE)*VLOOKUP($E$6,$AK$9:$AL$12,2,FALSE)*VLOOKUP($C$6,$AE$9:$AF$12,2,FALSE)</f>
        <v>#N/A</v>
      </c>
      <c r="R51" s="1017" t="e">
        <f ca="1">HLOOKUP('Cath. Prod. Par.'!$D$9,'Man Rec Par.'!$B$79:$I$100,ROW(Q51)-ROW(Q$37)+1,FALSE)*VLOOKUP($E$6,$AK$9:$AL$12,2,FALSE)*VLOOKUP($C$6,$AE$9:$AF$12,2,FALSE)*IF(M37=0,0,1)</f>
        <v>#N/A</v>
      </c>
      <c r="S51" s="980" t="e">
        <f>HLOOKUP('Cath. Prod. Par.'!$D$9,'GREET IO'!$A$77:$AZ$98,ROW('GREET IO'!A91)-ROW('GREET IO'!A$77)+1,FALSE)/907.2*VLOOKUP($E$6,$AK$9:$AL$12,2,FALSE)*VLOOKUP($C$6,$AE$9:$AF$12,2,FALSE)</f>
        <v>#N/A</v>
      </c>
      <c r="T51" s="999" t="e">
        <f>HLOOKUP('Cath. Prod. Par.'!$D$9,'Man Rec Par.'!$B$55:$J$76,ROW(S51)-ROW(S$37)+1,FALSE)*VLOOKUP($E$6,$AK$9:$AL$12,2,FALSE)*VLOOKUP($C$6,$AE$9:$AF$12,2,FALSE)</f>
        <v>#N/A</v>
      </c>
    </row>
    <row r="52" spans="2:20">
      <c r="B52" s="122" t="s">
        <v>186</v>
      </c>
      <c r="C52" s="125">
        <f>'Col&amp;Trans Par.'!I94*VLOOKUP($E$5,$AK$9:$AL$12,2,FALSE)*VLOOKUP($C$6,$AE$9:$AF$12,2,FALSE)</f>
        <v>8.8183648698408976E-4</v>
      </c>
      <c r="E52" s="122" t="s">
        <v>186</v>
      </c>
      <c r="F52" s="634">
        <v>0</v>
      </c>
      <c r="G52" s="125">
        <v>0</v>
      </c>
      <c r="I52" s="122" t="s">
        <v>186</v>
      </c>
      <c r="J52" s="634">
        <f>IF('CM Rec Par.'!BC$8="No preprocessing",'CM Rec Par.'!BF170,IF('CM Rec Par.'!BC$8="Generic",'Preproc. Par.'!$AF168*'Preproc. Par.'!$AD$14/SUM(Input!$F$28:$F$32)+'CM Rec Par.'!BF170*'CM Rec Par.'!BD$25/SUM(Input!$F$28:$F$32),'Preproc. Par.'!$BF168*'Preproc. Par.'!$BD$14/SUM(Input!$F$28:$F$32)+'CM Rec Par.'!BF170*'CM Rec Par.'!BD$25/SUM(Input!$F$28:$F$32)))*VLOOKUP($E$5,$AK$9:$AL$12,2,FALSE)*VLOOKUP($C$6,$AE$9:$AF$12,2,FALSE)</f>
        <v>0.12456504216081556</v>
      </c>
      <c r="K52" s="634">
        <f>IF('CM Rec Par.'!CC$8="No preprocessing",'CM Rec Par.'!CF170,IF('CM Rec Par.'!CC$8="Generic",'Preproc. Par.'!$AF168*'Preproc. Par.'!$AD$14/SUM(Input!$F$28:$F$32)+'CM Rec Par.'!CF170*'CM Rec Par.'!CD$25/SUM(Input!$F$28:$F$32),'Preproc. Par.'!$BF168*'Preproc. Par.'!$BD$14/SUM(Input!$F$28:$F$32)+'CM Rec Par.'!CF170*'CM Rec Par.'!CD$25/SUM(Input!$F$28:$F$32)))*VLOOKUP($E$5,$AK$9:$AL$12,2,FALSE)*VLOOKUP($C$6,$AE$9:$AF$12,2,FALSE)</f>
        <v>0.12498093739705862</v>
      </c>
      <c r="L52" s="634">
        <f>IF('CM Rec Par.'!DC$8="No preprocessing",'CM Rec Par.'!DF170,IF('CM Rec Par.'!DC$8="Generic",'Preproc. Par.'!$AF168*'Preproc. Par.'!$AD$14/SUM(Input!$F$28:$F$32)+'CM Rec Par.'!DF170*'CM Rec Par.'!DD$25/SUM(Input!$F$28:$F$32),'Preproc. Par.'!$BF168*'Preproc. Par.'!$BD$14/SUM(Input!$F$28:$F$32)+'CM Rec Par.'!DF170*'CM Rec Par.'!DD$25/SUM(Input!$F$28:$F$32)))*VLOOKUP($E$5,$AK$9:$AL$12,2,FALSE)*VLOOKUP($C$6,$AE$9:$AF$12,2,FALSE)</f>
        <v>5.5244981006295435E-2</v>
      </c>
      <c r="M52" s="125">
        <f>IF('CM Rec Par.'!EC$19="Select plant type",0,IF('CM Rec Par.'!EC$8="No preprocessing",'CM Rec Par.'!EF172,IF('CM Rec Par.'!EC$8="Generic",'Preproc. Par.'!$AF168*'Preproc. Par.'!$AD$14/SUM(Input!$F$28:$F$32)+'CM Rec Par.'!EF172*'CM Rec Par.'!ED$26/SUM(Input!$F$28:$F$32),'Preproc. Par.'!$BF168*'Preproc. Par.'!$BD$14/SUM(Input!$F$28:$F$32)+'CM Rec Par.'!EF172*'CM Rec Par.'!ED$26/SUM(Input!$F$28:$F$32))))*VLOOKUP($E$5,$AK$9:$AL$12,2,FALSE)*VLOOKUP($C$6,$AE$9:$AF$12,2,FALSE)</f>
        <v>5.3484694673775174E-2</v>
      </c>
      <c r="O52" s="122" t="s">
        <v>186</v>
      </c>
      <c r="P52" s="634" t="e">
        <f>HLOOKUP('Cath. Prod. Par.'!$D$9,'Man Rec Par.'!$B$7:$I$28,ROW(O52)-ROW(O$37)+1,FALSE)*VLOOKUP($E$6,$AK$9:$AL$12,2,FALSE)*VLOOKUP($C$6,$AE$9:$AF$12,2,FALSE)</f>
        <v>#N/A</v>
      </c>
      <c r="Q52" s="634" t="e">
        <f>HLOOKUP('Cath. Prod. Par.'!$D$9,'Man Rec Par.'!$B$31:$I$52,ROW(P52)-ROW(P$37)+1,FALSE)*VLOOKUP($E$6,$AK$9:$AL$12,2,FALSE)*VLOOKUP($C$6,$AE$9:$AF$12,2,FALSE)</f>
        <v>#N/A</v>
      </c>
      <c r="R52" s="1017" t="e">
        <f ca="1">HLOOKUP('Cath. Prod. Par.'!$D$9,'Man Rec Par.'!$B$79:$I$100,ROW(Q52)-ROW(Q$37)+1,FALSE)*VLOOKUP($E$6,$AK$9:$AL$12,2,FALSE)*VLOOKUP($C$6,$AE$9:$AF$12,2,FALSE)*IF(M37=0,0,1)</f>
        <v>#N/A</v>
      </c>
      <c r="S52" s="980" t="e">
        <f>HLOOKUP('Cath. Prod. Par.'!$D$9,'GREET IO'!$A$77:$AZ$98,ROW('GREET IO'!A92)-ROW('GREET IO'!A$77)+1,FALSE)/907.2*VLOOKUP($E$6,$AK$9:$AL$12,2,FALSE)*VLOOKUP($C$6,$AE$9:$AF$12,2,FALSE)</f>
        <v>#N/A</v>
      </c>
      <c r="T52" s="999" t="e">
        <f>HLOOKUP('Cath. Prod. Par.'!$D$9,'Man Rec Par.'!$B$55:$J$76,ROW(S52)-ROW(S$37)+1,FALSE)*VLOOKUP($E$6,$AK$9:$AL$12,2,FALSE)*VLOOKUP($C$6,$AE$9:$AF$12,2,FALSE)</f>
        <v>#N/A</v>
      </c>
    </row>
    <row r="53" spans="2:20">
      <c r="B53" s="122" t="s">
        <v>187</v>
      </c>
      <c r="C53" s="125">
        <f>'Col&amp;Trans Par.'!I95*VLOOKUP($E$5,$AK$9:$AL$12,2,FALSE)*VLOOKUP($C$6,$AE$9:$AF$12,2,FALSE)</f>
        <v>1.5936573536417089E-3</v>
      </c>
      <c r="E53" s="122" t="s">
        <v>187</v>
      </c>
      <c r="F53" s="634">
        <v>0</v>
      </c>
      <c r="G53" s="125">
        <v>0</v>
      </c>
      <c r="I53" s="122" t="s">
        <v>187</v>
      </c>
      <c r="J53" s="634">
        <f>IF('CM Rec Par.'!BC$8="No preprocessing",'CM Rec Par.'!BF171,IF('CM Rec Par.'!BC$8="Generic",'Preproc. Par.'!$AF169*'Preproc. Par.'!$AD$14/SUM(Input!$F$28:$F$32)+'CM Rec Par.'!BF171*'CM Rec Par.'!BD$25/SUM(Input!$F$28:$F$32),'Preproc. Par.'!$BF169*'Preproc. Par.'!$BD$14/SUM(Input!$F$28:$F$32)+'CM Rec Par.'!BF171*'CM Rec Par.'!BD$25/SUM(Input!$F$28:$F$32)))*VLOOKUP($E$5,$AK$9:$AL$12,2,FALSE)*VLOOKUP($C$6,$AE$9:$AF$12,2,FALSE)</f>
        <v>0.24300815446222276</v>
      </c>
      <c r="K53" s="634">
        <f>IF('CM Rec Par.'!CC$8="No preprocessing",'CM Rec Par.'!CF171,IF('CM Rec Par.'!CC$8="Generic",'Preproc. Par.'!$AF169*'Preproc. Par.'!$AD$14/SUM(Input!$F$28:$F$32)+'CM Rec Par.'!CF171*'CM Rec Par.'!CD$25/SUM(Input!$F$28:$F$32),'Preproc. Par.'!$BF169*'Preproc. Par.'!$BD$14/SUM(Input!$F$28:$F$32)+'CM Rec Par.'!CF171*'CM Rec Par.'!CD$25/SUM(Input!$F$28:$F$32)))*VLOOKUP($E$5,$AK$9:$AL$12,2,FALSE)*VLOOKUP($C$6,$AE$9:$AF$12,2,FALSE)</f>
        <v>0.25742116578663776</v>
      </c>
      <c r="L53" s="634">
        <f>IF('CM Rec Par.'!DC$8="No preprocessing",'CM Rec Par.'!DF171,IF('CM Rec Par.'!DC$8="Generic",'Preproc. Par.'!$AF169*'Preproc. Par.'!$AD$14/SUM(Input!$F$28:$F$32)+'CM Rec Par.'!DF171*'CM Rec Par.'!DD$25/SUM(Input!$F$28:$F$32),'Preproc. Par.'!$BF169*'Preproc. Par.'!$BD$14/SUM(Input!$F$28:$F$32)+'CM Rec Par.'!DF171*'CM Rec Par.'!DD$25/SUM(Input!$F$28:$F$32)))*VLOOKUP($E$5,$AK$9:$AL$12,2,FALSE)*VLOOKUP($C$6,$AE$9:$AF$12,2,FALSE)</f>
        <v>9.1684493306232143E-2</v>
      </c>
      <c r="M53" s="125">
        <f>IF('CM Rec Par.'!EC$19="Select plant type",0,IF('CM Rec Par.'!EC$8="No preprocessing",'CM Rec Par.'!EF173,IF('CM Rec Par.'!EC$8="Generic",'Preproc. Par.'!$AF169*'Preproc. Par.'!$AD$14/SUM(Input!$F$28:$F$32)+'CM Rec Par.'!EF173*'CM Rec Par.'!ED$26/SUM(Input!$F$28:$F$32),'Preproc. Par.'!$BF169*'Preproc. Par.'!$BD$14/SUM(Input!$F$28:$F$32)+'CM Rec Par.'!EF173*'CM Rec Par.'!ED$26/SUM(Input!$F$28:$F$32))))*VLOOKUP($E$5,$AK$9:$AL$12,2,FALSE)*VLOOKUP($C$6,$AE$9:$AF$12,2,FALSE)</f>
        <v>0.10951183189216983</v>
      </c>
      <c r="O53" s="122" t="s">
        <v>187</v>
      </c>
      <c r="P53" s="634" t="e">
        <f>HLOOKUP('Cath. Prod. Par.'!$D$9,'Man Rec Par.'!$B$7:$I$28,ROW(O53)-ROW(O$37)+1,FALSE)*VLOOKUP($E$6,$AK$9:$AL$12,2,FALSE)*VLOOKUP($C$6,$AE$9:$AF$12,2,FALSE)</f>
        <v>#N/A</v>
      </c>
      <c r="Q53" s="634" t="e">
        <f>HLOOKUP('Cath. Prod. Par.'!$D$9,'Man Rec Par.'!$B$31:$I$52,ROW(P53)-ROW(P$37)+1,FALSE)*VLOOKUP($E$6,$AK$9:$AL$12,2,FALSE)*VLOOKUP($C$6,$AE$9:$AF$12,2,FALSE)</f>
        <v>#N/A</v>
      </c>
      <c r="R53" s="1017" t="e">
        <f ca="1">HLOOKUP('Cath. Prod. Par.'!$D$9,'Man Rec Par.'!$B$79:$I$100,ROW(Q53)-ROW(Q$37)+1,FALSE)*VLOOKUP($E$6,$AK$9:$AL$12,2,FALSE)*VLOOKUP($C$6,$AE$9:$AF$12,2,FALSE)*IF(M37=0,0,1)</f>
        <v>#N/A</v>
      </c>
      <c r="S53" s="980" t="e">
        <f>HLOOKUP('Cath. Prod. Par.'!$D$9,'GREET IO'!$A$77:$AZ$98,ROW('GREET IO'!A93)-ROW('GREET IO'!A$77)+1,FALSE)/907.2*VLOOKUP($E$6,$AK$9:$AL$12,2,FALSE)*VLOOKUP($C$6,$AE$9:$AF$12,2,FALSE)</f>
        <v>#N/A</v>
      </c>
      <c r="T53" s="999" t="e">
        <f>HLOOKUP('Cath. Prod. Par.'!$D$9,'Man Rec Par.'!$B$55:$J$76,ROW(S53)-ROW(S$37)+1,FALSE)*VLOOKUP($E$6,$AK$9:$AL$12,2,FALSE)*VLOOKUP($C$6,$AE$9:$AF$12,2,FALSE)</f>
        <v>#N/A</v>
      </c>
    </row>
    <row r="54" spans="2:20">
      <c r="B54" s="122" t="s">
        <v>188</v>
      </c>
      <c r="C54" s="125">
        <f>'Col&amp;Trans Par.'!I96*VLOOKUP($E$5,$AK$9:$AL$12,2,FALSE)*VLOOKUP($C$6,$AE$9:$AF$12,2,FALSE)</f>
        <v>0.4851822656698595</v>
      </c>
      <c r="E54" s="122" t="s">
        <v>188</v>
      </c>
      <c r="F54" s="634">
        <v>0</v>
      </c>
      <c r="G54" s="125">
        <v>0</v>
      </c>
      <c r="I54" s="122" t="s">
        <v>188</v>
      </c>
      <c r="J54" s="634">
        <f>IF('CM Rec Par.'!BC$8="No preprocessing",'CM Rec Par.'!BF172,IF('CM Rec Par.'!BC$8="Generic",'Preproc. Par.'!$AF170*'Preproc. Par.'!$AD$14/SUM(Input!$F$28:$F$32)+'CM Rec Par.'!BF172*'CM Rec Par.'!BD$25/SUM(Input!$F$28:$F$32),'Preproc. Par.'!$BF170*'Preproc. Par.'!$BD$14/SUM(Input!$F$28:$F$32)+'CM Rec Par.'!BF172*'CM Rec Par.'!BD$25/SUM(Input!$F$28:$F$32)))*VLOOKUP($E$5,$AK$9:$AL$12,2,FALSE)*VLOOKUP($C$6,$AE$9:$AF$12,2,FALSE)</f>
        <v>55.961588018400633</v>
      </c>
      <c r="K54" s="634">
        <f>IF('CM Rec Par.'!CC$8="No preprocessing",'CM Rec Par.'!CF172,IF('CM Rec Par.'!CC$8="Generic",'Preproc. Par.'!$AF170*'Preproc. Par.'!$AD$14/SUM(Input!$F$28:$F$32)+'CM Rec Par.'!CF172*'CM Rec Par.'!CD$25/SUM(Input!$F$28:$F$32),'Preproc. Par.'!$BF170*'Preproc. Par.'!$BD$14/SUM(Input!$F$28:$F$32)+'CM Rec Par.'!CF172*'CM Rec Par.'!CD$25/SUM(Input!$F$28:$F$32)))*VLOOKUP($E$5,$AK$9:$AL$12,2,FALSE)*VLOOKUP($C$6,$AE$9:$AF$12,2,FALSE)</f>
        <v>55.064359450986551</v>
      </c>
      <c r="L54" s="634">
        <f>IF('CM Rec Par.'!DC$8="No preprocessing",'CM Rec Par.'!DF172,IF('CM Rec Par.'!DC$8="Generic",'Preproc. Par.'!$AF170*'Preproc. Par.'!$AD$14/SUM(Input!$F$28:$F$32)+'CM Rec Par.'!DF172*'CM Rec Par.'!DD$25/SUM(Input!$F$28:$F$32),'Preproc. Par.'!$BF170*'Preproc. Par.'!$BD$14/SUM(Input!$F$28:$F$32)+'CM Rec Par.'!DF172*'CM Rec Par.'!DD$25/SUM(Input!$F$28:$F$32)))*VLOOKUP($E$5,$AK$9:$AL$12,2,FALSE)*VLOOKUP($C$6,$AE$9:$AF$12,2,FALSE)</f>
        <v>11.111864213992053</v>
      </c>
      <c r="M54" s="125">
        <f>IF('CM Rec Par.'!EC$19="Select plant type",0,IF('CM Rec Par.'!EC$8="No preprocessing",'CM Rec Par.'!EF174,IF('CM Rec Par.'!EC$8="Generic",'Preproc. Par.'!$AF170*'Preproc. Par.'!$AD$14/SUM(Input!$F$28:$F$32)+'CM Rec Par.'!EF174*'CM Rec Par.'!ED$26/SUM(Input!$F$28:$F$32),'Preproc. Par.'!$BF170*'Preproc. Par.'!$BD$14/SUM(Input!$F$28:$F$32)+'CM Rec Par.'!EF174*'CM Rec Par.'!ED$26/SUM(Input!$F$28:$F$32))))*VLOOKUP($E$5,$AK$9:$AL$12,2,FALSE)*VLOOKUP($C$6,$AE$9:$AF$12,2,FALSE)</f>
        <v>25.053680388979323</v>
      </c>
      <c r="O54" s="122" t="s">
        <v>188</v>
      </c>
      <c r="P54" s="634" t="e">
        <f>HLOOKUP('Cath. Prod. Par.'!$D$9,'Man Rec Par.'!$B$7:$I$28,ROW(O54)-ROW(O$37)+1,FALSE)*VLOOKUP($E$6,$AK$9:$AL$12,2,FALSE)*VLOOKUP($C$6,$AE$9:$AF$12,2,FALSE)</f>
        <v>#N/A</v>
      </c>
      <c r="Q54" s="634" t="e">
        <f>HLOOKUP('Cath. Prod. Par.'!$D$9,'Man Rec Par.'!$B$31:$I$52,ROW(P54)-ROW(P$37)+1,FALSE)*VLOOKUP($E$6,$AK$9:$AL$12,2,FALSE)*VLOOKUP($C$6,$AE$9:$AF$12,2,FALSE)</f>
        <v>#N/A</v>
      </c>
      <c r="R54" s="1017" t="e">
        <f ca="1">HLOOKUP('Cath. Prod. Par.'!$D$9,'Man Rec Par.'!$B$79:$I$100,ROW(Q54)-ROW(Q$37)+1,FALSE)*VLOOKUP($E$6,$AK$9:$AL$12,2,FALSE)*VLOOKUP($C$6,$AE$9:$AF$12,2,FALSE)*IF(M37=0,0,1)</f>
        <v>#N/A</v>
      </c>
      <c r="S54" s="980" t="e">
        <f>HLOOKUP('Cath. Prod. Par.'!$D$9,'GREET IO'!$A$77:$AZ$98,ROW('GREET IO'!A94)-ROW('GREET IO'!A$77)+1,FALSE)/907.2*VLOOKUP($E$6,$AK$9:$AL$12,2,FALSE)*VLOOKUP($C$6,$AE$9:$AF$12,2,FALSE)</f>
        <v>#N/A</v>
      </c>
      <c r="T54" s="999" t="e">
        <f>HLOOKUP('Cath. Prod. Par.'!$D$9,'Man Rec Par.'!$B$55:$J$76,ROW(S54)-ROW(S$37)+1,FALSE)*VLOOKUP($E$6,$AK$9:$AL$12,2,FALSE)*VLOOKUP($C$6,$AE$9:$AF$12,2,FALSE)</f>
        <v>#N/A</v>
      </c>
    </row>
    <row r="55" spans="2:20">
      <c r="B55" s="122" t="s">
        <v>189</v>
      </c>
      <c r="C55" s="125">
        <f>'Col&amp;Trans Par.'!I97*VLOOKUP($E$5,$AK$9:$AL$12,2,FALSE)*VLOOKUP($C$6,$AE$9:$AF$12,2,FALSE)</f>
        <v>1.5127199746338168E-3</v>
      </c>
      <c r="E55" s="122" t="s">
        <v>189</v>
      </c>
      <c r="F55" s="634">
        <v>0</v>
      </c>
      <c r="G55" s="125">
        <v>0</v>
      </c>
      <c r="I55" s="122" t="s">
        <v>189</v>
      </c>
      <c r="J55" s="634">
        <f>IF('CM Rec Par.'!BC$8="No preprocessing",'CM Rec Par.'!BF173,IF('CM Rec Par.'!BC$8="Generic",'Preproc. Par.'!$AF171*'Preproc. Par.'!$AD$14/SUM(Input!$F$28:$F$32)+'CM Rec Par.'!BF173*'CM Rec Par.'!BD$25/SUM(Input!$F$28:$F$32),'Preproc. Par.'!$BF171*'Preproc. Par.'!$BD$14/SUM(Input!$F$28:$F$32)+'CM Rec Par.'!BF173*'CM Rec Par.'!BD$25/SUM(Input!$F$28:$F$32)))*VLOOKUP($E$5,$AK$9:$AL$12,2,FALSE)*VLOOKUP($C$6,$AE$9:$AF$12,2,FALSE)</f>
        <v>0.8310631721767564</v>
      </c>
      <c r="K55" s="634">
        <f>IF('CM Rec Par.'!CC$8="No preprocessing",'CM Rec Par.'!CF173,IF('CM Rec Par.'!CC$8="Generic",'Preproc. Par.'!$AF171*'Preproc. Par.'!$AD$14/SUM(Input!$F$28:$F$32)+'CM Rec Par.'!CF173*'CM Rec Par.'!CD$25/SUM(Input!$F$28:$F$32),'Preproc. Par.'!$BF171*'Preproc. Par.'!$BD$14/SUM(Input!$F$28:$F$32)+'CM Rec Par.'!CF173*'CM Rec Par.'!CD$25/SUM(Input!$F$28:$F$32)))*VLOOKUP($E$5,$AK$9:$AL$12,2,FALSE)*VLOOKUP($C$6,$AE$9:$AF$12,2,FALSE)</f>
        <v>0.74627868240321904</v>
      </c>
      <c r="L55" s="634">
        <f>IF('CM Rec Par.'!DC$8="No preprocessing",'CM Rec Par.'!DF173,IF('CM Rec Par.'!DC$8="Generic",'Preproc. Par.'!$AF171*'Preproc. Par.'!$AD$14/SUM(Input!$F$28:$F$32)+'CM Rec Par.'!DF173*'CM Rec Par.'!DD$25/SUM(Input!$F$28:$F$32),'Preproc. Par.'!$BF171*'Preproc. Par.'!$BD$14/SUM(Input!$F$28:$F$32)+'CM Rec Par.'!DF173*'CM Rec Par.'!DD$25/SUM(Input!$F$28:$F$32)))*VLOOKUP($E$5,$AK$9:$AL$12,2,FALSE)*VLOOKUP($C$6,$AE$9:$AF$12,2,FALSE)</f>
        <v>0.15289034897322928</v>
      </c>
      <c r="M55" s="125">
        <f>IF('CM Rec Par.'!EC$19="Select plant type",0,IF('CM Rec Par.'!EC$8="No preprocessing",'CM Rec Par.'!EF175,IF('CM Rec Par.'!EC$8="Generic",'Preproc. Par.'!$AF171*'Preproc. Par.'!$AD$14/SUM(Input!$F$28:$F$32)+'CM Rec Par.'!EF175*'CM Rec Par.'!ED$26/SUM(Input!$F$28:$F$32),'Preproc. Par.'!$BF171*'Preproc. Par.'!$BD$14/SUM(Input!$F$28:$F$32)+'CM Rec Par.'!EF175*'CM Rec Par.'!ED$26/SUM(Input!$F$28:$F$32))))*VLOOKUP($E$5,$AK$9:$AL$12,2,FALSE)*VLOOKUP($C$6,$AE$9:$AF$12,2,FALSE)</f>
        <v>0.20440795318234914</v>
      </c>
      <c r="O55" s="122" t="s">
        <v>189</v>
      </c>
      <c r="P55" s="634" t="e">
        <f>HLOOKUP('Cath. Prod. Par.'!$D$9,'Man Rec Par.'!$B$7:$I$28,ROW(O55)-ROW(O$37)+1,FALSE)*VLOOKUP($E$6,$AK$9:$AL$12,2,FALSE)*VLOOKUP($C$6,$AE$9:$AF$12,2,FALSE)</f>
        <v>#N/A</v>
      </c>
      <c r="Q55" s="634" t="e">
        <f>HLOOKUP('Cath. Prod. Par.'!$D$9,'Man Rec Par.'!$B$31:$I$52,ROW(P55)-ROW(P$37)+1,FALSE)*VLOOKUP($E$6,$AK$9:$AL$12,2,FALSE)*VLOOKUP($C$6,$AE$9:$AF$12,2,FALSE)</f>
        <v>#N/A</v>
      </c>
      <c r="R55" s="1017" t="e">
        <f ca="1">HLOOKUP('Cath. Prod. Par.'!$D$9,'Man Rec Par.'!$B$79:$I$100,ROW(Q55)-ROW(Q$37)+1,FALSE)*VLOOKUP($E$6,$AK$9:$AL$12,2,FALSE)*VLOOKUP($C$6,$AE$9:$AF$12,2,FALSE)*IF(M37=0,0,1)</f>
        <v>#N/A</v>
      </c>
      <c r="S55" s="980" t="e">
        <f>HLOOKUP('Cath. Prod. Par.'!$D$9,'GREET IO'!$A$77:$AZ$98,ROW('GREET IO'!A95)-ROW('GREET IO'!A$77)+1,FALSE)/907.2*VLOOKUP($E$6,$AK$9:$AL$12,2,FALSE)*VLOOKUP($C$6,$AE$9:$AF$12,2,FALSE)</f>
        <v>#N/A</v>
      </c>
      <c r="T55" s="999" t="e">
        <f>HLOOKUP('Cath. Prod. Par.'!$D$9,'Man Rec Par.'!$B$55:$J$76,ROW(S55)-ROW(S$37)+1,FALSE)*VLOOKUP($E$6,$AK$9:$AL$12,2,FALSE)*VLOOKUP($C$6,$AE$9:$AF$12,2,FALSE)</f>
        <v>#N/A</v>
      </c>
    </row>
    <row r="56" spans="2:20">
      <c r="B56" s="122" t="s">
        <v>190</v>
      </c>
      <c r="C56" s="127">
        <f>'Col&amp;Trans Par.'!I98*VLOOKUP($E$5,$AK$9:$AL$12,2,FALSE)*VLOOKUP($C$6,$AE$9:$AF$12,2,FALSE)</f>
        <v>392.69704251933615</v>
      </c>
      <c r="E56" s="122" t="s">
        <v>190</v>
      </c>
      <c r="F56" s="139">
        <v>0</v>
      </c>
      <c r="G56" s="127">
        <v>0</v>
      </c>
      <c r="I56" s="122" t="s">
        <v>190</v>
      </c>
      <c r="J56" s="139">
        <f>IF('CM Rec Par.'!BC$8="No preprocessing",'CM Rec Par.'!BF174,IF('CM Rec Par.'!BC$8="Generic",'Preproc. Par.'!$AF172*'Preproc. Par.'!$AD$14/SUM(Input!$F$28:$F$32)+'CM Rec Par.'!BF174*'CM Rec Par.'!BD$25/SUM(Input!$F$28:$F$32),'Preproc. Par.'!$BF172*'Preproc. Par.'!$BD$14/SUM(Input!$F$28:$F$32)+'CM Rec Par.'!BF174*'CM Rec Par.'!BD$25/SUM(Input!$F$28:$F$32)))*VLOOKUP($E$5,$AK$9:$AL$12,2,FALSE)*VLOOKUP($C$6,$AE$9:$AF$12,2,FALSE)</f>
        <v>35188.927155003315</v>
      </c>
      <c r="K56" s="139">
        <f>IF('CM Rec Par.'!CC$8="No preprocessing",'CM Rec Par.'!CF174,IF('CM Rec Par.'!CC$8="Generic",'Preproc. Par.'!$AF172*'Preproc. Par.'!$AD$14/SUM(Input!$F$28:$F$32)+'CM Rec Par.'!CF174*'CM Rec Par.'!CD$25/SUM(Input!$F$28:$F$32),'Preproc. Par.'!$BF172*'Preproc. Par.'!$BD$14/SUM(Input!$F$28:$F$32)+'CM Rec Par.'!CF174*'CM Rec Par.'!CD$25/SUM(Input!$F$28:$F$32)))*VLOOKUP($E$5,$AK$9:$AL$12,2,FALSE)*VLOOKUP($C$6,$AE$9:$AF$12,2,FALSE)</f>
        <v>30586.940251949753</v>
      </c>
      <c r="L56" s="139">
        <f>IF('CM Rec Par.'!DC$8="No preprocessing",'CM Rec Par.'!DF174,IF('CM Rec Par.'!DC$8="Generic",'Preproc. Par.'!$AF172*'Preproc. Par.'!$AD$14/SUM(Input!$F$28:$F$32)+'CM Rec Par.'!DF174*'CM Rec Par.'!DD$25/SUM(Input!$F$28:$F$32),'Preproc. Par.'!$BF172*'Preproc. Par.'!$BD$14/SUM(Input!$F$28:$F$32)+'CM Rec Par.'!DF174*'CM Rec Par.'!DD$25/SUM(Input!$F$28:$F$32)))*VLOOKUP($E$5,$AK$9:$AL$12,2,FALSE)*VLOOKUP($C$6,$AE$9:$AF$12,2,FALSE)</f>
        <v>6977.5568017996784</v>
      </c>
      <c r="M56" s="127">
        <f>IF('CM Rec Par.'!EC$19="Select plant type",0,IF('CM Rec Par.'!EC$8="No preprocessing",'CM Rec Par.'!EF176,IF('CM Rec Par.'!EC$8="Generic",'Preproc. Par.'!$AF172*'Preproc. Par.'!$AD$14/SUM(Input!$F$28:$F$32)+'CM Rec Par.'!EF176*'CM Rec Par.'!ED$26/SUM(Input!$F$28:$F$32),'Preproc. Par.'!$BF172*'Preproc. Par.'!$BD$14/SUM(Input!$F$28:$F$32)+'CM Rec Par.'!EF176*'CM Rec Par.'!ED$26/SUM(Input!$F$28:$F$32))))*VLOOKUP($E$5,$AK$9:$AL$12,2,FALSE)*VLOOKUP($C$6,$AE$9:$AF$12,2,FALSE)</f>
        <v>8604.3057749547843</v>
      </c>
      <c r="O56" s="122" t="s">
        <v>190</v>
      </c>
      <c r="P56" s="139" t="e">
        <f>HLOOKUP('Cath. Prod. Par.'!$D$9,'Man Rec Par.'!$B$7:$I$28,ROW(O56)-ROW(O$37)+1,FALSE)*VLOOKUP($E$6,$AK$9:$AL$12,2,FALSE)*VLOOKUP($C$6,$AE$9:$AF$12,2,FALSE)</f>
        <v>#N/A</v>
      </c>
      <c r="Q56" s="139" t="e">
        <f>HLOOKUP('Cath. Prod. Par.'!$D$9,'Man Rec Par.'!$B$31:$I$52,ROW(P56)-ROW(P$37)+1,FALSE)*VLOOKUP($E$6,$AK$9:$AL$12,2,FALSE)*VLOOKUP($C$6,$AE$9:$AF$12,2,FALSE)</f>
        <v>#N/A</v>
      </c>
      <c r="R56" s="139" t="e">
        <f ca="1">HLOOKUP('Cath. Prod. Par.'!$D$9,'Man Rec Par.'!$B$79:$I$100,ROW(Q56)-ROW(Q$37)+1,FALSE)*VLOOKUP($E$6,$AK$9:$AL$12,2,FALSE)*VLOOKUP($C$6,$AE$9:$AF$12,2,FALSE)*IF(M37=0,0,1)</f>
        <v>#N/A</v>
      </c>
      <c r="S56" s="983" t="e">
        <f>HLOOKUP('Cath. Prod. Par.'!$D$9,'GREET IO'!$A$77:$AZ$98,ROW('GREET IO'!A96)-ROW('GREET IO'!A$77)+1,FALSE)/907.2*VLOOKUP($E$6,$AK$9:$AL$12,2,FALSE)*VLOOKUP($C$6,$AE$9:$AF$12,2,FALSE)</f>
        <v>#N/A</v>
      </c>
      <c r="T56" s="1000" t="e">
        <f>HLOOKUP('Cath. Prod. Par.'!$D$9,'Man Rec Par.'!$B$55:$J$76,ROW(S56)-ROW(S$37)+1,FALSE)*VLOOKUP($E$6,$AK$9:$AL$12,2,FALSE)*VLOOKUP($C$6,$AE$9:$AF$12,2,FALSE)</f>
        <v>#N/A</v>
      </c>
    </row>
    <row r="57" spans="2:20">
      <c r="B57" s="122" t="s">
        <v>198</v>
      </c>
      <c r="C57" s="127">
        <f>'Col&amp;Trans Par.'!I99*VLOOKUP($E$5,$AK$9:$AL$12,2,FALSE)*VLOOKUP($C$6,$AE$9:$AF$12,2,FALSE)</f>
        <v>394.05573133980607</v>
      </c>
      <c r="E57" s="122" t="s">
        <v>198</v>
      </c>
      <c r="F57" s="139">
        <v>0</v>
      </c>
      <c r="G57" s="127">
        <v>0</v>
      </c>
      <c r="I57" s="122" t="s">
        <v>198</v>
      </c>
      <c r="J57" s="139">
        <f>IF('CM Rec Par.'!BC$8="No preprocessing",'CM Rec Par.'!BF175,IF('CM Rec Par.'!BC$8="Generic",'Preproc. Par.'!$AF173*'Preproc. Par.'!$AD$14/SUM(Input!$F$28:$F$32)+'CM Rec Par.'!BF175*'CM Rec Par.'!BD$25/SUM(Input!$F$28:$F$32),'Preproc. Par.'!$BF173*'Preproc. Par.'!$BD$14/SUM(Input!$F$28:$F$32)+'CM Rec Par.'!BF175*'CM Rec Par.'!BD$25/SUM(Input!$F$28:$F$32)))*VLOOKUP($E$5,$AK$9:$AL$12,2,FALSE)*VLOOKUP($C$6,$AE$9:$AF$12,2,FALSE)</f>
        <v>35217.718122043734</v>
      </c>
      <c r="K57" s="139">
        <f>IF('CM Rec Par.'!CC$8="No preprocessing",'CM Rec Par.'!CF175,IF('CM Rec Par.'!CC$8="Generic",'Preproc. Par.'!$AF173*'Preproc. Par.'!$AD$14/SUM(Input!$F$28:$F$32)+'CM Rec Par.'!CF175*'CM Rec Par.'!CD$25/SUM(Input!$F$28:$F$32),'Preproc. Par.'!$BF173*'Preproc. Par.'!$BD$14/SUM(Input!$F$28:$F$32)+'CM Rec Par.'!CF175*'CM Rec Par.'!CD$25/SUM(Input!$F$28:$F$32)))*VLOOKUP($E$5,$AK$9:$AL$12,2,FALSE)*VLOOKUP($C$6,$AE$9:$AF$12,2,FALSE)</f>
        <v>30618.050197607125</v>
      </c>
      <c r="L57" s="139">
        <f>IF('CM Rec Par.'!DC$8="No preprocessing",'CM Rec Par.'!DF175,IF('CM Rec Par.'!DC$8="Generic",'Preproc. Par.'!$AF173*'Preproc. Par.'!$AD$14/SUM(Input!$F$28:$F$32)+'CM Rec Par.'!DF175*'CM Rec Par.'!DD$25/SUM(Input!$F$28:$F$32),'Preproc. Par.'!$BF173*'Preproc. Par.'!$BD$14/SUM(Input!$F$28:$F$32)+'CM Rec Par.'!DF175*'CM Rec Par.'!DD$25/SUM(Input!$F$28:$F$32)))*VLOOKUP($E$5,$AK$9:$AL$12,2,FALSE)*VLOOKUP($C$6,$AE$9:$AF$12,2,FALSE)</f>
        <v>6984.3971655041796</v>
      </c>
      <c r="M57" s="127">
        <f>IF('CM Rec Par.'!EC$19="Select plant type",0,IF('CM Rec Par.'!EC$8="No preprocessing",'CM Rec Par.'!EF177,IF('CM Rec Par.'!EC$8="Generic",'Preproc. Par.'!$AF173*'Preproc. Par.'!$AD$14/SUM(Input!$F$28:$F$32)+'CM Rec Par.'!EF177*'CM Rec Par.'!ED$26/SUM(Input!$F$28:$F$32),'Preproc. Par.'!$BF173*'Preproc. Par.'!$BD$14/SUM(Input!$F$28:$F$32)+'CM Rec Par.'!EF177*'CM Rec Par.'!ED$26/SUM(Input!$F$28:$F$32))))*VLOOKUP($E$5,$AK$9:$AL$12,2,FALSE)*VLOOKUP($C$6,$AE$9:$AF$12,2,FALSE)</f>
        <v>8624.7713677371376</v>
      </c>
      <c r="O57" s="122" t="s">
        <v>198</v>
      </c>
      <c r="P57" s="139" t="e">
        <f>HLOOKUP('Cath. Prod. Par.'!$D$9,'Man Rec Par.'!$B$7:$I$28,ROW(O57)-ROW(O$37)+1,FALSE)*VLOOKUP($E$6,$AK$9:$AL$12,2,FALSE)*VLOOKUP($C$6,$AE$9:$AF$12,2,FALSE)</f>
        <v>#N/A</v>
      </c>
      <c r="Q57" s="139" t="e">
        <f>HLOOKUP('Cath. Prod. Par.'!$D$9,'Man Rec Par.'!$B$31:$I$52,ROW(P57)-ROW(P$37)+1,FALSE)*VLOOKUP($E$6,$AK$9:$AL$12,2,FALSE)*VLOOKUP($C$6,$AE$9:$AF$12,2,FALSE)</f>
        <v>#N/A</v>
      </c>
      <c r="R57" s="139" t="e">
        <f ca="1">HLOOKUP('Cath. Prod. Par.'!$D$9,'Man Rec Par.'!$B$79:$I$100,ROW(Q57)-ROW(Q$37)+1,FALSE)*VLOOKUP($E$6,$AK$9:$AL$12,2,FALSE)*VLOOKUP($C$6,$AE$9:$AF$12,2,FALSE)*IF(M37=0,0,1)</f>
        <v>#N/A</v>
      </c>
      <c r="S57" s="983" t="e">
        <f>HLOOKUP('Cath. Prod. Par.'!$D$9,'GREET IO'!$A$77:$AZ$98,ROW('GREET IO'!A97)-ROW('GREET IO'!A$77)+1,FALSE)/907.2*VLOOKUP($E$6,$AK$9:$AL$12,2,FALSE)*VLOOKUP($C$6,$AE$9:$AF$12,2,FALSE)</f>
        <v>#N/A</v>
      </c>
      <c r="T57" s="1000" t="e">
        <f>HLOOKUP('Cath. Prod. Par.'!$D$9,'Man Rec Par.'!$B$55:$J$76,ROW(S57)-ROW(S$37)+1,FALSE)*VLOOKUP($E$6,$AK$9:$AL$12,2,FALSE)*VLOOKUP($C$6,$AE$9:$AF$12,2,FALSE)</f>
        <v>#N/A</v>
      </c>
    </row>
    <row r="58" spans="2:20" ht="14.5" thickBot="1">
      <c r="B58" s="128" t="s">
        <v>199</v>
      </c>
      <c r="C58" s="129">
        <f>'Col&amp;Trans Par.'!I100*VLOOKUP($E$5,$AK$9:$AL$12,2,FALSE)*VLOOKUP($C$6,$AE$9:$AF$12,2,FALSE)</f>
        <v>408.92713540984289</v>
      </c>
      <c r="E58" s="122" t="s">
        <v>199</v>
      </c>
      <c r="F58" s="139">
        <v>0</v>
      </c>
      <c r="G58" s="127">
        <v>0</v>
      </c>
      <c r="I58" s="122" t="s">
        <v>199</v>
      </c>
      <c r="J58" s="139">
        <f>IF('CM Rec Par.'!BC$8="No preprocessing",'CM Rec Par.'!BF176,IF('CM Rec Par.'!BC$8="Generic",'Preproc. Par.'!$AF174*'Preproc. Par.'!$AD$14/SUM(Input!$F$28:$F$32)+'CM Rec Par.'!BF176*'CM Rec Par.'!BD$25/SUM(Input!$F$28:$F$32),'Preproc. Par.'!$BF174*'Preproc. Par.'!$BD$14/SUM(Input!$F$28:$F$32)+'CM Rec Par.'!BF176*'CM Rec Par.'!BD$25/SUM(Input!$F$28:$F$32)))*VLOOKUP($E$5,$AK$9:$AL$12,2,FALSE)*VLOOKUP($C$6,$AE$9:$AF$12,2,FALSE)</f>
        <v>37112.253690996324</v>
      </c>
      <c r="K58" s="139">
        <f>IF('CM Rec Par.'!CC$8="No preprocessing",'CM Rec Par.'!CF176,IF('CM Rec Par.'!CC$8="Generic",'Preproc. Par.'!$AF174*'Preproc. Par.'!$AD$14/SUM(Input!$F$28:$F$32)+'CM Rec Par.'!CF176*'CM Rec Par.'!CD$25/SUM(Input!$F$28:$F$32),'Preproc. Par.'!$BF174*'Preproc. Par.'!$BD$14/SUM(Input!$F$28:$F$32)+'CM Rec Par.'!CF176*'CM Rec Par.'!CD$25/SUM(Input!$F$28:$F$32)))*VLOOKUP($E$5,$AK$9:$AL$12,2,FALSE)*VLOOKUP($C$6,$AE$9:$AF$12,2,FALSE)</f>
        <v>32462.702189542604</v>
      </c>
      <c r="L58" s="139">
        <f>IF('CM Rec Par.'!DC$8="No preprocessing",'CM Rec Par.'!DF176,IF('CM Rec Par.'!DC$8="Generic",'Preproc. Par.'!$AF174*'Preproc. Par.'!$AD$14/SUM(Input!$F$28:$F$32)+'CM Rec Par.'!DF176*'CM Rec Par.'!DD$25/SUM(Input!$F$28:$F$32),'Preproc. Par.'!$BF174*'Preproc. Par.'!$BD$14/SUM(Input!$F$28:$F$32)+'CM Rec Par.'!DF176*'CM Rec Par.'!DD$25/SUM(Input!$F$28:$F$32)))*VLOOKUP($E$5,$AK$9:$AL$12,2,FALSE)*VLOOKUP($C$6,$AE$9:$AF$12,2,FALSE)</f>
        <v>7357.2697843508331</v>
      </c>
      <c r="M58" s="127">
        <f>IF('CM Rec Par.'!EC$19="Select plant type",0,IF('CM Rec Par.'!EC$8="No preprocessing",'CM Rec Par.'!EF178,IF('CM Rec Par.'!EC$8="Generic",'Preproc. Par.'!$AF174*'Preproc. Par.'!$AD$14/SUM(Input!$F$28:$F$32)+'CM Rec Par.'!EF178*'CM Rec Par.'!ED$26/SUM(Input!$F$28:$F$32),'Preproc. Par.'!$BF174*'Preproc. Par.'!$BD$14/SUM(Input!$F$28:$F$32)+'CM Rec Par.'!EF178*'CM Rec Par.'!ED$26/SUM(Input!$F$28:$F$32))))*VLOOKUP($E$5,$AK$9:$AL$12,2,FALSE)*VLOOKUP($C$6,$AE$9:$AF$12,2,FALSE)</f>
        <v>9427.1744145475022</v>
      </c>
      <c r="O58" s="996" t="s">
        <v>199</v>
      </c>
      <c r="P58" s="997" t="e">
        <f>HLOOKUP('Cath. Prod. Par.'!$D$9,'Man Rec Par.'!$B$7:$I$28,ROW(O58)-ROW(O$37)+1,FALSE)*VLOOKUP($E$6,$AK$9:$AL$12,2,FALSE)*VLOOKUP($C$6,$AE$9:$AF$12,2,FALSE)</f>
        <v>#N/A</v>
      </c>
      <c r="Q58" s="997" t="e">
        <f>HLOOKUP('Cath. Prod. Par.'!$D$9,'Man Rec Par.'!$B$31:$I$52,ROW(P58)-ROW(P$37)+1,FALSE)*VLOOKUP($E$6,$AK$9:$AL$12,2,FALSE)*VLOOKUP($C$6,$AE$9:$AF$12,2,FALSE)</f>
        <v>#N/A</v>
      </c>
      <c r="R58" s="997" t="e">
        <f ca="1">HLOOKUP('Cath. Prod. Par.'!$D$9,'Man Rec Par.'!$B$79:$I$100,ROW(Q58)-ROW(Q$37)+1,FALSE)*VLOOKUP($E$6,$AK$9:$AL$12,2,FALSE)*VLOOKUP($C$6,$AE$9:$AF$12,2,FALSE)*IF(M37=0,0,1)</f>
        <v>#N/A</v>
      </c>
      <c r="S58" s="984" t="e">
        <f>HLOOKUP('Cath. Prod. Par.'!$D$9,'GREET IO'!$A$77:$AZ$98,ROW('GREET IO'!A98)-ROW('GREET IO'!A$77)+1,FALSE)/907.2*VLOOKUP($E$6,$AK$9:$AL$12,2,FALSE)*VLOOKUP($C$6,$AE$9:$AF$12,2,FALSE)</f>
        <v>#N/A</v>
      </c>
      <c r="T58" s="1001" t="e">
        <f>HLOOKUP('Cath. Prod. Par.'!$D$9,'Man Rec Par.'!$B$55:$J$76,ROW(S58)-ROW(S$37)+1,FALSE)*VLOOKUP($E$6,$AK$9:$AL$12,2,FALSE)*VLOOKUP($C$6,$AE$9:$AF$12,2,FALSE)</f>
        <v>#N/A</v>
      </c>
    </row>
    <row r="59" spans="2:20" ht="14.5" thickBot="1">
      <c r="E59" s="1176" t="str">
        <f>("Revenue"&amp;" "&amp;$D$4&amp;" "&amp;$E$5&amp;" feedstock")</f>
        <v>Revenue per kg feedstock</v>
      </c>
      <c r="F59" s="1391">
        <f>IF(Input!E15="Pack",(IF(Disassembly!C11&gt;0,Disassembly!C11*Disassembly!C91,0)+IF(Disassembly!D11&gt;0,Disassembly!D11*Disassembly!C91,0)+IF(Disassembly!E11&gt;0,Disassembly!E11*Disassembly!C91,0)+IF(Disassembly!F11&gt;0,Disassembly!F11*Disassembly!C91,0)+IF(Disassembly!G11&gt;0,Disassembly!G11*Disassembly!C91,0))/SUM(Input!F28:F32),0)*VLOOKUP($E$5,$AK$9:$AL$12,2,FALSE)</f>
        <v>0</v>
      </c>
      <c r="G59" s="1392">
        <f>IF(Input!E15="Pack",(IF(Disassembly!C13="Cell",Disassembly!C11*Disassembly!$D91,0)+IF(Disassembly!D13="Cell",Disassembly!D11*Disassembly!$D91,0)+IF(Disassembly!E13="Cell",Disassembly!E11*Disassembly!$D91,0)+IF(Disassembly!F13="Cell",Disassembly!F11*Disassembly!$D91,0)+IF(Disassembly!G13="Cell",Disassembly!G11*Disassembly!$D91,0))/SUM(Input!F28:F32),0)*VLOOKUP($E$5,$AK$9:$AL$12,2,FALSE)</f>
        <v>0</v>
      </c>
      <c r="I59" s="1176" t="str">
        <f>("Revenue"&amp;" "&amp;$D$4&amp;" "&amp;$E$5&amp;" feedstock processed")</f>
        <v>Revenue per kg feedstock processed</v>
      </c>
      <c r="J59" s="1689">
        <f>IF('CM Rec Par.'!BC$8="No preprocessing",'CM Rec Par.'!BJ186,IF('CM Rec Par.'!BC$8="Generic",'Preproc. Par.'!AK184*'Preproc. Par.'!$AD$14/SUM(Input!$F$28:$F$32)+'CM Rec Par.'!BJ186*'CM Rec Par.'!BD$25/SUM(Input!$F$28:$F$32),'Preproc. Par.'!BL184*'Preproc. Par.'!$BD$14/SUM(Input!$F$28:$F$32)+'CM Rec Par.'!BJ186*'CM Rec Par.'!BD$25/SUM(Input!$F$28:$F$32)))*VLOOKUP($E$5,$AK$9:$AL$12,2,FALSE)</f>
        <v>8.2360281239399988</v>
      </c>
      <c r="K59" s="1689">
        <f>IF('CM Rec Par.'!CC$8="No preprocessing",'CM Rec Par.'!CL186,IF('CM Rec Par.'!CC$8="Generic",'Preproc. Par.'!AK184*'Preproc. Par.'!$AD$14/SUM(Input!$F$28:$F$32)+'CM Rec Par.'!CL186*'CM Rec Par.'!CD$25/SUM(Input!$F$28:$F$32),'Preproc. Par.'!BL184*'Preproc. Par.'!$BD$14/SUM(Input!$F$28:$F$32)+'CM Rec Par.'!CL186*'CM Rec Par.'!CD$25/SUM(Input!$F$28:$F$32)))*VLOOKUP($E$5,$AK$9:$AL$12,2,FALSE)</f>
        <v>8.9014337789568003</v>
      </c>
      <c r="L59" s="1689">
        <f ca="1">IF('CM Rec Par.'!DC$8="No preprocessing",'CM Rec Par.'!DL186,IF('CM Rec Par.'!DC$8="Generic",'Preproc. Par.'!AK184*'Preproc. Par.'!$AD$14/SUM(Input!$F$28:$F$32)+'CM Rec Par.'!DL186*'CM Rec Par.'!DD$25/SUM(Input!$F$28:$F$32),'Preproc. Par.'!BL184*'Preproc. Par.'!$BD$14/SUM(Input!$F$28:$F$32)+'CM Rec Par.'!DL186*'CM Rec Par.'!DD$25/SUM(Input!$F$28:$F$32)))*VLOOKUP($E$5,$AK$9:$AL$12,2,FALSE)</f>
        <v>14.350710528874799</v>
      </c>
      <c r="M59" s="1690">
        <f ca="1">IF('CM Rec Par.'!EC$8="No preprocessing",'CM Rec Par.'!EL188,IF('CM Rec Par.'!EC$8="Generic",'Preproc. Par.'!AK184*'Preproc. Par.'!$AD$14/SUM(Input!$F$28:$F$32)+'CM Rec Par.'!EL188*'CM Rec Par.'!ED$26/SUM(Input!$F$28:$F$32),'Preproc. Par.'!BL184*'Preproc. Par.'!$BD$14/SUM(Input!$F$28:$F$32)+'CM Rec Par.'!EL188*'CM Rec Par.'!ED$26/SUM(Input!$F$28:$F$32)))*VLOOKUP($E$5,$AK$9:$AL$12,2,FALSE)</f>
        <v>20.100710528874799</v>
      </c>
      <c r="P59"/>
      <c r="Q59" s="646"/>
    </row>
    <row r="60" spans="2:20">
      <c r="E60" s="1754"/>
      <c r="F60" s="1754"/>
      <c r="G60" s="1754"/>
      <c r="H60" s="1754"/>
      <c r="I60" s="1754"/>
    </row>
    <row r="61" spans="2:20" ht="32.15" customHeight="1">
      <c r="C61" s="646"/>
      <c r="E61" s="1754" t="s">
        <v>1746</v>
      </c>
      <c r="F61" s="1754"/>
      <c r="G61" s="1754"/>
      <c r="I61" s="1012" t="s">
        <v>1093</v>
      </c>
      <c r="J61" s="1009" t="s">
        <v>426</v>
      </c>
      <c r="O61" s="1013" t="s">
        <v>1094</v>
      </c>
      <c r="P61" s="1014"/>
      <c r="Q61" s="1009" t="s">
        <v>1095</v>
      </c>
      <c r="T61"/>
    </row>
    <row r="62" spans="2:20">
      <c r="B62"/>
      <c r="C62"/>
      <c r="D62"/>
      <c r="I62"/>
      <c r="J62"/>
      <c r="K62"/>
      <c r="L62"/>
      <c r="M62"/>
      <c r="N62"/>
      <c r="O62"/>
      <c r="P62"/>
      <c r="Q62" s="133" t="str">
        <f>("for 1 kg "&amp;" "&amp; Input!E38&amp;" "&amp;"cathode material")</f>
        <v>for 1 kg  Select Chemistry cathode material</v>
      </c>
      <c r="T62"/>
    </row>
    <row r="63" spans="2:20">
      <c r="B63"/>
      <c r="C63"/>
      <c r="D63"/>
      <c r="I63"/>
      <c r="J63"/>
      <c r="K63"/>
      <c r="L63"/>
      <c r="M63"/>
      <c r="N63"/>
      <c r="O63"/>
      <c r="P63"/>
      <c r="T63"/>
    </row>
    <row r="64" spans="2:20">
      <c r="B64"/>
      <c r="C64"/>
      <c r="D64"/>
      <c r="I64"/>
      <c r="J64"/>
      <c r="K64"/>
      <c r="L64"/>
      <c r="M64"/>
      <c r="N64"/>
      <c r="O64"/>
      <c r="P64"/>
      <c r="T64"/>
    </row>
    <row r="65" spans="2:20">
      <c r="B65"/>
      <c r="C65"/>
      <c r="D65"/>
      <c r="I65"/>
      <c r="J65"/>
      <c r="K65"/>
      <c r="L65"/>
      <c r="M65"/>
      <c r="N65"/>
      <c r="O65"/>
      <c r="P65"/>
      <c r="T65"/>
    </row>
    <row r="66" spans="2:20">
      <c r="B66"/>
      <c r="C66"/>
      <c r="D66"/>
      <c r="I66"/>
      <c r="J66"/>
      <c r="K66"/>
      <c r="L66"/>
      <c r="M66"/>
      <c r="N66"/>
      <c r="O66"/>
      <c r="P66"/>
    </row>
    <row r="67" spans="2:20">
      <c r="B67"/>
      <c r="C67"/>
      <c r="D67"/>
      <c r="I67"/>
      <c r="J67"/>
      <c r="K67"/>
      <c r="L67"/>
      <c r="M67"/>
      <c r="N67"/>
      <c r="O67"/>
      <c r="P67"/>
    </row>
    <row r="68" spans="2:20">
      <c r="B68"/>
      <c r="C68"/>
      <c r="D68"/>
      <c r="I68"/>
      <c r="J68"/>
      <c r="K68"/>
      <c r="L68"/>
      <c r="M68"/>
      <c r="N68"/>
      <c r="O68"/>
      <c r="P68"/>
    </row>
    <row r="69" spans="2:20">
      <c r="B69"/>
      <c r="C69"/>
      <c r="D69"/>
      <c r="I69"/>
      <c r="J69"/>
      <c r="K69"/>
      <c r="L69"/>
      <c r="M69"/>
      <c r="N69"/>
      <c r="O69"/>
      <c r="P69"/>
    </row>
    <row r="70" spans="2:20">
      <c r="B70"/>
      <c r="C70"/>
      <c r="D70"/>
      <c r="I70"/>
      <c r="J70"/>
      <c r="K70"/>
      <c r="L70"/>
      <c r="M70"/>
      <c r="N70"/>
      <c r="O70"/>
      <c r="P70"/>
    </row>
    <row r="71" spans="2:20">
      <c r="B71"/>
      <c r="C71"/>
      <c r="D71"/>
      <c r="I71"/>
      <c r="J71"/>
      <c r="K71"/>
      <c r="L71"/>
      <c r="M71"/>
      <c r="N71"/>
      <c r="O71"/>
      <c r="P71"/>
    </row>
    <row r="72" spans="2:20">
      <c r="B72"/>
      <c r="C72"/>
      <c r="D72"/>
      <c r="I72"/>
      <c r="J72"/>
      <c r="K72"/>
      <c r="L72"/>
      <c r="M72"/>
      <c r="N72"/>
      <c r="O72"/>
      <c r="P72"/>
    </row>
    <row r="73" spans="2:20">
      <c r="B73"/>
      <c r="C73"/>
      <c r="D73"/>
      <c r="I73"/>
      <c r="J73"/>
      <c r="K73"/>
      <c r="L73"/>
      <c r="M73"/>
      <c r="N73"/>
      <c r="O73"/>
      <c r="P73"/>
    </row>
    <row r="74" spans="2:20">
      <c r="B74"/>
      <c r="C74"/>
      <c r="D74"/>
      <c r="I74"/>
      <c r="J74"/>
      <c r="K74"/>
      <c r="L74"/>
      <c r="M74"/>
      <c r="N74"/>
      <c r="O74"/>
      <c r="P74"/>
    </row>
    <row r="75" spans="2:20">
      <c r="B75"/>
      <c r="C75"/>
      <c r="D75"/>
      <c r="I75"/>
      <c r="J75"/>
      <c r="K75"/>
      <c r="L75"/>
      <c r="M75"/>
      <c r="N75"/>
      <c r="O75"/>
      <c r="P75"/>
    </row>
    <row r="76" spans="2:20">
      <c r="B76"/>
      <c r="C76"/>
      <c r="D76"/>
      <c r="I76"/>
      <c r="J76"/>
      <c r="K76"/>
      <c r="L76"/>
      <c r="M76"/>
      <c r="N76"/>
      <c r="O76"/>
      <c r="P76"/>
    </row>
    <row r="77" spans="2:20">
      <c r="B77"/>
      <c r="C77"/>
      <c r="D77"/>
      <c r="I77"/>
      <c r="J77"/>
      <c r="K77"/>
      <c r="L77"/>
      <c r="M77"/>
      <c r="N77"/>
      <c r="O77"/>
      <c r="P77"/>
    </row>
    <row r="78" spans="2:20">
      <c r="B78"/>
      <c r="C78"/>
      <c r="D78"/>
      <c r="I78"/>
      <c r="J78"/>
      <c r="K78"/>
      <c r="L78"/>
      <c r="M78"/>
      <c r="N78"/>
      <c r="O78"/>
      <c r="P78"/>
    </row>
    <row r="79" spans="2:20">
      <c r="B79"/>
      <c r="C79"/>
      <c r="D79"/>
      <c r="I79"/>
      <c r="J79"/>
      <c r="K79"/>
      <c r="L79"/>
      <c r="M79"/>
      <c r="N79"/>
      <c r="O79"/>
      <c r="P79"/>
    </row>
    <row r="80" spans="2:20" ht="15.5">
      <c r="B80"/>
      <c r="C80"/>
      <c r="D80"/>
      <c r="I80" s="1012" t="s">
        <v>1452</v>
      </c>
      <c r="J80" s="1009" t="s">
        <v>36</v>
      </c>
      <c r="K80"/>
      <c r="L80"/>
      <c r="M80"/>
      <c r="N80"/>
      <c r="O80"/>
      <c r="P80"/>
    </row>
    <row r="81" spans="2:16">
      <c r="B81"/>
      <c r="C81"/>
      <c r="D81"/>
      <c r="I81"/>
      <c r="J81"/>
      <c r="K81"/>
      <c r="L81"/>
      <c r="M81"/>
      <c r="N81"/>
      <c r="O81"/>
      <c r="P81"/>
    </row>
    <row r="82" spans="2:16">
      <c r="B82"/>
      <c r="C82"/>
      <c r="D82"/>
      <c r="I82"/>
      <c r="J82"/>
      <c r="K82"/>
      <c r="L82"/>
      <c r="M82"/>
      <c r="N82"/>
      <c r="O82"/>
      <c r="P82"/>
    </row>
    <row r="83" spans="2:16">
      <c r="B83"/>
      <c r="C83"/>
      <c r="D83"/>
      <c r="I83"/>
      <c r="J83"/>
      <c r="K83"/>
      <c r="L83"/>
      <c r="M83"/>
      <c r="N83"/>
      <c r="O83"/>
      <c r="P83"/>
    </row>
    <row r="84" spans="2:16">
      <c r="B84"/>
      <c r="C84"/>
      <c r="D84"/>
      <c r="I84"/>
      <c r="J84"/>
      <c r="K84"/>
      <c r="L84"/>
      <c r="M84"/>
      <c r="N84"/>
      <c r="O84"/>
      <c r="P84"/>
    </row>
    <row r="85" spans="2:16">
      <c r="B85"/>
      <c r="C85"/>
      <c r="D85"/>
      <c r="I85"/>
      <c r="J85"/>
      <c r="K85"/>
      <c r="L85"/>
      <c r="M85"/>
      <c r="N85"/>
      <c r="O85"/>
      <c r="P85"/>
    </row>
    <row r="86" spans="2:16">
      <c r="B86"/>
      <c r="C86"/>
      <c r="D86"/>
      <c r="I86"/>
      <c r="J86"/>
      <c r="K86"/>
      <c r="L86"/>
      <c r="M86"/>
      <c r="N86"/>
      <c r="O86"/>
      <c r="P86"/>
    </row>
    <row r="87" spans="2:16">
      <c r="B87"/>
      <c r="C87"/>
      <c r="D87"/>
      <c r="I87"/>
      <c r="J87"/>
      <c r="K87"/>
      <c r="L87"/>
      <c r="M87"/>
      <c r="N87"/>
      <c r="O87"/>
      <c r="P87"/>
    </row>
    <row r="88" spans="2:16">
      <c r="B88"/>
      <c r="C88"/>
      <c r="D88"/>
      <c r="I88"/>
      <c r="J88"/>
      <c r="K88"/>
      <c r="L88"/>
      <c r="M88"/>
      <c r="N88"/>
      <c r="O88"/>
      <c r="P88"/>
    </row>
    <row r="89" spans="2:16">
      <c r="B89"/>
      <c r="C89"/>
      <c r="D89"/>
      <c r="I89"/>
      <c r="J89"/>
      <c r="K89"/>
      <c r="L89"/>
      <c r="M89"/>
      <c r="N89"/>
      <c r="O89"/>
      <c r="P89"/>
    </row>
    <row r="90" spans="2:16">
      <c r="B90"/>
      <c r="C90"/>
      <c r="D90"/>
      <c r="I90"/>
      <c r="J90"/>
      <c r="K90"/>
      <c r="L90"/>
      <c r="M90"/>
      <c r="N90"/>
      <c r="O90"/>
      <c r="P90"/>
    </row>
    <row r="91" spans="2:16">
      <c r="B91"/>
      <c r="C91"/>
      <c r="D91"/>
      <c r="I91"/>
      <c r="J91"/>
      <c r="K91"/>
      <c r="L91"/>
      <c r="M91"/>
      <c r="N91"/>
      <c r="O91"/>
      <c r="P91"/>
    </row>
    <row r="95" spans="2:16">
      <c r="D95"/>
    </row>
    <row r="96" spans="2:16">
      <c r="D96"/>
    </row>
    <row r="97" spans="4:10">
      <c r="D97"/>
    </row>
    <row r="98" spans="4:10">
      <c r="D98"/>
    </row>
    <row r="99" spans="4:10">
      <c r="D99"/>
    </row>
    <row r="100" spans="4:10">
      <c r="J100" s="110"/>
    </row>
    <row r="101" spans="4:10">
      <c r="J101" s="110"/>
    </row>
    <row r="102" spans="4:10">
      <c r="J102" s="110"/>
    </row>
    <row r="103" spans="4:10">
      <c r="J103" s="110"/>
    </row>
    <row r="104" spans="4:10">
      <c r="J104" s="110"/>
    </row>
    <row r="105" spans="4:10">
      <c r="J105" s="110"/>
    </row>
    <row r="106" spans="4:10">
      <c r="J106" s="110"/>
    </row>
    <row r="125" spans="53:58">
      <c r="BA125"/>
      <c r="BB125"/>
      <c r="BC125"/>
      <c r="BD125"/>
      <c r="BE125"/>
      <c r="BF125"/>
    </row>
    <row r="126" spans="53:58">
      <c r="BA126"/>
      <c r="BB126"/>
      <c r="BC126"/>
      <c r="BD126"/>
      <c r="BE126"/>
      <c r="BF126"/>
    </row>
    <row r="127" spans="53:58">
      <c r="BA127"/>
      <c r="BB127"/>
      <c r="BC127"/>
      <c r="BD127"/>
      <c r="BE127"/>
      <c r="BF127"/>
    </row>
    <row r="128" spans="53:58">
      <c r="BA128"/>
      <c r="BB128"/>
      <c r="BC128"/>
      <c r="BD128"/>
      <c r="BE128"/>
      <c r="BF128"/>
    </row>
    <row r="129" spans="53:58">
      <c r="BA129"/>
      <c r="BB129"/>
      <c r="BC129"/>
      <c r="BD129"/>
      <c r="BE129"/>
      <c r="BF129"/>
    </row>
    <row r="130" spans="53:58">
      <c r="BA130"/>
      <c r="BB130"/>
      <c r="BC130"/>
      <c r="BD130"/>
      <c r="BE130"/>
      <c r="BF130"/>
    </row>
    <row r="131" spans="53:58">
      <c r="BA131"/>
      <c r="BB131"/>
      <c r="BC131"/>
      <c r="BD131"/>
      <c r="BE131"/>
      <c r="BF131"/>
    </row>
    <row r="132" spans="53:58">
      <c r="BA132"/>
      <c r="BB132"/>
      <c r="BC132"/>
      <c r="BD132"/>
      <c r="BE132"/>
      <c r="BF132"/>
    </row>
    <row r="133" spans="53:58">
      <c r="BA133"/>
      <c r="BB133"/>
      <c r="BC133"/>
      <c r="BD133"/>
      <c r="BE133"/>
      <c r="BF133"/>
    </row>
    <row r="134" spans="53:58">
      <c r="BA134"/>
      <c r="BB134"/>
      <c r="BC134"/>
      <c r="BD134"/>
      <c r="BE134"/>
      <c r="BF134"/>
    </row>
    <row r="135" spans="53:58">
      <c r="BA135"/>
      <c r="BB135"/>
      <c r="BC135"/>
      <c r="BD135"/>
      <c r="BE135"/>
      <c r="BF135"/>
    </row>
    <row r="136" spans="53:58">
      <c r="BA136"/>
      <c r="BB136"/>
      <c r="BC136"/>
      <c r="BD136"/>
      <c r="BE136"/>
      <c r="BF136"/>
    </row>
    <row r="200" spans="2:22">
      <c r="B200" s="1270" t="s">
        <v>1455</v>
      </c>
      <c r="F200" s="111"/>
      <c r="J200" s="1270" t="s">
        <v>1453</v>
      </c>
      <c r="Q200" s="1270" t="s">
        <v>1454</v>
      </c>
    </row>
    <row r="201" spans="2:22">
      <c r="C201" s="111" t="s">
        <v>51</v>
      </c>
      <c r="D201" s="111" t="s">
        <v>1081</v>
      </c>
      <c r="E201" s="111" t="s">
        <v>1082</v>
      </c>
      <c r="F201" s="111" t="s">
        <v>1083</v>
      </c>
      <c r="G201" s="111" t="s">
        <v>1084</v>
      </c>
      <c r="H201" s="111" t="s">
        <v>1085</v>
      </c>
      <c r="K201" s="111" t="s">
        <v>51</v>
      </c>
      <c r="L201" s="111" t="s">
        <v>677</v>
      </c>
      <c r="M201" s="111" t="s">
        <v>426</v>
      </c>
      <c r="N201" s="111" t="s">
        <v>672</v>
      </c>
      <c r="O201" s="111" t="s">
        <v>36</v>
      </c>
      <c r="R201" s="111" t="s">
        <v>51</v>
      </c>
      <c r="S201" s="111" t="s">
        <v>1081</v>
      </c>
      <c r="T201" s="111" t="s">
        <v>1082</v>
      </c>
      <c r="U201" s="111" t="s">
        <v>1083</v>
      </c>
      <c r="V201" s="111" t="s">
        <v>1085</v>
      </c>
    </row>
    <row r="202" spans="2:22">
      <c r="B202" s="111" t="s">
        <v>286</v>
      </c>
      <c r="C202" s="272" t="e">
        <f>HLOOKUP($K$8,$D$201:$H$209,2,FALSE)</f>
        <v>#N/A</v>
      </c>
      <c r="D202" s="646">
        <f ca="1">'Man Par.'!C105</f>
        <v>20.81535117948296</v>
      </c>
      <c r="E202" s="646" t="e">
        <f>'Man Rec Par.'!AC109</f>
        <v>#N/A</v>
      </c>
      <c r="F202" s="646" t="e">
        <f>'Man Rec Par.'!AD109</f>
        <v>#N/A</v>
      </c>
      <c r="G202" s="646" t="e">
        <f>'Man Rec Par.'!AE109</f>
        <v>#N/A</v>
      </c>
      <c r="H202" s="646" t="e">
        <f>'Man Rec Par.'!AF109</f>
        <v>#N/A</v>
      </c>
      <c r="J202" s="111" t="s">
        <v>1088</v>
      </c>
      <c r="K202" s="272" t="e">
        <f t="shared" ref="K202:K209" si="2">HLOOKUP($J$61,$L$201:$O$209,ROW(J202)-ROW(J$202)+2,FALSE)</f>
        <v>#DIV/0!</v>
      </c>
      <c r="L202" s="1003" t="e">
        <f>IF('CM Rec Par.'!$BC$8="No preprocessing",'CM Rec Par.'!BG478,IF('CM Rec Par.'!$BC$8="Generic",'Preproc. Par.'!AG444*'Preproc. Par.'!$AD$14/SUM(Input!$F$28:$F$32)+'CM Rec Par.'!BG478*'CM Rec Par.'!$BD$25/SUM(Input!$F$28:$F$32),'Preproc. Par.'!BG443*'Preproc. Par.'!$BD$15/SUM(Input!$F$28:$F$32)+'CM Rec Par.'!BG478*'CM Rec Par.'!$BD$25/SUM(Input!$F$28:$F$32)))</f>
        <v>#DIV/0!</v>
      </c>
      <c r="M202" s="1003" t="e">
        <f>IF('CM Rec Par.'!$CC$8="No preprocessing",'CM Rec Par.'!CG478,IF('CM Rec Par.'!$CC$8="Generic",'Preproc. Par.'!AG444*'Preproc. Par.'!$AD$14/SUM(Input!$F$28:$F$32)+'CM Rec Par.'!CG478*'CM Rec Par.'!$CD$25/SUM(Input!$F$28:$F$32),'Preproc. Par.'!BG443*'Preproc. Par.'!$BD$15/SUM(Input!$F$28:$F$32)+'CM Rec Par.'!CG478*'CM Rec Par.'!$CD$25/SUM(Input!$F$28:$F$32)))</f>
        <v>#DIV/0!</v>
      </c>
      <c r="N202" s="1003" t="e">
        <f>IF('CM Rec Par.'!$DC$8="No preprocessing",'CM Rec Par.'!DG478,IF('CM Rec Par.'!$DC$8="Generic",'Preproc. Par.'!AG444*'Preproc. Par.'!$AD$14/SUM(Input!$F$28:$F$32)+'CM Rec Par.'!DG478*'CM Rec Par.'!$DD$25/SUM(Input!$F$28:$F$32),'Preproc. Par.'!BG443*'Preproc. Par.'!$BD$15/SUM(Input!$F$28:$F$32)+'CM Rec Par.'!DG478*'CM Rec Par.'!$DD$25/SUM(Input!$F$28:$F$32)))</f>
        <v>#DIV/0!</v>
      </c>
      <c r="O202" s="1003" t="e">
        <f>IF('CM Rec Par.'!$EC$8="No preprocessing",'CM Rec Par.'!EG478,IF('CM Rec Par.'!$EC$8="Generic",'Preproc. Par.'!AG444*'Preproc. Par.'!$AD$14/SUM(Input!$F$28:$F$32)+'CM Rec Par.'!EG478*'CM Rec Par.'!$ED$26/SUM(Input!$F$28:$F$32),'Preproc. Par.'!BG443*'Preproc. Par.'!$BD$15/SUM(Input!$F$28:$F$32)+'CM Rec Par.'!EG478*'CM Rec Par.'!$ED$26/SUM(Input!$F$28:$F$32)))</f>
        <v>#DIV/0!</v>
      </c>
      <c r="Q202" s="111" t="s">
        <v>1088</v>
      </c>
      <c r="R202" s="272" t="e">
        <f t="shared" ref="R202:R209" si="3">HLOOKUP($Q$61,$S$201:$V$209,ROW(Q202)-ROW(Q$202)+2,FALSE)</f>
        <v>#N/A</v>
      </c>
      <c r="S202" s="272" t="b">
        <f>IF(Input!$E$38="NMC(111)",'Cath. Prod. Par.'!AJ488, IF(Input!$E$38="NMC(532)",'Cath. Prod. Par.'!BJ488, IF(Input!$E$38="NMC(622)",'Cath. Prod. Par.'!CJ488,IF(Input!$E$38="NMC(811)",'Cath. Prod. Par.'!DJ488,IF(Input!$E$38="NCA",'Cath. Prod. Par.'!EJ488,IF(Input!$E$38="LCO",'Cath. Prod. Par.'!FJ488))))))</f>
        <v>0</v>
      </c>
      <c r="T202" s="272" t="b">
        <f>IF(Input!$E$38="NMC(111)",'Cath. Prod. Par.'!AG488, IF(Input!$E$38="NMC(532)",'Cath. Prod. Par.'!BG488, IF(Input!$E$38="NMC(622)",'Cath. Prod. Par.'!CG488,IF(Input!$E$38="NMC(811)",'Cath. Prod. Par.'!DG488,IF(Input!$E$38="NCA",'Cath. Prod. Par.'!EG488,IF(Input!$E$38="LCO",'Cath. Prod. Par.'!FG488))))))</f>
        <v>0</v>
      </c>
      <c r="U202" s="272" t="b">
        <f>IF(Input!$E$38="NMC(111)",'Cath. Prod. Par.'!AH488, IF(Input!$E$38="NMC(532)",'Cath. Prod. Par.'!BH488, IF(Input!$E$38="NMC(622)",'Cath. Prod. Par.'!CH488,IF(Input!$E$38="NMC(811)",'Cath. Prod. Par.'!DH488,IF(Input!$E$38="NCA",'Cath. Prod. Par.'!EH488,IF(Input!$E$38="LCO",'Cath. Prod. Par.'!FH488))))))</f>
        <v>0</v>
      </c>
      <c r="V202" s="272" t="b">
        <f>IF(Input!$E$38="NMC(111)",'Cath. Prod. Par.'!AI488, IF(Input!$E$38="NMC(532)",'Cath. Prod. Par.'!BI488, IF(Input!$E$38="NMC(622)",'Cath. Prod. Par.'!CI488,IF(Input!$E$38="NMC(811)",'Cath. Prod. Par.'!DI488,IF(Input!$E$38="NCA",'Cath. Prod. Par.'!EI488,IF(Input!$E$38="LCO",'Cath. Prod. Par.'!FI488))))))</f>
        <v>0</v>
      </c>
    </row>
    <row r="203" spans="2:22">
      <c r="B203" s="111" t="s">
        <v>461</v>
      </c>
      <c r="C203" s="272" t="e">
        <f>HLOOKUP($K$8,$D$201:$H$209,3,FALSE)</f>
        <v>#N/A</v>
      </c>
      <c r="D203" s="646">
        <f>'Man Par.'!C106</f>
        <v>0.50745306329805107</v>
      </c>
      <c r="E203" s="646" t="e">
        <f>'Man Rec Par.'!AC110</f>
        <v>#N/A</v>
      </c>
      <c r="F203" s="646" t="e">
        <f>'Man Rec Par.'!AD110</f>
        <v>#N/A</v>
      </c>
      <c r="G203" s="646" t="e">
        <f>'Man Rec Par.'!AE110</f>
        <v>#N/A</v>
      </c>
      <c r="H203" s="646" t="e">
        <f>'Man Rec Par.'!AF110</f>
        <v>#N/A</v>
      </c>
      <c r="J203" s="111" t="s">
        <v>1435</v>
      </c>
      <c r="K203" s="272" t="e">
        <f t="shared" si="2"/>
        <v>#DIV/0!</v>
      </c>
      <c r="L203" s="1003" t="e">
        <f>IF('CM Rec Par.'!$BC$8="No preprocessing",'CM Rec Par.'!BG479,IF('CM Rec Par.'!$BC$8="Generic",'Preproc. Par.'!AG445*'Preproc. Par.'!$AD$14/SUM(Input!$F$28:$F$32)+'CM Rec Par.'!BG479*'CM Rec Par.'!$BD$25/SUM(Input!$F$28:$F$32),'Preproc. Par.'!BG444*'Preproc. Par.'!$BD$15/SUM(Input!$F$28:$F$32)+'CM Rec Par.'!BG479*'CM Rec Par.'!$BD$25/SUM(Input!$F$28:$F$32)))</f>
        <v>#DIV/0!</v>
      </c>
      <c r="M203" s="1003" t="e">
        <f>IF('CM Rec Par.'!$CC$8="No preprocessing",'CM Rec Par.'!CG479,IF('CM Rec Par.'!$CC$8="Generic",'Preproc. Par.'!AG445*'Preproc. Par.'!$AD$14/SUM(Input!$F$28:$F$32)+'CM Rec Par.'!CG479*'CM Rec Par.'!$CD$25/SUM(Input!$F$28:$F$32),'Preproc. Par.'!BG444*'Preproc. Par.'!$BD$15/SUM(Input!$F$28:$F$32)+'CM Rec Par.'!CG479*'CM Rec Par.'!$CD$25/SUM(Input!$F$28:$F$32)))</f>
        <v>#DIV/0!</v>
      </c>
      <c r="N203" s="1003" t="e">
        <f>IF('CM Rec Par.'!$DC$8="No preprocessing",'CM Rec Par.'!DG479,IF('CM Rec Par.'!$DC$8="Generic",'Preproc. Par.'!AG445*'Preproc. Par.'!$AD$14/SUM(Input!$F$28:$F$32)+'CM Rec Par.'!DG479*'CM Rec Par.'!$DD$25/SUM(Input!$F$28:$F$32),'Preproc. Par.'!BG444*'Preproc. Par.'!$BD$15/SUM(Input!$F$28:$F$32)+'CM Rec Par.'!DG479*'CM Rec Par.'!$DD$25/SUM(Input!$F$28:$F$32)))</f>
        <v>#DIV/0!</v>
      </c>
      <c r="O203" s="1003" t="e">
        <f>IF('CM Rec Par.'!$EC$8="No preprocessing",'CM Rec Par.'!EG479,IF('CM Rec Par.'!$EC$8="Generic",'Preproc. Par.'!AG445*'Preproc. Par.'!$AD$14/SUM(Input!$F$28:$F$32)+'CM Rec Par.'!EG479*'CM Rec Par.'!$ED$26/SUM(Input!$F$28:$F$32),'Preproc. Par.'!BG444*'Preproc. Par.'!$BD$15/SUM(Input!$F$28:$F$32)+'CM Rec Par.'!EG479*'CM Rec Par.'!$ED$26/SUM(Input!$F$28:$F$32)))</f>
        <v>#DIV/0!</v>
      </c>
      <c r="Q203" s="111" t="s">
        <v>461</v>
      </c>
      <c r="R203" s="272" t="e">
        <f t="shared" si="3"/>
        <v>#N/A</v>
      </c>
      <c r="S203" s="272" t="b">
        <f>IF(Input!$E$38="NMC(111)",'Cath. Prod. Par.'!AJ490, IF(Input!$E$38="NMC(532)",'Cath. Prod. Par.'!BJ490, IF(Input!$E$38="NMC(622)",'Cath. Prod. Par.'!CJ490,IF(Input!$E$38="NMC(811)",'Cath. Prod. Par.'!DJ490,IF(Input!$E$38="NCA",'Cath. Prod. Par.'!EJ490,IF(Input!$E$38="LCO",'Cath. Prod. Par.'!FJ490))))))</f>
        <v>0</v>
      </c>
      <c r="T203" s="272" t="b">
        <f>IF(Input!$E$38="NMC(111)",'Cath. Prod. Par.'!AG490, IF(Input!$E$38="NMC(532)",'Cath. Prod. Par.'!BG490, IF(Input!$E$38="NMC(622)",'Cath. Prod. Par.'!CG490,IF(Input!$E$38="NMC(811)",'Cath. Prod. Par.'!DG490,IF(Input!$E$38="NCA",'Cath. Prod. Par.'!EG490,IF(Input!$E$38="LCO",'Cath. Prod. Par.'!FG490))))))</f>
        <v>0</v>
      </c>
      <c r="U203" s="272" t="b">
        <f>IF(Input!$E$38="NMC(111)",'Cath. Prod. Par.'!AH490, IF(Input!$E$38="NMC(532)",'Cath. Prod. Par.'!BH490, IF(Input!$E$38="NMC(622)",'Cath. Prod. Par.'!CH490,IF(Input!$E$38="NMC(811)",'Cath. Prod. Par.'!DH490,IF(Input!$E$38="NCA",'Cath. Prod. Par.'!EH490,IF(Input!$E$38="LCO",'Cath. Prod. Par.'!FH490))))))</f>
        <v>0</v>
      </c>
      <c r="V203" s="272" t="b">
        <f>IF(Input!$E$38="NMC(111)",'Cath. Prod. Par.'!AI490, IF(Input!$E$38="NMC(532)",'Cath. Prod. Par.'!BI490, IF(Input!$E$38="NMC(622)",'Cath. Prod. Par.'!CI490,IF(Input!$E$38="NMC(811)",'Cath. Prod. Par.'!DI490,IF(Input!$E$38="NCA",'Cath. Prod. Par.'!EI490,IF(Input!$E$38="LCO",'Cath. Prod. Par.'!FI490))))))</f>
        <v>0</v>
      </c>
    </row>
    <row r="204" spans="2:22">
      <c r="B204" s="111" t="s">
        <v>131</v>
      </c>
      <c r="C204" s="272" t="e">
        <f>HLOOKUP($K$8,$D$201:$H$209,4,FALSE)</f>
        <v>#N/A</v>
      </c>
      <c r="D204" s="646">
        <f>'Man Par.'!C107</f>
        <v>2.3770165400519758</v>
      </c>
      <c r="E204" s="646" t="e">
        <f>'Man Rec Par.'!AC111</f>
        <v>#N/A</v>
      </c>
      <c r="F204" s="646" t="e">
        <f>'Man Rec Par.'!AD111</f>
        <v>#N/A</v>
      </c>
      <c r="G204" s="646" t="e">
        <f>'Man Rec Par.'!AE111</f>
        <v>#N/A</v>
      </c>
      <c r="H204" s="646" t="e">
        <f>'Man Rec Par.'!AF111</f>
        <v>#N/A</v>
      </c>
      <c r="J204" s="111" t="s">
        <v>1866</v>
      </c>
      <c r="K204" s="272" t="e">
        <f t="shared" si="2"/>
        <v>#DIV/0!</v>
      </c>
      <c r="L204" s="1003" t="e">
        <f>IF('CM Rec Par.'!$BC$8="No preprocessing",'CM Rec Par.'!BG481,IF('CM Rec Par.'!$BC$8="Generic",'Preproc. Par.'!AG447*'Preproc. Par.'!$AD$14/SUM(Input!$F$28:$F$32)+'CM Rec Par.'!BG481*'CM Rec Par.'!$BD$25/SUM(Input!$F$28:$F$32),'Preproc. Par.'!BG446*'Preproc. Par.'!$BD$15/SUM(Input!$F$28:$F$32)+'CM Rec Par.'!BG481*'CM Rec Par.'!$BD$25/SUM(Input!$F$28:$F$32)))</f>
        <v>#DIV/0!</v>
      </c>
      <c r="M204" s="1003" t="e">
        <f>IF('CM Rec Par.'!$CC$8="No preprocessing",'CM Rec Par.'!CG481,IF('CM Rec Par.'!$CC$8="Generic",'Preproc. Par.'!AG447*'Preproc. Par.'!$AD$14/SUM(Input!$F$28:$F$32)+'CM Rec Par.'!CG481*'CM Rec Par.'!$CD$25/SUM(Input!$F$28:$F$32),'Preproc. Par.'!BG446*'Preproc. Par.'!$BD$15/SUM(Input!$F$28:$F$32)+'CM Rec Par.'!CG481*'CM Rec Par.'!$CD$25/SUM(Input!$F$28:$F$32)))</f>
        <v>#DIV/0!</v>
      </c>
      <c r="N204" s="1003" t="e">
        <f>IF('CM Rec Par.'!$DC$8="No preprocessing",'CM Rec Par.'!DG481,IF('CM Rec Par.'!$DC$8="Generic",'Preproc. Par.'!AG447*'Preproc. Par.'!$AD$14/SUM(Input!$F$28:$F$32)+'CM Rec Par.'!DG481*'CM Rec Par.'!$DD$25/SUM(Input!$F$28:$F$32),'Preproc. Par.'!BG446*'Preproc. Par.'!$BD$15/SUM(Input!$F$28:$F$32)+'CM Rec Par.'!DG481*'CM Rec Par.'!$DD$25/SUM(Input!$F$28:$F$32)))</f>
        <v>#DIV/0!</v>
      </c>
      <c r="O204" s="1003" t="e">
        <f>IF('CM Rec Par.'!$EC$8="No preprocessing",'CM Rec Par.'!EG481,IF('CM Rec Par.'!$EC$8="Generic",'Preproc. Par.'!AG447*'Preproc. Par.'!$AD$14/SUM(Input!$F$28:$F$32)+'CM Rec Par.'!EG481*'CM Rec Par.'!$ED$26/SUM(Input!$F$28:$F$32),'Preproc. Par.'!BG446*'Preproc. Par.'!$BD$15/SUM(Input!$F$28:$F$32)+'CM Rec Par.'!EG481*'CM Rec Par.'!$ED$26/SUM(Input!$F$28:$F$32)))</f>
        <v>#DIV/0!</v>
      </c>
      <c r="Q204" s="111" t="s">
        <v>1089</v>
      </c>
      <c r="R204" s="272" t="e">
        <f t="shared" si="3"/>
        <v>#N/A</v>
      </c>
      <c r="S204" s="272" t="b">
        <f>IF(Input!$E$38="NMC(111)",'Cath. Prod. Par.'!AJ494, IF(Input!$E$38="NMC(532)",'Cath. Prod. Par.'!BJ494, IF(Input!$E$38="NMC(622)",'Cath. Prod. Par.'!CJ494,IF(Input!$E$38="NMC(811)",'Cath. Prod. Par.'!DJ494,IF(Input!$E$38="NCA",'Cath. Prod. Par.'!EJ494,IF(Input!$E$38="LCO",'Cath. Prod. Par.'!FJ494))))))</f>
        <v>0</v>
      </c>
      <c r="T204" s="272" t="b">
        <f>IF(Input!$E$38="NMC(111)",'Cath. Prod. Par.'!AG494, IF(Input!$E$38="NMC(532)",'Cath. Prod. Par.'!BG494, IF(Input!$E$38="NMC(622)",'Cath. Prod. Par.'!CG494,IF(Input!$E$38="NMC(811)",'Cath. Prod. Par.'!DG494,IF(Input!$E$38="NCA",'Cath. Prod. Par.'!EG494,IF(Input!$E$38="LCO",'Cath. Prod. Par.'!FG494))))))</f>
        <v>0</v>
      </c>
      <c r="U204" s="272" t="b">
        <f>IF(Input!$E$38="NMC(111)",'Cath. Prod. Par.'!AH494, IF(Input!$E$38="NMC(532)",'Cath. Prod. Par.'!BH494, IF(Input!$E$38="NMC(622)",'Cath. Prod. Par.'!CH494,IF(Input!$E$38="NMC(811)",'Cath. Prod. Par.'!DH494,IF(Input!$E$38="NCA",'Cath. Prod. Par.'!EH494,IF(Input!$E$38="LCO",'Cath. Prod. Par.'!FH494))))))</f>
        <v>0</v>
      </c>
      <c r="V204" s="272" t="b">
        <f>IF(Input!$E$38="NMC(111)",'Cath. Prod. Par.'!AI494, IF(Input!$E$38="NMC(532)",'Cath. Prod. Par.'!BI494, IF(Input!$E$38="NMC(622)",'Cath. Prod. Par.'!CI494,IF(Input!$E$38="NMC(811)",'Cath. Prod. Par.'!DI494,IF(Input!$E$38="NCA",'Cath. Prod. Par.'!EI494,IF(Input!$E$38="LCO",'Cath. Prod. Par.'!FI494))))))</f>
        <v>0</v>
      </c>
    </row>
    <row r="205" spans="2:22">
      <c r="B205" s="111" t="s">
        <v>128</v>
      </c>
      <c r="C205" s="272" t="e">
        <f>HLOOKUP($K$8,$D$201:$H$209,5,FALSE)</f>
        <v>#N/A</v>
      </c>
      <c r="D205" s="646">
        <f>'Man Par.'!C108</f>
        <v>0.67838453332961568</v>
      </c>
      <c r="E205" s="646" t="e">
        <f>'Man Rec Par.'!AC112</f>
        <v>#N/A</v>
      </c>
      <c r="F205" s="646" t="e">
        <f>'Man Rec Par.'!AD112</f>
        <v>#N/A</v>
      </c>
      <c r="G205" s="646" t="e">
        <f>'Man Rec Par.'!AE112</f>
        <v>#N/A</v>
      </c>
      <c r="H205" s="646" t="e">
        <f>'Man Rec Par.'!AF112</f>
        <v>#N/A</v>
      </c>
      <c r="J205" s="111" t="s">
        <v>461</v>
      </c>
      <c r="K205" s="272" t="e">
        <f t="shared" si="2"/>
        <v>#DIV/0!</v>
      </c>
      <c r="L205" s="1003" t="e">
        <f>IF('CM Rec Par.'!$BC$8="No preprocessing",'CM Rec Par.'!BG484,IF('CM Rec Par.'!$BC$8="Generic",'Preproc. Par.'!AG450*'Preproc. Par.'!$AD$14/SUM(Input!$F$28:$F$32)+'CM Rec Par.'!BG484*'CM Rec Par.'!$BD$25/SUM(Input!$F$28:$F$32),'Preproc. Par.'!BG449*'Preproc. Par.'!$BD$15/SUM(Input!$F$28:$F$32)+'CM Rec Par.'!BG484*'CM Rec Par.'!$BD$25/SUM(Input!$F$28:$F$32)))</f>
        <v>#DIV/0!</v>
      </c>
      <c r="M205" s="1003" t="e">
        <f>IF('CM Rec Par.'!$CC$8="No preprocessing",'CM Rec Par.'!CG484,IF('CM Rec Par.'!$CC$8="Generic",'Preproc. Par.'!AG450*'Preproc. Par.'!$AD$14/SUM(Input!$F$28:$F$32)+'CM Rec Par.'!CG484*'CM Rec Par.'!$CD$25/SUM(Input!$F$28:$F$32),'Preproc. Par.'!BG449*'Preproc. Par.'!$BD$15/SUM(Input!$F$28:$F$32)+'CM Rec Par.'!CG484*'CM Rec Par.'!$CD$25/SUM(Input!$F$28:$F$32)))</f>
        <v>#DIV/0!</v>
      </c>
      <c r="N205" s="1003" t="e">
        <f>IF('CM Rec Par.'!$DC$8="No preprocessing",'CM Rec Par.'!DG484,IF('CM Rec Par.'!$DC$8="Generic",'Preproc. Par.'!AG450*'Preproc. Par.'!$AD$14/SUM(Input!$F$28:$F$32)+'CM Rec Par.'!DG484*'CM Rec Par.'!$DD$25/SUM(Input!$F$28:$F$32),'Preproc. Par.'!BG449*'Preproc. Par.'!$BD$15/SUM(Input!$F$28:$F$32)+'CM Rec Par.'!DG484*'CM Rec Par.'!$DD$25/SUM(Input!$F$28:$F$32)))</f>
        <v>#DIV/0!</v>
      </c>
      <c r="O205" s="1003" t="e">
        <f>IF('CM Rec Par.'!$EC$8="No preprocessing",'CM Rec Par.'!EG484,IF('CM Rec Par.'!$EC$8="Generic",'Preproc. Par.'!AG450*'Preproc. Par.'!$AD$14/SUM(Input!$F$28:$F$32)+'CM Rec Par.'!EG484*'CM Rec Par.'!$ED$26/SUM(Input!$F$28:$F$32),'Preproc. Par.'!BG449*'Preproc. Par.'!$BD$15/SUM(Input!$F$28:$F$32)+'CM Rec Par.'!EG484*'CM Rec Par.'!$ED$26/SUM(Input!$F$28:$F$32)))</f>
        <v>#DIV/0!</v>
      </c>
      <c r="Q205" s="111" t="s">
        <v>131</v>
      </c>
      <c r="R205" s="272" t="e">
        <f t="shared" si="3"/>
        <v>#N/A</v>
      </c>
      <c r="S205" s="272" t="b">
        <f>IF(Input!$E$38="NMC(111)",'Cath. Prod. Par.'!AJ505,IF(Input!$E$38="NMC(532)",'Cath. Prod. Par.'!BJ505,IF(Input!$E$38="NMC(622)",'Cath. Prod. Par.'!CJ505,IF(Input!$E$38="NMC(811)",'Cath. Prod. Par.'!DJ505,IF(Input!$E$38="NCA",'Cath. Prod. Par.'!EJ505,IF(Input!$E$38="LCO",'Cath. Prod. Par.'!FJ505))))))</f>
        <v>0</v>
      </c>
      <c r="T205" s="272" t="b">
        <f>IF(Input!$E$38="NMC(111)",'Cath. Prod. Par.'!AG505, IF(Input!$E$38="NMC(532)",'Cath. Prod. Par.'!BG505, IF(Input!$E$38="NMC(622)",'Cath. Prod. Par.'!CG505,IF(Input!$E$38="NMC(811)",'Cath. Prod. Par.'!DG505,IF(Input!$E$38="NCA",'Cath. Prod. Par.'!EG505,IF(Input!$E$38="LCO",'Cath. Prod. Par.'!FG505))))))</f>
        <v>0</v>
      </c>
      <c r="U205" s="272" t="b">
        <f>IF(Input!$E$38="NMC(111)",'Cath. Prod. Par.'!AH505, IF(Input!$E$38="NMC(532)",'Cath. Prod. Par.'!BH505, IF(Input!$E$38="NMC(622)",'Cath. Prod. Par.'!CH505,IF(Input!$E$38="NMC(811)",'Cath. Prod. Par.'!DH505,IF(Input!$E$38="NCA",'Cath. Prod. Par.'!EH505,IF(Input!$E$38="LCO",'Cath. Prod. Par.'!FH505))))))</f>
        <v>0</v>
      </c>
      <c r="V205" s="272" t="b">
        <f>IF(Input!$E$38="NMC(111)",'Cath. Prod. Par.'!AI505, IF(Input!$E$38="NMC(532)",'Cath. Prod. Par.'!BI505, IF(Input!$E$38="NMC(622)",'Cath. Prod. Par.'!CI505,IF(Input!$E$38="NMC(811)",'Cath. Prod. Par.'!DI505,IF(Input!$E$38="NCA",'Cath. Prod. Par.'!EI505,IF(Input!$E$38="LCO",'Cath. Prod. Par.'!FI505))))))</f>
        <v>0</v>
      </c>
    </row>
    <row r="206" spans="2:22">
      <c r="B206" s="111" t="s">
        <v>1087</v>
      </c>
      <c r="C206" s="272" t="e">
        <f>HLOOKUP($K$8,$D$201:$H$209,6,FALSE)</f>
        <v>#N/A</v>
      </c>
      <c r="D206" s="646">
        <f>'Man Par.'!C109</f>
        <v>0.89071353416991061</v>
      </c>
      <c r="E206" s="646" t="e">
        <f>'Man Rec Par.'!AC113</f>
        <v>#N/A</v>
      </c>
      <c r="F206" s="646" t="e">
        <f>'Man Rec Par.'!AD113</f>
        <v>#N/A</v>
      </c>
      <c r="G206" s="646" t="e">
        <f>'Man Rec Par.'!AE113</f>
        <v>#N/A</v>
      </c>
      <c r="H206" s="646" t="e">
        <f>'Man Rec Par.'!AF113</f>
        <v>#N/A</v>
      </c>
      <c r="J206" s="111" t="s">
        <v>475</v>
      </c>
      <c r="K206" s="272" t="e">
        <f t="shared" si="2"/>
        <v>#DIV/0!</v>
      </c>
      <c r="L206" s="1003" t="e">
        <f>IF('CM Rec Par.'!$BC$8="No preprocessing",'CM Rec Par.'!BG488,IF('CM Rec Par.'!$BC$8="Generic",'Preproc. Par.'!AG454*'Preproc. Par.'!$AD$14/SUM(Input!$F$28:$F$32)+'CM Rec Par.'!BG488*'CM Rec Par.'!$BD$25/SUM(Input!$F$28:$F$32),'Preproc. Par.'!BG453*'Preproc. Par.'!$BD$15/SUM(Input!$F$28:$F$32)+'CM Rec Par.'!BG488*'CM Rec Par.'!$BD$25/SUM(Input!$F$28:$F$32)))</f>
        <v>#DIV/0!</v>
      </c>
      <c r="M206" s="1003" t="e">
        <f>IF('CM Rec Par.'!$CC$8="No preprocessing",'CM Rec Par.'!CG488,IF('CM Rec Par.'!$CC$8="Generic",'Preproc. Par.'!AG454*'Preproc. Par.'!$AD$14/SUM(Input!$F$28:$F$32)+'CM Rec Par.'!CG488*'CM Rec Par.'!$CD$25/SUM(Input!$F$28:$F$32),'Preproc. Par.'!BG453*'Preproc. Par.'!$BD$15/SUM(Input!$F$28:$F$32)+'CM Rec Par.'!CG488*'CM Rec Par.'!$CD$25/SUM(Input!$F$28:$F$32)))</f>
        <v>#DIV/0!</v>
      </c>
      <c r="N206" s="1003" t="e">
        <f>IF('CM Rec Par.'!$DC$8="No preprocessing",'CM Rec Par.'!DG488,IF('CM Rec Par.'!$DC$8="Generic",'Preproc. Par.'!AG454*'Preproc. Par.'!$AD$14/SUM(Input!$F$28:$F$32)+'CM Rec Par.'!DG488*'CM Rec Par.'!$DD$25/SUM(Input!$F$28:$F$32),'Preproc. Par.'!BG453*'Preproc. Par.'!$BD$15/SUM(Input!$F$28:$F$32)+'CM Rec Par.'!DG488*'CM Rec Par.'!$DD$25/SUM(Input!$F$28:$F$32)))</f>
        <v>#DIV/0!</v>
      </c>
      <c r="O206" s="1003" t="e">
        <f ca="1">IF('CM Rec Par.'!$EC$8="No preprocessing",'CM Rec Par.'!EG488,IF('CM Rec Par.'!$EC$8="Generic",'Preproc. Par.'!AG454*'Preproc. Par.'!$AD$14/SUM(Input!$F$28:$F$32)+'CM Rec Par.'!EG488*'CM Rec Par.'!$ED$26/SUM(Input!$F$28:$F$32),'Preproc. Par.'!BG453*'Preproc. Par.'!$BD$15/SUM(Input!$F$28:$F$32)+'CM Rec Par.'!EG488*'CM Rec Par.'!$ED$26/SUM(Input!$F$28:$F$32)))</f>
        <v>#DIV/0!</v>
      </c>
      <c r="Q206" s="111" t="s">
        <v>1090</v>
      </c>
      <c r="R206" s="272" t="e">
        <f t="shared" si="3"/>
        <v>#N/A</v>
      </c>
      <c r="S206" s="272" t="b">
        <f>IF(Input!$E$38="NMC(111)",'Cath. Prod. Par.'!AJ507, IF(Input!$E$38="NMC(532)",'Cath. Prod. Par.'!BJ507, IF(Input!$E$38="NMC(622)",'Cath. Prod. Par.'!CJ507,IF(Input!$E$38="NMC(811)",'Cath. Prod. Par.'!DJ507,IF(Input!$E$38="NCA",'Cath. Prod. Par.'!EJ507,IF(Input!$E$38="LCO",'Cath. Prod. Par.'!FJ507))))))</f>
        <v>0</v>
      </c>
      <c r="T206" s="272" t="b">
        <f>IF(Input!$E$38="NMC(111)",'Cath. Prod. Par.'!AG507, IF(Input!$E$38="NMC(532)",'Cath. Prod. Par.'!BG507, IF(Input!$E$38="NMC(622)",'Cath. Prod. Par.'!CG507,IF(Input!$E$38="NMC(811)",'Cath. Prod. Par.'!DG507,IF(Input!$E$38="NCA",'Cath. Prod. Par.'!EG507,IF(Input!$E$38="LCO",'Cath. Prod. Par.'!FG507))))))</f>
        <v>0</v>
      </c>
      <c r="U206" s="272" t="b">
        <f>IF(Input!$E$38="NMC(111)",'Cath. Prod. Par.'!AH507, IF(Input!$E$38="NMC(532)",'Cath. Prod. Par.'!BH507, IF(Input!$E$38="NMC(622)",'Cath. Prod. Par.'!CH507,IF(Input!$E$38="NMC(811)",'Cath. Prod. Par.'!DH507,IF(Input!$E$38="NCA",'Cath. Prod. Par.'!EH507,IF(Input!$E$38="LCO",'Cath. Prod. Par.'!FH507))))))</f>
        <v>0</v>
      </c>
      <c r="V206" s="272" t="b">
        <f>IF(Input!$E$38="NMC(111)",'Cath. Prod. Par.'!AI507, IF(Input!$E$38="NMC(532)",'Cath. Prod. Par.'!BI507, IF(Input!$E$38="NMC(622)",'Cath. Prod. Par.'!CI507,IF(Input!$E$38="NMC(811)",'Cath. Prod. Par.'!DI507,IF(Input!$E$38="NCA",'Cath. Prod. Par.'!EI507,IF(Input!$E$38="LCO",'Cath. Prod. Par.'!FI507))))))</f>
        <v>0</v>
      </c>
    </row>
    <row r="207" spans="2:22">
      <c r="B207" s="111" t="s">
        <v>130</v>
      </c>
      <c r="C207" s="272" t="e">
        <f>HLOOKUP($K$8,$D$201:$H$209,7,FALSE)</f>
        <v>#N/A</v>
      </c>
      <c r="D207" s="646">
        <f>'Man Par.'!C110</f>
        <v>0.95080661602079042</v>
      </c>
      <c r="E207" s="646" t="e">
        <f>'Man Rec Par.'!AC114</f>
        <v>#N/A</v>
      </c>
      <c r="F207" s="646" t="e">
        <f>'Man Rec Par.'!AD114</f>
        <v>#N/A</v>
      </c>
      <c r="G207" s="646" t="e">
        <f>'Man Rec Par.'!AE114</f>
        <v>#N/A</v>
      </c>
      <c r="H207" s="646" t="e">
        <f>'Man Rec Par.'!AF114</f>
        <v>#N/A</v>
      </c>
      <c r="J207" s="111" t="s">
        <v>1091</v>
      </c>
      <c r="K207" s="272" t="e">
        <f t="shared" ca="1" si="2"/>
        <v>#DIV/0!</v>
      </c>
      <c r="L207" s="1003" t="e">
        <f ca="1">IF('CM Rec Par.'!$BC$8="No preprocessing",'CM Rec Par.'!BG491,IF('CM Rec Par.'!$BC$8="Generic",'Preproc. Par.'!AG457*'Preproc. Par.'!$AD$14/SUM(Input!$F$28:$F$32)+'CM Rec Par.'!BG491*'CM Rec Par.'!$BD$25/SUM(Input!$F$28:$F$32),'Preproc. Par.'!BG456*'Preproc. Par.'!$BD$15/SUM(Input!$F$28:$F$32)+'CM Rec Par.'!BG491*'CM Rec Par.'!$BD$25/SUM(Input!$F$28:$F$32)))</f>
        <v>#DIV/0!</v>
      </c>
      <c r="M207" s="1003" t="e">
        <f ca="1">IF('CM Rec Par.'!$CC$8="No preprocessing",'CM Rec Par.'!CG491,IF('CM Rec Par.'!$CC$8="Generic",'Preproc. Par.'!AG457*'Preproc. Par.'!$AD$14/SUM(Input!$F$28:$F$32)+'CM Rec Par.'!CG491*'CM Rec Par.'!$CD$25/SUM(Input!$F$28:$F$32),'Preproc. Par.'!BG456*'Preproc. Par.'!$BD$15/SUM(Input!$F$28:$F$32)+'CM Rec Par.'!CG491*'CM Rec Par.'!$CD$25/SUM(Input!$F$28:$F$32)))</f>
        <v>#DIV/0!</v>
      </c>
      <c r="N207" s="1003" t="e">
        <f ca="1">IF('CM Rec Par.'!$DC$8="No preprocessing",'CM Rec Par.'!DG491,IF('CM Rec Par.'!$DC$8="Generic",'Preproc. Par.'!AG457*'Preproc. Par.'!$AD$14/SUM(Input!$F$28:$F$32)+'CM Rec Par.'!DG491*'CM Rec Par.'!$DD$25/SUM(Input!$F$28:$F$32),'Preproc. Par.'!BG456*'Preproc. Par.'!$BD$15/SUM(Input!$F$28:$F$32)+'CM Rec Par.'!DG491*'CM Rec Par.'!$DD$25/SUM(Input!$F$28:$F$32)))</f>
        <v>#DIV/0!</v>
      </c>
      <c r="O207" s="1003" t="e">
        <f ca="1">IF('CM Rec Par.'!$EC$8="No preprocessing",'CM Rec Par.'!EG491,IF('CM Rec Par.'!$EC$8="Generic",'Preproc. Par.'!AG457*'Preproc. Par.'!$AD$14/SUM(Input!$F$28:$F$32)+'CM Rec Par.'!EG491*'CM Rec Par.'!$ED$26/SUM(Input!$F$28:$F$32),'Preproc. Par.'!BG456*'Preproc. Par.'!$BD$15/SUM(Input!$F$28:$F$32)+'CM Rec Par.'!EG491*'CM Rec Par.'!$ED$26/SUM(Input!$F$28:$F$32)))</f>
        <v>#DIV/0!</v>
      </c>
      <c r="Q207" s="111" t="s">
        <v>1091</v>
      </c>
      <c r="R207" s="272" t="e">
        <f t="shared" si="3"/>
        <v>#N/A</v>
      </c>
      <c r="S207" s="272" t="b">
        <f>IF(Input!$E$38="NMC(111)",'Cath. Prod. Par.'!AJ515,IF(Input!$E$38="NMC(532)",'Cath. Prod. Par.'!BJ515,IF(Input!$E$38="NMC(622)",'Cath. Prod. Par.'!CJ515,IF(Input!$E$38="NMC(811)",'Cath. Prod. Par.'!DJ515,IF(Input!$E$38="NCA",'Cath. Prod. Par.'!EJ515,IF(Input!$E$38="LCO",'Cath. Prod. Par.'!FJ515))))))</f>
        <v>0</v>
      </c>
      <c r="T207" s="272" t="b">
        <f>IF(Input!$E$38="NMC(111)",'Cath. Prod. Par.'!AG515, IF(Input!$E$38="NMC(532)",'Cath. Prod. Par.'!BG515, IF(Input!$E$38="NMC(622)",'Cath. Prod. Par.'!CG515,IF(Input!$E$38="NMC(811)",'Cath. Prod. Par.'!DG515,IF(Input!$E$38="NCA",'Cath. Prod. Par.'!EG515,IF(Input!$E$38="LCO",'Cath. Prod. Par.'!FG515))))))</f>
        <v>0</v>
      </c>
      <c r="U207" s="272" t="b">
        <f>IF(Input!$E$38="NMC(111)",'Cath. Prod. Par.'!AH515, IF(Input!$E$38="NMC(532)",'Cath. Prod. Par.'!BH515, IF(Input!$E$38="NMC(622)",'Cath. Prod. Par.'!CH515,IF(Input!$E$38="NMC(811)",'Cath. Prod. Par.'!DH515,IF(Input!$E$38="NCA",'Cath. Prod. Par.'!EH515,IF(Input!$E$38="LCO",'Cath. Prod. Par.'!FH515))))))</f>
        <v>0</v>
      </c>
      <c r="V207" s="272" t="b">
        <f>IF(Input!$E$38="NMC(111)",'Cath. Prod. Par.'!AI515, IF(Input!$E$38="NMC(532)",'Cath. Prod. Par.'!BI515, IF(Input!$E$38="NMC(622)",'Cath. Prod. Par.'!CI515,IF(Input!$E$38="NMC(811)",'Cath. Prod. Par.'!DI515,IF(Input!$E$38="NCA",'Cath. Prod. Par.'!EI515,IF(Input!$E$38="LCO",'Cath. Prod. Par.'!FI515))))))</f>
        <v>0</v>
      </c>
    </row>
    <row r="208" spans="2:22">
      <c r="B208" s="111" t="s">
        <v>294</v>
      </c>
      <c r="C208" s="272" t="e">
        <f>HLOOKUP($K$8,$D$201:$H$209,8,FALSE)</f>
        <v>#N/A</v>
      </c>
      <c r="D208" s="646">
        <f ca="1">'Man Par.'!C117</f>
        <v>1.5188959099498822</v>
      </c>
      <c r="E208" s="646" t="e">
        <f>'Man Rec Par.'!AC121</f>
        <v>#N/A</v>
      </c>
      <c r="F208" s="646" t="e">
        <f>'Man Rec Par.'!AD121</f>
        <v>#N/A</v>
      </c>
      <c r="G208" s="646" t="e">
        <f>'Man Rec Par.'!AE121</f>
        <v>#N/A</v>
      </c>
      <c r="H208" s="646" t="e">
        <f>'Man Rec Par.'!AF121</f>
        <v>#N/A</v>
      </c>
      <c r="J208" s="111" t="s">
        <v>1865</v>
      </c>
      <c r="K208" s="272" t="e">
        <f t="shared" ca="1" si="2"/>
        <v>#DIV/0!</v>
      </c>
      <c r="L208" s="1003" t="e">
        <f ca="1">IF('CM Rec Par.'!$BC$8="No preprocessing",'CM Rec Par.'!BG492,IF('CM Rec Par.'!$BC$8="Generic",'Preproc. Par.'!AG458*'Preproc. Par.'!$AD$14/SUM(Input!$F$28:$F$32)+'CM Rec Par.'!BG492*'CM Rec Par.'!$BD$25/SUM(Input!$F$28:$F$32),'Preproc. Par.'!BG457*'Preproc. Par.'!$BD$15/SUM(Input!$F$28:$F$32)+'CM Rec Par.'!BG492*'CM Rec Par.'!$BD$25/SUM(Input!$F$28:$F$32)))</f>
        <v>#DIV/0!</v>
      </c>
      <c r="M208" s="1003" t="e">
        <f ca="1">IF('CM Rec Par.'!$CC$8="No preprocessing",'CM Rec Par.'!CG492,IF('CM Rec Par.'!$CC$8="Generic",'Preproc. Par.'!AG458*'Preproc. Par.'!$AD$14/SUM(Input!$F$28:$F$32)+'CM Rec Par.'!CG492*'CM Rec Par.'!$CD$25/SUM(Input!$F$28:$F$32),'Preproc. Par.'!BG457*'Preproc. Par.'!$BD$15/SUM(Input!$F$28:$F$32)+'CM Rec Par.'!CG492*'CM Rec Par.'!$CD$25/SUM(Input!$F$28:$F$32)))</f>
        <v>#DIV/0!</v>
      </c>
      <c r="N208" s="1003" t="e">
        <f ca="1">IF('CM Rec Par.'!$DC$8="No preprocessing",'CM Rec Par.'!DG492,IF('CM Rec Par.'!$DC$8="Generic",'Preproc. Par.'!AG458*'Preproc. Par.'!$AD$14/SUM(Input!$F$28:$F$32)+'CM Rec Par.'!DG492*'CM Rec Par.'!$DD$25/SUM(Input!$F$28:$F$32),'Preproc. Par.'!BG457*'Preproc. Par.'!$BD$15/SUM(Input!$F$28:$F$32)+'CM Rec Par.'!DG492*'CM Rec Par.'!$DD$25/SUM(Input!$F$28:$F$32)))</f>
        <v>#DIV/0!</v>
      </c>
      <c r="O208" s="1003" t="e">
        <f ca="1">IF('CM Rec Par.'!$EC$8="No preprocessing",'CM Rec Par.'!EG492,IF('CM Rec Par.'!$EC$8="Generic",'Preproc. Par.'!AG458*'Preproc. Par.'!$AD$14/SUM(Input!$F$28:$F$32)+'CM Rec Par.'!EG492*'CM Rec Par.'!$ED$26/SUM(Input!$F$28:$F$32),'Preproc. Par.'!BG457*'Preproc. Par.'!$BD$15/SUM(Input!$F$28:$F$32)+'CM Rec Par.'!EG492*'CM Rec Par.'!$ED$26/SUM(Input!$F$28:$F$32)))</f>
        <v>#DIV/0!</v>
      </c>
      <c r="Q208" s="111" t="s">
        <v>1092</v>
      </c>
      <c r="R208" s="272" t="e">
        <f t="shared" si="3"/>
        <v>#N/A</v>
      </c>
      <c r="S208" s="272" t="b">
        <f>IF(Input!$E$38="NMC(111)",'Cath. Prod. Par.'!AJ516, IF(Input!$E$38="NMC(532)",'Cath. Prod. Par.'!BJ516, IF(Input!$E$38="NMC(622)",'Cath. Prod. Par.'!CJ516,IF(Input!$E$38="NMC(811)",'Cath. Prod. Par.'!DJ516,IF(Input!$E$38="NCA",'Cath. Prod. Par.'!EJ516,IF(Input!$E$38="LCO",'Cath. Prod. Par.'!FJ516))))))</f>
        <v>0</v>
      </c>
      <c r="T208" s="272" t="b">
        <f>IF(Input!$E$38="NMC(111)",'Cath. Prod. Par.'!AG516, IF(Input!$E$38="NMC(532)",'Cath. Prod. Par.'!BG516, IF(Input!$E$38="NMC(622)",'Cath. Prod. Par.'!CG516,IF(Input!$E$38="NMC(811)",'Cath. Prod. Par.'!DG516,IF(Input!$E$38="NCA",'Cath. Prod. Par.'!EG516,IF(Input!$E$38="LCO",'Cath. Prod. Par.'!FG516))))))</f>
        <v>0</v>
      </c>
      <c r="U208" s="272" t="b">
        <f>IF(Input!$E$38="NMC(111)",'Cath. Prod. Par.'!AH516,IF(Input!$E$38="NMC(532)",'Cath. Prod. Par.'!BH516,IF(Input!$E$38="NMC(622)",'Cath. Prod. Par.'!CH516,IF(Input!$E$38="NMC(811)",'Cath. Prod. Par.'!DH516,IF(Input!$E$38="NCA",'Cath. Prod. Par.'!EH516,IF(Input!$E$38="LCO",'Cath. Prod. Par.'!FH516))))))</f>
        <v>0</v>
      </c>
      <c r="V208" s="272" t="b">
        <f>IF(Input!$E$38="NMC(111)",'Cath. Prod. Par.'!AI516, IF(Input!$E$38="NMC(532)",'Cath. Prod. Par.'!BI516, IF(Input!$E$38="NMC(622)",'Cath. Prod. Par.'!CI516,IF(Input!$E$38="NMC(811)",'Cath. Prod. Par.'!DI516,IF(Input!$E$38="NCA",'Cath. Prod. Par.'!EI516,IF(Input!$E$38="LCO",'Cath. Prod. Par.'!FI516))))))</f>
        <v>0</v>
      </c>
    </row>
    <row r="209" spans="2:22">
      <c r="B209" s="111" t="s">
        <v>124</v>
      </c>
      <c r="C209" s="272" t="e">
        <f>HLOOKUP($K$8,$D$201:$H$209,9,FALSE)</f>
        <v>#N/A</v>
      </c>
      <c r="D209" s="646">
        <f ca="1">'Man Par.'!C118</f>
        <v>1.5533627970729786</v>
      </c>
      <c r="E209" s="646" t="e">
        <f>'Man Rec Par.'!AC122</f>
        <v>#N/A</v>
      </c>
      <c r="F209" s="646" t="e">
        <f>'Man Rec Par.'!AD122</f>
        <v>#N/A</v>
      </c>
      <c r="G209" s="646" t="e">
        <f>'Man Rec Par.'!AE122</f>
        <v>#N/A</v>
      </c>
      <c r="H209" s="646" t="e">
        <f>'Man Rec Par.'!AF122</f>
        <v>#N/A</v>
      </c>
      <c r="J209" s="111" t="s">
        <v>1867</v>
      </c>
      <c r="K209" s="272" t="e">
        <f t="shared" si="2"/>
        <v>#DIV/0!</v>
      </c>
      <c r="L209" s="1003" t="e">
        <f>IF('CM Rec Par.'!$BC$8="No preprocessing",'CM Rec Par.'!BH501,IF('CM Rec Par.'!$BC$8="Generic",'Preproc. Par.'!AH467*'Preproc. Par.'!$AD$14/SUM(Input!$F$28:$F$32)+'CM Rec Par.'!BH501*'CM Rec Par.'!$BD$25/SUM(Input!$F$28:$F$32),'Preproc. Par.'!BH466*'Preproc. Par.'!$BD$15/SUM(Input!$F$28:$F$32)+'CM Rec Par.'!BH501*'CM Rec Par.'!$BD$25/SUM(Input!$F$28:$F$32)))</f>
        <v>#DIV/0!</v>
      </c>
      <c r="M209" s="1003" t="e">
        <f>IF('CM Rec Par.'!$CC$8="No preprocessing",'CM Rec Par.'!CH501,IF('CM Rec Par.'!$CC$8="Generic",'Preproc. Par.'!AH467*'Preproc. Par.'!$AD$14/SUM(Input!$F$28:$F$32)+'CM Rec Par.'!CH501*'CM Rec Par.'!$CD$25/SUM(Input!$F$28:$F$32),'Preproc. Par.'!BH466*'Preproc. Par.'!$BD$15/SUM(Input!$F$28:$F$32)+'CM Rec Par.'!CH501*'CM Rec Par.'!$CD$25/SUM(Input!$F$28:$F$32)))</f>
        <v>#DIV/0!</v>
      </c>
      <c r="N209" s="1003" t="e">
        <f>IF('CM Rec Par.'!$DC$8="No preprocessing",'CM Rec Par.'!DH501,IF('CM Rec Par.'!$DC$8="Generic",'Preproc. Par.'!AH467*'Preproc. Par.'!$AD$14/SUM(Input!$F$28:$F$32)+'CM Rec Par.'!DH501*'CM Rec Par.'!$DD$25/SUM(Input!$F$28:$F$32),'Preproc. Par.'!BH466*'Preproc. Par.'!$BD$15/SUM(Input!$F$28:$F$32)+'CM Rec Par.'!DH501*'CM Rec Par.'!$DD$25/SUM(Input!$F$28:$F$32)))</f>
        <v>#DIV/0!</v>
      </c>
      <c r="O209" s="1003" t="e">
        <f ca="1">IF('CM Rec Par.'!$EC$8="No preprocessing",'CM Rec Par.'!EH501,IF('CM Rec Par.'!$EC$8="Generic",'Preproc. Par.'!AH467*'Preproc. Par.'!$AD$14/SUM(Input!$F$28:$F$32)+'CM Rec Par.'!EH501*'CM Rec Par.'!$ED$26/SUM(Input!$F$28:$F$32),'Preproc. Par.'!BH466*'Preproc. Par.'!$BD$15/SUM(Input!$F$28:$F$32)+'CM Rec Par.'!EH501*'CM Rec Par.'!$ED$26/SUM(Input!$F$28:$F$32)))</f>
        <v>#DIV/0!</v>
      </c>
      <c r="Q209" s="111" t="s">
        <v>294</v>
      </c>
      <c r="R209" s="272" t="e">
        <f t="shared" si="3"/>
        <v>#N/A</v>
      </c>
      <c r="S209" s="272" t="b">
        <f>IF(Input!$E$38="NMC(111)",'Cath. Prod. Par.'!AJ517, IF(Input!$E$38="NMC(532)",'Cath. Prod. Par.'!BJ517, IF(Input!$E$38="NMC(622)",'Cath. Prod. Par.'!CJ517,IF(Input!$E$38="NMC(811)",'Cath. Prod. Par.'!DJ517,IF(Input!$E$38="NCA",'Cath. Prod. Par.'!EJ517,IF(Input!$E$38="LCO",'Cath. Prod. Par.'!FJ517))))))</f>
        <v>0</v>
      </c>
      <c r="T209" s="272" t="b">
        <f>IF(Input!$E$38="NMC(111)",'Cath. Prod. Par.'!AG517, IF(Input!$E$38="NMC(532)",'Cath. Prod. Par.'!BG517, IF(Input!$E$38="NMC(622)",'Cath. Prod. Par.'!CG517,IF(Input!$E$38="NMC(811)",'Cath. Prod. Par.'!DG517,IF(Input!$E$38="NCA",'Cath. Prod. Par.'!EG517,IF(Input!$E$38="LCO",'Cath. Prod. Par.'!FG517))))))</f>
        <v>0</v>
      </c>
      <c r="U209" s="272" t="b">
        <f>IF(Input!$E$38="NMC(111)",'Cath. Prod. Par.'!AH517, IF(Input!$E$38="NMC(532)",'Cath. Prod. Par.'!BH517, IF(Input!$E$38="NMC(622)",'Cath. Prod. Par.'!CH517,IF(Input!$E$38="NMC(811)",'Cath. Prod. Par.'!DH517,IF(Input!$E$38="NCA",'Cath. Prod. Par.'!EH517,IF(Input!$E$38="LCO",'Cath. Prod. Par.'!FH517))))))</f>
        <v>0</v>
      </c>
      <c r="V209" s="272" t="b">
        <f>IF(Input!$E$38="NMC(111)",'Cath. Prod. Par.'!AI517, IF(Input!$E$38="NMC(532)",'Cath. Prod. Par.'!BI517, IF(Input!$E$38="NMC(622)",'Cath. Prod. Par.'!CI517,IF(Input!$E$38="NMC(811)",'Cath. Prod. Par.'!DI517,IF(Input!$E$38="NCA",'Cath. Prod. Par.'!EI517,IF(Input!$E$38="LCO",'Cath. Prod. Par.'!FI517))))))</f>
        <v>0</v>
      </c>
    </row>
    <row r="210" spans="2:22">
      <c r="C210" s="646"/>
      <c r="D210"/>
      <c r="E210"/>
      <c r="F210"/>
      <c r="G210"/>
      <c r="H210"/>
      <c r="J210" s="111" t="s">
        <v>1959</v>
      </c>
      <c r="K210" s="272">
        <f>HLOOKUP($J$61,$L$201:$O$210,ROW(J210)-ROW(J$202)+2,FALSE)</f>
        <v>0</v>
      </c>
      <c r="L210" s="272">
        <f>IF(L211&lt;0,L211,0)</f>
        <v>0</v>
      </c>
      <c r="M210" s="272">
        <f>IF(M211&lt;0,M211,0)</f>
        <v>0</v>
      </c>
      <c r="N210" s="272">
        <f>IF(N211&lt;0,N211,0)</f>
        <v>0</v>
      </c>
      <c r="O210" s="272">
        <f>IF(O211&lt;0,O211,0)</f>
        <v>0</v>
      </c>
      <c r="S210" s="646">
        <f>SUM(S202:S209)</f>
        <v>0</v>
      </c>
      <c r="T210" s="646">
        <f>SUM(T202:T209)</f>
        <v>0</v>
      </c>
      <c r="U210" s="646">
        <f>SUM(U202:U209)</f>
        <v>0</v>
      </c>
      <c r="V210" s="646">
        <f>SUM(V202:V209)</f>
        <v>0</v>
      </c>
    </row>
    <row r="211" spans="2:22">
      <c r="F211" s="111"/>
      <c r="K211" s="272"/>
      <c r="L211" s="1003">
        <f>IF('CM Rec Par.'!$BC$8="No preprocessing",'CM Rec Par.'!C89,IF('CM Rec Par.'!$BC$8="Generic",'Preproc. Par.'!$C89*'Preproc. Par.'!$AD$14/SUM(Input!$F$28:$F$32)+'CM Rec Par.'!C89*'CM Rec Par.'!$BD$25/SUM(Input!$F$28:$F$32),'Preproc. Par.'!$C89*'Preproc. Par.'!$BD$15/SUM(Input!$F$28:$F$32)+'CM Rec Par.'!C89*'CM Rec Par.'!$BD$25/SUM(Input!$F$28:$F$32)))</f>
        <v>2.2999999999999998</v>
      </c>
      <c r="M211" s="1003">
        <f>IF('CM Rec Par.'!$CC$8="No preprocessing",'CM Rec Par.'!D89,IF('CM Rec Par.'!$CC$8="Generic",'Preproc. Par.'!$C89*'Preproc. Par.'!$AD$14/SUM(Input!$F$28:$F$32)+'CM Rec Par.'!D89*'CM Rec Par.'!$CD$25/SUM(Input!$F$28:$F$32),'Preproc. Par.'!$C89*'Preproc. Par.'!$BD$15/SUM(Input!$F$28:$F$32)+'CM Rec Par.'!D89*'CM Rec Par.'!$CD$25/SUM(Input!$F$28:$F$32)))</f>
        <v>2.56</v>
      </c>
      <c r="N211" s="1003">
        <f>IF('CM Rec Par.'!$DC$8="No preprocessing",'CM Rec Par.'!E89,IF('CM Rec Par.'!$DC$8="Generic",'Preproc. Par.'!$C89*'Preproc. Par.'!$AD$14/SUM(Input!$F$28:$F$32)+'CM Rec Par.'!E89*'CM Rec Par.'!$DD$25/SUM(Input!$F$28:$F$32),'Preproc. Par.'!$C89*'Preproc. Par.'!$BD$15/SUM(Input!$F$28:$F$32)+'CM Rec Par.'!E89*'CM Rec Par.'!$DD$25/SUM(Input!$F$28:$F$32)))</f>
        <v>3.14</v>
      </c>
      <c r="O211" s="1003">
        <f>IF('CM Rec Par.'!$EC$8="No preprocessing",'CM Rec Par.'!F89,IF('CM Rec Par.'!$EC$8="Generic",'Preproc. Par.'!$C89*'Preproc. Par.'!$AD$14/SUM(Input!$F$28:$F$32)+'CM Rec Par.'!F89*'CM Rec Par.'!$ED$26/SUM(Input!$F$28:$F$32),'Preproc. Par.'!$C89*'Preproc. Par.'!$BD$15/SUM(Input!$F$28:$F$32)+'CM Rec Par.'!F89*'CM Rec Par.'!$ED$26/SUM(Input!$F$28:$F$32)))</f>
        <v>3</v>
      </c>
    </row>
    <row r="212" spans="2:22">
      <c r="F212" s="111"/>
      <c r="L212"/>
      <c r="M212"/>
      <c r="N212"/>
      <c r="O212"/>
    </row>
    <row r="213" spans="2:22">
      <c r="F213" s="111"/>
    </row>
    <row r="214" spans="2:22">
      <c r="F214" s="111"/>
      <c r="J214" s="1270" t="s">
        <v>1456</v>
      </c>
      <c r="L214" s="111" t="s">
        <v>1457</v>
      </c>
      <c r="P214" s="111" t="s">
        <v>307</v>
      </c>
    </row>
    <row r="215" spans="2:22">
      <c r="F215" s="111"/>
      <c r="J215" s="111" t="s">
        <v>51</v>
      </c>
      <c r="L215" s="111" t="s">
        <v>677</v>
      </c>
      <c r="M215" s="111" t="s">
        <v>426</v>
      </c>
      <c r="N215" s="111" t="s">
        <v>672</v>
      </c>
      <c r="O215" s="111" t="s">
        <v>36</v>
      </c>
      <c r="P215" s="111" t="s">
        <v>677</v>
      </c>
      <c r="Q215" s="111" t="s">
        <v>426</v>
      </c>
      <c r="R215" s="111" t="s">
        <v>672</v>
      </c>
      <c r="S215" s="111" t="s">
        <v>36</v>
      </c>
    </row>
    <row r="216" spans="2:22">
      <c r="F216" s="111"/>
      <c r="J216" s="111" t="s">
        <v>1458</v>
      </c>
      <c r="K216" t="s">
        <v>1459</v>
      </c>
      <c r="L216" t="str">
        <f t="array" ref="L216:L223">TRANSPOSE('CM Rec Par.'!BC185:BI185)</f>
        <v>Copper metal</v>
      </c>
      <c r="M216" s="111" t="str">
        <f t="array" ref="M216:M224">TRANSPOSE('CM Rec Par.'!CC185:CK185)</f>
        <v>Lithium Carbonate (crude)</v>
      </c>
      <c r="N216" s="111" t="str">
        <f t="array" ref="N216:N224">TRANSPOSE('CM Rec Par.'!DC185:DK185)</f>
        <v>Copper</v>
      </c>
      <c r="O216" t="str">
        <f t="array" ref="O216:O224">TRANSPOSE('CM Rec Par.'!EC187:EK187)</f>
        <v xml:space="preserve"> </v>
      </c>
      <c r="P216">
        <f t="array" ref="P216:P222">TRANSPOSE('CM Rec Par.'!BC186:BI186)</f>
        <v>3.6832586339999994E-2</v>
      </c>
      <c r="Q216" s="111">
        <f t="array" ref="Q216:Q224">TRANSPOSE('CM Rec Par.'!CC186:CK186)</f>
        <v>0</v>
      </c>
      <c r="R216">
        <f t="array" ref="R216:R224">TRANSPOSE('CM Rec Par.'!DC186:DK186)</f>
        <v>3.5558095517999995E-2</v>
      </c>
      <c r="S216">
        <f t="array" ref="S216:S224">TRANSPOSE('CM Rec Par.'!EC188:EK188)</f>
        <v>0</v>
      </c>
    </row>
    <row r="217" spans="2:22" hidden="1">
      <c r="F217" s="111"/>
      <c r="J217" s="111" t="str">
        <f t="shared" ref="J217:J227" si="4">HLOOKUP($J$80,$L$215:$O$226,ROW(L216)-ROW(L$215)+1,FALSE)</f>
        <v xml:space="preserve"> </v>
      </c>
      <c r="K217" s="1003">
        <f t="shared" ref="K217:K227" si="5">HLOOKUP($J$80,$P$215:$S$226,ROW(L216)-ROW(L$215)+1,FALSE)</f>
        <v>0</v>
      </c>
      <c r="L217" t="str">
        <v>Co2+ in product</v>
      </c>
      <c r="M217" s="111" t="str">
        <v>Co2+ in product</v>
      </c>
      <c r="N217" s="111" t="str">
        <v xml:space="preserve"> </v>
      </c>
      <c r="O217" t="str">
        <v>NMC(622)</v>
      </c>
      <c r="P217">
        <v>6.1431295375999992</v>
      </c>
      <c r="Q217" s="111">
        <v>6.3445436207999997</v>
      </c>
      <c r="R217">
        <v>0</v>
      </c>
      <c r="S217">
        <f ca="1"/>
        <v>20</v>
      </c>
    </row>
    <row r="218" spans="2:22">
      <c r="F218" s="111"/>
      <c r="J218" s="111" t="str">
        <f t="shared" si="4"/>
        <v>NMC(622)</v>
      </c>
      <c r="K218" s="1003">
        <f t="shared" ca="1" si="5"/>
        <v>20</v>
      </c>
      <c r="L218" t="str">
        <v>Ni2+ in product</v>
      </c>
      <c r="M218" s="111" t="str">
        <v>Ni2+ in product</v>
      </c>
      <c r="N218" s="111" t="str">
        <v>Aluminum</v>
      </c>
      <c r="O218" t="str">
        <v>Co2+ in product</v>
      </c>
      <c r="P218">
        <v>2.0560659999999999</v>
      </c>
      <c r="Q218" s="111">
        <v>2.1234780000000004</v>
      </c>
      <c r="R218">
        <v>3.3524333567999999E-3</v>
      </c>
      <c r="S218">
        <v>0</v>
      </c>
    </row>
    <row r="219" spans="2:22" hidden="1">
      <c r="F219" s="111"/>
      <c r="J219" s="111" t="str">
        <f t="shared" si="4"/>
        <v>Co2+ in product</v>
      </c>
      <c r="K219" s="1003">
        <f t="shared" si="5"/>
        <v>0</v>
      </c>
      <c r="L219" t="str">
        <v xml:space="preserve"> </v>
      </c>
      <c r="M219" s="111" t="str">
        <v>Mn2+ in product</v>
      </c>
      <c r="N219" s="111" t="str">
        <v>NMC(622)</v>
      </c>
      <c r="O219" t="str">
        <v>Ni2+ in product</v>
      </c>
      <c r="P219">
        <v>0</v>
      </c>
      <c r="Q219" s="111">
        <v>0.37161215815679999</v>
      </c>
      <c r="R219">
        <f ca="1"/>
        <v>14.249999999999998</v>
      </c>
      <c r="S219">
        <v>0</v>
      </c>
    </row>
    <row r="220" spans="2:22" hidden="1">
      <c r="F220" s="111"/>
      <c r="J220" s="111" t="str">
        <f t="shared" si="4"/>
        <v>Ni2+ in product</v>
      </c>
      <c r="K220" s="1003">
        <f t="shared" si="5"/>
        <v>0</v>
      </c>
      <c r="L220" t="str">
        <v xml:space="preserve"> </v>
      </c>
      <c r="M220" s="111" t="str">
        <v>Graphite</v>
      </c>
      <c r="N220" s="111" t="str">
        <v xml:space="preserve"> </v>
      </c>
      <c r="O220" t="str">
        <v>Mn2+ in product</v>
      </c>
      <c r="P220">
        <v>0</v>
      </c>
      <c r="Q220" s="111">
        <v>6.1800000000000001E-2</v>
      </c>
      <c r="R220">
        <v>0</v>
      </c>
      <c r="S220">
        <v>0</v>
      </c>
    </row>
    <row r="221" spans="2:22" hidden="1">
      <c r="F221" s="111"/>
      <c r="J221" s="111" t="str">
        <f t="shared" si="4"/>
        <v>Mn2+ in product</v>
      </c>
      <c r="K221" s="1003">
        <f t="shared" si="5"/>
        <v>0</v>
      </c>
      <c r="L221" t="str">
        <v xml:space="preserve"> </v>
      </c>
      <c r="M221" s="111" t="str">
        <v xml:space="preserve"> </v>
      </c>
      <c r="N221" s="111" t="str">
        <v>Graphite</v>
      </c>
      <c r="O221" t="str">
        <v>Graphite</v>
      </c>
      <c r="P221">
        <v>0</v>
      </c>
      <c r="Q221" s="111">
        <v>0</v>
      </c>
      <c r="R221">
        <v>6.1800000000000001E-2</v>
      </c>
      <c r="S221">
        <v>6.1800000000000001E-2</v>
      </c>
    </row>
    <row r="222" spans="2:22">
      <c r="F222" s="111"/>
      <c r="J222" s="111" t="str">
        <f t="shared" si="4"/>
        <v>Graphite</v>
      </c>
      <c r="K222" s="1003">
        <f t="shared" si="5"/>
        <v>6.1800000000000001E-2</v>
      </c>
      <c r="L222" t="str">
        <v xml:space="preserve"> </v>
      </c>
      <c r="M222" s="111" t="str">
        <v xml:space="preserve"> </v>
      </c>
      <c r="N222" s="111" t="str">
        <v xml:space="preserve"> </v>
      </c>
      <c r="O222" t="str">
        <v>Aluminum</v>
      </c>
      <c r="P222">
        <v>0</v>
      </c>
      <c r="Q222" s="111">
        <v>0</v>
      </c>
      <c r="R222">
        <v>0</v>
      </c>
      <c r="S222">
        <v>3.3524333567999999E-3</v>
      </c>
    </row>
    <row r="223" spans="2:22">
      <c r="F223" s="111"/>
      <c r="J223" s="111" t="str">
        <f t="shared" si="4"/>
        <v>Aluminum</v>
      </c>
      <c r="K223" s="1003">
        <f t="shared" si="5"/>
        <v>3.3524333567999999E-3</v>
      </c>
      <c r="L223" t="e">
        <v>#N/A</v>
      </c>
      <c r="M223" s="111" t="str">
        <v xml:space="preserve"> </v>
      </c>
      <c r="N223" s="111" t="str">
        <v xml:space="preserve"> </v>
      </c>
      <c r="O223" t="str">
        <v>Copper</v>
      </c>
      <c r="P223"/>
      <c r="Q223" s="111">
        <v>0</v>
      </c>
      <c r="R223">
        <v>0</v>
      </c>
      <c r="S223">
        <v>3.5558095517999995E-2</v>
      </c>
    </row>
    <row r="224" spans="2:22">
      <c r="F224" s="111"/>
      <c r="J224" s="111" t="str">
        <f>HLOOKUP($J$80,$L$215:$O$226,ROW(L223)-ROW(L$215)+1,FALSE)</f>
        <v>Copper</v>
      </c>
      <c r="K224" s="1003">
        <f t="shared" si="5"/>
        <v>3.5558095517999995E-2</v>
      </c>
      <c r="M224" s="111" t="str">
        <v xml:space="preserve"> </v>
      </c>
      <c r="N224" s="111" t="str">
        <v xml:space="preserve"> </v>
      </c>
      <c r="O224" t="str">
        <v xml:space="preserve"> </v>
      </c>
      <c r="Q224" s="111">
        <v>0</v>
      </c>
      <c r="R224">
        <v>0</v>
      </c>
      <c r="S224">
        <v>0</v>
      </c>
    </row>
    <row r="225" spans="6:19" hidden="1">
      <c r="F225" s="111"/>
      <c r="J225" s="111" t="str">
        <f t="shared" si="4"/>
        <v xml:space="preserve"> </v>
      </c>
      <c r="K225" s="1003">
        <f t="shared" si="5"/>
        <v>0</v>
      </c>
      <c r="O225"/>
      <c r="R225"/>
      <c r="S225"/>
    </row>
    <row r="226" spans="6:19" hidden="1">
      <c r="J226" s="111">
        <f t="shared" si="4"/>
        <v>0</v>
      </c>
      <c r="K226" s="1003">
        <f t="shared" si="5"/>
        <v>0</v>
      </c>
      <c r="O226"/>
      <c r="S226"/>
    </row>
    <row r="227" spans="6:19" hidden="1">
      <c r="J227" s="111">
        <f t="shared" si="4"/>
        <v>0</v>
      </c>
      <c r="K227" s="1003">
        <f t="shared" si="5"/>
        <v>0</v>
      </c>
    </row>
  </sheetData>
  <mergeCells count="11">
    <mergeCell ref="B8:G8"/>
    <mergeCell ref="B35:C35"/>
    <mergeCell ref="I8:J8"/>
    <mergeCell ref="I35:M35"/>
    <mergeCell ref="C9:C10"/>
    <mergeCell ref="H9:H10"/>
    <mergeCell ref="E60:I60"/>
    <mergeCell ref="E61:G61"/>
    <mergeCell ref="P35:S35"/>
    <mergeCell ref="E35:G35"/>
    <mergeCell ref="D9:G9"/>
  </mergeCells>
  <phoneticPr fontId="153" type="noConversion"/>
  <dataValidations count="8">
    <dataValidation type="list" allowBlank="1" showInputMessage="1" showErrorMessage="1" sqref="C4" xr:uid="{00000000-0002-0000-0200-000000000000}">
      <formula1>Energy_unit</formula1>
    </dataValidation>
    <dataValidation type="list" allowBlank="1" showInputMessage="1" showErrorMessage="1" sqref="C5" xr:uid="{00000000-0002-0000-0200-000001000000}">
      <formula1>Water_unit</formula1>
    </dataValidation>
    <dataValidation type="list" allowBlank="1" showInputMessage="1" showErrorMessage="1" sqref="C6" xr:uid="{00000000-0002-0000-0200-000002000000}">
      <formula1>Emission_unit</formula1>
    </dataValidation>
    <dataValidation type="list" allowBlank="1" showInputMessage="1" showErrorMessage="1" sqref="E4" xr:uid="{00000000-0002-0000-0200-000003000000}">
      <formula1>Cell_metric</formula1>
    </dataValidation>
    <dataValidation type="list" allowBlank="1" showInputMessage="1" showErrorMessage="1" sqref="E5:E6" xr:uid="{00000000-0002-0000-0200-000004000000}">
      <formula1>Mass_unit</formula1>
    </dataValidation>
    <dataValidation type="list" allowBlank="1" showInputMessage="1" showErrorMessage="1" sqref="K8" xr:uid="{00000000-0002-0000-0200-000005000000}">
      <formula1>Select_cell_materials</formula1>
    </dataValidation>
    <dataValidation type="list" allowBlank="1" showInputMessage="1" showErrorMessage="1" sqref="J80 J61" xr:uid="{00000000-0002-0000-0200-000006000000}">
      <formula1>Recycle_Process</formula1>
    </dataValidation>
    <dataValidation type="list" allowBlank="1" showInputMessage="1" showErrorMessage="1" sqref="Q61" xr:uid="{00000000-0002-0000-0200-000007000000}">
      <formula1>select_precursor_materials</formula1>
    </dataValidation>
  </dataValidations>
  <pageMargins left="0.7" right="0.7" top="0.75" bottom="0.75" header="0.3" footer="0.3"/>
  <pageSetup orientation="portrait" r:id="rId1"/>
  <drawing r:id="rId2"/>
  <legacyDrawing r:id="rId3"/>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6">
    <tabColor theme="5"/>
  </sheetPr>
  <dimension ref="A2:BH74"/>
  <sheetViews>
    <sheetView workbookViewId="0">
      <selection activeCell="G2" sqref="G2"/>
    </sheetView>
  </sheetViews>
  <sheetFormatPr defaultColWidth="8.83203125" defaultRowHeight="14"/>
  <cols>
    <col min="1" max="1" width="24.1640625" customWidth="1"/>
    <col min="2" max="2" width="10.4140625" customWidth="1"/>
    <col min="3" max="4" width="10.25" customWidth="1"/>
    <col min="5" max="5" width="36.25" customWidth="1"/>
    <col min="7" max="7" width="38" customWidth="1"/>
    <col min="8" max="8" width="27.4140625" customWidth="1"/>
    <col min="9" max="9" width="66.83203125" customWidth="1"/>
    <col min="10" max="10" width="18.1640625" customWidth="1"/>
    <col min="11" max="11" width="11.75" customWidth="1"/>
    <col min="12" max="12" width="10.75" customWidth="1"/>
    <col min="13" max="13" width="16" customWidth="1"/>
    <col min="14" max="14" width="42.25" customWidth="1"/>
    <col min="26" max="26" width="21.83203125" customWidth="1"/>
    <col min="27" max="27" width="25.25" customWidth="1"/>
    <col min="29" max="29" width="14.1640625" customWidth="1"/>
    <col min="33" max="33" width="17.4140625" customWidth="1"/>
    <col min="34" max="34" width="12" bestFit="1" customWidth="1"/>
  </cols>
  <sheetData>
    <row r="2" spans="1:31" ht="17.5">
      <c r="A2" s="1139" t="str">
        <f>"1 "&amp;Output!E4&amp;" battery production from virgin materials vs. recycled materials for"</f>
        <v>1 kWh battery production from virgin materials vs. recycled materials for</v>
      </c>
      <c r="B2" s="1140"/>
      <c r="C2" s="1140"/>
      <c r="D2" s="1140"/>
      <c r="E2" s="1140"/>
      <c r="F2" s="1140"/>
      <c r="G2" s="1141" t="s">
        <v>1478</v>
      </c>
      <c r="AA2" t="s">
        <v>1462</v>
      </c>
      <c r="AC2" s="111" t="s">
        <v>146</v>
      </c>
    </row>
    <row r="3" spans="1:31" ht="17.5">
      <c r="A3" s="1142" t="str">
        <f>(Input!E46&amp;" battery chemistry, "&amp;ROUNDUP(Input!E48,2)&amp;" GWh produced battery/yr, "&amp;TEXT(Input!E49,"0%")&amp;" recycled content for cathode")</f>
        <v>Select Chemistry battery chemistry, 0 GWh produced battery/yr, 0% recycled content for cathode</v>
      </c>
      <c r="AA3" t="s">
        <v>1477</v>
      </c>
      <c r="AC3" s="111" t="s">
        <v>677</v>
      </c>
    </row>
    <row r="4" spans="1:31">
      <c r="AA4" t="s">
        <v>1478</v>
      </c>
      <c r="AC4" s="111" t="s">
        <v>426</v>
      </c>
    </row>
    <row r="5" spans="1:31">
      <c r="AA5" t="s">
        <v>178</v>
      </c>
      <c r="AC5" s="111" t="s">
        <v>672</v>
      </c>
    </row>
    <row r="6" spans="1:31">
      <c r="AA6" t="s">
        <v>1479</v>
      </c>
      <c r="AC6" s="111" t="s">
        <v>36</v>
      </c>
    </row>
    <row r="7" spans="1:31">
      <c r="AA7" t="s">
        <v>1480</v>
      </c>
    </row>
    <row r="8" spans="1:31">
      <c r="AA8" t="s">
        <v>1481</v>
      </c>
    </row>
    <row r="9" spans="1:31">
      <c r="AA9" t="s">
        <v>1482</v>
      </c>
    </row>
    <row r="12" spans="1:31">
      <c r="AB12" t="s">
        <v>674</v>
      </c>
      <c r="AC12" t="s">
        <v>673</v>
      </c>
    </row>
    <row r="13" spans="1:31">
      <c r="AC13" t="s">
        <v>677</v>
      </c>
      <c r="AD13" t="s">
        <v>426</v>
      </c>
      <c r="AE13" t="s">
        <v>672</v>
      </c>
    </row>
    <row r="14" spans="1:31">
      <c r="AA14" t="str">
        <f>G2</f>
        <v>Total energy consumption (MJ)</v>
      </c>
      <c r="AB14" s="744">
        <f>VLOOKUP($G$2,$AA$19:$AF$27,2,FALSE)</f>
        <v>961.02222932657503</v>
      </c>
      <c r="AC14" s="744" t="e">
        <f>VLOOKUP($G$2,$AA$19:$AF$27,3,FALSE)</f>
        <v>#N/A</v>
      </c>
      <c r="AD14" s="744" t="e">
        <f>VLOOKUP($G$2,$AA$19:$AF$27,4,FALSE)</f>
        <v>#N/A</v>
      </c>
      <c r="AE14" s="744" t="e">
        <f>VLOOKUP($G$2,$AA$19:$AF$27,5,FALSE)</f>
        <v>#N/A</v>
      </c>
    </row>
    <row r="15" spans="1:31">
      <c r="AB15" s="1068">
        <f>AB14/$AB14</f>
        <v>1</v>
      </c>
      <c r="AC15" s="1068" t="e">
        <f>AC14/$AB14</f>
        <v>#N/A</v>
      </c>
      <c r="AD15" s="1068" t="e">
        <f>AD14/$AB14</f>
        <v>#N/A</v>
      </c>
      <c r="AE15" s="1068" t="e">
        <f>AE14/$AB14</f>
        <v>#N/A</v>
      </c>
    </row>
    <row r="18" spans="1:60">
      <c r="AC18" t="s">
        <v>673</v>
      </c>
    </row>
    <row r="19" spans="1:60">
      <c r="AB19" t="s">
        <v>674</v>
      </c>
      <c r="AC19" t="s">
        <v>677</v>
      </c>
      <c r="AD19" t="s">
        <v>426</v>
      </c>
      <c r="AE19" t="s">
        <v>672</v>
      </c>
    </row>
    <row r="20" spans="1:60">
      <c r="AA20" t="s">
        <v>1477</v>
      </c>
      <c r="AB20" s="959">
        <f ca="1">Output!C11</f>
        <v>93.518783787822613</v>
      </c>
      <c r="AC20" s="959" t="e">
        <f>Output!D11</f>
        <v>#N/A</v>
      </c>
      <c r="AD20" s="959" t="e">
        <f>Output!E11</f>
        <v>#N/A</v>
      </c>
      <c r="AE20" s="959" t="e">
        <f>Output!F11</f>
        <v>#N/A</v>
      </c>
    </row>
    <row r="21" spans="1:60">
      <c r="AA21" t="s">
        <v>1478</v>
      </c>
      <c r="AB21">
        <f>Output!C13</f>
        <v>961.02222932657503</v>
      </c>
      <c r="AC21" t="e">
        <f>Output!D13</f>
        <v>#N/A</v>
      </c>
      <c r="AD21" t="e">
        <f>Output!E13</f>
        <v>#N/A</v>
      </c>
      <c r="AE21" t="e">
        <f>Output!F13</f>
        <v>#N/A</v>
      </c>
    </row>
    <row r="22" spans="1:60">
      <c r="AA22" t="s">
        <v>178</v>
      </c>
      <c r="AB22">
        <f>Output!C18</f>
        <v>61.203592781705311</v>
      </c>
      <c r="AC22" t="e">
        <f>Output!D18</f>
        <v>#N/A</v>
      </c>
      <c r="AD22" t="e">
        <f>Output!E18</f>
        <v>#N/A</v>
      </c>
      <c r="AE22" t="e">
        <f>Output!F18</f>
        <v>#N/A</v>
      </c>
    </row>
    <row r="23" spans="1:60">
      <c r="AA23" t="s">
        <v>1479</v>
      </c>
      <c r="AB23">
        <f>Output!C22</f>
        <v>77.12252107732796</v>
      </c>
      <c r="AC23" t="e">
        <f>Output!D22</f>
        <v>#N/A</v>
      </c>
      <c r="AD23" t="e">
        <f>Output!E22</f>
        <v>#N/A</v>
      </c>
      <c r="AE23" t="e">
        <f>Output!F22</f>
        <v>#N/A</v>
      </c>
    </row>
    <row r="24" spans="1:60">
      <c r="AA24" t="s">
        <v>1480</v>
      </c>
      <c r="AB24">
        <f>Output!C25</f>
        <v>209.11911352145046</v>
      </c>
      <c r="AC24" t="e">
        <f>Output!D25</f>
        <v>#N/A</v>
      </c>
      <c r="AD24" t="e">
        <f>Output!E25</f>
        <v>#N/A</v>
      </c>
      <c r="AE24" t="e">
        <f>Output!F25</f>
        <v>#N/A</v>
      </c>
    </row>
    <row r="25" spans="1:60">
      <c r="AA25" t="s">
        <v>1481</v>
      </c>
      <c r="AB25">
        <f>Output!C23</f>
        <v>21.468265714444907</v>
      </c>
      <c r="AC25" t="e">
        <f>Output!D23</f>
        <v>#N/A</v>
      </c>
      <c r="AD25" t="e">
        <f>Output!E23</f>
        <v>#N/A</v>
      </c>
      <c r="AE25" t="e">
        <f>Output!F23</f>
        <v>#N/A</v>
      </c>
    </row>
    <row r="26" spans="1:60">
      <c r="AA26" t="s">
        <v>1274</v>
      </c>
      <c r="AB26">
        <f>Output!C30</f>
        <v>56502.711676213046</v>
      </c>
      <c r="AC26" t="e">
        <f>Output!D30</f>
        <v>#N/A</v>
      </c>
      <c r="AD26" t="e">
        <f>Output!E30</f>
        <v>#N/A</v>
      </c>
      <c r="AE26" t="e">
        <f>Output!F30</f>
        <v>#N/A</v>
      </c>
    </row>
    <row r="27" spans="1:60" ht="17.5">
      <c r="A27" s="1139" t="s">
        <v>1461</v>
      </c>
      <c r="E27" s="1141" t="s">
        <v>178</v>
      </c>
      <c r="F27" s="1139" t="s">
        <v>1460</v>
      </c>
      <c r="G27" s="1141" t="s">
        <v>146</v>
      </c>
      <c r="I27" s="1271" t="s">
        <v>1483</v>
      </c>
      <c r="AA27" t="s">
        <v>1482</v>
      </c>
      <c r="AB27">
        <f>Output!C32</f>
        <v>66761.522134225699</v>
      </c>
      <c r="AC27" t="e">
        <f>Output!D32</f>
        <v>#N/A</v>
      </c>
      <c r="AD27" t="e">
        <f>Output!E32</f>
        <v>#N/A</v>
      </c>
      <c r="AE27" t="e">
        <f>Output!F32</f>
        <v>#N/A</v>
      </c>
    </row>
    <row r="28" spans="1:60" ht="17.5">
      <c r="A28" s="1142" t="str">
        <f>(Input!E38&amp;" battery chemistry, "&amp;SUM(Input!F28:F32)&amp;" tonne recycled material/yr, "&amp;ROUNDUP(Input!E40,0)&amp;" tonne produced cathode powder/yr, "&amp;"in "&amp;Input!E41)</f>
        <v>Select Chemistry battery chemistry, 10000 tonne recycled material/yr, 0 tonne produced cathode powder/yr, in Select Location</v>
      </c>
      <c r="I28" s="789" t="s">
        <v>1485</v>
      </c>
    </row>
    <row r="29" spans="1:60" ht="31.5" customHeight="1">
      <c r="I29" s="1273" t="s">
        <v>1484</v>
      </c>
      <c r="AA29" t="s">
        <v>51</v>
      </c>
      <c r="AG29" t="s">
        <v>1469</v>
      </c>
      <c r="AM29" t="s">
        <v>677</v>
      </c>
      <c r="AU29" t="s">
        <v>426</v>
      </c>
      <c r="BC29" t="s">
        <v>36</v>
      </c>
    </row>
    <row r="30" spans="1:60">
      <c r="AB30" t="s">
        <v>1463</v>
      </c>
      <c r="AC30" t="s">
        <v>1464</v>
      </c>
      <c r="AH30" t="s">
        <v>677</v>
      </c>
      <c r="AI30" t="s">
        <v>426</v>
      </c>
      <c r="AJ30" t="s">
        <v>36</v>
      </c>
      <c r="AM30" t="s">
        <v>1029</v>
      </c>
      <c r="AN30" t="s">
        <v>1540</v>
      </c>
      <c r="AO30" t="s">
        <v>667</v>
      </c>
      <c r="AP30" t="s">
        <v>669</v>
      </c>
      <c r="AQ30" t="s">
        <v>73</v>
      </c>
      <c r="AR30" t="s">
        <v>42</v>
      </c>
      <c r="AU30" t="s">
        <v>1029</v>
      </c>
      <c r="AV30" t="s">
        <v>1540</v>
      </c>
      <c r="AW30" t="s">
        <v>667</v>
      </c>
      <c r="AX30" t="s">
        <v>669</v>
      </c>
      <c r="AY30" t="s">
        <v>73</v>
      </c>
      <c r="AZ30" t="s">
        <v>42</v>
      </c>
      <c r="BC30" t="s">
        <v>1029</v>
      </c>
      <c r="BD30" t="s">
        <v>1540</v>
      </c>
      <c r="BE30" t="s">
        <v>667</v>
      </c>
      <c r="BF30" t="s">
        <v>669</v>
      </c>
      <c r="BG30" t="s">
        <v>73</v>
      </c>
      <c r="BH30" t="s">
        <v>42</v>
      </c>
    </row>
    <row r="31" spans="1:60">
      <c r="AA31" t="s">
        <v>1465</v>
      </c>
      <c r="AB31" s="1272" t="e">
        <f>VLOOKUP($E$27,$AG$39:$AH$45,2,FALSE)</f>
        <v>#DIV/0!</v>
      </c>
      <c r="AC31" s="1272"/>
      <c r="AG31" t="s">
        <v>542</v>
      </c>
      <c r="AH31" t="e">
        <f>HLOOKUP(Input!$E$38,$AL$30:$AR$35,ROW(Report!AL31)-ROW(Report!AL$30)+1,FALSE)</f>
        <v>#N/A</v>
      </c>
      <c r="AI31" t="e">
        <f>HLOOKUP(Input!$E$38,$AT$30:$AZ$35,ROW(Report!AT31)-ROW(Report!AT$30)+1,FALSE)</f>
        <v>#N/A</v>
      </c>
      <c r="AJ31" t="e">
        <f>HLOOKUP(Input!$E$38,$BB$30:$BH$35,ROW(Report!BB31)-ROW(Report!BB$30)+1,FALSE)</f>
        <v>#N/A</v>
      </c>
      <c r="AL31" t="s">
        <v>542</v>
      </c>
      <c r="AM31" t="e">
        <f>'Cath. Prod. Par.'!AB21</f>
        <v>#DIV/0!</v>
      </c>
      <c r="AN31" t="e">
        <f>'Cath. Prod. Par.'!BB21</f>
        <v>#DIV/0!</v>
      </c>
      <c r="AO31" t="e">
        <f>'Cath. Prod. Par.'!CB21</f>
        <v>#DIV/0!</v>
      </c>
      <c r="AP31" t="e">
        <f>'Cath. Prod. Par.'!DB21</f>
        <v>#DIV/0!</v>
      </c>
      <c r="AQ31" t="e">
        <f>'Cath. Prod. Par.'!EB21</f>
        <v>#DIV/0!</v>
      </c>
      <c r="AR31">
        <v>0</v>
      </c>
      <c r="AT31" t="s">
        <v>542</v>
      </c>
      <c r="AU31" t="e">
        <f>'Cath. Prod. Par.'!AE21</f>
        <v>#DIV/0!</v>
      </c>
      <c r="AV31" t="e">
        <f>'Cath. Prod. Par.'!BE21</f>
        <v>#DIV/0!</v>
      </c>
      <c r="AW31" t="e">
        <f>'Cath. Prod. Par.'!CE21</f>
        <v>#DIV/0!</v>
      </c>
      <c r="AX31" t="e">
        <f>'Cath. Prod. Par.'!DE21</f>
        <v>#DIV/0!</v>
      </c>
      <c r="AY31" t="e">
        <f>'Cath. Prod. Par.'!EE21</f>
        <v>#DIV/0!</v>
      </c>
      <c r="AZ31">
        <v>0</v>
      </c>
      <c r="BB31" t="s">
        <v>542</v>
      </c>
      <c r="BC31" t="e">
        <f>'Cath. Prod. Par.'!AH21</f>
        <v>#DIV/0!</v>
      </c>
      <c r="BD31" t="e">
        <f>'Cath. Prod. Par.'!BH21</f>
        <v>#DIV/0!</v>
      </c>
      <c r="BE31" t="e">
        <f>'Cath. Prod. Par.'!CH21</f>
        <v>#DIV/0!</v>
      </c>
      <c r="BF31" t="e">
        <f>'Cath. Prod. Par.'!DH21</f>
        <v>#DIV/0!</v>
      </c>
      <c r="BG31" t="e">
        <f>'Cath. Prod. Par.'!EH21</f>
        <v>#DIV/0!</v>
      </c>
      <c r="BH31">
        <v>0</v>
      </c>
    </row>
    <row r="32" spans="1:60">
      <c r="AA32" t="s">
        <v>1603</v>
      </c>
      <c r="AB32" s="744" t="e">
        <f>VLOOKUP($E$27,AG58:AH64,2,FALSE)</f>
        <v>#DIV/0!</v>
      </c>
      <c r="AC32" s="744" t="e">
        <f>0-VLOOKUP($E$27,AJ58:AK64,2,FALSE)</f>
        <v>#DIV/0!</v>
      </c>
      <c r="AG32" t="s">
        <v>543</v>
      </c>
      <c r="AH32" t="e">
        <f>HLOOKUP(Input!$E$38,$AL$30:$AR$35,ROW(Report!AL32)-ROW(Report!AL$30)+1,FALSE)</f>
        <v>#N/A</v>
      </c>
      <c r="AI32" t="e">
        <f>HLOOKUP(Input!$E$38,$AT$30:$AZ$35,ROW(Report!AT32)-ROW(Report!AT$30)+1,FALSE)</f>
        <v>#N/A</v>
      </c>
      <c r="AJ32" t="e">
        <f>HLOOKUP(Input!$E$38,$BB$30:$BH$35,ROW(Report!BB32)-ROW(Report!BB$30)+1,FALSE)</f>
        <v>#N/A</v>
      </c>
      <c r="AL32" t="s">
        <v>543</v>
      </c>
      <c r="AM32" t="e">
        <f>'Cath. Prod. Par.'!AB22</f>
        <v>#DIV/0!</v>
      </c>
      <c r="AN32" t="e">
        <f>'Cath. Prod. Par.'!BB22</f>
        <v>#DIV/0!</v>
      </c>
      <c r="AO32" t="e">
        <f>'Cath. Prod. Par.'!CB22</f>
        <v>#DIV/0!</v>
      </c>
      <c r="AP32" t="e">
        <f>'Cath. Prod. Par.'!DB22</f>
        <v>#DIV/0!</v>
      </c>
      <c r="AQ32" t="e">
        <f>'Cath. Prod. Par.'!EB22</f>
        <v>#DIV/0!</v>
      </c>
      <c r="AR32">
        <v>0</v>
      </c>
      <c r="AT32" t="s">
        <v>543</v>
      </c>
      <c r="AU32" t="e">
        <f>'Cath. Prod. Par.'!AE22</f>
        <v>#DIV/0!</v>
      </c>
      <c r="AV32" t="e">
        <f>'Cath. Prod. Par.'!BE22</f>
        <v>#DIV/0!</v>
      </c>
      <c r="AW32" t="e">
        <f>'Cath. Prod. Par.'!CE22</f>
        <v>#DIV/0!</v>
      </c>
      <c r="AX32" t="e">
        <f>'Cath. Prod. Par.'!DE22</f>
        <v>#DIV/0!</v>
      </c>
      <c r="AY32" t="e">
        <f>'Cath. Prod. Par.'!EE22</f>
        <v>#DIV/0!</v>
      </c>
      <c r="AZ32">
        <v>0</v>
      </c>
      <c r="BB32" t="s">
        <v>543</v>
      </c>
      <c r="BC32" t="e">
        <f>'Cath. Prod. Par.'!AH22</f>
        <v>#DIV/0!</v>
      </c>
      <c r="BD32" t="e">
        <f>'Cath. Prod. Par.'!BH22</f>
        <v>#DIV/0!</v>
      </c>
      <c r="BE32" t="e">
        <f>'Cath. Prod. Par.'!CH22</f>
        <v>#DIV/0!</v>
      </c>
      <c r="BF32" t="e">
        <f>'Cath. Prod. Par.'!DH22</f>
        <v>#DIV/0!</v>
      </c>
      <c r="BG32" t="e">
        <f>'Cath. Prod. Par.'!EH22</f>
        <v>#DIV/0!</v>
      </c>
      <c r="BH32">
        <v>0</v>
      </c>
    </row>
    <row r="33" spans="27:60">
      <c r="AA33" t="s">
        <v>1466</v>
      </c>
      <c r="AB33" s="744" t="e">
        <f>INDEX($AJ$38:$AN$45,MATCH($E$27,$AJ$38:$AJ$45,0),MATCH($G$27,$AJ$38:$AN$38,0))</f>
        <v>#N/A</v>
      </c>
      <c r="AC33" s="744" t="e">
        <f>0-INDEX($AP$38:$AT$45,MATCH($E$27,$AP$38:$AP$45,0),MATCH($G$27,$AP$38:$AT$38,0))</f>
        <v>#N/A</v>
      </c>
      <c r="AG33" t="s">
        <v>399</v>
      </c>
      <c r="AH33" t="e">
        <f>HLOOKUP(Input!$E$38,$AL$30:$AR$35,ROW(Report!AL33)-ROW(Report!AL$30)+1,FALSE)</f>
        <v>#N/A</v>
      </c>
      <c r="AI33" t="e">
        <f>HLOOKUP(Input!$E$38,$AT$30:$AZ$35,ROW(Report!AT33)-ROW(Report!AT$30)+1,FALSE)</f>
        <v>#N/A</v>
      </c>
      <c r="AJ33" t="e">
        <f>HLOOKUP(Input!$E$38,$BB$30:$BH$35,ROW(Report!BB33)-ROW(Report!BB$30)+1,FALSE)</f>
        <v>#N/A</v>
      </c>
      <c r="AL33" t="s">
        <v>399</v>
      </c>
      <c r="AM33" t="e">
        <f>'Cath. Prod. Par.'!AB23</f>
        <v>#DIV/0!</v>
      </c>
      <c r="AN33" t="e">
        <f>'Cath. Prod. Par.'!BB23</f>
        <v>#DIV/0!</v>
      </c>
      <c r="AO33" t="e">
        <f>'Cath. Prod. Par.'!CB23</f>
        <v>#DIV/0!</v>
      </c>
      <c r="AP33">
        <v>0</v>
      </c>
      <c r="AQ33">
        <v>0</v>
      </c>
      <c r="AR33">
        <f>'Cath. Prod. Par.'!FB22</f>
        <v>0</v>
      </c>
      <c r="AT33" t="s">
        <v>399</v>
      </c>
      <c r="AU33" t="e">
        <f>'Cath. Prod. Par.'!AE23</f>
        <v>#DIV/0!</v>
      </c>
      <c r="AV33" t="e">
        <f>'Cath. Prod. Par.'!BE23</f>
        <v>#DIV/0!</v>
      </c>
      <c r="AW33" t="e">
        <f>'Cath. Prod. Par.'!CE23</f>
        <v>#DIV/0!</v>
      </c>
      <c r="AX33">
        <v>0</v>
      </c>
      <c r="AY33">
        <v>0</v>
      </c>
      <c r="AZ33" t="e">
        <f>'Cath. Prod. Par.'!FE22</f>
        <v>#DIV/0!</v>
      </c>
      <c r="BB33" t="s">
        <v>399</v>
      </c>
      <c r="BC33" t="e">
        <f>'Cath. Prod. Par.'!AH23</f>
        <v>#DIV/0!</v>
      </c>
      <c r="BD33" t="e">
        <f>'Cath. Prod. Par.'!BH23</f>
        <v>#DIV/0!</v>
      </c>
      <c r="BE33" t="e">
        <f>'Cath. Prod. Par.'!CH23</f>
        <v>#DIV/0!</v>
      </c>
      <c r="BF33">
        <v>0</v>
      </c>
      <c r="BG33">
        <v>0</v>
      </c>
      <c r="BH33" t="e">
        <f>'Cath. Prod. Par.'!FH22</f>
        <v>#DIV/0!</v>
      </c>
    </row>
    <row r="34" spans="27:60">
      <c r="AA34" t="s">
        <v>1467</v>
      </c>
      <c r="AB34" s="744" t="e">
        <f>IF($G$27="Direct",0,INDEX(AV38:AY45,MATCH($E$27,AV38:AV45,0),MATCH($G$27,AV38:AY38,0)))</f>
        <v>#N/A</v>
      </c>
      <c r="AC34" s="744"/>
      <c r="AG34" t="s">
        <v>546</v>
      </c>
      <c r="AH34" t="e">
        <f>HLOOKUP(Input!$E$38,$AL$30:$AR$35,ROW(Report!AL34)-ROW(Report!AL$30)+1,FALSE)</f>
        <v>#N/A</v>
      </c>
      <c r="AI34" t="e">
        <f>HLOOKUP(Input!$E$38,$AT$30:$AZ$35,ROW(Report!AT34)-ROW(Report!AT$30)+1,FALSE)</f>
        <v>#N/A</v>
      </c>
      <c r="AJ34" t="e">
        <f>HLOOKUP(Input!$E$38,$BB$30:$BH$35,ROW(Report!BB34)-ROW(Report!BB$30)+1,FALSE)</f>
        <v>#N/A</v>
      </c>
      <c r="AL34" t="s">
        <v>546</v>
      </c>
      <c r="AM34">
        <v>0</v>
      </c>
      <c r="AN34">
        <v>0</v>
      </c>
      <c r="AO34">
        <v>0</v>
      </c>
      <c r="AP34" t="e">
        <f>'Cath. Prod. Par.'!DB23</f>
        <v>#DIV/0!</v>
      </c>
      <c r="AQ34" t="e">
        <f>'Cath. Prod. Par.'!EB23</f>
        <v>#DIV/0!</v>
      </c>
      <c r="AR34">
        <v>0</v>
      </c>
      <c r="AT34" t="s">
        <v>546</v>
      </c>
      <c r="AU34">
        <v>0</v>
      </c>
      <c r="AV34">
        <v>0</v>
      </c>
      <c r="AW34">
        <v>0</v>
      </c>
      <c r="AX34" t="e">
        <f>'Cath. Prod. Par.'!DE23</f>
        <v>#DIV/0!</v>
      </c>
      <c r="AY34" t="e">
        <f>'Cath. Prod. Par.'!EE23</f>
        <v>#DIV/0!</v>
      </c>
      <c r="AZ34">
        <v>0</v>
      </c>
      <c r="BB34" t="s">
        <v>546</v>
      </c>
      <c r="BC34">
        <v>0</v>
      </c>
      <c r="BD34">
        <v>0</v>
      </c>
      <c r="BE34">
        <v>0</v>
      </c>
      <c r="BF34" t="e">
        <f>'Cath. Prod. Par.'!DH23</f>
        <v>#DIV/0!</v>
      </c>
      <c r="BG34" t="e">
        <f>'Cath. Prod. Par.'!EH23</f>
        <v>#DIV/0!</v>
      </c>
      <c r="BH34">
        <v>0</v>
      </c>
    </row>
    <row r="35" spans="27:60">
      <c r="AA35" t="s">
        <v>1468</v>
      </c>
      <c r="AB35" s="744" t="e">
        <f>IF($G$27="Direct",0,INDEX(AA38:AE45,MATCH($E$27,AA38:AA45,0),MATCH($G$27,AA38:AE38,0))-IF(ISTEXT(AC33),0,AC33)-IF(ISTEXT(AC32),0,AC32)-SUM(AB31:AB34))</f>
        <v>#N/A</v>
      </c>
      <c r="AC35" s="744"/>
      <c r="AG35" t="s">
        <v>705</v>
      </c>
      <c r="AH35" t="e">
        <f>HLOOKUP(Input!$E$38,$AL$30:$AR$35,ROW(Report!AL35)-ROW(Report!AL$30)+1,FALSE)</f>
        <v>#N/A</v>
      </c>
      <c r="AI35" t="e">
        <f>HLOOKUP(Input!$E$38,$AT$30:$AZ$35,ROW(Report!AT35)-ROW(Report!AT$30)+1,FALSE)</f>
        <v>#N/A</v>
      </c>
      <c r="AJ35" t="e">
        <f>HLOOKUP(Input!$E$38,$BB$30:$BH$35,ROW(Report!BB35)-ROW(Report!BB$30)+1,FALSE)</f>
        <v>#N/A</v>
      </c>
      <c r="AL35" t="s">
        <v>705</v>
      </c>
      <c r="AM35">
        <v>0</v>
      </c>
      <c r="AN35">
        <v>0</v>
      </c>
      <c r="AO35">
        <v>0</v>
      </c>
      <c r="AP35">
        <v>0</v>
      </c>
      <c r="AQ35">
        <v>0</v>
      </c>
      <c r="AR35" t="e">
        <f>'Cath. Prod. Par.'!FB21</f>
        <v>#DIV/0!</v>
      </c>
      <c r="AT35" t="s">
        <v>705</v>
      </c>
      <c r="AU35">
        <v>0</v>
      </c>
      <c r="AV35">
        <v>0</v>
      </c>
      <c r="AW35">
        <v>0</v>
      </c>
      <c r="AX35">
        <v>0</v>
      </c>
      <c r="AY35">
        <v>0</v>
      </c>
      <c r="AZ35" t="e">
        <f>'Cath. Prod. Par.'!FE21</f>
        <v>#DIV/0!</v>
      </c>
      <c r="BB35" t="s">
        <v>705</v>
      </c>
      <c r="BC35">
        <v>0</v>
      </c>
      <c r="BD35">
        <v>0</v>
      </c>
      <c r="BE35">
        <v>0</v>
      </c>
      <c r="BF35">
        <v>0</v>
      </c>
      <c r="BG35">
        <v>0</v>
      </c>
      <c r="BH35" t="e">
        <f>'Cath. Prod. Par.'!FH21</f>
        <v>#DIV/0!</v>
      </c>
    </row>
    <row r="36" spans="27:60">
      <c r="AB36" s="744"/>
    </row>
    <row r="37" spans="27:60">
      <c r="AA37" t="s">
        <v>1470</v>
      </c>
      <c r="AG37" t="s">
        <v>1471</v>
      </c>
      <c r="AJ37" t="s">
        <v>1472</v>
      </c>
      <c r="AP37" t="s">
        <v>1473</v>
      </c>
      <c r="AV37" t="s">
        <v>1474</v>
      </c>
    </row>
    <row r="38" spans="27:60">
      <c r="AB38" t="s">
        <v>677</v>
      </c>
      <c r="AC38" t="s">
        <v>426</v>
      </c>
      <c r="AD38" t="s">
        <v>672</v>
      </c>
      <c r="AE38" t="s">
        <v>36</v>
      </c>
      <c r="AK38" t="s">
        <v>677</v>
      </c>
      <c r="AL38" t="s">
        <v>426</v>
      </c>
      <c r="AM38" t="s">
        <v>672</v>
      </c>
      <c r="AN38" t="s">
        <v>36</v>
      </c>
      <c r="AQ38" t="s">
        <v>677</v>
      </c>
      <c r="AR38" t="s">
        <v>426</v>
      </c>
      <c r="AS38" t="s">
        <v>672</v>
      </c>
      <c r="AT38" t="s">
        <v>36</v>
      </c>
      <c r="AW38" t="s">
        <v>677</v>
      </c>
      <c r="AX38" t="s">
        <v>426</v>
      </c>
      <c r="AY38" t="s">
        <v>36</v>
      </c>
    </row>
    <row r="39" spans="27:60">
      <c r="AA39" t="s">
        <v>1477</v>
      </c>
      <c r="AB39" s="959" t="e">
        <f>Output!P37</f>
        <v>#N/A</v>
      </c>
      <c r="AC39" s="959" t="e">
        <f>Output!Q37</f>
        <v>#N/A</v>
      </c>
      <c r="AD39" s="959" t="e">
        <f>Output!T37</f>
        <v>#N/A</v>
      </c>
      <c r="AE39" s="959" t="e">
        <f ca="1">Output!R37</f>
        <v>#N/A</v>
      </c>
      <c r="AG39" t="s">
        <v>1477</v>
      </c>
      <c r="AH39" s="959" t="e">
        <f>IF($G$27="Direct",AH49/VLOOKUP(Input!$E$38,'Mat. Conv Par.'!$B$14:$E$19,4,FALSE),AH49*SUM(Input!$F$28:$F$32)/Input!$E$40)</f>
        <v>#DIV/0!</v>
      </c>
      <c r="AJ39" t="s">
        <v>1477</v>
      </c>
      <c r="AK39" s="959" t="e">
        <f ca="1">AK49*SUM(Input!$F$28:$F$32)/Input!$E$40</f>
        <v>#DIV/0!</v>
      </c>
      <c r="AL39" s="959" t="e">
        <f ca="1">AL49*SUM(Input!$F$28:$F$32)/Input!$E$40</f>
        <v>#DIV/0!</v>
      </c>
      <c r="AM39" s="959" t="e">
        <f ca="1">AM49/VLOOKUP(Input!$E$38,'Mat. Conv Par.'!$B$14:$E$19,4,FALSE)</f>
        <v>#N/A</v>
      </c>
      <c r="AN39" s="959" t="e">
        <f ca="1">AN49*SUM(Input!$F$28:$F$32)/Input!$E$40</f>
        <v>#DIV/0!</v>
      </c>
      <c r="AP39" t="s">
        <v>1477</v>
      </c>
      <c r="AQ39" s="959" t="e">
        <f>AQ49*SUM(Input!$F$28:$F$32)/Input!$E$40</f>
        <v>#DIV/0!</v>
      </c>
      <c r="AR39" s="959" t="e">
        <f>AR49*SUM(Input!$F$28:$F$32)/Input!$E$40</f>
        <v>#DIV/0!</v>
      </c>
      <c r="AS39" s="959" t="e">
        <f>AS49/VLOOKUP(Input!$E$38,'Mat. Conv Par.'!$B$14:$E$19,4,FALSE)</f>
        <v>#N/A</v>
      </c>
      <c r="AT39" s="959" t="e">
        <f>AT49*SUM(Input!$F$28:$F$32)/Input!$E$40</f>
        <v>#DIV/0!</v>
      </c>
      <c r="AV39" t="s">
        <v>1477</v>
      </c>
      <c r="AW39" s="1003" t="e">
        <f t="shared" ref="AW39:AW45" si="0">MMULT(AW49:BA49,AH$31:AH$35)</f>
        <v>#N/A</v>
      </c>
      <c r="AX39" s="1003" t="e">
        <f>MMULT(AW49:BA49,AI$31:AI$35)</f>
        <v>#N/A</v>
      </c>
      <c r="AY39" s="1003" t="e">
        <f>MMULT(AW49:BA49,AJ$31:AJ$35)</f>
        <v>#N/A</v>
      </c>
    </row>
    <row r="40" spans="27:60">
      <c r="AA40" t="s">
        <v>1478</v>
      </c>
      <c r="AB40" t="e">
        <f>Output!P39</f>
        <v>#N/A</v>
      </c>
      <c r="AC40" t="e">
        <f>Output!Q39</f>
        <v>#N/A</v>
      </c>
      <c r="AD40" t="e">
        <f>Output!T39</f>
        <v>#N/A</v>
      </c>
      <c r="AE40" t="e">
        <f ca="1">Output!R39</f>
        <v>#N/A</v>
      </c>
      <c r="AG40" t="s">
        <v>1478</v>
      </c>
      <c r="AH40" s="744" t="e">
        <f>IF($G$27="Direct",AH50/VLOOKUP(Input!$E$38,'Mat. Conv Par.'!$B$14:$E$19,4,FALSE),AH50*SUM(Input!$F$28:$F$32)/Input!$E$40)</f>
        <v>#DIV/0!</v>
      </c>
      <c r="AJ40" t="s">
        <v>1478</v>
      </c>
      <c r="AK40" s="744" t="e">
        <f>AK50*SUM(Input!$F$28:$F$32)/Input!$E$40</f>
        <v>#DIV/0!</v>
      </c>
      <c r="AL40" s="744" t="e">
        <f>AL50*SUM(Input!$F$28:$F$32)/Input!$E$40</f>
        <v>#DIV/0!</v>
      </c>
      <c r="AM40" s="744" t="e">
        <f>AM50/VLOOKUP(Input!$E$38,'Mat. Conv Par.'!$B$14:$E$19,4,FALSE)</f>
        <v>#N/A</v>
      </c>
      <c r="AN40" s="744" t="e">
        <f>AN50*SUM(Input!$F$28:$F$32)/Input!$E$40</f>
        <v>#DIV/0!</v>
      </c>
      <c r="AP40" t="s">
        <v>1478</v>
      </c>
      <c r="AQ40" s="744" t="e">
        <f>AQ50*SUM(Input!$F$28:$F$32)/Input!$E$40</f>
        <v>#DIV/0!</v>
      </c>
      <c r="AR40" s="744" t="e">
        <f>AR50*SUM(Input!$F$28:$F$32)/Input!$E$40</f>
        <v>#DIV/0!</v>
      </c>
      <c r="AS40" s="744" t="e">
        <f>AS50/VLOOKUP(Input!$E$38,'Mat. Conv Par.'!$B$14:$E$19,4,FALSE)</f>
        <v>#N/A</v>
      </c>
      <c r="AT40" s="744" t="e">
        <f>AT50*SUM(Input!$F$28:$F$32)/Input!$E$40</f>
        <v>#DIV/0!</v>
      </c>
      <c r="AV40" t="s">
        <v>1478</v>
      </c>
      <c r="AW40" s="1272" t="e">
        <f t="shared" si="0"/>
        <v>#N/A</v>
      </c>
      <c r="AX40" s="1272" t="e">
        <f t="shared" ref="AX40:AX45" si="1">MMULT(AW50:BA50,AI$31:AI$35)</f>
        <v>#N/A</v>
      </c>
      <c r="AY40" s="1272" t="e">
        <f t="shared" ref="AY40:AY45" si="2">MMULT(AW50:BA50,AJ$31:AJ$35)</f>
        <v>#N/A</v>
      </c>
    </row>
    <row r="41" spans="27:60">
      <c r="AA41" t="s">
        <v>178</v>
      </c>
      <c r="AB41" t="e">
        <f>Output!P44</f>
        <v>#N/A</v>
      </c>
      <c r="AC41" t="e">
        <f>Output!Q44</f>
        <v>#N/A</v>
      </c>
      <c r="AD41" t="e">
        <f>Output!T44</f>
        <v>#N/A</v>
      </c>
      <c r="AE41" t="e">
        <f ca="1">Output!R44</f>
        <v>#N/A</v>
      </c>
      <c r="AG41" t="s">
        <v>178</v>
      </c>
      <c r="AH41" s="744" t="e">
        <f>IF($G$27="Direct",AH51/VLOOKUP(Input!$E$38,'Mat. Conv Par.'!$B$14:$E$19,4,FALSE),AH51*SUM(Input!$F$28:$F$32)/Input!$E$40)</f>
        <v>#DIV/0!</v>
      </c>
      <c r="AJ41" t="s">
        <v>178</v>
      </c>
      <c r="AK41" s="744" t="e">
        <f>AK51*SUM(Input!$F$28:$F$32)/Input!$E$40</f>
        <v>#DIV/0!</v>
      </c>
      <c r="AL41" s="744" t="e">
        <f>AL51*SUM(Input!$F$28:$F$32)/Input!$E$40</f>
        <v>#DIV/0!</v>
      </c>
      <c r="AM41" s="744" t="e">
        <f>AM51/VLOOKUP(Input!$E$38,'Mat. Conv Par.'!$B$14:$E$19,4,FALSE)</f>
        <v>#N/A</v>
      </c>
      <c r="AN41" s="744" t="e">
        <f>AN51*SUM(Input!$F$28:$F$32)/Input!$E$40</f>
        <v>#DIV/0!</v>
      </c>
      <c r="AP41" t="s">
        <v>178</v>
      </c>
      <c r="AQ41" s="744" t="e">
        <f>AQ51*SUM(Input!$F$28:$F$32)/Input!$E$40</f>
        <v>#DIV/0!</v>
      </c>
      <c r="AR41" s="744" t="e">
        <f>AR51*SUM(Input!$F$28:$F$32)/Input!$E$40</f>
        <v>#DIV/0!</v>
      </c>
      <c r="AS41" s="744" t="e">
        <f>AS51/VLOOKUP(Input!$E$38,'Mat. Conv Par.'!$B$14:$E$19,4,FALSE)</f>
        <v>#N/A</v>
      </c>
      <c r="AT41" s="744" t="e">
        <f>AT51*SUM(Input!$F$28:$F$32)/Input!$E$40</f>
        <v>#DIV/0!</v>
      </c>
      <c r="AV41" t="s">
        <v>178</v>
      </c>
      <c r="AW41" s="1272" t="e">
        <f t="shared" si="0"/>
        <v>#N/A</v>
      </c>
      <c r="AX41" s="1272" t="e">
        <f t="shared" si="1"/>
        <v>#N/A</v>
      </c>
      <c r="AY41" s="1272" t="e">
        <f t="shared" si="2"/>
        <v>#N/A</v>
      </c>
    </row>
    <row r="42" spans="27:60">
      <c r="AA42" t="s">
        <v>1479</v>
      </c>
      <c r="AB42" t="e">
        <f>Output!P48</f>
        <v>#N/A</v>
      </c>
      <c r="AC42" t="e">
        <f>Output!Q48</f>
        <v>#N/A</v>
      </c>
      <c r="AD42" t="e">
        <f>Output!T48</f>
        <v>#N/A</v>
      </c>
      <c r="AE42" t="e">
        <f ca="1">Output!R48</f>
        <v>#N/A</v>
      </c>
      <c r="AG42" t="s">
        <v>1479</v>
      </c>
      <c r="AH42" s="744" t="e">
        <f>IF($G$27="Direct",AH52/VLOOKUP(Input!$E$38,'Mat. Conv Par.'!$B$14:$E$19,4,FALSE),AH52*SUM(Input!$F$28:$F$32)/Input!$E$40)</f>
        <v>#DIV/0!</v>
      </c>
      <c r="AJ42" t="s">
        <v>1479</v>
      </c>
      <c r="AK42" s="744" t="e">
        <f>AK52*SUM(Input!$F$28:$F$32)/Input!$E$40</f>
        <v>#DIV/0!</v>
      </c>
      <c r="AL42" s="744" t="e">
        <f>AL52*SUM(Input!$F$28:$F$32)/Input!$E$40</f>
        <v>#DIV/0!</v>
      </c>
      <c r="AM42" s="744" t="e">
        <f>AM52/VLOOKUP(Input!$E$38,'Mat. Conv Par.'!$B$14:$E$19,4,FALSE)</f>
        <v>#N/A</v>
      </c>
      <c r="AN42" s="744" t="e">
        <f>AN52*SUM(Input!$F$28:$F$32)/Input!$E$40</f>
        <v>#DIV/0!</v>
      </c>
      <c r="AP42" t="s">
        <v>1479</v>
      </c>
      <c r="AQ42" s="744" t="e">
        <f>AQ52*SUM(Input!$F$28:$F$32)/Input!$E$40</f>
        <v>#DIV/0!</v>
      </c>
      <c r="AR42" s="744" t="e">
        <f>AR52*SUM(Input!$F$28:$F$32)/Input!$E$40</f>
        <v>#DIV/0!</v>
      </c>
      <c r="AS42" s="744" t="e">
        <f>AS52/VLOOKUP(Input!$E$38,'Mat. Conv Par.'!$B$14:$E$19,4,FALSE)</f>
        <v>#N/A</v>
      </c>
      <c r="AT42" s="744" t="e">
        <f>AT52*SUM(Input!$F$28:$F$32)/Input!$E$40</f>
        <v>#DIV/0!</v>
      </c>
      <c r="AV42" t="s">
        <v>1479</v>
      </c>
      <c r="AW42" s="1272" t="e">
        <f t="shared" si="0"/>
        <v>#N/A</v>
      </c>
      <c r="AX42" s="1272" t="e">
        <f t="shared" si="1"/>
        <v>#N/A</v>
      </c>
      <c r="AY42" s="1272" t="e">
        <f t="shared" si="2"/>
        <v>#N/A</v>
      </c>
    </row>
    <row r="43" spans="27:60">
      <c r="AA43" t="s">
        <v>1480</v>
      </c>
      <c r="AB43" t="e">
        <f>Output!P51</f>
        <v>#N/A</v>
      </c>
      <c r="AC43" t="e">
        <f>Output!Q51</f>
        <v>#N/A</v>
      </c>
      <c r="AD43" t="e">
        <f>Output!T51</f>
        <v>#N/A</v>
      </c>
      <c r="AE43" t="e">
        <f ca="1">Output!R51</f>
        <v>#N/A</v>
      </c>
      <c r="AG43" t="s">
        <v>1480</v>
      </c>
      <c r="AH43" s="744" t="e">
        <f>IF($G$27="Direct",AH53/VLOOKUP(Input!$E$38,'Mat. Conv Par.'!$B$14:$E$19,4,FALSE),AH53*SUM(Input!$F$28:$F$32)/Input!$E$40)</f>
        <v>#DIV/0!</v>
      </c>
      <c r="AJ43" t="s">
        <v>1480</v>
      </c>
      <c r="AK43" s="744" t="e">
        <f>AK53*SUM(Input!$F$28:$F$32)/Input!$E$40</f>
        <v>#DIV/0!</v>
      </c>
      <c r="AL43" s="744" t="e">
        <f>AL53*SUM(Input!$F$28:$F$32)/Input!$E$40</f>
        <v>#DIV/0!</v>
      </c>
      <c r="AM43" s="744" t="e">
        <f>AM53/VLOOKUP(Input!$E$38,'Mat. Conv Par.'!$B$14:$E$19,4,FALSE)</f>
        <v>#N/A</v>
      </c>
      <c r="AN43" s="744" t="e">
        <f>AN53*SUM(Input!$F$28:$F$32)/Input!$E$40</f>
        <v>#DIV/0!</v>
      </c>
      <c r="AP43" t="s">
        <v>1480</v>
      </c>
      <c r="AQ43" s="744" t="e">
        <f>AQ53*SUM(Input!$F$28:$F$32)/Input!$E$40</f>
        <v>#DIV/0!</v>
      </c>
      <c r="AR43" s="744" t="e">
        <f>AR53*SUM(Input!$F$28:$F$32)/Input!$E$40</f>
        <v>#DIV/0!</v>
      </c>
      <c r="AS43" s="744" t="e">
        <f>AS53/VLOOKUP(Input!$E$38,'Mat. Conv Par.'!$B$14:$E$19,4,FALSE)</f>
        <v>#N/A</v>
      </c>
      <c r="AT43" s="744" t="e">
        <f>AT53*SUM(Input!$F$28:$F$32)/Input!$E$40</f>
        <v>#DIV/0!</v>
      </c>
      <c r="AV43" t="s">
        <v>1480</v>
      </c>
      <c r="AW43" s="1272" t="e">
        <f t="shared" si="0"/>
        <v>#N/A</v>
      </c>
      <c r="AX43" s="1272" t="e">
        <f t="shared" si="1"/>
        <v>#N/A</v>
      </c>
      <c r="AY43" s="1272" t="e">
        <f t="shared" si="2"/>
        <v>#N/A</v>
      </c>
    </row>
    <row r="44" spans="27:60">
      <c r="AA44" t="s">
        <v>1481</v>
      </c>
      <c r="AB44" t="e">
        <f>Output!P49</f>
        <v>#N/A</v>
      </c>
      <c r="AC44" t="e">
        <f>Output!Q49</f>
        <v>#N/A</v>
      </c>
      <c r="AD44" t="e">
        <f>Output!T49</f>
        <v>#N/A</v>
      </c>
      <c r="AE44" t="e">
        <f ca="1">Output!R49</f>
        <v>#N/A</v>
      </c>
      <c r="AG44" t="s">
        <v>1481</v>
      </c>
      <c r="AH44" s="744" t="e">
        <f>IF($G$27="Direct",AH54/VLOOKUP(Input!$E$38,'Mat. Conv Par.'!$B$14:$E$19,4,FALSE),AH54*SUM(Input!$F$28:$F$32)/Input!$E$40)</f>
        <v>#DIV/0!</v>
      </c>
      <c r="AJ44" t="s">
        <v>1481</v>
      </c>
      <c r="AK44" s="744" t="e">
        <f>AK54*SUM(Input!$F$28:$F$32)/Input!$E$40</f>
        <v>#DIV/0!</v>
      </c>
      <c r="AL44" s="744" t="e">
        <f>AL54*SUM(Input!$F$28:$F$32)/Input!$E$40</f>
        <v>#DIV/0!</v>
      </c>
      <c r="AM44" s="744" t="e">
        <f>AM54/VLOOKUP(Input!$E$38,'Mat. Conv Par.'!$B$14:$E$19,4,FALSE)</f>
        <v>#N/A</v>
      </c>
      <c r="AN44" s="744" t="e">
        <f>AN54*SUM(Input!$F$28:$F$32)/Input!$E$40</f>
        <v>#DIV/0!</v>
      </c>
      <c r="AP44" t="s">
        <v>1481</v>
      </c>
      <c r="AQ44" s="744" t="e">
        <f>AQ54*SUM(Input!$F$28:$F$32)/Input!$E$40</f>
        <v>#DIV/0!</v>
      </c>
      <c r="AR44" s="744" t="e">
        <f>AR54*SUM(Input!$F$28:$F$32)/Input!$E$40</f>
        <v>#DIV/0!</v>
      </c>
      <c r="AS44" s="744" t="e">
        <f>AS54/VLOOKUP(Input!$E$38,'Mat. Conv Par.'!$B$14:$E$19,4,FALSE)</f>
        <v>#N/A</v>
      </c>
      <c r="AT44" s="744" t="e">
        <f>AT54*SUM(Input!$F$28:$F$32)/Input!$E$40</f>
        <v>#DIV/0!</v>
      </c>
      <c r="AV44" t="s">
        <v>1481</v>
      </c>
      <c r="AW44" s="1272" t="e">
        <f t="shared" si="0"/>
        <v>#N/A</v>
      </c>
      <c r="AX44" s="1272" t="e">
        <f t="shared" si="1"/>
        <v>#N/A</v>
      </c>
      <c r="AY44" s="1272" t="e">
        <f t="shared" si="2"/>
        <v>#N/A</v>
      </c>
    </row>
    <row r="45" spans="27:60">
      <c r="AA45" t="s">
        <v>1482</v>
      </c>
      <c r="AB45" t="e">
        <f>Output!P58</f>
        <v>#N/A</v>
      </c>
      <c r="AC45" t="e">
        <f>Output!Q58</f>
        <v>#N/A</v>
      </c>
      <c r="AD45" t="e">
        <f>Output!T58</f>
        <v>#N/A</v>
      </c>
      <c r="AE45" t="e">
        <f ca="1">Output!R58</f>
        <v>#N/A</v>
      </c>
      <c r="AG45" t="s">
        <v>1482</v>
      </c>
      <c r="AH45" s="744" t="e">
        <f>IF($G$27="Direct",AH55/VLOOKUP(Input!$E$38,'Mat. Conv Par.'!$B$14:$E$19,4,FALSE),AH55*SUM(Input!$F$28:$F$32)/Input!$E$40)</f>
        <v>#DIV/0!</v>
      </c>
      <c r="AJ45" t="s">
        <v>1482</v>
      </c>
      <c r="AK45" s="744" t="e">
        <f>AK55*SUM(Input!$F$28:$F$32)/Input!$E$40</f>
        <v>#DIV/0!</v>
      </c>
      <c r="AL45" s="744" t="e">
        <f>AL55*SUM(Input!$F$28:$F$32)/Input!$E$40</f>
        <v>#DIV/0!</v>
      </c>
      <c r="AM45" s="744" t="e">
        <f>AM55/VLOOKUP(Input!$E$38,'Mat. Conv Par.'!$B$14:$E$19,4,FALSE)</f>
        <v>#N/A</v>
      </c>
      <c r="AN45" s="744" t="e">
        <f>AN55*SUM(Input!$F$28:$F$32)/Input!$E$40</f>
        <v>#DIV/0!</v>
      </c>
      <c r="AP45" t="s">
        <v>1482</v>
      </c>
      <c r="AQ45" s="744" t="e">
        <f>AQ55*SUM(Input!$F$28:$F$32)/Input!$E$40</f>
        <v>#DIV/0!</v>
      </c>
      <c r="AR45" s="744" t="e">
        <f>AR55*SUM(Input!$F$28:$F$32)/Input!$E$40</f>
        <v>#DIV/0!</v>
      </c>
      <c r="AS45" s="744" t="e">
        <f>AS55/VLOOKUP(Input!$E$38,'Mat. Conv Par.'!$B$14:$E$19,4,FALSE)</f>
        <v>#N/A</v>
      </c>
      <c r="AT45" s="744" t="e">
        <f>AT55*SUM(Input!$F$28:$F$32)/Input!$E$40</f>
        <v>#DIV/0!</v>
      </c>
      <c r="AV45" t="s">
        <v>1482</v>
      </c>
      <c r="AW45" s="1272" t="e">
        <f t="shared" si="0"/>
        <v>#N/A</v>
      </c>
      <c r="AX45" s="1272" t="e">
        <f t="shared" si="1"/>
        <v>#N/A</v>
      </c>
      <c r="AY45" s="1272" t="e">
        <f t="shared" si="2"/>
        <v>#N/A</v>
      </c>
    </row>
    <row r="47" spans="27:60">
      <c r="AJ47" t="s">
        <v>1962</v>
      </c>
      <c r="AP47" t="s">
        <v>1964</v>
      </c>
      <c r="AV47" t="s">
        <v>1475</v>
      </c>
    </row>
    <row r="48" spans="27:60">
      <c r="AG48" t="s">
        <v>1963</v>
      </c>
      <c r="AK48" t="s">
        <v>677</v>
      </c>
      <c r="AL48" t="s">
        <v>426</v>
      </c>
      <c r="AM48" t="s">
        <v>672</v>
      </c>
      <c r="AN48" t="s">
        <v>36</v>
      </c>
      <c r="AQ48" t="s">
        <v>677</v>
      </c>
      <c r="AR48" t="s">
        <v>426</v>
      </c>
      <c r="AS48" t="s">
        <v>672</v>
      </c>
      <c r="AT48" t="s">
        <v>36</v>
      </c>
      <c r="AW48" t="s">
        <v>528</v>
      </c>
      <c r="AX48" t="s">
        <v>530</v>
      </c>
      <c r="AY48" t="s">
        <v>371</v>
      </c>
      <c r="AZ48" t="s">
        <v>1476</v>
      </c>
      <c r="BA48" t="s">
        <v>1352</v>
      </c>
    </row>
    <row r="49" spans="27:53">
      <c r="AB49" t="s">
        <v>677</v>
      </c>
      <c r="AC49" t="s">
        <v>426</v>
      </c>
      <c r="AD49" t="s">
        <v>672</v>
      </c>
      <c r="AE49" t="s">
        <v>36</v>
      </c>
      <c r="AG49" t="s">
        <v>1477</v>
      </c>
      <c r="AH49" s="959">
        <f>Output!C37</f>
        <v>1.240519995666417E-2</v>
      </c>
      <c r="AJ49" t="s">
        <v>1477</v>
      </c>
      <c r="AK49" s="959">
        <f ca="1">Output!J37</f>
        <v>4.7326688973656124</v>
      </c>
      <c r="AL49" s="959">
        <f ca="1">Output!K37</f>
        <v>5.0853182178253569</v>
      </c>
      <c r="AM49" s="959">
        <f ca="1">Output!L37</f>
        <v>6.5905495121319513</v>
      </c>
      <c r="AN49" s="959">
        <f ca="1">Output!M37</f>
        <v>5.7379241570405419</v>
      </c>
      <c r="AP49" t="s">
        <v>1477</v>
      </c>
      <c r="AQ49" s="1003">
        <f>MMULT('Mat. Conv Par.'!$O$53:$U$53,'Mat. Conv Par.'!C$22:C$28)</f>
        <v>3.6832586339999994E-2</v>
      </c>
      <c r="AR49" s="1003">
        <f>MMULT('Mat. Conv Par.'!$O$53:$U$53,'Mat. Conv Par.'!D$22:D$28)</f>
        <v>6.1800000000000001E-2</v>
      </c>
      <c r="AS49" s="1003">
        <f>MMULT('Mat. Conv Par.'!$O$53:$U$53,'Mat. Conv Par.'!E$22:E$28)</f>
        <v>0.1007105288748</v>
      </c>
      <c r="AT49" s="1003">
        <f>MMULT('Mat. Conv Par.'!$O$53:$U$53,'Mat. Conv Par.'!F$22:F$28)</f>
        <v>0.1007105288748</v>
      </c>
      <c r="AV49" t="s">
        <v>1477</v>
      </c>
      <c r="AW49" s="959">
        <f>'Mat. Conv Par.'!AC51</f>
        <v>5.3684149742900818E-2</v>
      </c>
      <c r="AX49" s="959">
        <f>'Mat. Conv Par.'!BB49</f>
        <v>5.3752330931967275E-2</v>
      </c>
      <c r="AY49" s="959">
        <v>0</v>
      </c>
      <c r="AZ49" s="959">
        <f>'Mat. Conv Par.'!CB49</f>
        <v>0.27152062379247632</v>
      </c>
      <c r="BA49" s="959">
        <f>'Mat. Conv Par.'!AB51</f>
        <v>1.0681590736444295</v>
      </c>
    </row>
    <row r="50" spans="27:53">
      <c r="AA50" t="s">
        <v>1477</v>
      </c>
      <c r="AB50" s="959">
        <v>33.718702048249575</v>
      </c>
      <c r="AC50" s="959">
        <v>29.412557390471068</v>
      </c>
      <c r="AD50" s="959">
        <v>14.889946121431263</v>
      </c>
      <c r="AE50" s="959">
        <v>0</v>
      </c>
      <c r="AG50" t="s">
        <v>1478</v>
      </c>
      <c r="AH50">
        <f>Output!C39</f>
        <v>5.3936415336786805</v>
      </c>
      <c r="AJ50" t="s">
        <v>1478</v>
      </c>
      <c r="AK50">
        <f>Output!J39</f>
        <v>447.79677222662565</v>
      </c>
      <c r="AL50">
        <f>Output!K39</f>
        <v>413.88635463185437</v>
      </c>
      <c r="AM50">
        <f>Output!L39</f>
        <v>88.766281850167758</v>
      </c>
      <c r="AN50">
        <f>Output!M39</f>
        <v>126.76231235986792</v>
      </c>
      <c r="AP50" t="s">
        <v>1478</v>
      </c>
      <c r="AQ50">
        <f>('Mat. Conv Par.'!C91-'Mat. Conv Par.'!C114)*1055</f>
        <v>9.0996915936473659</v>
      </c>
      <c r="AR50">
        <f>('Mat. Conv Par.'!D91-'Mat. Conv Par.'!D114)*1055</f>
        <v>254.05404750758558</v>
      </c>
      <c r="AS50">
        <f>('Mat. Conv Par.'!E91-'Mat. Conv Par.'!E114)*1055</f>
        <v>39.43810552745547</v>
      </c>
      <c r="AT50">
        <f>('Mat. Conv Par.'!F91-'Mat. Conv Par.'!F114)*1055</f>
        <v>107.13808805297411</v>
      </c>
      <c r="AV50" t="s">
        <v>1478</v>
      </c>
      <c r="AW50">
        <f>'Mat. Conv Par.'!AC26*1055</f>
        <v>0.38114821489122963</v>
      </c>
      <c r="AX50">
        <f>'Mat. Conv Par.'!BB24*1055</f>
        <v>0.38164097276439224</v>
      </c>
      <c r="AY50">
        <v>0</v>
      </c>
      <c r="AZ50">
        <f>'Mat. Conv Par.'!CB24*1055</f>
        <v>18.369266614540443</v>
      </c>
      <c r="BA50">
        <f>'Mat. Conv Par.'!AB26*1055</f>
        <v>44.139832920347956</v>
      </c>
    </row>
    <row r="51" spans="27:53">
      <c r="AA51" t="s">
        <v>1478</v>
      </c>
      <c r="AB51">
        <v>198.94099936056526</v>
      </c>
      <c r="AC51">
        <v>227.41925527495778</v>
      </c>
      <c r="AD51">
        <v>22.15731271392341</v>
      </c>
      <c r="AE51">
        <v>0</v>
      </c>
      <c r="AG51" t="s">
        <v>178</v>
      </c>
      <c r="AH51">
        <f>Output!C44</f>
        <v>9.9940576213339335E-2</v>
      </c>
      <c r="AJ51" t="s">
        <v>178</v>
      </c>
      <c r="AK51">
        <f>Output!J44</f>
        <v>58.952267679149678</v>
      </c>
      <c r="AL51">
        <f>Output!K44</f>
        <v>53.111443744784395</v>
      </c>
      <c r="AM51">
        <f>Output!L44</f>
        <v>12.032387409609116</v>
      </c>
      <c r="AN51">
        <f>Output!M44</f>
        <v>14.347673135437001</v>
      </c>
      <c r="AP51" t="s">
        <v>178</v>
      </c>
      <c r="AQ51">
        <f>'Mat. Conv Par.'!C96-'Mat. Conv Par.'!C119</f>
        <v>1.185787314364724</v>
      </c>
      <c r="AR51">
        <f>'Mat. Conv Par.'!D96-'Mat. Conv Par.'!D119</f>
        <v>32.244172181733461</v>
      </c>
      <c r="AS51">
        <f>'Mat. Conv Par.'!E96-'Mat. Conv Par.'!E119</f>
        <v>5.2092927733005512</v>
      </c>
      <c r="AT51">
        <f>'Mat. Conv Par.'!F96-'Mat. Conv Par.'!F119</f>
        <v>11.713265244813275</v>
      </c>
      <c r="AV51" t="s">
        <v>178</v>
      </c>
      <c r="AW51">
        <f>'Mat. Conv Par.'!AC31</f>
        <v>0.25313396336517308</v>
      </c>
      <c r="AX51">
        <f>'Mat. Conv Par.'!BB29</f>
        <v>0.25320265627191541</v>
      </c>
      <c r="AY51">
        <v>0</v>
      </c>
      <c r="AZ51">
        <f>'Mat. Conv Par.'!CB29</f>
        <v>8.8543014840617928</v>
      </c>
      <c r="BA51">
        <f>'Mat. Conv Par.'!AB31</f>
        <v>4.6241313664449093</v>
      </c>
    </row>
    <row r="52" spans="27:53">
      <c r="AA52" t="s">
        <v>178</v>
      </c>
      <c r="AB52">
        <v>12.376256075637217</v>
      </c>
      <c r="AC52">
        <v>18.097192577278449</v>
      </c>
      <c r="AD52">
        <v>4.2753851858510155</v>
      </c>
      <c r="AE52">
        <v>0</v>
      </c>
      <c r="AG52" t="s">
        <v>1479</v>
      </c>
      <c r="AH52">
        <f>Output!C48</f>
        <v>0.51982350547257239</v>
      </c>
      <c r="AJ52" t="s">
        <v>1479</v>
      </c>
      <c r="AK52">
        <f>Output!J48</f>
        <v>26.849823400258519</v>
      </c>
      <c r="AL52">
        <f>Output!K48</f>
        <v>25.188895224439339</v>
      </c>
      <c r="AM52">
        <f>Output!L48</f>
        <v>6.6398799870118532</v>
      </c>
      <c r="AN52">
        <f>Output!M48</f>
        <v>8.1807249861160365</v>
      </c>
      <c r="AP52" t="s">
        <v>1479</v>
      </c>
      <c r="AQ52">
        <f>'Mat. Conv Par.'!C100-'Mat. Conv Par.'!C123</f>
        <v>0.54959130332793293</v>
      </c>
      <c r="AR52">
        <f>'Mat. Conv Par.'!D100-'Mat. Conv Par.'!D123</f>
        <v>15.578552670202214</v>
      </c>
      <c r="AS52">
        <f>'Mat. Conv Par.'!E100-'Mat. Conv Par.'!E123</f>
        <v>2.9754500414658405</v>
      </c>
      <c r="AT52">
        <f>'Mat. Conv Par.'!F100-'Mat. Conv Par.'!F123</f>
        <v>7.0538868418912148</v>
      </c>
      <c r="AV52" t="s">
        <v>1479</v>
      </c>
      <c r="AW52">
        <f>'Mat. Conv Par.'!AC35</f>
        <v>0.20285547869242737</v>
      </c>
      <c r="AX52">
        <f>'Mat. Conv Par.'!BB33</f>
        <v>0.2031177352906077</v>
      </c>
      <c r="AY52">
        <v>0</v>
      </c>
      <c r="AZ52">
        <f>'Mat. Conv Par.'!CB33</f>
        <v>1.1401303585244844</v>
      </c>
      <c r="BA52">
        <f>'Mat. Conv Par.'!AB35</f>
        <v>2.6918759608293747</v>
      </c>
    </row>
    <row r="53" spans="27:53">
      <c r="AA53" t="s">
        <v>1479</v>
      </c>
      <c r="AB53">
        <v>14.864757485740864</v>
      </c>
      <c r="AC53">
        <v>17.745515144394961</v>
      </c>
      <c r="AD53">
        <v>2.3914321100388918</v>
      </c>
      <c r="AE53">
        <v>0</v>
      </c>
      <c r="AG53" t="s">
        <v>1480</v>
      </c>
      <c r="AH53">
        <f>Output!C51</f>
        <v>2.4824254063830889E-2</v>
      </c>
      <c r="AJ53" t="s">
        <v>1480</v>
      </c>
      <c r="AK53">
        <f>Output!J51</f>
        <v>34.425486978727832</v>
      </c>
      <c r="AL53">
        <f>Output!K51</f>
        <v>32.470193865335006</v>
      </c>
      <c r="AM53">
        <f>Output!L51</f>
        <v>7.1862084378308673</v>
      </c>
      <c r="AN53">
        <f>Output!M51</f>
        <v>10.102458233739148</v>
      </c>
      <c r="AP53" t="s">
        <v>1480</v>
      </c>
      <c r="AQ53">
        <f>'Mat. Conv Par.'!C103-'Mat. Conv Par.'!C126</f>
        <v>0.6917733179275416</v>
      </c>
      <c r="AR53">
        <f>'Mat. Conv Par.'!D103-'Mat. Conv Par.'!D126</f>
        <v>19.690804376930714</v>
      </c>
      <c r="AS53">
        <f>'Mat. Conv Par.'!E103-'Mat. Conv Par.'!E126</f>
        <v>3.1036298188986366</v>
      </c>
      <c r="AT53">
        <f>'Mat. Conv Par.'!F103-'Mat. Conv Par.'!F126</f>
        <v>8.2105978437901115</v>
      </c>
      <c r="AV53" t="s">
        <v>1480</v>
      </c>
      <c r="AW53">
        <f>'Mat. Conv Par.'!AC38</f>
        <v>1.3614424566671017</v>
      </c>
      <c r="AX53">
        <f>'Mat. Conv Par.'!BB36</f>
        <v>1.363202563269128</v>
      </c>
      <c r="AY53">
        <v>0</v>
      </c>
      <c r="AZ53">
        <f>'Mat. Conv Par.'!CB36</f>
        <v>0.28662570282156713</v>
      </c>
      <c r="BA53">
        <f>'Mat. Conv Par.'!AB38</f>
        <v>0.86095088123350227</v>
      </c>
    </row>
    <row r="54" spans="27:53">
      <c r="AA54" t="s">
        <v>1480</v>
      </c>
      <c r="AB54">
        <v>35.72685158185508</v>
      </c>
      <c r="AC54">
        <v>87.428276587330046</v>
      </c>
      <c r="AD54">
        <v>1.8034376191787889</v>
      </c>
      <c r="AE54">
        <v>0</v>
      </c>
      <c r="AG54" t="s">
        <v>1481</v>
      </c>
      <c r="AH54">
        <f>Output!C49</f>
        <v>2.9316341886742821E-2</v>
      </c>
      <c r="AJ54" t="s">
        <v>1481</v>
      </c>
      <c r="AK54">
        <f>Output!J49</f>
        <v>5.3542397993483331</v>
      </c>
      <c r="AL54">
        <f>Output!K49</f>
        <v>4.7455520261108335</v>
      </c>
      <c r="AM54">
        <f>Output!L49</f>
        <v>1.1804300769023357</v>
      </c>
      <c r="AN54">
        <f>Output!M49</f>
        <v>1.1315125655014624</v>
      </c>
      <c r="AP54" t="s">
        <v>1481</v>
      </c>
      <c r="AQ54">
        <f>'Mat. Conv Par.'!C101-'Mat. Conv Par.'!C124</f>
        <v>0.10810353697259245</v>
      </c>
      <c r="AR54">
        <f>'Mat. Conv Par.'!D101-'Mat. Conv Par.'!D124</f>
        <v>2.8933973390741441</v>
      </c>
      <c r="AS54">
        <f>'Mat. Conv Par.'!E101-'Mat. Conv Par.'!E124</f>
        <v>0.51528651509729539</v>
      </c>
      <c r="AT54">
        <f>'Mat. Conv Par.'!F101-'Mat. Conv Par.'!F124</f>
        <v>0.94113098311317223</v>
      </c>
      <c r="AV54" t="s">
        <v>1481</v>
      </c>
      <c r="AW54">
        <f>'Mat. Conv Par.'!AC36</f>
        <v>1.3585426784619593E-2</v>
      </c>
      <c r="AX54">
        <f>'Mat. Conv Par.'!BB34</f>
        <v>1.3602990361587429E-2</v>
      </c>
      <c r="AY54">
        <v>0</v>
      </c>
      <c r="AZ54">
        <f>'Mat. Conv Par.'!CB34</f>
        <v>0.20382336936518836</v>
      </c>
      <c r="BA54">
        <f>'Mat. Conv Par.'!AB36</f>
        <v>0.17485322085256444</v>
      </c>
    </row>
    <row r="55" spans="27:53">
      <c r="AA55" t="s">
        <v>1481</v>
      </c>
      <c r="AB55">
        <v>2.2542770511025449</v>
      </c>
      <c r="AC55">
        <v>1.8606210505014917</v>
      </c>
      <c r="AD55">
        <v>0.21189010236499178</v>
      </c>
      <c r="AE55">
        <v>0</v>
      </c>
      <c r="AG55" t="s">
        <v>1482</v>
      </c>
      <c r="AH55">
        <f>Output!C58</f>
        <v>408.92713540984289</v>
      </c>
      <c r="AJ55" t="s">
        <v>1482</v>
      </c>
      <c r="AK55">
        <f>Output!J58</f>
        <v>37112.253690996324</v>
      </c>
      <c r="AL55">
        <f>Output!K58</f>
        <v>32462.702189542604</v>
      </c>
      <c r="AM55">
        <f>Output!L58</f>
        <v>7357.2697843508331</v>
      </c>
      <c r="AN55">
        <f>Output!M58</f>
        <v>9427.1744145475022</v>
      </c>
      <c r="AP55" t="s">
        <v>1482</v>
      </c>
      <c r="AQ55">
        <f>'Mat. Conv Par.'!C110-'Mat. Conv Par.'!C133</f>
        <v>753.43736599208933</v>
      </c>
      <c r="AR55">
        <f>'Mat. Conv Par.'!D110-'Mat. Conv Par.'!D133</f>
        <v>19919.01713088173</v>
      </c>
      <c r="AS55">
        <f>'Mat. Conv Par.'!E110-'Mat. Conv Par.'!E133</f>
        <v>3260.6909411392071</v>
      </c>
      <c r="AT55">
        <f>'Mat. Conv Par.'!F110-'Mat. Conv Par.'!F133</f>
        <v>7974.5256710915128</v>
      </c>
      <c r="AV55" t="s">
        <v>1482</v>
      </c>
      <c r="AW55">
        <f>'Mat. Conv Par.'!AC45</f>
        <v>27.881748802593314</v>
      </c>
      <c r="AX55">
        <f>'Mat. Conv Par.'!BB43</f>
        <v>27.917795019532676</v>
      </c>
      <c r="AY55">
        <v>0</v>
      </c>
      <c r="AZ55">
        <f>'Mat. Conv Par.'!CB43</f>
        <v>2282.8146687241574</v>
      </c>
      <c r="BA55">
        <f>'Mat. Conv Par.'!AB45</f>
        <v>2925.0671014546183</v>
      </c>
    </row>
    <row r="56" spans="27:53">
      <c r="AA56" t="s">
        <v>1482</v>
      </c>
      <c r="AB56">
        <v>14253.281054200017</v>
      </c>
      <c r="AC56">
        <v>13557.271412617245</v>
      </c>
      <c r="AD56">
        <v>1525.4123120407235</v>
      </c>
      <c r="AE56">
        <v>0</v>
      </c>
    </row>
    <row r="57" spans="27:53">
      <c r="AG57" t="s">
        <v>1618</v>
      </c>
      <c r="AJ57" t="s">
        <v>1619</v>
      </c>
    </row>
    <row r="58" spans="27:53">
      <c r="AB58" t="s">
        <v>1463</v>
      </c>
      <c r="AG58" t="s">
        <v>1477</v>
      </c>
      <c r="AH58" s="959" t="e">
        <f>IF($G$27="Direct",AH68/VLOOKUP(Input!$E$38,'Mat. Conv Par.'!$B$14:$E$19,4,FALSE),AH68*SUM(Input!$F$28:$F$32)/Input!$E$40)</f>
        <v>#DIV/0!</v>
      </c>
      <c r="AJ58" t="s">
        <v>1477</v>
      </c>
      <c r="AK58" s="959" t="e">
        <f>IF($G$27="Direct",AK68/VLOOKUP(Input!$E$38,'Mat. Conv Par.'!$B$14:$E$19,4,FALSE),AK68*SUM(Input!$F$28:$F$32)/Input!$E$40)</f>
        <v>#DIV/0!</v>
      </c>
    </row>
    <row r="59" spans="27:53">
      <c r="AA59" t="s">
        <v>1465</v>
      </c>
      <c r="AB59" s="744">
        <v>2.5743688001625262</v>
      </c>
      <c r="AG59" t="s">
        <v>1478</v>
      </c>
      <c r="AH59" s="744" t="e">
        <f>IF($G$27="Direct",AH69/VLOOKUP(Input!$E$38,'Mat. Conv Par.'!$B$14:$E$19,4,FALSE),AH69*SUM(Input!$F$28:$F$32)/Input!$E$40)</f>
        <v>#DIV/0!</v>
      </c>
      <c r="AJ59" t="s">
        <v>1478</v>
      </c>
      <c r="AK59" s="744" t="e">
        <f>IF($G$27="Direct",AK69/VLOOKUP(Input!$E$38,'Mat. Conv Par.'!$B$14:$E$19,4,FALSE),AK69*SUM(Input!$F$28:$F$32)/Input!$E$40)</f>
        <v>#DIV/0!</v>
      </c>
    </row>
    <row r="60" spans="27:53">
      <c r="AA60" t="s">
        <v>1603</v>
      </c>
      <c r="AB60" s="744">
        <v>5.7075854286716901</v>
      </c>
      <c r="AG60" t="s">
        <v>178</v>
      </c>
      <c r="AH60" s="744" t="e">
        <f>IF($G$27="Direct",AH70/VLOOKUP(Input!$E$38,'Mat. Conv Par.'!$B$14:$E$19,4,FALSE),AH70*SUM(Input!$F$28:$F$32)/Input!$E$40)</f>
        <v>#DIV/0!</v>
      </c>
      <c r="AJ60" t="s">
        <v>178</v>
      </c>
      <c r="AK60" s="744" t="e">
        <f>IF($G$27="Direct",AK70/VLOOKUP(Input!$E$38,'Mat. Conv Par.'!$B$14:$E$19,4,FALSE),AK70*SUM(Input!$F$28:$F$32)/Input!$E$40)</f>
        <v>#DIV/0!</v>
      </c>
    </row>
    <row r="61" spans="27:53">
      <c r="AA61" t="s">
        <v>1466</v>
      </c>
      <c r="AB61" s="744">
        <v>7.6828275354293174</v>
      </c>
      <c r="AG61" t="s">
        <v>1479</v>
      </c>
      <c r="AH61" s="744" t="e">
        <f>IF($G$27="Direct",AH71/VLOOKUP(Input!$E$38,'Mat. Conv Par.'!$B$14:$E$19,4,FALSE),AH71*SUM(Input!$F$28:$F$32)/Input!$E$40)</f>
        <v>#DIV/0!</v>
      </c>
      <c r="AJ61" t="s">
        <v>1479</v>
      </c>
      <c r="AK61" s="744" t="e">
        <f>IF($G$27="Direct",AK71/VLOOKUP(Input!$E$38,'Mat. Conv Par.'!$B$14:$E$19,4,FALSE),AK71*SUM(Input!$F$28:$F$32)/Input!$E$40)</f>
        <v>#DIV/0!</v>
      </c>
    </row>
    <row r="62" spans="27:53">
      <c r="AA62" t="s">
        <v>1467</v>
      </c>
      <c r="AB62" s="744">
        <v>4.3440736791953635E-2</v>
      </c>
      <c r="AG62" t="s">
        <v>1480</v>
      </c>
      <c r="AH62" s="744" t="e">
        <f>IF($G$27="Direct",AH72/VLOOKUP(Input!$E$38,'Mat. Conv Par.'!$B$14:$E$19,4,FALSE),AH72*SUM(Input!$F$28:$F$32)/Input!$E$40)</f>
        <v>#DIV/0!</v>
      </c>
      <c r="AJ62" t="s">
        <v>1480</v>
      </c>
      <c r="AK62" s="744" t="e">
        <f>IF($G$27="Direct",AK72/VLOOKUP(Input!$E$38,'Mat. Conv Par.'!$B$14:$E$19,4,FALSE),AK72*SUM(Input!$F$28:$F$32)/Input!$E$40)</f>
        <v>#DIV/0!</v>
      </c>
    </row>
    <row r="63" spans="27:53">
      <c r="AA63" t="s">
        <v>1468</v>
      </c>
      <c r="AB63" s="744">
        <v>20.529883121624803</v>
      </c>
      <c r="AG63" t="s">
        <v>1481</v>
      </c>
      <c r="AH63" s="744" t="e">
        <f>IF($G$27="Direct",AH73/VLOOKUP(Input!$E$38,'Mat. Conv Par.'!$B$14:$E$19,4,FALSE),AH73*SUM(Input!$F$28:$F$32)/Input!$E$40)</f>
        <v>#DIV/0!</v>
      </c>
      <c r="AJ63" t="s">
        <v>1481</v>
      </c>
      <c r="AK63" s="744" t="e">
        <f>IF($G$27="Direct",AK73/VLOOKUP(Input!$E$38,'Mat. Conv Par.'!$B$14:$E$19,4,FALSE),AK73*SUM(Input!$F$28:$F$32)/Input!$E$40)</f>
        <v>#DIV/0!</v>
      </c>
    </row>
    <row r="64" spans="27:53">
      <c r="AG64" t="s">
        <v>1482</v>
      </c>
      <c r="AH64" s="744" t="e">
        <f>IF($G$27="Direct",AH74/VLOOKUP(Input!$E$38,'Mat. Conv Par.'!$B$14:$E$19,4,FALSE),AH74*SUM(Input!$F$28:$F$32)/Input!$E$40)</f>
        <v>#DIV/0!</v>
      </c>
      <c r="AJ64" t="s">
        <v>1482</v>
      </c>
      <c r="AK64" s="744" t="e">
        <f>IF($G$27="Direct",AK74/VLOOKUP(Input!$E$38,'Mat. Conv Par.'!$B$14:$E$19,4,FALSE),AK74*SUM(Input!$F$28:$F$32)/Input!$E$40)</f>
        <v>#DIV/0!</v>
      </c>
    </row>
    <row r="67" spans="33:37">
      <c r="AG67" t="s">
        <v>1960</v>
      </c>
      <c r="AJ67" t="s">
        <v>1961</v>
      </c>
    </row>
    <row r="68" spans="33:37">
      <c r="AG68" t="s">
        <v>1477</v>
      </c>
      <c r="AH68" s="959">
        <f>Output!F37+Output!G37</f>
        <v>0</v>
      </c>
      <c r="AJ68" t="s">
        <v>1477</v>
      </c>
      <c r="AK68" s="959">
        <f>Output!F59+Output!G59</f>
        <v>0</v>
      </c>
    </row>
    <row r="69" spans="33:37">
      <c r="AG69" t="s">
        <v>1478</v>
      </c>
      <c r="AH69">
        <f>Output!F39+Output!G39</f>
        <v>0</v>
      </c>
      <c r="AJ69" t="s">
        <v>1478</v>
      </c>
      <c r="AK69">
        <v>0</v>
      </c>
    </row>
    <row r="70" spans="33:37">
      <c r="AG70" t="s">
        <v>178</v>
      </c>
      <c r="AH70">
        <f>Output!F44+Output!G44</f>
        <v>0</v>
      </c>
      <c r="AJ70" t="s">
        <v>178</v>
      </c>
      <c r="AK70">
        <v>0</v>
      </c>
    </row>
    <row r="71" spans="33:37">
      <c r="AG71" t="s">
        <v>1479</v>
      </c>
      <c r="AH71">
        <f>Output!F48+Output!G48</f>
        <v>0</v>
      </c>
      <c r="AJ71" t="s">
        <v>1479</v>
      </c>
      <c r="AK71">
        <v>0</v>
      </c>
    </row>
    <row r="72" spans="33:37">
      <c r="AG72" t="s">
        <v>1480</v>
      </c>
      <c r="AH72">
        <f>Output!F51+Output!G51</f>
        <v>0</v>
      </c>
      <c r="AJ72" t="s">
        <v>1480</v>
      </c>
      <c r="AK72">
        <v>0</v>
      </c>
    </row>
    <row r="73" spans="33:37">
      <c r="AG73" t="s">
        <v>1481</v>
      </c>
      <c r="AH73">
        <f>Output!F49+Output!G49</f>
        <v>0</v>
      </c>
      <c r="AJ73" t="s">
        <v>1481</v>
      </c>
      <c r="AK73">
        <v>0</v>
      </c>
    </row>
    <row r="74" spans="33:37">
      <c r="AG74" t="s">
        <v>1482</v>
      </c>
      <c r="AH74">
        <f>Output!F58+Output!G58</f>
        <v>0</v>
      </c>
      <c r="AJ74" t="s">
        <v>1482</v>
      </c>
      <c r="AK74">
        <v>0</v>
      </c>
    </row>
  </sheetData>
  <phoneticPr fontId="153" type="noConversion"/>
  <dataValidations count="2">
    <dataValidation type="list" allowBlank="1" showInputMessage="1" showErrorMessage="1" sqref="G2 E27" xr:uid="{00000000-0002-0000-0300-000000000000}">
      <formula1>ComparisonMetric</formula1>
    </dataValidation>
    <dataValidation type="list" allowBlank="1" showInputMessage="1" showErrorMessage="1" sqref="G27" xr:uid="{00000000-0002-0000-0300-000001000000}">
      <formula1>Recycle_Process</formula1>
    </dataValidation>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tabColor rgb="FFFFFF00"/>
  </sheetPr>
  <dimension ref="B1:BU171"/>
  <sheetViews>
    <sheetView topLeftCell="U1" zoomScale="110" zoomScaleNormal="110" workbookViewId="0">
      <pane ySplit="4" topLeftCell="A5" activePane="bottomLeft" state="frozen"/>
      <selection pane="bottomLeft" activeCell="U1" sqref="U1"/>
    </sheetView>
  </sheetViews>
  <sheetFormatPr defaultColWidth="8.83203125" defaultRowHeight="14"/>
  <cols>
    <col min="1" max="1" width="8.83203125" style="111"/>
    <col min="2" max="2" width="34.4140625" style="111" customWidth="1"/>
    <col min="3" max="3" width="19.75" style="111" customWidth="1"/>
    <col min="4" max="4" width="18.75" style="111" customWidth="1"/>
    <col min="5" max="5" width="14.25" style="111" customWidth="1"/>
    <col min="6" max="6" width="13.25" style="111" customWidth="1"/>
    <col min="7" max="7" width="12.83203125" style="111" customWidth="1"/>
    <col min="8" max="8" width="11.83203125" style="111" customWidth="1"/>
    <col min="9" max="9" width="12.25" style="111" customWidth="1"/>
    <col min="10" max="11" width="12.4140625" style="111" customWidth="1"/>
    <col min="12" max="12" width="13.1640625" style="111" customWidth="1"/>
    <col min="13" max="13" width="9.83203125" style="111" customWidth="1"/>
    <col min="14" max="14" width="9.1640625" style="111" customWidth="1"/>
    <col min="15" max="15" width="11" style="111" customWidth="1"/>
    <col min="16" max="16" width="11.25" style="111" customWidth="1"/>
    <col min="17" max="17" width="10.25" style="111" customWidth="1"/>
    <col min="18" max="18" width="10.75" style="111" customWidth="1"/>
    <col min="19" max="19" width="9.75" style="111" customWidth="1"/>
    <col min="20" max="20" width="12.83203125" style="111" customWidth="1"/>
    <col min="21" max="21" width="11" style="111" customWidth="1"/>
    <col min="22" max="22" width="9.75" style="111" customWidth="1"/>
    <col min="23" max="24" width="8.83203125" style="111"/>
    <col min="25" max="25" width="8.83203125" style="111" customWidth="1"/>
    <col min="26" max="26" width="10.75" style="111" customWidth="1"/>
    <col min="27" max="27" width="8.83203125" style="111" customWidth="1"/>
    <col min="28" max="28" width="43.25" style="111" customWidth="1"/>
    <col min="29" max="29" width="17.75" style="111" customWidth="1"/>
    <col min="30" max="30" width="12.83203125" style="111" customWidth="1"/>
    <col min="31" max="31" width="13.75" style="111" customWidth="1"/>
    <col min="32" max="32" width="25.25" style="111" customWidth="1"/>
    <col min="33" max="33" width="14.25" style="111" customWidth="1"/>
    <col min="34" max="34" width="10.1640625" style="111" customWidth="1"/>
    <col min="35" max="35" width="13.1640625" style="111" customWidth="1"/>
    <col min="36" max="37" width="8.75" style="111" customWidth="1"/>
    <col min="38" max="38" width="13.4140625" style="111" customWidth="1"/>
    <col min="39" max="39" width="11.25" style="111" customWidth="1"/>
    <col min="40" max="40" width="9.4140625" style="111" customWidth="1"/>
    <col min="41" max="41" width="10" style="111" customWidth="1"/>
    <col min="42" max="42" width="8.83203125" style="111"/>
    <col min="43" max="43" width="8" style="111" customWidth="1"/>
    <col min="44" max="44" width="9.83203125" style="111" customWidth="1"/>
    <col min="45" max="46" width="9.4140625" style="111" customWidth="1"/>
    <col min="47" max="47" width="8.83203125" style="111"/>
    <col min="48" max="48" width="10.75" style="111" customWidth="1"/>
    <col min="49" max="53" width="8.83203125" style="111"/>
    <col min="54" max="54" width="36.1640625" style="111" customWidth="1"/>
    <col min="55" max="55" width="17.1640625" style="111" customWidth="1"/>
    <col min="56" max="56" width="12.83203125" style="111" customWidth="1"/>
    <col min="57" max="57" width="13.1640625" style="111" customWidth="1"/>
    <col min="58" max="58" width="15.1640625" style="111" customWidth="1"/>
    <col min="59" max="59" width="13.4140625" style="111" customWidth="1"/>
    <col min="60" max="60" width="10.83203125" style="111" customWidth="1"/>
    <col min="61" max="61" width="13.1640625" style="111" customWidth="1"/>
    <col min="62" max="62" width="14.25" style="111" customWidth="1"/>
    <col min="63" max="63" width="12.83203125" style="111" customWidth="1"/>
    <col min="64" max="64" width="13.75" style="111" customWidth="1"/>
    <col min="65" max="65" width="8.83203125" style="111"/>
    <col min="66" max="66" width="10.4140625" style="111" customWidth="1"/>
    <col min="67" max="67" width="10.83203125" style="111" customWidth="1"/>
    <col min="68" max="68" width="8.83203125" style="111"/>
    <col min="69" max="69" width="10.83203125" style="111" customWidth="1"/>
    <col min="70" max="70" width="8.83203125" style="111"/>
    <col min="71" max="71" width="11" style="111" customWidth="1"/>
    <col min="72" max="16384" width="8.83203125" style="111"/>
  </cols>
  <sheetData>
    <row r="1" spans="2:7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row>
    <row r="2" spans="2:71">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row>
    <row r="3" spans="2:71">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row>
    <row r="4" spans="2:71">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row>
    <row r="5" spans="2:71" ht="19.5" thickBot="1">
      <c r="B5" s="142" t="s">
        <v>1545</v>
      </c>
      <c r="C5" s="142"/>
      <c r="D5" s="1284"/>
      <c r="E5" s="1284"/>
      <c r="F5" s="1284"/>
      <c r="G5" s="1284"/>
      <c r="H5" s="1284"/>
      <c r="I5" s="142"/>
      <c r="J5" s="142"/>
      <c r="K5" s="142"/>
      <c r="L5" s="142"/>
      <c r="M5" s="142"/>
      <c r="N5" s="142"/>
      <c r="O5" s="142"/>
      <c r="P5" s="142"/>
      <c r="Q5" s="142"/>
      <c r="R5" s="142"/>
      <c r="S5" s="142"/>
      <c r="T5" s="142"/>
      <c r="U5" s="142"/>
      <c r="V5" s="142"/>
      <c r="W5" s="142"/>
      <c r="X5" s="142"/>
      <c r="AB5" s="142" t="s">
        <v>1546</v>
      </c>
      <c r="AC5" s="26"/>
      <c r="AD5" s="26"/>
      <c r="AE5" s="26"/>
      <c r="AF5" s="26"/>
      <c r="AG5" s="26"/>
      <c r="AH5" s="26"/>
      <c r="AI5" s="26"/>
      <c r="AJ5" s="26"/>
      <c r="AK5" s="26"/>
      <c r="AL5" s="26"/>
      <c r="AM5" s="26"/>
      <c r="AN5" s="26"/>
      <c r="AO5" s="26"/>
      <c r="AP5" s="26"/>
      <c r="AQ5" s="26"/>
      <c r="AR5" s="26"/>
      <c r="AS5" s="26"/>
      <c r="AT5" s="26"/>
      <c r="AU5" s="26"/>
      <c r="AV5" s="26"/>
      <c r="AW5" s="26"/>
      <c r="AX5"/>
      <c r="AY5"/>
      <c r="AZ5"/>
      <c r="BA5"/>
      <c r="BB5"/>
      <c r="BC5"/>
      <c r="BD5"/>
      <c r="BE5"/>
      <c r="BF5"/>
      <c r="BG5"/>
      <c r="BH5"/>
      <c r="BI5"/>
      <c r="BJ5"/>
      <c r="BK5"/>
      <c r="BL5"/>
      <c r="BM5"/>
      <c r="BN5"/>
      <c r="BO5"/>
      <c r="BP5"/>
      <c r="BQ5"/>
      <c r="BR5"/>
      <c r="BS5"/>
    </row>
    <row r="6" spans="2:71" ht="14.5" thickTop="1">
      <c r="B6" s="133" t="s">
        <v>160</v>
      </c>
      <c r="AB6" s="133" t="s">
        <v>160</v>
      </c>
      <c r="AM6"/>
      <c r="AN6"/>
      <c r="AO6"/>
      <c r="AP6"/>
      <c r="AQ6"/>
      <c r="AR6"/>
      <c r="AS6"/>
      <c r="AT6"/>
      <c r="AU6"/>
      <c r="AV6"/>
      <c r="AW6"/>
      <c r="AX6"/>
      <c r="AY6"/>
      <c r="AZ6"/>
      <c r="BA6"/>
      <c r="BB6"/>
      <c r="BC6"/>
      <c r="BD6"/>
      <c r="BE6"/>
      <c r="BF6"/>
      <c r="BG6"/>
      <c r="BH6"/>
      <c r="BI6"/>
      <c r="BJ6"/>
      <c r="BK6"/>
      <c r="BL6"/>
      <c r="BM6"/>
      <c r="BN6"/>
      <c r="BO6"/>
      <c r="BP6"/>
      <c r="BQ6"/>
      <c r="BR6"/>
      <c r="BS6"/>
    </row>
    <row r="7" spans="2:71">
      <c r="B7" s="133" t="s">
        <v>152</v>
      </c>
      <c r="AB7" s="133" t="s">
        <v>152</v>
      </c>
      <c r="AM7"/>
      <c r="AN7"/>
      <c r="AO7"/>
      <c r="AP7"/>
      <c r="AQ7"/>
      <c r="AR7"/>
      <c r="AS7"/>
      <c r="AT7"/>
      <c r="AU7"/>
      <c r="AV7"/>
      <c r="AW7"/>
      <c r="AX7"/>
      <c r="AY7"/>
      <c r="AZ7"/>
      <c r="BA7"/>
      <c r="BB7"/>
      <c r="BC7"/>
      <c r="BD7"/>
      <c r="BE7"/>
      <c r="BF7"/>
      <c r="BG7"/>
      <c r="BH7"/>
      <c r="BI7"/>
      <c r="BJ7"/>
      <c r="BK7"/>
      <c r="BL7"/>
      <c r="BM7"/>
      <c r="BN7"/>
      <c r="BO7"/>
      <c r="BP7"/>
      <c r="BQ7"/>
      <c r="BR7"/>
      <c r="BS7"/>
    </row>
    <row r="8" spans="2:71" ht="14.5">
      <c r="B8" s="1105" t="s">
        <v>1637</v>
      </c>
      <c r="C8" s="321">
        <f>Input!E8/C15*C16*1000</f>
        <v>159632.04000503139</v>
      </c>
      <c r="AB8" s="1469" t="s">
        <v>1636</v>
      </c>
      <c r="AC8" s="321">
        <f>AE88*C95/AC13/AC14/1000</f>
        <v>257392.81100994078</v>
      </c>
      <c r="AM8"/>
      <c r="AN8"/>
      <c r="AO8"/>
      <c r="AP8"/>
      <c r="AQ8"/>
      <c r="AR8"/>
      <c r="AS8"/>
      <c r="AT8"/>
      <c r="AU8"/>
      <c r="AV8"/>
      <c r="AW8"/>
      <c r="AX8"/>
      <c r="AY8"/>
      <c r="AZ8"/>
      <c r="BA8"/>
      <c r="BB8"/>
      <c r="BC8"/>
      <c r="BD8"/>
      <c r="BE8"/>
      <c r="BF8"/>
      <c r="BG8"/>
      <c r="BH8"/>
      <c r="BI8"/>
      <c r="BJ8"/>
      <c r="BK8"/>
      <c r="BL8"/>
      <c r="BM8"/>
      <c r="BN8"/>
      <c r="BO8"/>
      <c r="BP8"/>
      <c r="BQ8"/>
      <c r="BR8"/>
      <c r="BS8"/>
    </row>
    <row r="9" spans="2:71" ht="14.5">
      <c r="B9" s="1494" t="s">
        <v>153</v>
      </c>
      <c r="C9" s="1107" t="str">
        <f>Input!E9</f>
        <v>NMC(622)</v>
      </c>
      <c r="AB9" s="1493" t="s">
        <v>3</v>
      </c>
      <c r="AC9" s="1109" t="str">
        <f>C10</f>
        <v>U.S.</v>
      </c>
      <c r="AM9"/>
      <c r="AN9"/>
      <c r="AO9"/>
      <c r="AP9"/>
      <c r="AQ9"/>
      <c r="AR9"/>
      <c r="AS9"/>
      <c r="AT9"/>
      <c r="AU9"/>
      <c r="AV9"/>
      <c r="AW9"/>
      <c r="AX9"/>
      <c r="AY9"/>
      <c r="AZ9"/>
      <c r="BA9"/>
      <c r="BB9"/>
      <c r="BC9"/>
      <c r="BD9"/>
      <c r="BE9"/>
      <c r="BF9"/>
      <c r="BG9"/>
      <c r="BH9"/>
      <c r="BI9"/>
      <c r="BJ9"/>
      <c r="BK9"/>
      <c r="BL9"/>
      <c r="BM9"/>
      <c r="BN9"/>
      <c r="BO9"/>
      <c r="BP9"/>
      <c r="BQ9"/>
      <c r="BR9"/>
      <c r="BS9"/>
    </row>
    <row r="10" spans="2:71" ht="14.5">
      <c r="B10" s="1493" t="s">
        <v>3</v>
      </c>
      <c r="C10" s="1109" t="str">
        <f>IF(Input!$E$10="User-defined", 'Geographic Par.'!$I$60, Input!$E$10)</f>
        <v>U.S.</v>
      </c>
      <c r="AB10" s="133"/>
      <c r="AE10" s="115"/>
      <c r="AM10"/>
      <c r="AN10"/>
      <c r="AO10"/>
      <c r="AP10"/>
      <c r="AQ10"/>
      <c r="AR10"/>
      <c r="AS10"/>
      <c r="AT10"/>
      <c r="AU10"/>
      <c r="AV10"/>
      <c r="AW10"/>
      <c r="AX10"/>
      <c r="AY10"/>
      <c r="AZ10"/>
      <c r="BA10"/>
      <c r="BB10"/>
      <c r="BC10"/>
      <c r="BD10"/>
      <c r="BE10"/>
      <c r="BF10"/>
      <c r="BG10"/>
      <c r="BH10"/>
      <c r="BI10"/>
      <c r="BJ10"/>
      <c r="BK10"/>
      <c r="BL10"/>
      <c r="BM10"/>
      <c r="BN10"/>
      <c r="BO10"/>
      <c r="BP10"/>
      <c r="BQ10"/>
      <c r="BR10"/>
      <c r="BS10"/>
    </row>
    <row r="11" spans="2:71">
      <c r="AB11" s="133" t="s">
        <v>1547</v>
      </c>
      <c r="AD11"/>
      <c r="AE11"/>
      <c r="AF11"/>
      <c r="AG11"/>
      <c r="AH11"/>
      <c r="AI11"/>
      <c r="AJ11"/>
      <c r="AK11"/>
      <c r="AM11"/>
      <c r="AN11"/>
      <c r="AO11"/>
      <c r="AP11"/>
      <c r="AQ11"/>
      <c r="AR11"/>
      <c r="AS11"/>
      <c r="AT11"/>
      <c r="AU11"/>
      <c r="AV11"/>
      <c r="AW11"/>
      <c r="AX11"/>
      <c r="AY11"/>
      <c r="AZ11"/>
      <c r="BA11"/>
      <c r="BB11"/>
      <c r="BC11"/>
      <c r="BD11"/>
      <c r="BE11"/>
      <c r="BF11"/>
      <c r="BG11"/>
      <c r="BH11"/>
      <c r="BI11"/>
      <c r="BJ11"/>
      <c r="BK11"/>
      <c r="BL11"/>
      <c r="BM11"/>
      <c r="BN11"/>
      <c r="BO11"/>
      <c r="BP11"/>
      <c r="BQ11"/>
      <c r="BR11"/>
      <c r="BS11"/>
    </row>
    <row r="12" spans="2:71">
      <c r="B12" s="133"/>
      <c r="E12" s="115"/>
      <c r="AB12" s="143"/>
      <c r="AC12" s="144" t="s">
        <v>51</v>
      </c>
      <c r="AD12" s="145" t="s">
        <v>63</v>
      </c>
      <c r="AE12" s="146" t="s">
        <v>52</v>
      </c>
      <c r="AF12" s="143"/>
      <c r="AG12" s="144" t="s">
        <v>51</v>
      </c>
      <c r="AH12" s="145" t="s">
        <v>63</v>
      </c>
      <c r="AI12" s="146" t="s">
        <v>52</v>
      </c>
      <c r="AJ12"/>
      <c r="AK12"/>
      <c r="AM12"/>
      <c r="AN12"/>
      <c r="AO12"/>
      <c r="AP12"/>
      <c r="AQ12"/>
      <c r="AR12"/>
      <c r="AS12"/>
      <c r="AT12"/>
      <c r="AU12"/>
      <c r="AV12"/>
      <c r="AW12"/>
      <c r="AX12"/>
      <c r="AY12"/>
      <c r="AZ12"/>
      <c r="BA12"/>
      <c r="BB12"/>
      <c r="BC12"/>
      <c r="BD12"/>
      <c r="BE12"/>
      <c r="BF12"/>
      <c r="BG12"/>
      <c r="BH12"/>
      <c r="BI12"/>
      <c r="BJ12"/>
      <c r="BK12"/>
      <c r="BL12"/>
      <c r="BM12"/>
      <c r="BN12"/>
      <c r="BO12"/>
      <c r="BP12"/>
      <c r="BQ12"/>
      <c r="BR12"/>
      <c r="BS12"/>
    </row>
    <row r="13" spans="2:71">
      <c r="B13" s="133" t="s">
        <v>150</v>
      </c>
      <c r="D13" s="1776" t="s">
        <v>63</v>
      </c>
      <c r="E13" s="1694"/>
      <c r="F13" s="1694"/>
      <c r="G13" s="1694"/>
      <c r="H13" s="1694"/>
      <c r="I13" s="1694"/>
      <c r="J13" s="1694"/>
      <c r="K13" s="1695"/>
      <c r="AB13" s="1315" t="s">
        <v>1548</v>
      </c>
      <c r="AC13" s="1490">
        <f>IF(ISNUMBER(AE13),AE13,AD13)</f>
        <v>20</v>
      </c>
      <c r="AD13" s="1491">
        <v>20</v>
      </c>
      <c r="AE13" s="1492"/>
      <c r="AF13" s="147" t="s">
        <v>1697</v>
      </c>
      <c r="AG13" s="1288">
        <f>IF(ISNUMBER(AI13),AI13,AH13)</f>
        <v>2</v>
      </c>
      <c r="AH13" s="1286">
        <v>2</v>
      </c>
      <c r="AI13" s="1076"/>
      <c r="AJ13"/>
      <c r="AK13"/>
      <c r="AM13"/>
      <c r="AN13"/>
      <c r="AO13"/>
      <c r="AP13"/>
      <c r="AQ13"/>
      <c r="AR13"/>
      <c r="AS13"/>
      <c r="AT13"/>
      <c r="AU13"/>
      <c r="AV13"/>
      <c r="AW13"/>
      <c r="AX13"/>
      <c r="AY13"/>
      <c r="AZ13"/>
      <c r="BA13"/>
      <c r="BB13"/>
      <c r="BC13"/>
      <c r="BD13"/>
      <c r="BE13"/>
      <c r="BF13"/>
      <c r="BG13"/>
      <c r="BH13"/>
      <c r="BI13"/>
      <c r="BJ13"/>
      <c r="BK13"/>
      <c r="BL13"/>
      <c r="BM13"/>
      <c r="BN13"/>
      <c r="BO13"/>
      <c r="BP13"/>
      <c r="BQ13"/>
      <c r="BR13"/>
      <c r="BS13"/>
    </row>
    <row r="14" spans="2:71">
      <c r="B14" s="143"/>
      <c r="C14" s="144" t="s">
        <v>51</v>
      </c>
      <c r="D14" s="145" t="s">
        <v>1029</v>
      </c>
      <c r="E14" s="144" t="s">
        <v>1540</v>
      </c>
      <c r="F14" s="144" t="s">
        <v>667</v>
      </c>
      <c r="G14" s="144" t="s">
        <v>669</v>
      </c>
      <c r="H14" s="144" t="s">
        <v>42</v>
      </c>
      <c r="I14" s="144" t="s">
        <v>73</v>
      </c>
      <c r="J14" s="144" t="s">
        <v>148</v>
      </c>
      <c r="K14" s="146" t="s">
        <v>149</v>
      </c>
      <c r="L14" s="146" t="s">
        <v>52</v>
      </c>
      <c r="AB14" s="1337" t="s">
        <v>1549</v>
      </c>
      <c r="AC14" s="1495">
        <f>IF(ISNUMBER(AE14),AE14,AD14)</f>
        <v>20</v>
      </c>
      <c r="AD14" s="1496">
        <v>20</v>
      </c>
      <c r="AE14" s="1285"/>
      <c r="AF14" s="1315" t="s">
        <v>1698</v>
      </c>
      <c r="AG14" s="1490">
        <f>IF(ISNUMBER(AI14),AI14,AH14)</f>
        <v>136</v>
      </c>
      <c r="AH14" s="1491">
        <v>136</v>
      </c>
      <c r="AI14" s="1492"/>
      <c r="AM14"/>
      <c r="AN14"/>
      <c r="AO14"/>
      <c r="AP14"/>
      <c r="AQ14"/>
      <c r="AR14"/>
      <c r="AS14"/>
      <c r="AT14"/>
      <c r="AU14"/>
      <c r="AV14"/>
      <c r="AW14"/>
      <c r="AX14"/>
      <c r="AY14"/>
      <c r="AZ14"/>
      <c r="BA14"/>
      <c r="BB14"/>
      <c r="BC14"/>
      <c r="BD14"/>
      <c r="BE14"/>
      <c r="BF14"/>
      <c r="BG14"/>
      <c r="BH14"/>
      <c r="BI14"/>
      <c r="BJ14"/>
      <c r="BK14"/>
      <c r="BL14"/>
      <c r="BM14"/>
      <c r="BN14"/>
      <c r="BO14"/>
      <c r="BP14"/>
      <c r="BQ14"/>
      <c r="BR14"/>
      <c r="BS14"/>
    </row>
    <row r="15" spans="2:71">
      <c r="B15" s="147" t="s">
        <v>154</v>
      </c>
      <c r="C15" s="1074">
        <f>IF(ISNUMBER(L15),L15,HLOOKUP($C$9,$D$14:$K$16,ROW($C14)-ROW($C$14)+2, FALSE))</f>
        <v>0.25</v>
      </c>
      <c r="D15" s="1075">
        <v>0.25</v>
      </c>
      <c r="E15" s="1075">
        <v>0.25</v>
      </c>
      <c r="F15" s="1075">
        <v>0.25</v>
      </c>
      <c r="G15" s="1075">
        <v>0.25</v>
      </c>
      <c r="H15" s="1075">
        <v>0.25</v>
      </c>
      <c r="I15" s="1075">
        <v>0.25</v>
      </c>
      <c r="J15" s="1075">
        <v>0.25</v>
      </c>
      <c r="K15" s="1075">
        <v>0.25</v>
      </c>
      <c r="L15" s="1076"/>
      <c r="M15" s="119"/>
      <c r="N15" s="119"/>
      <c r="AB15" s="1183" t="s">
        <v>1701</v>
      </c>
      <c r="AC15" s="1495">
        <f>IF(ISNUMBER(AE15),AE15,AD15)</f>
        <v>4</v>
      </c>
      <c r="AD15" s="1287">
        <v>4</v>
      </c>
      <c r="AE15" s="1285"/>
      <c r="AM15"/>
      <c r="AN15"/>
      <c r="AO15"/>
      <c r="AP15"/>
      <c r="AQ15"/>
      <c r="AR15"/>
      <c r="AS15"/>
      <c r="AT15"/>
      <c r="AU15"/>
      <c r="AV15"/>
      <c r="AW15"/>
      <c r="AX15"/>
      <c r="AY15"/>
      <c r="AZ15"/>
      <c r="BA15"/>
      <c r="BB15"/>
      <c r="BC15"/>
      <c r="BD15"/>
      <c r="BE15"/>
      <c r="BF15"/>
      <c r="BG15"/>
      <c r="BH15"/>
      <c r="BI15"/>
      <c r="BJ15"/>
      <c r="BK15"/>
      <c r="BL15"/>
      <c r="BM15"/>
      <c r="BN15"/>
      <c r="BO15"/>
      <c r="BP15"/>
      <c r="BQ15"/>
      <c r="BR15"/>
      <c r="BS15"/>
    </row>
    <row r="16" spans="2:71">
      <c r="B16" s="149" t="s">
        <v>155</v>
      </c>
      <c r="C16" s="1077">
        <f>IF(ISNUMBER(L16),L16,HLOOKUP($C$9,$D$14:$K$16,ROW($C15)-ROW($C$14)+2, FALSE))</f>
        <v>0.79816020002515697</v>
      </c>
      <c r="D16" s="1071">
        <v>0.8523792616814061</v>
      </c>
      <c r="E16" s="596">
        <v>0.80818072250559758</v>
      </c>
      <c r="F16" s="596">
        <v>0.79816020002515697</v>
      </c>
      <c r="G16" s="596">
        <v>0.74412404318622272</v>
      </c>
      <c r="H16" s="1523">
        <v>1.0476010372691675</v>
      </c>
      <c r="I16" s="596">
        <v>0.76932485424066288</v>
      </c>
      <c r="J16" s="596">
        <v>1.0476010372691675</v>
      </c>
      <c r="K16" s="1072">
        <v>1.059543545214767</v>
      </c>
      <c r="L16" s="1073"/>
      <c r="AW16"/>
      <c r="AX16"/>
      <c r="AY16"/>
      <c r="AZ16"/>
      <c r="BA16"/>
      <c r="BB16"/>
      <c r="BC16"/>
      <c r="BD16"/>
      <c r="BE16"/>
      <c r="BF16"/>
      <c r="BG16"/>
      <c r="BH16"/>
      <c r="BI16"/>
      <c r="BJ16"/>
      <c r="BK16"/>
      <c r="BL16"/>
      <c r="BM16"/>
      <c r="BN16"/>
      <c r="BO16"/>
      <c r="BP16"/>
      <c r="BQ16"/>
      <c r="BR16"/>
      <c r="BS16"/>
    </row>
    <row r="17" spans="2:71">
      <c r="AB17" s="133" t="s">
        <v>1556</v>
      </c>
      <c r="AD17" s="1693" t="s">
        <v>63</v>
      </c>
      <c r="AE17" s="1774"/>
      <c r="AF17" s="1774"/>
      <c r="AG17" s="1774"/>
      <c r="AH17" s="1774"/>
      <c r="AI17" s="1774"/>
      <c r="AJ17" s="1774"/>
      <c r="AK17" s="1775"/>
      <c r="AM17"/>
      <c r="AN17"/>
      <c r="AO17"/>
      <c r="AP17"/>
      <c r="AQ17"/>
      <c r="AR17"/>
      <c r="AS17"/>
      <c r="AT17"/>
      <c r="AU17"/>
      <c r="AV17"/>
      <c r="AW17"/>
      <c r="AX17"/>
      <c r="AY17"/>
      <c r="AZ17"/>
      <c r="BA17"/>
      <c r="BB17"/>
      <c r="BC17"/>
      <c r="BD17"/>
      <c r="BE17"/>
      <c r="BF17"/>
      <c r="BG17"/>
      <c r="BH17"/>
      <c r="BI17"/>
      <c r="BJ17"/>
      <c r="BK17"/>
      <c r="BL17"/>
      <c r="BM17"/>
      <c r="BN17"/>
      <c r="BO17"/>
      <c r="BP17"/>
      <c r="BQ17"/>
      <c r="BR17"/>
      <c r="BS17"/>
    </row>
    <row r="18" spans="2:71">
      <c r="B18" s="133" t="s">
        <v>151</v>
      </c>
      <c r="D18" s="1776" t="s">
        <v>63</v>
      </c>
      <c r="E18" s="1694"/>
      <c r="F18" s="1694"/>
      <c r="G18" s="1694"/>
      <c r="H18" s="1694"/>
      <c r="I18" s="1694"/>
      <c r="J18" s="1694"/>
      <c r="K18" s="1695"/>
      <c r="AB18" s="143"/>
      <c r="AC18" s="144" t="s">
        <v>51</v>
      </c>
      <c r="AD18" s="145" t="s">
        <v>1029</v>
      </c>
      <c r="AE18" s="144" t="s">
        <v>1540</v>
      </c>
      <c r="AF18" s="144" t="s">
        <v>667</v>
      </c>
      <c r="AG18" s="144" t="s">
        <v>669</v>
      </c>
      <c r="AH18" s="144" t="s">
        <v>42</v>
      </c>
      <c r="AI18" s="144" t="s">
        <v>73</v>
      </c>
      <c r="AJ18" s="144" t="s">
        <v>148</v>
      </c>
      <c r="AK18" s="146" t="s">
        <v>149</v>
      </c>
      <c r="AL18" s="146" t="s">
        <v>52</v>
      </c>
      <c r="AM18"/>
      <c r="AN18"/>
      <c r="AO18"/>
      <c r="AP18"/>
      <c r="AQ18"/>
      <c r="AR18"/>
      <c r="AS18"/>
      <c r="AT18"/>
      <c r="AU18"/>
      <c r="AV18"/>
      <c r="AW18"/>
      <c r="AX18"/>
      <c r="AY18"/>
      <c r="AZ18"/>
      <c r="BA18"/>
      <c r="BB18"/>
      <c r="BC18"/>
      <c r="BD18"/>
      <c r="BE18"/>
      <c r="BF18"/>
      <c r="BG18"/>
      <c r="BH18"/>
      <c r="BI18"/>
      <c r="BJ18"/>
      <c r="BK18"/>
      <c r="BL18"/>
      <c r="BM18"/>
      <c r="BN18"/>
      <c r="BO18"/>
      <c r="BP18"/>
      <c r="BQ18"/>
      <c r="BR18"/>
      <c r="BS18"/>
    </row>
    <row r="19" spans="2:71">
      <c r="B19" s="143"/>
      <c r="C19" s="144" t="s">
        <v>51</v>
      </c>
      <c r="D19" s="145" t="s">
        <v>1029</v>
      </c>
      <c r="E19" s="144" t="s">
        <v>1540</v>
      </c>
      <c r="F19" s="144" t="s">
        <v>667</v>
      </c>
      <c r="G19" s="144" t="s">
        <v>669</v>
      </c>
      <c r="H19" s="144" t="s">
        <v>42</v>
      </c>
      <c r="I19" s="144" t="s">
        <v>73</v>
      </c>
      <c r="J19" s="144" t="s">
        <v>148</v>
      </c>
      <c r="K19" s="146" t="s">
        <v>149</v>
      </c>
      <c r="L19" s="146" t="s">
        <v>52</v>
      </c>
      <c r="AB19" s="147" t="s">
        <v>1676</v>
      </c>
      <c r="AC19" s="1305">
        <f t="shared" ref="AC19:AC24" si="0">IF(ISNUMBER(AL19),AL19,HLOOKUP($C$9, $AD$18:$AK$24, ROW($AC19)-ROW($AC$19)+2, FALSE))</f>
        <v>338.95202171794017</v>
      </c>
      <c r="AD19" s="1294">
        <v>334.63205212206157</v>
      </c>
      <c r="AE19" s="1295">
        <v>336.96585559146013</v>
      </c>
      <c r="AF19" s="1295">
        <v>338.95202171794017</v>
      </c>
      <c r="AG19" s="1295">
        <v>337.90547568771126</v>
      </c>
      <c r="AH19" s="1524">
        <v>334.93171816747792</v>
      </c>
      <c r="AI19" s="1295">
        <v>334.82307109273432</v>
      </c>
      <c r="AJ19" s="1295">
        <v>334.93171816747792</v>
      </c>
      <c r="AK19" s="515">
        <v>336.65054824776735</v>
      </c>
      <c r="AL19" s="1301"/>
      <c r="AM19"/>
      <c r="AN19"/>
      <c r="AO19"/>
      <c r="AP19"/>
      <c r="AQ19"/>
      <c r="AR19"/>
      <c r="AS19"/>
      <c r="AT19"/>
      <c r="AU19"/>
      <c r="AV19"/>
      <c r="AW19"/>
      <c r="AX19"/>
      <c r="AY19"/>
      <c r="AZ19"/>
      <c r="BA19"/>
      <c r="BB19"/>
      <c r="BC19"/>
      <c r="BD19"/>
      <c r="BE19"/>
      <c r="BF19"/>
      <c r="BG19"/>
      <c r="BH19"/>
      <c r="BI19"/>
      <c r="BJ19"/>
      <c r="BK19"/>
      <c r="BL19"/>
      <c r="BM19"/>
      <c r="BN19"/>
      <c r="BO19"/>
      <c r="BP19"/>
      <c r="BQ19"/>
      <c r="BR19"/>
      <c r="BS19"/>
    </row>
    <row r="20" spans="2:71">
      <c r="B20" s="147" t="s">
        <v>53</v>
      </c>
      <c r="C20" s="599">
        <f t="shared" ref="C20:C33" si="1">IF(ISNUMBER(L20),L20,HLOOKUP($C$9, $D$19:$K$33, ROW($C20)-ROW($C$20)+2, FALSE))</f>
        <v>0.44781830538476713</v>
      </c>
      <c r="D20" s="152">
        <v>0.46570613213063516</v>
      </c>
      <c r="E20" s="153">
        <v>0.45124235972127297</v>
      </c>
      <c r="F20" s="153">
        <v>0.44781830538476713</v>
      </c>
      <c r="G20" s="153">
        <v>0.42894807785545075</v>
      </c>
      <c r="H20" s="1521">
        <v>0.51179911589853799</v>
      </c>
      <c r="I20" s="153">
        <v>0.44032335351255875</v>
      </c>
      <c r="J20" s="153">
        <v>0.51179911589853799</v>
      </c>
      <c r="K20" s="154">
        <v>0.45650968344173598</v>
      </c>
      <c r="L20" s="155"/>
      <c r="M20" s="115" t="str">
        <f>IF(SUM(C20:C33)&lt;&gt;1, "Warning: material mass percentages do not add up to 100%!","")</f>
        <v/>
      </c>
      <c r="AB20" s="147" t="s">
        <v>1678</v>
      </c>
      <c r="AC20" s="1305">
        <f t="shared" si="0"/>
        <v>219.2253183652073</v>
      </c>
      <c r="AD20" s="1294">
        <v>222.60137997396885</v>
      </c>
      <c r="AE20" s="1295">
        <v>219.26902856356932</v>
      </c>
      <c r="AF20" s="1295">
        <v>219.2253183652073</v>
      </c>
      <c r="AG20" s="1295">
        <v>212.81538910483363</v>
      </c>
      <c r="AH20" s="1524">
        <v>245.59626365441869</v>
      </c>
      <c r="AI20" s="1295">
        <v>213.13896423003959</v>
      </c>
      <c r="AJ20" s="1295">
        <v>245.59626365441869</v>
      </c>
      <c r="AK20" s="515">
        <v>260.71095864435119</v>
      </c>
      <c r="AL20" s="1302"/>
      <c r="AM20"/>
      <c r="AP20"/>
      <c r="AQ20"/>
      <c r="AR20"/>
      <c r="AS20"/>
      <c r="AT20"/>
      <c r="AU20"/>
      <c r="AV20"/>
      <c r="AW20"/>
      <c r="AX20"/>
      <c r="AY20"/>
      <c r="AZ20"/>
      <c r="BA20"/>
      <c r="BB20"/>
      <c r="BC20"/>
      <c r="BD20"/>
      <c r="BE20"/>
      <c r="BF20"/>
      <c r="BG20"/>
      <c r="BH20"/>
      <c r="BI20"/>
      <c r="BJ20"/>
      <c r="BK20"/>
      <c r="BL20"/>
      <c r="BM20"/>
      <c r="BN20"/>
      <c r="BO20"/>
      <c r="BP20"/>
      <c r="BQ20"/>
      <c r="BR20"/>
      <c r="BS20"/>
    </row>
    <row r="21" spans="2:71">
      <c r="B21" s="147" t="s">
        <v>54</v>
      </c>
      <c r="C21" s="599">
        <f t="shared" si="1"/>
        <v>0.27121553643598306</v>
      </c>
      <c r="D21" s="152">
        <v>0.25273289487383538</v>
      </c>
      <c r="E21" s="153">
        <v>0.267746746657823</v>
      </c>
      <c r="F21" s="153">
        <v>0.27121553643598306</v>
      </c>
      <c r="G21" s="153">
        <v>0.29097399910261995</v>
      </c>
      <c r="H21" s="1521">
        <v>0.1916118250416543</v>
      </c>
      <c r="I21" s="153">
        <v>0.28228224541618108</v>
      </c>
      <c r="J21" s="153">
        <v>0.1916118250416543</v>
      </c>
      <c r="K21" s="154">
        <v>0.22542058113975133</v>
      </c>
      <c r="L21" s="156"/>
      <c r="AB21" s="147" t="s">
        <v>1560</v>
      </c>
      <c r="AC21" s="1305">
        <f t="shared" si="0"/>
        <v>98.520755854432977</v>
      </c>
      <c r="AD21" s="1294">
        <v>98.307033448536771</v>
      </c>
      <c r="AE21" s="1295">
        <v>98.15815067497843</v>
      </c>
      <c r="AF21" s="1295">
        <v>98.520755854432977</v>
      </c>
      <c r="AG21" s="1295">
        <v>99.457158551816207</v>
      </c>
      <c r="AH21" s="1524">
        <v>92.496142501160165</v>
      </c>
      <c r="AI21" s="1295">
        <v>100.12783038673344</v>
      </c>
      <c r="AJ21" s="1295">
        <v>92.496142501160165</v>
      </c>
      <c r="AK21" s="515">
        <v>107.77481028083162</v>
      </c>
      <c r="AL21" s="1302"/>
      <c r="AM21"/>
      <c r="AN21"/>
      <c r="AO21"/>
      <c r="AP21"/>
      <c r="AQ21"/>
      <c r="AR21"/>
      <c r="AS21"/>
      <c r="AT21"/>
      <c r="AU21"/>
      <c r="AV21"/>
      <c r="AW21"/>
      <c r="AX21"/>
      <c r="AY21"/>
      <c r="AZ21"/>
      <c r="BA21"/>
      <c r="BB21"/>
      <c r="BC21"/>
      <c r="BD21"/>
      <c r="BE21"/>
      <c r="BF21"/>
      <c r="BG21"/>
      <c r="BH21"/>
      <c r="BI21"/>
      <c r="BJ21"/>
      <c r="BK21"/>
      <c r="BL21"/>
      <c r="BM21"/>
      <c r="BN21"/>
      <c r="BO21"/>
      <c r="BP21"/>
      <c r="BQ21"/>
      <c r="BR21"/>
      <c r="BS21"/>
    </row>
    <row r="22" spans="2:71">
      <c r="B22" s="147" t="s">
        <v>55</v>
      </c>
      <c r="C22" s="599">
        <f t="shared" si="1"/>
        <v>9.3295480288493153E-3</v>
      </c>
      <c r="D22" s="152">
        <v>9.7022110860548998E-3</v>
      </c>
      <c r="E22" s="153">
        <v>9.4008824941931857E-3</v>
      </c>
      <c r="F22" s="153">
        <v>9.3295480288493153E-3</v>
      </c>
      <c r="G22" s="153">
        <v>8.9364182886552245E-3</v>
      </c>
      <c r="H22" s="1521">
        <v>1.0662481581219539E-2</v>
      </c>
      <c r="I22" s="153">
        <v>9.1734031981783089E-3</v>
      </c>
      <c r="J22" s="153">
        <v>1.0662481581219539E-2</v>
      </c>
      <c r="K22" s="154">
        <v>9.510618405036168E-3</v>
      </c>
      <c r="L22" s="156"/>
      <c r="AB22" s="147" t="s">
        <v>1689</v>
      </c>
      <c r="AC22" s="1305">
        <f t="shared" si="0"/>
        <v>531.01241838489682</v>
      </c>
      <c r="AD22" s="1294">
        <v>559.87134026915544</v>
      </c>
      <c r="AE22" s="1295">
        <v>537.80075690515264</v>
      </c>
      <c r="AF22" s="1295">
        <v>531.01241838489682</v>
      </c>
      <c r="AG22" s="1295">
        <v>508.54729869430525</v>
      </c>
      <c r="AH22" s="1524">
        <v>660.24230423758615</v>
      </c>
      <c r="AI22" s="1295">
        <v>519.75628527716458</v>
      </c>
      <c r="AJ22" s="1295">
        <v>660.24230423758615</v>
      </c>
      <c r="AK22" s="515">
        <v>722.98866447110845</v>
      </c>
      <c r="AL22" s="1302"/>
      <c r="AM22"/>
      <c r="AN22"/>
      <c r="AO22"/>
      <c r="AP22"/>
      <c r="AQ22"/>
      <c r="AR22"/>
      <c r="AS22"/>
      <c r="AT22"/>
      <c r="AU22"/>
      <c r="AV22"/>
      <c r="AW22"/>
      <c r="AX22"/>
      <c r="AY22"/>
      <c r="AZ22"/>
      <c r="BA22"/>
      <c r="BB22"/>
      <c r="BC22"/>
      <c r="BD22"/>
      <c r="BE22"/>
      <c r="BF22"/>
      <c r="BG22"/>
      <c r="BH22"/>
      <c r="BI22"/>
      <c r="BJ22"/>
      <c r="BK22"/>
      <c r="BL22"/>
      <c r="BM22"/>
      <c r="BN22"/>
      <c r="BO22"/>
      <c r="BP22"/>
      <c r="BQ22"/>
      <c r="BR22"/>
      <c r="BS22"/>
    </row>
    <row r="23" spans="2:71">
      <c r="B23" s="147" t="s">
        <v>56</v>
      </c>
      <c r="C23" s="599">
        <f t="shared" si="1"/>
        <v>9.3295480288493153E-3</v>
      </c>
      <c r="D23" s="152">
        <v>9.7022110860548998E-3</v>
      </c>
      <c r="E23" s="153">
        <v>9.4008824941931857E-3</v>
      </c>
      <c r="F23" s="153">
        <v>9.3295480288493153E-3</v>
      </c>
      <c r="G23" s="153">
        <v>8.9364182886552245E-3</v>
      </c>
      <c r="H23" s="1521">
        <v>1.0662481581219539E-2</v>
      </c>
      <c r="I23" s="153">
        <v>9.1734031981783089E-3</v>
      </c>
      <c r="J23" s="153">
        <v>1.0662481581219539E-2</v>
      </c>
      <c r="K23" s="154">
        <v>9.510618405036168E-3</v>
      </c>
      <c r="L23" s="156"/>
      <c r="AB23" s="147" t="s">
        <v>1550</v>
      </c>
      <c r="AC23" s="1305">
        <f t="shared" si="0"/>
        <v>799.90987256919482</v>
      </c>
      <c r="AD23" s="1294">
        <v>809.77152036433824</v>
      </c>
      <c r="AE23" s="1295">
        <v>799.34534836121725</v>
      </c>
      <c r="AF23" s="1295">
        <v>799.90987256919482</v>
      </c>
      <c r="AG23" s="1295">
        <v>778.2468734405071</v>
      </c>
      <c r="AH23" s="1524">
        <v>887.96281617424347</v>
      </c>
      <c r="AI23" s="1295">
        <v>778.1638227061793</v>
      </c>
      <c r="AJ23" s="1295">
        <v>887.96281617424347</v>
      </c>
      <c r="AK23" s="515">
        <v>940.2499457434061</v>
      </c>
      <c r="AL23" s="1302"/>
      <c r="AM23"/>
      <c r="AN23"/>
      <c r="AO23"/>
      <c r="AP23"/>
      <c r="AQ23"/>
      <c r="AR23"/>
      <c r="AS23"/>
      <c r="AT23"/>
      <c r="AU23"/>
      <c r="AV23"/>
      <c r="AW23"/>
      <c r="AX23"/>
      <c r="AY23"/>
      <c r="AZ23"/>
      <c r="BA23"/>
      <c r="BB23"/>
      <c r="BC23"/>
      <c r="BD23"/>
      <c r="BE23"/>
      <c r="BF23"/>
      <c r="BG23"/>
      <c r="BH23"/>
      <c r="BI23"/>
      <c r="BJ23"/>
      <c r="BK23"/>
      <c r="BL23"/>
      <c r="BM23"/>
      <c r="BN23"/>
      <c r="BO23"/>
      <c r="BP23"/>
      <c r="BQ23"/>
      <c r="BR23"/>
      <c r="BS23"/>
    </row>
    <row r="24" spans="2:71">
      <c r="B24" s="147" t="s">
        <v>1622</v>
      </c>
      <c r="C24" s="599">
        <f t="shared" si="1"/>
        <v>5.5350109476731231E-3</v>
      </c>
      <c r="D24" s="152">
        <v>5.1578141810986822E-3</v>
      </c>
      <c r="E24" s="153">
        <v>5.4642193195474078E-3</v>
      </c>
      <c r="F24" s="153">
        <v>5.5350109476731231E-3</v>
      </c>
      <c r="G24" s="153">
        <v>5.9382448796453042E-3</v>
      </c>
      <c r="H24" s="1521">
        <v>3.910445409013385E-3</v>
      </c>
      <c r="I24" s="153">
        <v>5.760862151350632E-3</v>
      </c>
      <c r="J24" s="153">
        <v>3.910445409013385E-3</v>
      </c>
      <c r="K24" s="154">
        <v>4.6004200232602306E-3</v>
      </c>
      <c r="L24" s="156"/>
      <c r="AB24" s="1183" t="s">
        <v>1677</v>
      </c>
      <c r="AC24" s="1306">
        <f t="shared" si="0"/>
        <v>46.08</v>
      </c>
      <c r="AD24" s="1296">
        <v>46.08</v>
      </c>
      <c r="AE24" s="1297">
        <v>46.08</v>
      </c>
      <c r="AF24" s="1297">
        <v>46.08</v>
      </c>
      <c r="AG24" s="1297">
        <v>46.08</v>
      </c>
      <c r="AH24" s="1525">
        <v>46.08</v>
      </c>
      <c r="AI24" s="1297">
        <v>46.08</v>
      </c>
      <c r="AJ24" s="1297">
        <v>46.08</v>
      </c>
      <c r="AK24" s="1298">
        <v>46.08</v>
      </c>
      <c r="AL24" s="1303"/>
      <c r="AM24"/>
      <c r="AN24"/>
      <c r="AO24"/>
      <c r="AP24"/>
      <c r="AQ24"/>
      <c r="AR24"/>
      <c r="AS24"/>
      <c r="AT24"/>
      <c r="AU24"/>
      <c r="AV24"/>
      <c r="AW24"/>
      <c r="AX24"/>
      <c r="AY24"/>
      <c r="AZ24"/>
      <c r="BA24"/>
      <c r="BB24"/>
      <c r="BC24"/>
      <c r="BD24"/>
      <c r="BE24"/>
      <c r="BF24"/>
      <c r="BG24"/>
      <c r="BH24"/>
      <c r="BI24"/>
      <c r="BJ24"/>
      <c r="BK24"/>
      <c r="BL24"/>
      <c r="BM24"/>
      <c r="BN24"/>
      <c r="BO24"/>
      <c r="BP24"/>
      <c r="BQ24"/>
      <c r="BR24"/>
      <c r="BS24"/>
    </row>
    <row r="25" spans="2:71">
      <c r="B25" s="147" t="s">
        <v>41</v>
      </c>
      <c r="C25" s="599">
        <f t="shared" si="1"/>
        <v>7.9548864797704621E-2</v>
      </c>
      <c r="D25" s="152">
        <v>8.0696799338894593E-2</v>
      </c>
      <c r="E25" s="153">
        <v>7.9681532190201423E-2</v>
      </c>
      <c r="F25" s="153">
        <v>7.9548864797704621E-2</v>
      </c>
      <c r="G25" s="153">
        <v>7.7958160030188114E-2</v>
      </c>
      <c r="H25" s="1521">
        <v>9.0394379422820859E-2</v>
      </c>
      <c r="I25" s="153">
        <v>7.7257642322494879E-2</v>
      </c>
      <c r="J25" s="153">
        <v>9.0394379422820859E-2</v>
      </c>
      <c r="K25" s="154">
        <v>9.6309565348594445E-2</v>
      </c>
      <c r="L25" s="156"/>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row>
    <row r="26" spans="2:71">
      <c r="B26" s="147" t="s">
        <v>398</v>
      </c>
      <c r="C26" s="599">
        <f t="shared" si="1"/>
        <v>5.1715227170334978E-2</v>
      </c>
      <c r="D26" s="152">
        <v>5.1926386311136143E-2</v>
      </c>
      <c r="E26" s="153">
        <v>5.1751600485563314E-2</v>
      </c>
      <c r="F26" s="153">
        <v>5.1715227170334978E-2</v>
      </c>
      <c r="G26" s="153">
        <v>5.1518663672956405E-2</v>
      </c>
      <c r="H26" s="1521">
        <v>5.5392182031547658E-2</v>
      </c>
      <c r="I26" s="153">
        <v>5.0968645419339355E-2</v>
      </c>
      <c r="J26" s="153">
        <v>5.5392182031547658E-2</v>
      </c>
      <c r="K26" s="154">
        <v>5.9238421301433079E-2</v>
      </c>
      <c r="L26" s="156"/>
      <c r="AB26" s="133" t="s">
        <v>1557</v>
      </c>
      <c r="AD26" s="1693" t="s">
        <v>63</v>
      </c>
      <c r="AE26" s="1694"/>
      <c r="AF26" s="1694"/>
      <c r="AG26" s="1694"/>
      <c r="AH26" s="1694"/>
      <c r="AI26" s="1694"/>
      <c r="AJ26" s="1694"/>
      <c r="AK26" s="1695"/>
      <c r="AM26"/>
      <c r="AN26"/>
      <c r="AO26"/>
      <c r="AP26"/>
      <c r="AQ26"/>
      <c r="AR26"/>
      <c r="AS26"/>
      <c r="AT26"/>
      <c r="AU26"/>
      <c r="AV26"/>
      <c r="AW26"/>
      <c r="AX26"/>
      <c r="AY26"/>
      <c r="AZ26"/>
      <c r="BA26"/>
      <c r="BB26"/>
      <c r="BC26"/>
      <c r="BD26"/>
      <c r="BE26"/>
      <c r="BF26"/>
      <c r="BG26"/>
      <c r="BH26"/>
      <c r="BI26"/>
      <c r="BJ26"/>
      <c r="BK26"/>
      <c r="BL26"/>
      <c r="BM26"/>
      <c r="BN26"/>
      <c r="BO26"/>
      <c r="BP26"/>
      <c r="BQ26"/>
      <c r="BR26"/>
      <c r="BS26"/>
    </row>
    <row r="27" spans="2:71">
      <c r="B27" s="147" t="s">
        <v>57</v>
      </c>
      <c r="C27" s="599">
        <f t="shared" si="1"/>
        <v>1.7130708660467103E-2</v>
      </c>
      <c r="D27" s="152">
        <v>1.6918091061121947E-2</v>
      </c>
      <c r="E27" s="153">
        <v>1.7092087197178005E-2</v>
      </c>
      <c r="F27" s="153">
        <v>1.7130708660467103E-2</v>
      </c>
      <c r="G27" s="153">
        <v>1.7362465813822094E-2</v>
      </c>
      <c r="H27" s="1521">
        <v>1.6860989989053329E-2</v>
      </c>
      <c r="I27" s="153">
        <v>1.7107684377930026E-2</v>
      </c>
      <c r="J27" s="153">
        <v>1.6860989989053329E-2</v>
      </c>
      <c r="K27" s="154">
        <v>1.8721822803347502E-2</v>
      </c>
      <c r="L27" s="156"/>
      <c r="AB27" s="143"/>
      <c r="AC27" s="144" t="s">
        <v>51</v>
      </c>
      <c r="AD27" s="145" t="s">
        <v>1029</v>
      </c>
      <c r="AE27" s="144" t="s">
        <v>1540</v>
      </c>
      <c r="AF27" s="144" t="s">
        <v>667</v>
      </c>
      <c r="AG27" s="144" t="s">
        <v>669</v>
      </c>
      <c r="AH27" s="144" t="s">
        <v>42</v>
      </c>
      <c r="AI27" s="144" t="s">
        <v>73</v>
      </c>
      <c r="AJ27" s="144" t="s">
        <v>148</v>
      </c>
      <c r="AK27" s="146" t="s">
        <v>149</v>
      </c>
      <c r="AL27" s="146" t="s">
        <v>52</v>
      </c>
      <c r="AM27"/>
      <c r="AN27"/>
      <c r="AO27"/>
      <c r="AP27"/>
      <c r="AQ27"/>
      <c r="AR27"/>
      <c r="AS27"/>
      <c r="AT27"/>
      <c r="AU27"/>
      <c r="AV27"/>
      <c r="AW27"/>
      <c r="AX27"/>
      <c r="AY27"/>
      <c r="AZ27"/>
      <c r="BA27"/>
      <c r="BB27"/>
      <c r="BC27"/>
      <c r="BD27"/>
      <c r="BE27"/>
      <c r="BF27"/>
      <c r="BG27"/>
      <c r="BH27"/>
      <c r="BI27"/>
      <c r="BJ27"/>
      <c r="BK27"/>
      <c r="BL27"/>
      <c r="BM27"/>
      <c r="BN27"/>
      <c r="BO27"/>
      <c r="BP27"/>
      <c r="BQ27"/>
      <c r="BR27"/>
      <c r="BS27"/>
    </row>
    <row r="28" spans="2:71">
      <c r="B28" s="147" t="s">
        <v>58</v>
      </c>
      <c r="C28" s="599">
        <f t="shared" si="1"/>
        <v>5.284222765057818E-2</v>
      </c>
      <c r="D28" s="152">
        <v>5.2186376931860179E-2</v>
      </c>
      <c r="E28" s="153">
        <v>5.2723093982743947E-2</v>
      </c>
      <c r="F28" s="153">
        <v>5.284222765057818E-2</v>
      </c>
      <c r="G28" s="153">
        <v>5.3557117180250462E-2</v>
      </c>
      <c r="H28" s="1521">
        <v>5.201024015263251E-2</v>
      </c>
      <c r="I28" s="153">
        <v>5.2771205814679284E-2</v>
      </c>
      <c r="J28" s="153">
        <v>5.201024015263251E-2</v>
      </c>
      <c r="K28" s="154">
        <v>5.7750256700781412E-2</v>
      </c>
      <c r="L28" s="156"/>
      <c r="AB28" s="147" t="s">
        <v>1680</v>
      </c>
      <c r="AC28" s="1304">
        <f t="shared" ref="AC28:AC40" si="2">IF(ISNUMBER(AL28),AL28,HLOOKUP($C$9, $AD$27:$AK$40, ROW($AC28)-ROW($AC$28)+2, FALSE))</f>
        <v>45.72267318611862</v>
      </c>
      <c r="AD28" s="1289">
        <v>46.118146818909999</v>
      </c>
      <c r="AE28" s="1290">
        <v>45.644183748827558</v>
      </c>
      <c r="AF28" s="1290">
        <v>45.72267318611862</v>
      </c>
      <c r="AG28" s="1290">
        <v>44.590672608311444</v>
      </c>
      <c r="AH28" s="1526">
        <v>50.110967131217407</v>
      </c>
      <c r="AI28" s="1290">
        <v>44.509766482486803</v>
      </c>
      <c r="AJ28" s="1290">
        <v>50.110967131217407</v>
      </c>
      <c r="AK28" s="119">
        <v>52.815213295014132</v>
      </c>
      <c r="AL28" s="1299"/>
      <c r="AM28"/>
      <c r="AN28"/>
      <c r="AO28"/>
      <c r="AP28"/>
      <c r="AQ28"/>
      <c r="AR28"/>
      <c r="AS28"/>
      <c r="AT28"/>
      <c r="AU28"/>
      <c r="AV28"/>
      <c r="AW28"/>
      <c r="AX28"/>
      <c r="AY28"/>
      <c r="AZ28"/>
      <c r="BA28"/>
      <c r="BB28"/>
      <c r="BC28"/>
      <c r="BD28"/>
      <c r="BE28"/>
      <c r="BF28"/>
      <c r="BG28"/>
      <c r="BH28"/>
      <c r="BI28"/>
      <c r="BJ28"/>
      <c r="BK28"/>
      <c r="BL28"/>
      <c r="BM28"/>
      <c r="BN28"/>
      <c r="BO28"/>
      <c r="BP28"/>
      <c r="BQ28"/>
      <c r="BR28"/>
      <c r="BS28"/>
    </row>
    <row r="29" spans="2:71">
      <c r="B29" s="147" t="s">
        <v>59</v>
      </c>
      <c r="C29" s="599">
        <f t="shared" si="1"/>
        <v>4.2801804380104967E-2</v>
      </c>
      <c r="D29" s="152">
        <v>4.2270570262748219E-2</v>
      </c>
      <c r="E29" s="153">
        <v>4.2705307011003814E-2</v>
      </c>
      <c r="F29" s="153">
        <v>4.2801804380104967E-2</v>
      </c>
      <c r="G29" s="153">
        <v>4.338085948740953E-2</v>
      </c>
      <c r="H29" s="1521">
        <v>4.2127900804933227E-2</v>
      </c>
      <c r="I29" s="153">
        <v>4.2744277230663763E-2</v>
      </c>
      <c r="J29" s="153">
        <v>4.2127900804933227E-2</v>
      </c>
      <c r="K29" s="154">
        <v>4.6777270756878209E-2</v>
      </c>
      <c r="L29" s="156"/>
      <c r="AB29" s="147" t="s">
        <v>1681</v>
      </c>
      <c r="AC29" s="1304">
        <f t="shared" si="2"/>
        <v>0.14302502781147242</v>
      </c>
      <c r="AD29" s="1289">
        <v>0.15384481327365379</v>
      </c>
      <c r="AE29" s="1290">
        <v>0.14583571902038658</v>
      </c>
      <c r="AF29" s="1290">
        <v>0.14302502781147242</v>
      </c>
      <c r="AG29" s="1290">
        <v>0.13594965791872135</v>
      </c>
      <c r="AH29" s="1526">
        <v>0.18751587814671319</v>
      </c>
      <c r="AI29" s="1290">
        <v>0.14049937678505456</v>
      </c>
      <c r="AJ29" s="1290">
        <v>0.187515878146713</v>
      </c>
      <c r="AK29" s="119">
        <v>0.20832137561024727</v>
      </c>
      <c r="AL29" s="1299"/>
      <c r="AM29"/>
      <c r="AN29"/>
      <c r="AO29"/>
      <c r="AP29"/>
      <c r="AQ29"/>
      <c r="AR29"/>
      <c r="AS29"/>
      <c r="AT29"/>
      <c r="AU29"/>
      <c r="AV29"/>
      <c r="AW29"/>
      <c r="AX29"/>
      <c r="AY29"/>
      <c r="AZ29"/>
      <c r="BA29"/>
      <c r="BB29"/>
      <c r="BC29"/>
      <c r="BD29"/>
      <c r="BE29"/>
      <c r="BF29"/>
      <c r="BG29"/>
      <c r="BH29"/>
      <c r="BI29"/>
      <c r="BJ29"/>
      <c r="BK29"/>
      <c r="BL29"/>
      <c r="BM29"/>
      <c r="BN29"/>
      <c r="BO29"/>
      <c r="BP29"/>
      <c r="BQ29"/>
      <c r="BR29"/>
      <c r="BS29"/>
    </row>
    <row r="30" spans="2:71">
      <c r="B30" s="147" t="s">
        <v>60</v>
      </c>
      <c r="C30" s="599">
        <f t="shared" si="1"/>
        <v>8.2868328188505976E-3</v>
      </c>
      <c r="D30" s="152">
        <v>8.5342714060308595E-3</v>
      </c>
      <c r="E30" s="153">
        <v>8.3358038905370167E-3</v>
      </c>
      <c r="F30" s="153">
        <v>8.2868328188505976E-3</v>
      </c>
      <c r="G30" s="153">
        <v>8.0347380577629694E-3</v>
      </c>
      <c r="H30" s="1521">
        <v>9.8821601847260583E-3</v>
      </c>
      <c r="I30" s="153">
        <v>8.0203519149470021E-3</v>
      </c>
      <c r="J30" s="153">
        <v>9.8821601847260583E-3</v>
      </c>
      <c r="K30" s="154">
        <v>1.0611012852463927E-2</v>
      </c>
      <c r="L30" s="156"/>
      <c r="AB30" s="147" t="s">
        <v>1682</v>
      </c>
      <c r="AC30" s="1304">
        <f t="shared" si="2"/>
        <v>18.194339933787575</v>
      </c>
      <c r="AD30" s="1289">
        <v>18.494768312186281</v>
      </c>
      <c r="AE30" s="1290">
        <v>18.208862282509958</v>
      </c>
      <c r="AF30" s="1290">
        <v>18.194339933787575</v>
      </c>
      <c r="AG30" s="1290">
        <v>17.675963098168776</v>
      </c>
      <c r="AH30" s="1526">
        <v>20.375065745458226</v>
      </c>
      <c r="AI30" s="1290">
        <v>17.719180038369316</v>
      </c>
      <c r="AJ30" s="1290">
        <v>20.375065745458226</v>
      </c>
      <c r="AK30" s="119">
        <v>21.600557398359403</v>
      </c>
      <c r="AL30" s="1299"/>
      <c r="AM30"/>
      <c r="AN30"/>
      <c r="AO30"/>
      <c r="AP30"/>
      <c r="AQ30"/>
      <c r="AR30"/>
      <c r="AS30"/>
      <c r="AT30"/>
      <c r="AU30"/>
      <c r="AV30"/>
      <c r="AW30"/>
      <c r="AX30"/>
      <c r="AY30"/>
      <c r="AZ30"/>
      <c r="BA30"/>
      <c r="BB30"/>
      <c r="BC30"/>
      <c r="BD30"/>
      <c r="BE30"/>
      <c r="BF30"/>
      <c r="BG30"/>
      <c r="BH30"/>
      <c r="BI30"/>
      <c r="BJ30"/>
      <c r="BK30"/>
      <c r="BL30"/>
      <c r="BM30"/>
      <c r="BN30"/>
      <c r="BO30"/>
      <c r="BP30"/>
      <c r="BQ30"/>
      <c r="BR30"/>
      <c r="BS30"/>
    </row>
    <row r="31" spans="2:71">
      <c r="B31" s="147" t="s">
        <v>61</v>
      </c>
      <c r="C31" s="599">
        <f t="shared" si="1"/>
        <v>1.7654026543166294E-3</v>
      </c>
      <c r="D31" s="152">
        <v>1.8326803261253814E-3</v>
      </c>
      <c r="E31" s="153">
        <v>1.7780509495062798E-3</v>
      </c>
      <c r="F31" s="153">
        <v>1.7654026543166294E-3</v>
      </c>
      <c r="G31" s="153">
        <v>1.6931594837039576E-3</v>
      </c>
      <c r="H31" s="1521">
        <v>2.1847977592697201E-3</v>
      </c>
      <c r="I31" s="153">
        <v>1.6939892274871024E-3</v>
      </c>
      <c r="J31" s="153">
        <v>2.1847977592697201E-3</v>
      </c>
      <c r="K31" s="154">
        <v>2.3448613497804118E-3</v>
      </c>
      <c r="L31" s="156"/>
      <c r="AB31" s="147" t="s">
        <v>1554</v>
      </c>
      <c r="AC31" s="1304">
        <f t="shared" si="2"/>
        <v>11.482468875177066</v>
      </c>
      <c r="AD31" s="1289">
        <v>11.691972222647696</v>
      </c>
      <c r="AE31" s="1290">
        <v>11.500686377108675</v>
      </c>
      <c r="AF31" s="1290">
        <v>11.482468875177066</v>
      </c>
      <c r="AG31" s="1290">
        <v>11.160538753228929</v>
      </c>
      <c r="AH31" s="1526">
        <v>12.87697172587009</v>
      </c>
      <c r="AI31" s="1290">
        <v>11.201657652049184</v>
      </c>
      <c r="AJ31" s="1290">
        <v>12.87697172587009</v>
      </c>
      <c r="AK31" s="119">
        <v>13.64071038383034</v>
      </c>
      <c r="AL31" s="1299"/>
      <c r="AM31"/>
      <c r="AN31"/>
      <c r="AO31"/>
      <c r="AP31"/>
      <c r="AQ31"/>
      <c r="AR31"/>
      <c r="AS31"/>
      <c r="AT31"/>
      <c r="AU31"/>
      <c r="AV31"/>
      <c r="AW31"/>
      <c r="AX31"/>
      <c r="AY31"/>
      <c r="AZ31"/>
      <c r="BA31"/>
      <c r="BB31"/>
      <c r="BC31"/>
      <c r="BD31"/>
      <c r="BE31"/>
      <c r="BF31"/>
      <c r="BG31"/>
      <c r="BH31"/>
      <c r="BI31"/>
      <c r="BJ31"/>
      <c r="BK31"/>
      <c r="BL31"/>
      <c r="BM31"/>
      <c r="BN31"/>
      <c r="BO31"/>
      <c r="BP31"/>
      <c r="BQ31"/>
      <c r="BR31"/>
      <c r="BS31"/>
    </row>
    <row r="32" spans="2:71">
      <c r="B32" s="147" t="s">
        <v>62</v>
      </c>
      <c r="C32" s="599">
        <f t="shared" si="1"/>
        <v>2.6809830415211924E-3</v>
      </c>
      <c r="D32" s="152">
        <v>2.6335610044035083E-3</v>
      </c>
      <c r="E32" s="153">
        <v>2.6774336062363913E-3</v>
      </c>
      <c r="F32" s="153">
        <v>2.6809830415211924E-3</v>
      </c>
      <c r="G32" s="153">
        <v>2.7616778588801065E-3</v>
      </c>
      <c r="H32" s="1521">
        <v>2.5010001433717326E-3</v>
      </c>
      <c r="I32" s="153">
        <v>2.7229362160117202E-3</v>
      </c>
      <c r="J32" s="153">
        <v>2.5010001433717326E-3</v>
      </c>
      <c r="K32" s="154">
        <v>2.6948674719011823E-3</v>
      </c>
      <c r="L32" s="156"/>
      <c r="AB32" s="147" t="s">
        <v>1683</v>
      </c>
      <c r="AC32" s="1304">
        <f t="shared" si="2"/>
        <v>34.172412930318728</v>
      </c>
      <c r="AD32" s="1289">
        <v>34.36813313323659</v>
      </c>
      <c r="AE32" s="1290">
        <v>34.084694604916827</v>
      </c>
      <c r="AF32" s="1290">
        <v>34.172412930318728</v>
      </c>
      <c r="AG32" s="1290">
        <v>33.376188829164462</v>
      </c>
      <c r="AH32" s="1526">
        <v>37.088410406269247</v>
      </c>
      <c r="AI32" s="1290">
        <v>33.269463531282668</v>
      </c>
      <c r="AJ32" s="1290">
        <v>37.088410406269247</v>
      </c>
      <c r="AK32" s="119">
        <v>38.949460810000446</v>
      </c>
      <c r="AL32" s="1299"/>
      <c r="AM32"/>
      <c r="AN32"/>
      <c r="AO32"/>
      <c r="AP32"/>
      <c r="AQ32"/>
      <c r="AR32"/>
      <c r="AS32"/>
      <c r="AT32"/>
      <c r="AU32"/>
      <c r="AV32"/>
      <c r="AW32"/>
      <c r="AX32"/>
      <c r="AY32"/>
      <c r="AZ32"/>
      <c r="BA32"/>
      <c r="BB32"/>
      <c r="BC32"/>
      <c r="BD32"/>
      <c r="BE32"/>
      <c r="BF32"/>
      <c r="BG32"/>
      <c r="BH32"/>
      <c r="BI32"/>
      <c r="BJ32"/>
      <c r="BK32"/>
      <c r="BL32"/>
      <c r="BM32"/>
      <c r="BN32"/>
      <c r="BO32"/>
      <c r="BP32"/>
      <c r="BQ32"/>
      <c r="BR32"/>
      <c r="BS32"/>
    </row>
    <row r="33" spans="2:71">
      <c r="B33" s="149" t="s">
        <v>439</v>
      </c>
      <c r="C33" s="600">
        <f t="shared" si="1"/>
        <v>0</v>
      </c>
      <c r="D33" s="157">
        <v>0</v>
      </c>
      <c r="E33" s="157">
        <v>0</v>
      </c>
      <c r="F33" s="157">
        <v>0</v>
      </c>
      <c r="G33" s="157">
        <v>0</v>
      </c>
      <c r="H33" s="1522">
        <v>0</v>
      </c>
      <c r="I33" s="157">
        <v>0</v>
      </c>
      <c r="J33" s="157">
        <v>0</v>
      </c>
      <c r="K33" s="157">
        <v>0</v>
      </c>
      <c r="L33" s="158"/>
      <c r="AB33" s="147" t="s">
        <v>1684</v>
      </c>
      <c r="AC33" s="1304">
        <f t="shared" si="2"/>
        <v>20.084240061328995</v>
      </c>
      <c r="AD33" s="1289">
        <v>20.14199288248691</v>
      </c>
      <c r="AE33" s="1290">
        <v>20.011048871824773</v>
      </c>
      <c r="AF33" s="1290">
        <v>20.084240061328995</v>
      </c>
      <c r="AG33" s="1290">
        <v>19.622071156080754</v>
      </c>
      <c r="AH33" s="1526">
        <v>21.667969614716366</v>
      </c>
      <c r="AI33" s="1290">
        <v>19.525904019422377</v>
      </c>
      <c r="AJ33" s="1290">
        <v>21.667969614716366</v>
      </c>
      <c r="AK33" s="119">
        <v>22.727998316148497</v>
      </c>
      <c r="AL33" s="1299"/>
      <c r="AM33"/>
      <c r="AN33"/>
      <c r="AO33"/>
      <c r="AP33"/>
      <c r="AQ33"/>
      <c r="AR33"/>
      <c r="AS33"/>
      <c r="AT33"/>
      <c r="AU33"/>
      <c r="AV33"/>
      <c r="AW33"/>
      <c r="AX33"/>
      <c r="AY33"/>
      <c r="AZ33"/>
      <c r="BA33"/>
      <c r="BB33"/>
      <c r="BC33"/>
      <c r="BD33"/>
      <c r="BE33"/>
      <c r="BF33"/>
      <c r="BG33"/>
      <c r="BH33"/>
      <c r="BI33"/>
      <c r="BJ33"/>
      <c r="BK33"/>
      <c r="BL33"/>
      <c r="BM33"/>
      <c r="BN33"/>
      <c r="BO33"/>
      <c r="BP33"/>
      <c r="BQ33"/>
      <c r="BR33"/>
      <c r="BS33"/>
    </row>
    <row r="34" spans="2:71">
      <c r="AB34" s="147" t="s">
        <v>1685</v>
      </c>
      <c r="AC34" s="1304">
        <f t="shared" si="2"/>
        <v>16.078319954614152</v>
      </c>
      <c r="AD34" s="1289">
        <v>16.011197720566347</v>
      </c>
      <c r="AE34" s="1290">
        <v>16.018204936129656</v>
      </c>
      <c r="AF34" s="1290">
        <v>16.078319954614152</v>
      </c>
      <c r="AG34" s="1290">
        <v>15.925540355691128</v>
      </c>
      <c r="AH34" s="1526">
        <v>16.458806016989485</v>
      </c>
      <c r="AI34" s="1290">
        <v>15.83627442648217</v>
      </c>
      <c r="AJ34" s="1290">
        <v>16.458806016989485</v>
      </c>
      <c r="AK34" s="119">
        <v>16.792791967217653</v>
      </c>
      <c r="AL34" s="1299"/>
      <c r="AM34"/>
      <c r="AN34"/>
      <c r="AO34"/>
      <c r="AP34"/>
      <c r="AQ34"/>
      <c r="AR34"/>
      <c r="AS34"/>
      <c r="AT34"/>
      <c r="AU34"/>
      <c r="AV34"/>
      <c r="AW34"/>
      <c r="AX34"/>
      <c r="AY34"/>
      <c r="AZ34"/>
      <c r="BA34"/>
      <c r="BB34"/>
      <c r="BC34"/>
      <c r="BD34"/>
      <c r="BE34"/>
      <c r="BF34"/>
      <c r="BG34"/>
      <c r="BH34"/>
      <c r="BI34"/>
      <c r="BJ34"/>
      <c r="BK34"/>
      <c r="BL34"/>
      <c r="BM34"/>
      <c r="BN34"/>
      <c r="BO34"/>
      <c r="BP34"/>
      <c r="BQ34"/>
      <c r="BR34"/>
      <c r="BS34"/>
    </row>
    <row r="35" spans="2:71">
      <c r="B35" s="133" t="s">
        <v>156</v>
      </c>
      <c r="D35" s="1693" t="s">
        <v>63</v>
      </c>
      <c r="E35" s="1694"/>
      <c r="F35" s="1694"/>
      <c r="G35" s="1694"/>
      <c r="H35" s="1694"/>
      <c r="I35" s="1694"/>
      <c r="J35" s="1694"/>
      <c r="K35" s="1695"/>
      <c r="AB35" s="147" t="s">
        <v>1686</v>
      </c>
      <c r="AC35" s="1304">
        <f t="shared" si="2"/>
        <v>1.8627365131757416</v>
      </c>
      <c r="AD35" s="1289">
        <v>1.8721858084371474</v>
      </c>
      <c r="AE35" s="1290">
        <v>1.857400971349384</v>
      </c>
      <c r="AF35" s="1290">
        <v>1.8627365131757416</v>
      </c>
      <c r="AG35" s="1290">
        <v>1.8189928997308067</v>
      </c>
      <c r="AH35" s="1526">
        <v>2.0203439796107161</v>
      </c>
      <c r="AI35" s="1290">
        <v>1.8123413202828318</v>
      </c>
      <c r="AJ35" s="1290">
        <v>2.0203439796107161</v>
      </c>
      <c r="AK35" s="119">
        <v>2.1220856761508675</v>
      </c>
      <c r="AL35" s="1299"/>
      <c r="AM35"/>
      <c r="AN35"/>
      <c r="AO35"/>
      <c r="AP35"/>
      <c r="AQ35"/>
      <c r="AR35"/>
      <c r="AS35"/>
      <c r="AT35"/>
      <c r="AU35"/>
      <c r="AV35"/>
      <c r="AW35"/>
      <c r="AX35"/>
      <c r="AY35"/>
      <c r="AZ35"/>
      <c r="BA35"/>
      <c r="BB35"/>
      <c r="BC35"/>
      <c r="BD35"/>
      <c r="BE35"/>
      <c r="BF35"/>
      <c r="BG35"/>
      <c r="BH35"/>
      <c r="BI35"/>
      <c r="BJ35"/>
      <c r="BK35"/>
      <c r="BL35"/>
      <c r="BM35"/>
      <c r="BN35"/>
      <c r="BO35"/>
      <c r="BP35"/>
      <c r="BQ35"/>
      <c r="BR35"/>
      <c r="BS35"/>
    </row>
    <row r="36" spans="2:71">
      <c r="B36" s="143"/>
      <c r="C36" s="144" t="s">
        <v>51</v>
      </c>
      <c r="D36" s="145" t="s">
        <v>1029</v>
      </c>
      <c r="E36" s="144" t="s">
        <v>1540</v>
      </c>
      <c r="F36" s="144" t="s">
        <v>667</v>
      </c>
      <c r="G36" s="144" t="s">
        <v>669</v>
      </c>
      <c r="H36" s="144" t="s">
        <v>42</v>
      </c>
      <c r="I36" s="144" t="s">
        <v>73</v>
      </c>
      <c r="J36" s="144" t="s">
        <v>148</v>
      </c>
      <c r="K36" s="146" t="s">
        <v>149</v>
      </c>
      <c r="L36" s="146" t="s">
        <v>52</v>
      </c>
      <c r="AB36" s="147" t="s">
        <v>1551</v>
      </c>
      <c r="AC36" s="1304">
        <f t="shared" si="2"/>
        <v>0.95572584497034119</v>
      </c>
      <c r="AD36" s="1289">
        <v>0.95365257599069564</v>
      </c>
      <c r="AE36" s="1290">
        <v>0.95220830048421445</v>
      </c>
      <c r="AF36" s="1290">
        <v>0.95572584497034119</v>
      </c>
      <c r="AG36" s="1290">
        <v>0.96480965935470731</v>
      </c>
      <c r="AH36" s="1526">
        <v>0.89728253891020826</v>
      </c>
      <c r="AI36" s="1290">
        <v>0.9713156833956833</v>
      </c>
      <c r="AJ36" s="1290">
        <v>0.89728253891020826</v>
      </c>
      <c r="AK36" s="119">
        <v>1.0454971719294961</v>
      </c>
      <c r="AL36" s="1299"/>
      <c r="AM36"/>
      <c r="AP36"/>
      <c r="AQ36"/>
      <c r="AR36"/>
      <c r="AS36"/>
      <c r="AT36"/>
      <c r="AU36"/>
      <c r="AV36"/>
      <c r="AW36"/>
      <c r="AX36"/>
      <c r="AY36"/>
      <c r="AZ36"/>
      <c r="BA36"/>
      <c r="BB36"/>
      <c r="BC36"/>
      <c r="BD36"/>
      <c r="BE36"/>
      <c r="BF36"/>
      <c r="BG36"/>
      <c r="BH36"/>
      <c r="BI36"/>
      <c r="BJ36"/>
      <c r="BK36"/>
      <c r="BL36"/>
      <c r="BM36"/>
      <c r="BN36"/>
      <c r="BO36"/>
      <c r="BP36"/>
      <c r="BQ36"/>
      <c r="BR36"/>
      <c r="BS36"/>
    </row>
    <row r="37" spans="2:71">
      <c r="B37" s="147" t="s">
        <v>157</v>
      </c>
      <c r="C37" s="1080">
        <f>IF(ISNUMBER(L37),L37,HLOOKUP($C$9, $D$36:$K$39, ROW($C37)-ROW($C$37)+2, FALSE))</f>
        <v>53.202038887257977</v>
      </c>
      <c r="D37" s="1081">
        <f>0.161*1055/HLOOKUP(D36,Output!$AD$4:$AK$6,3,FALSE)</f>
        <v>49.817906076499177</v>
      </c>
      <c r="E37" s="1081">
        <f>0.161*1055/HLOOKUP(E36,Output!$AD$4:$AK$6,3,FALSE)</f>
        <v>52.542394067938055</v>
      </c>
      <c r="F37" s="1081">
        <f>0.161*1055/HLOOKUP(F36,Output!$AD$4:$AK$6,3,FALSE)</f>
        <v>53.202038887257977</v>
      </c>
      <c r="G37" s="1081">
        <f>0.161*1055/HLOOKUP(G36,Output!$AD$4:$AK$6,3,FALSE)</f>
        <v>57.065418580183042</v>
      </c>
      <c r="H37" s="1528">
        <f>0.161*1055/HLOOKUP(H36,Output!$AD$4:$AK$6,3,FALSE)</f>
        <v>40.534276398477346</v>
      </c>
      <c r="I37" s="1081">
        <f>0.161*1055/HLOOKUP(I36,Output!$AD$4:$AK$6,3,FALSE)</f>
        <v>55.196123933773684</v>
      </c>
      <c r="J37" s="1081">
        <f>0.161*1055/HLOOKUP(J36,Output!$AD$4:$AK$6,3,FALSE)</f>
        <v>40.534276398477346</v>
      </c>
      <c r="K37" s="1085">
        <f>0.161*1055/HLOOKUP(K36,Output!$AD$4:$AK$6,3,FALSE)</f>
        <v>40.077399547927691</v>
      </c>
      <c r="L37" s="1082"/>
      <c r="M37" s="115" t="str">
        <f>IF(SUM(C38:C39)&lt;&gt;1, "Warning: energy consumption shares do not add up to 100%!","")</f>
        <v/>
      </c>
      <c r="AB37" s="147" t="s">
        <v>1679</v>
      </c>
      <c r="AC37" s="1304">
        <f t="shared" si="2"/>
        <v>1.5621902515365469</v>
      </c>
      <c r="AD37" s="1289">
        <v>1.5944852437872379</v>
      </c>
      <c r="AE37" s="1290">
        <v>1.5648033084787696</v>
      </c>
      <c r="AF37" s="1290">
        <v>1.5621902515365469</v>
      </c>
      <c r="AG37" s="1290">
        <v>1.5478694874167529</v>
      </c>
      <c r="AH37" s="1526">
        <v>1.6123155265181626</v>
      </c>
      <c r="AI37" s="1290">
        <v>1.572672510073607</v>
      </c>
      <c r="AJ37" s="1290">
        <v>1.6123155265181626</v>
      </c>
      <c r="AK37" s="119">
        <v>1.9555512527570962</v>
      </c>
      <c r="AL37" s="1299"/>
      <c r="AM37"/>
      <c r="AP37"/>
      <c r="AQ37"/>
      <c r="AR37"/>
      <c r="AS37"/>
      <c r="AT37"/>
      <c r="AU37"/>
      <c r="AV37"/>
      <c r="AW37"/>
      <c r="AX37"/>
      <c r="AY37"/>
      <c r="AZ37"/>
      <c r="BA37"/>
      <c r="BB37"/>
      <c r="BC37"/>
      <c r="BD37"/>
      <c r="BE37"/>
      <c r="BF37"/>
      <c r="BG37"/>
      <c r="BH37"/>
      <c r="BI37"/>
      <c r="BJ37"/>
      <c r="BK37"/>
      <c r="BL37"/>
      <c r="BM37"/>
      <c r="BN37"/>
      <c r="BO37"/>
      <c r="BP37"/>
      <c r="BQ37"/>
      <c r="BR37"/>
      <c r="BS37"/>
    </row>
    <row r="38" spans="2:71">
      <c r="B38" s="147" t="s">
        <v>158</v>
      </c>
      <c r="C38" s="1083">
        <f>IF(ISNUMBER(L38),L38,HLOOKUP($C$9, $D$36:$K$39, ROW($C38)-ROW($C$37)+2, FALSE))</f>
        <v>0.17599999999999999</v>
      </c>
      <c r="D38" s="1078">
        <v>0.17599999999999999</v>
      </c>
      <c r="E38" s="1078">
        <v>0.17599999999999999</v>
      </c>
      <c r="F38" s="1078">
        <v>0.17599999999999999</v>
      </c>
      <c r="G38" s="1078">
        <v>0.17599999999999999</v>
      </c>
      <c r="H38" s="1078">
        <v>0.17599999999999999</v>
      </c>
      <c r="I38" s="1078">
        <v>0.17599999999999999</v>
      </c>
      <c r="J38" s="1078">
        <v>0.17599999999999999</v>
      </c>
      <c r="K38" s="1078">
        <v>0.17599999999999999</v>
      </c>
      <c r="L38" s="161"/>
      <c r="AB38" s="147" t="s">
        <v>1552</v>
      </c>
      <c r="AC38" s="1304">
        <f t="shared" si="2"/>
        <v>0.81180169314609996</v>
      </c>
      <c r="AD38" s="1289">
        <v>0.81004064077226179</v>
      </c>
      <c r="AE38" s="1290">
        <v>0.8088138608251656</v>
      </c>
      <c r="AF38" s="1290">
        <v>0.81180169314609996</v>
      </c>
      <c r="AG38" s="1290">
        <v>0.8195175626459793</v>
      </c>
      <c r="AH38" s="1526">
        <v>0.76215944996270679</v>
      </c>
      <c r="AI38" s="1290">
        <v>0.82504383501781997</v>
      </c>
      <c r="AJ38" s="1290">
        <v>0.76215944996270679</v>
      </c>
      <c r="AK38" s="119">
        <v>0.88805422477422136</v>
      </c>
      <c r="AL38" s="1299"/>
      <c r="AM38"/>
      <c r="AP38"/>
      <c r="AQ38"/>
      <c r="AR38"/>
      <c r="AS38"/>
      <c r="AT38"/>
      <c r="AU38"/>
      <c r="AV38"/>
      <c r="AW38"/>
      <c r="AX38"/>
      <c r="AY38"/>
      <c r="AZ38"/>
      <c r="BA38"/>
      <c r="BB38"/>
      <c r="BC38"/>
      <c r="BD38"/>
      <c r="BE38"/>
      <c r="BF38"/>
      <c r="BG38"/>
      <c r="BH38"/>
      <c r="BI38"/>
      <c r="BJ38"/>
      <c r="BK38"/>
      <c r="BL38"/>
      <c r="BM38"/>
      <c r="BN38"/>
      <c r="BO38"/>
      <c r="BP38"/>
      <c r="BQ38"/>
      <c r="BR38"/>
      <c r="BS38"/>
    </row>
    <row r="39" spans="2:71">
      <c r="B39" s="149" t="s">
        <v>646</v>
      </c>
      <c r="C39" s="1084">
        <f>IF(ISNUMBER(L39),L39,HLOOKUP($C$9, $D$36:$K$39, ROW($C39)-ROW($C$37)+2, FALSE))</f>
        <v>0.82399999999999995</v>
      </c>
      <c r="D39" s="1079">
        <v>0.82399999999999995</v>
      </c>
      <c r="E39" s="1079">
        <v>0.82399999999999995</v>
      </c>
      <c r="F39" s="1079">
        <v>0.82399999999999995</v>
      </c>
      <c r="G39" s="1079">
        <v>0.82399999999999995</v>
      </c>
      <c r="H39" s="1079">
        <v>0.82399999999999995</v>
      </c>
      <c r="I39" s="1079">
        <v>0.82399999999999995</v>
      </c>
      <c r="J39" s="1079">
        <v>0.82399999999999995</v>
      </c>
      <c r="K39" s="1079">
        <v>0.82399999999999995</v>
      </c>
      <c r="L39" s="162"/>
      <c r="AB39" s="147" t="s">
        <v>1553</v>
      </c>
      <c r="AC39" s="1304">
        <f t="shared" si="2"/>
        <v>0.2</v>
      </c>
      <c r="AD39" s="1289">
        <v>0.2</v>
      </c>
      <c r="AE39" s="1290">
        <v>0.2</v>
      </c>
      <c r="AF39" s="1290">
        <v>0.2</v>
      </c>
      <c r="AG39" s="1290">
        <v>0.2</v>
      </c>
      <c r="AH39" s="1526">
        <v>0.2</v>
      </c>
      <c r="AI39" s="1290">
        <v>0.2</v>
      </c>
      <c r="AJ39" s="1290">
        <v>0.2</v>
      </c>
      <c r="AK39" s="119">
        <v>0.2</v>
      </c>
      <c r="AL39" s="1299"/>
      <c r="AM39"/>
      <c r="AP39"/>
      <c r="AQ39"/>
      <c r="AR39"/>
      <c r="AS39"/>
      <c r="AT39"/>
      <c r="AU39"/>
      <c r="AV39"/>
      <c r="AW39"/>
      <c r="AX39"/>
      <c r="AY39"/>
      <c r="AZ39"/>
      <c r="BA39"/>
      <c r="BB39"/>
      <c r="BC39"/>
      <c r="BD39"/>
      <c r="BE39"/>
      <c r="BF39"/>
      <c r="BG39"/>
      <c r="BH39"/>
      <c r="BI39"/>
      <c r="BJ39"/>
      <c r="BK39"/>
      <c r="BL39"/>
      <c r="BM39"/>
      <c r="BN39"/>
      <c r="BO39"/>
      <c r="BP39"/>
      <c r="BQ39"/>
      <c r="BR39"/>
      <c r="BS39"/>
    </row>
    <row r="40" spans="2:71">
      <c r="AB40" s="1183" t="s">
        <v>1555</v>
      </c>
      <c r="AC40" s="1488">
        <f t="shared" si="2"/>
        <v>3.5776000000000003</v>
      </c>
      <c r="AD40" s="1291">
        <v>3.5776000000000003</v>
      </c>
      <c r="AE40" s="1292">
        <v>3.5776000000000003</v>
      </c>
      <c r="AF40" s="1292">
        <v>3.5776000000000003</v>
      </c>
      <c r="AG40" s="1292">
        <v>3.5776000000000003</v>
      </c>
      <c r="AH40" s="1527">
        <v>3.5776000000000003</v>
      </c>
      <c r="AI40" s="1292">
        <v>3.5776000000000003</v>
      </c>
      <c r="AJ40" s="1292">
        <v>3.5776000000000003</v>
      </c>
      <c r="AK40" s="1293">
        <v>3.5776000000000003</v>
      </c>
      <c r="AL40" s="1300"/>
      <c r="AM40"/>
      <c r="AP40"/>
      <c r="AQ40"/>
      <c r="AR40"/>
      <c r="AS40"/>
      <c r="AT40"/>
      <c r="AU40"/>
      <c r="AV40"/>
      <c r="AW40"/>
      <c r="AX40"/>
      <c r="AY40"/>
      <c r="AZ40"/>
      <c r="BA40"/>
      <c r="BB40"/>
      <c r="BC40"/>
      <c r="BD40"/>
      <c r="BE40"/>
      <c r="BF40"/>
      <c r="BG40"/>
      <c r="BH40"/>
      <c r="BI40"/>
      <c r="BJ40"/>
      <c r="BK40"/>
      <c r="BL40"/>
      <c r="BM40"/>
      <c r="BN40"/>
      <c r="BO40"/>
      <c r="BP40"/>
      <c r="BQ40"/>
      <c r="BR40"/>
      <c r="BS40"/>
    </row>
    <row r="41" spans="2:71">
      <c r="B41" s="133" t="s">
        <v>161</v>
      </c>
      <c r="AC41" s="119"/>
      <c r="AP41"/>
      <c r="AQ41"/>
      <c r="AR41"/>
      <c r="AS41"/>
      <c r="AT41"/>
      <c r="AU41"/>
      <c r="AV41"/>
      <c r="AW41"/>
      <c r="AX41"/>
      <c r="AY41"/>
      <c r="AZ41"/>
      <c r="BA41"/>
      <c r="BB41"/>
      <c r="BC41"/>
      <c r="BD41"/>
      <c r="BE41"/>
      <c r="BF41"/>
      <c r="BG41"/>
      <c r="BH41"/>
      <c r="BI41"/>
      <c r="BJ41"/>
      <c r="BK41"/>
      <c r="BL41"/>
      <c r="BM41"/>
      <c r="BN41"/>
      <c r="BO41"/>
      <c r="BP41"/>
      <c r="BQ41"/>
      <c r="BR41"/>
      <c r="BS41"/>
    </row>
    <row r="42" spans="2:71">
      <c r="B42" s="111" t="s">
        <v>162</v>
      </c>
      <c r="AB42" s="133" t="s">
        <v>1558</v>
      </c>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row>
    <row r="43" spans="2:71">
      <c r="B43" s="143"/>
      <c r="C43" s="144" t="s">
        <v>51</v>
      </c>
      <c r="D43" s="144" t="s">
        <v>63</v>
      </c>
      <c r="E43" s="146" t="s">
        <v>52</v>
      </c>
      <c r="AB43" s="111" t="s">
        <v>1559</v>
      </c>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row>
    <row r="44" spans="2:71">
      <c r="B44" s="149" t="s">
        <v>167</v>
      </c>
      <c r="C44" s="601">
        <f>IF(E44&gt;0,E44,D44)</f>
        <v>0.95</v>
      </c>
      <c r="D44" s="163">
        <f>'BatPaC IO'!B14</f>
        <v>0.95</v>
      </c>
      <c r="E44" s="164"/>
      <c r="F44"/>
      <c r="G44"/>
      <c r="AB44" s="143"/>
      <c r="AC44" s="144" t="s">
        <v>51</v>
      </c>
      <c r="AD44" s="145" t="s">
        <v>63</v>
      </c>
      <c r="AE44" s="146" t="s">
        <v>52</v>
      </c>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row>
    <row r="45" spans="2:71">
      <c r="B45" s="111" t="s">
        <v>350</v>
      </c>
      <c r="F45"/>
      <c r="G45"/>
      <c r="AB45" s="147" t="s">
        <v>1648</v>
      </c>
      <c r="AC45" s="1004">
        <f>IF(ISNUMBER(AE45),AE45,AD45)</f>
        <v>2.4050000000000002</v>
      </c>
      <c r="AD45" s="275">
        <v>2.4050000000000002</v>
      </c>
      <c r="AE45" s="1307"/>
      <c r="AR45"/>
      <c r="AS45"/>
      <c r="AT45"/>
      <c r="AU45"/>
      <c r="AV45"/>
      <c r="AW45"/>
      <c r="AX45"/>
      <c r="AY45"/>
      <c r="AZ45"/>
      <c r="BA45"/>
      <c r="BB45"/>
      <c r="BC45"/>
      <c r="BD45"/>
      <c r="BE45"/>
      <c r="BF45"/>
      <c r="BG45"/>
      <c r="BH45"/>
      <c r="BI45"/>
      <c r="BJ45"/>
      <c r="BK45"/>
      <c r="BL45"/>
      <c r="BM45"/>
      <c r="BN45"/>
      <c r="BO45"/>
      <c r="BP45"/>
      <c r="BQ45"/>
      <c r="BR45"/>
      <c r="BS45"/>
    </row>
    <row r="46" spans="2:71">
      <c r="B46" s="143"/>
      <c r="C46" s="144" t="s">
        <v>51</v>
      </c>
      <c r="D46" s="144" t="s">
        <v>63</v>
      </c>
      <c r="E46" s="146" t="s">
        <v>52</v>
      </c>
      <c r="AB46" s="147" t="s">
        <v>1676</v>
      </c>
      <c r="AC46" s="1004">
        <f>IF(ISNUMBER(AE46),AE46,AD46)</f>
        <v>8.7200000000000006</v>
      </c>
      <c r="AD46" s="275">
        <v>8.7200000000000006</v>
      </c>
      <c r="AE46" s="1307"/>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row>
    <row r="47" spans="2:71">
      <c r="B47" s="147" t="s">
        <v>53</v>
      </c>
      <c r="C47" s="602">
        <f t="shared" ref="C47:C52" si="3">IF(E47&gt;0,E47,D47)</f>
        <v>0.92178404999999985</v>
      </c>
      <c r="D47" s="154">
        <f>'BatPaC IO'!B17</f>
        <v>0.92178404999999985</v>
      </c>
      <c r="E47" s="155"/>
      <c r="AB47" s="147" t="s">
        <v>1678</v>
      </c>
      <c r="AC47" s="1004">
        <f>IF(ISNUMBER(AE47),AE47,AD47)</f>
        <v>2.2999999999999998</v>
      </c>
      <c r="AD47" s="275">
        <v>2.2999999999999998</v>
      </c>
      <c r="AE47" s="130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row>
    <row r="48" spans="2:71">
      <c r="B48" s="147" t="s">
        <v>83</v>
      </c>
      <c r="C48" s="603">
        <f t="shared" si="3"/>
        <v>0.92178404999999985</v>
      </c>
      <c r="D48" s="154">
        <f>'BatPaC IO'!C17</f>
        <v>0.92178404999999985</v>
      </c>
      <c r="E48" s="156"/>
      <c r="AB48" s="147" t="s">
        <v>1560</v>
      </c>
      <c r="AC48" s="1004">
        <f t="shared" ref="AC48:AC57" si="4">IF(ISNUMBER(AE48),AE48,AD48)</f>
        <v>8.64</v>
      </c>
      <c r="AD48" s="275">
        <v>8.64</v>
      </c>
      <c r="AE48" s="1307"/>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row>
    <row r="49" spans="2:71">
      <c r="B49" s="147" t="s">
        <v>84</v>
      </c>
      <c r="C49" s="603">
        <f t="shared" si="3"/>
        <v>0.86526000000000003</v>
      </c>
      <c r="D49" s="154">
        <f>'BatPaC IO'!D17</f>
        <v>0.86526000000000003</v>
      </c>
      <c r="E49" s="156"/>
      <c r="AB49" s="147" t="s">
        <v>1550</v>
      </c>
      <c r="AC49" s="1004">
        <f t="shared" si="4"/>
        <v>2.4</v>
      </c>
      <c r="AD49" s="275">
        <v>2.4</v>
      </c>
      <c r="AE49" s="1307"/>
      <c r="AM49"/>
      <c r="AN49"/>
      <c r="AO49"/>
      <c r="AP49"/>
      <c r="AQ49"/>
      <c r="AR49"/>
      <c r="AS49"/>
      <c r="AT49"/>
      <c r="AU49"/>
      <c r="AV49"/>
      <c r="AW49"/>
      <c r="AX49"/>
      <c r="AY49"/>
      <c r="AZ49"/>
      <c r="BA49"/>
      <c r="BB49"/>
      <c r="BC49"/>
      <c r="BD49"/>
      <c r="BE49"/>
      <c r="BF49"/>
      <c r="BG49"/>
      <c r="BH49"/>
      <c r="BI49"/>
      <c r="BJ49"/>
      <c r="BK49"/>
      <c r="BL49"/>
      <c r="BM49"/>
      <c r="BN49"/>
      <c r="BO49"/>
      <c r="BP49"/>
      <c r="BQ49"/>
      <c r="BR49"/>
      <c r="BS49"/>
    </row>
    <row r="50" spans="2:71">
      <c r="B50" s="147" t="s">
        <v>85</v>
      </c>
      <c r="C50" s="603">
        <f t="shared" si="3"/>
        <v>0.86526000000000003</v>
      </c>
      <c r="D50" s="154">
        <f>'BatPaC IO'!E17</f>
        <v>0.86526000000000003</v>
      </c>
      <c r="E50" s="156"/>
      <c r="AB50" s="147" t="s">
        <v>1680</v>
      </c>
      <c r="AC50" s="1004">
        <f t="shared" si="4"/>
        <v>1.325</v>
      </c>
      <c r="AD50" s="275">
        <v>1.325</v>
      </c>
      <c r="AE50" s="1307"/>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row>
    <row r="51" spans="2:71">
      <c r="B51" s="147" t="s">
        <v>86</v>
      </c>
      <c r="C51" s="603">
        <f t="shared" si="3"/>
        <v>0.98</v>
      </c>
      <c r="D51" s="154">
        <f>'BatPaC IO'!F17</f>
        <v>0.98</v>
      </c>
      <c r="E51" s="156"/>
      <c r="AB51" s="147" t="s">
        <v>1681</v>
      </c>
      <c r="AC51" s="1004">
        <f t="shared" si="4"/>
        <v>1</v>
      </c>
      <c r="AD51" s="275">
        <v>1</v>
      </c>
      <c r="AE51" s="1307"/>
      <c r="AP51"/>
      <c r="AQ51"/>
      <c r="AR51"/>
      <c r="AS51"/>
      <c r="AT51"/>
      <c r="AU51"/>
      <c r="AV51"/>
      <c r="AW51"/>
      <c r="AX51"/>
      <c r="AY51"/>
      <c r="AZ51"/>
      <c r="BA51"/>
      <c r="BB51"/>
      <c r="BC51"/>
      <c r="BD51"/>
      <c r="BE51"/>
      <c r="BF51"/>
      <c r="BG51"/>
      <c r="BH51"/>
      <c r="BI51"/>
      <c r="BJ51"/>
      <c r="BK51"/>
      <c r="BL51"/>
      <c r="BM51"/>
      <c r="BN51"/>
      <c r="BO51"/>
      <c r="BP51"/>
      <c r="BQ51"/>
      <c r="BR51"/>
      <c r="BS51"/>
    </row>
    <row r="52" spans="2:71">
      <c r="B52" s="149" t="s">
        <v>70</v>
      </c>
      <c r="C52" s="604">
        <f t="shared" si="3"/>
        <v>0.99</v>
      </c>
      <c r="D52" s="165">
        <f>'BatPaC IO'!G17</f>
        <v>0.99</v>
      </c>
      <c r="E52" s="158"/>
      <c r="AB52" s="147" t="s">
        <v>1551</v>
      </c>
      <c r="AC52" s="1004">
        <f t="shared" si="4"/>
        <v>8.84</v>
      </c>
      <c r="AD52" s="275">
        <v>8.84</v>
      </c>
      <c r="AE52" s="1307"/>
      <c r="AP52"/>
      <c r="AQ52"/>
      <c r="AR52"/>
      <c r="AS52"/>
      <c r="AT52"/>
      <c r="AU52"/>
      <c r="AV52"/>
      <c r="AW52"/>
      <c r="AX52"/>
      <c r="AY52"/>
      <c r="AZ52"/>
      <c r="BA52"/>
      <c r="BB52"/>
      <c r="BC52"/>
      <c r="BD52"/>
      <c r="BE52"/>
      <c r="BF52"/>
      <c r="BG52"/>
      <c r="BH52"/>
      <c r="BI52"/>
      <c r="BJ52"/>
      <c r="BK52"/>
      <c r="BL52"/>
      <c r="BM52"/>
      <c r="BN52"/>
      <c r="BO52"/>
      <c r="BP52"/>
      <c r="BQ52"/>
      <c r="BR52"/>
      <c r="BS52"/>
    </row>
    <row r="53" spans="2:71">
      <c r="B53" s="111" t="s">
        <v>163</v>
      </c>
      <c r="N53" s="166"/>
      <c r="AB53" s="147" t="s">
        <v>1679</v>
      </c>
      <c r="AC53" s="1004">
        <f t="shared" si="4"/>
        <v>8.68</v>
      </c>
      <c r="AD53" s="275">
        <v>8.68</v>
      </c>
      <c r="AE53" s="1307"/>
      <c r="AP53"/>
      <c r="AQ53"/>
      <c r="AR53"/>
      <c r="AS53"/>
      <c r="AT53"/>
      <c r="AU53"/>
      <c r="AV53"/>
      <c r="AW53"/>
      <c r="AX53"/>
      <c r="AY53"/>
      <c r="AZ53"/>
      <c r="BA53"/>
      <c r="BB53"/>
      <c r="BC53"/>
      <c r="BD53"/>
      <c r="BE53"/>
      <c r="BF53"/>
      <c r="BG53"/>
      <c r="BH53"/>
      <c r="BI53"/>
      <c r="BJ53"/>
      <c r="BK53"/>
      <c r="BL53"/>
      <c r="BM53"/>
      <c r="BN53"/>
      <c r="BO53"/>
      <c r="BP53"/>
      <c r="BQ53"/>
      <c r="BR53"/>
      <c r="BS53"/>
    </row>
    <row r="54" spans="2:71">
      <c r="B54" s="167"/>
      <c r="C54" s="167"/>
      <c r="D54" s="1693" t="s">
        <v>166</v>
      </c>
      <c r="E54" s="1694"/>
      <c r="F54" s="1695"/>
      <c r="G54" s="1693" t="s">
        <v>89</v>
      </c>
      <c r="H54" s="1694"/>
      <c r="I54" s="1695"/>
      <c r="N54" s="166"/>
      <c r="AB54" s="147" t="s">
        <v>1687</v>
      </c>
      <c r="AC54" s="1004">
        <f t="shared" si="4"/>
        <v>2.8</v>
      </c>
      <c r="AD54" s="275">
        <v>2.8</v>
      </c>
      <c r="AE54" s="1307"/>
      <c r="AP54"/>
      <c r="AQ54"/>
      <c r="AR54"/>
      <c r="AS54"/>
      <c r="AT54"/>
      <c r="AU54"/>
      <c r="AV54"/>
      <c r="AW54"/>
      <c r="AX54"/>
      <c r="AY54"/>
      <c r="AZ54"/>
      <c r="BA54"/>
      <c r="BB54"/>
      <c r="BC54"/>
      <c r="BD54"/>
      <c r="BE54"/>
      <c r="BF54"/>
      <c r="BG54"/>
      <c r="BH54"/>
      <c r="BI54"/>
      <c r="BJ54"/>
      <c r="BK54"/>
      <c r="BL54"/>
      <c r="BM54"/>
      <c r="BN54"/>
      <c r="BO54"/>
      <c r="BP54"/>
      <c r="BQ54"/>
      <c r="BR54"/>
      <c r="BS54"/>
    </row>
    <row r="55" spans="2:71">
      <c r="B55" s="149"/>
      <c r="C55" s="149"/>
      <c r="D55" s="168" t="s">
        <v>51</v>
      </c>
      <c r="E55" s="168" t="s">
        <v>63</v>
      </c>
      <c r="F55" s="169" t="s">
        <v>52</v>
      </c>
      <c r="G55" s="168" t="s">
        <v>51</v>
      </c>
      <c r="H55" s="168" t="s">
        <v>63</v>
      </c>
      <c r="I55" s="169" t="s">
        <v>52</v>
      </c>
      <c r="N55" s="166"/>
      <c r="AB55" s="147" t="s">
        <v>1688</v>
      </c>
      <c r="AC55" s="1004">
        <f t="shared" si="4"/>
        <v>8.8800000000000008</v>
      </c>
      <c r="AD55" s="275">
        <v>8.8800000000000008</v>
      </c>
      <c r="AE55" s="1307"/>
      <c r="AP55"/>
      <c r="AQ55"/>
      <c r="AR55"/>
      <c r="AS55"/>
      <c r="AT55"/>
      <c r="AU55"/>
      <c r="AV55"/>
      <c r="AW55"/>
      <c r="AX55"/>
      <c r="AY55"/>
      <c r="AZ55"/>
      <c r="BA55"/>
      <c r="BB55"/>
      <c r="BC55"/>
      <c r="BD55"/>
      <c r="BE55"/>
      <c r="BF55"/>
      <c r="BG55"/>
      <c r="BH55"/>
      <c r="BI55"/>
      <c r="BJ55"/>
      <c r="BK55"/>
      <c r="BL55"/>
      <c r="BM55"/>
      <c r="BN55"/>
      <c r="BO55"/>
      <c r="BP55"/>
      <c r="BQ55"/>
      <c r="BR55"/>
      <c r="BS55"/>
    </row>
    <row r="56" spans="2:71">
      <c r="B56" s="147" t="s">
        <v>164</v>
      </c>
      <c r="C56" s="113" t="s">
        <v>67</v>
      </c>
      <c r="D56" s="605">
        <f>IF(F56&gt;0,F56,E56)</f>
        <v>16</v>
      </c>
      <c r="E56" s="111">
        <f>IF(C56="NMP",'BatPaC IO'!A20,'BatPaC IO'!B20)</f>
        <v>16</v>
      </c>
      <c r="F56" s="148"/>
      <c r="G56" s="602">
        <f>IF(C56="NMP",IF(I56&gt;0,I56,H56),"N/A")</f>
        <v>0.995</v>
      </c>
      <c r="H56" s="154">
        <f>IF(C56="NMP", 'BatPaC IO'!C20, "N/A")</f>
        <v>0.995</v>
      </c>
      <c r="I56" s="155"/>
      <c r="N56" s="166"/>
      <c r="AB56" s="147" t="s">
        <v>1683</v>
      </c>
      <c r="AC56" s="1004">
        <f t="shared" si="4"/>
        <v>2.81</v>
      </c>
      <c r="AD56" s="275">
        <v>2.81</v>
      </c>
      <c r="AE56" s="1307"/>
      <c r="AP56"/>
      <c r="AQ56"/>
      <c r="AR56"/>
      <c r="AS56"/>
      <c r="AT56"/>
      <c r="AU56"/>
      <c r="AV56"/>
      <c r="AW56"/>
      <c r="AX56"/>
      <c r="AY56"/>
      <c r="AZ56"/>
      <c r="BA56"/>
      <c r="BB56"/>
      <c r="BC56"/>
      <c r="BD56"/>
      <c r="BE56"/>
      <c r="BF56"/>
      <c r="BG56"/>
      <c r="BH56"/>
      <c r="BI56"/>
      <c r="BJ56"/>
      <c r="BK56"/>
      <c r="BL56"/>
      <c r="BM56"/>
      <c r="BN56"/>
      <c r="BO56"/>
      <c r="BP56"/>
      <c r="BQ56"/>
      <c r="BR56"/>
      <c r="BS56"/>
    </row>
    <row r="57" spans="2:71">
      <c r="B57" s="149" t="s">
        <v>165</v>
      </c>
      <c r="C57" s="113" t="s">
        <v>93</v>
      </c>
      <c r="D57" s="606">
        <f>IF(F57&gt;0,F57,E57)</f>
        <v>40</v>
      </c>
      <c r="E57" s="121">
        <f>IF(C57="NMP",'BatPaC IO'!A20,'BatPaC IO'!B20)</f>
        <v>40</v>
      </c>
      <c r="F57" s="151"/>
      <c r="G57" s="607" t="str">
        <f>IF(C57="NMP",IF(I57&gt;0,I57,H57),"N/A")</f>
        <v>N/A</v>
      </c>
      <c r="H57" s="170" t="str">
        <f>IF(C57="NMP", 99.5%, "N/A")</f>
        <v>N/A</v>
      </c>
      <c r="I57" s="158"/>
      <c r="N57" s="166"/>
      <c r="AB57" s="1337" t="s">
        <v>1684</v>
      </c>
      <c r="AC57" s="1351">
        <f t="shared" si="4"/>
        <v>1.4</v>
      </c>
      <c r="AD57" s="1489">
        <v>1.4</v>
      </c>
      <c r="AE57" s="1235"/>
      <c r="AP57"/>
      <c r="AQ57"/>
      <c r="AR57"/>
      <c r="AS57"/>
      <c r="AT57"/>
      <c r="AU57"/>
      <c r="AV57"/>
      <c r="AW57"/>
      <c r="AX57"/>
      <c r="AY57"/>
      <c r="AZ57"/>
      <c r="BA57"/>
      <c r="BB57"/>
      <c r="BC57"/>
      <c r="BD57"/>
      <c r="BE57"/>
      <c r="BF57"/>
      <c r="BG57"/>
      <c r="BH57"/>
      <c r="BI57"/>
      <c r="BJ57"/>
      <c r="BK57"/>
      <c r="BL57"/>
      <c r="BM57"/>
      <c r="BN57"/>
      <c r="BO57"/>
      <c r="BP57"/>
      <c r="BQ57"/>
      <c r="BR57"/>
      <c r="BS57"/>
    </row>
    <row r="58" spans="2:71">
      <c r="AB58" s="147" t="s">
        <v>1561</v>
      </c>
      <c r="AC58"/>
      <c r="AD58"/>
      <c r="AE58"/>
      <c r="AP58"/>
      <c r="AQ58"/>
      <c r="AR58"/>
      <c r="AS58"/>
      <c r="AT58"/>
      <c r="AU58"/>
      <c r="AV58"/>
      <c r="AW58"/>
      <c r="AX58"/>
      <c r="AY58"/>
      <c r="AZ58"/>
      <c r="BA58"/>
      <c r="BB58"/>
      <c r="BC58"/>
      <c r="BD58"/>
      <c r="BE58"/>
      <c r="BF58"/>
      <c r="BG58"/>
      <c r="BH58"/>
      <c r="BI58"/>
      <c r="BJ58"/>
      <c r="BK58"/>
      <c r="BL58"/>
      <c r="BM58"/>
      <c r="BN58"/>
      <c r="BO58"/>
      <c r="BP58"/>
      <c r="BQ58"/>
      <c r="BR58"/>
      <c r="BS58"/>
    </row>
    <row r="59" spans="2:71">
      <c r="B59" s="133" t="s">
        <v>159</v>
      </c>
      <c r="AB59" s="143"/>
      <c r="AC59" s="144" t="s">
        <v>51</v>
      </c>
      <c r="AD59" s="145" t="s">
        <v>63</v>
      </c>
      <c r="AE59" s="146" t="s">
        <v>52</v>
      </c>
      <c r="AP59"/>
      <c r="AQ59"/>
      <c r="AR59"/>
      <c r="AS59"/>
      <c r="AT59"/>
      <c r="AU59"/>
      <c r="AV59"/>
      <c r="AW59"/>
      <c r="AX59"/>
      <c r="AY59"/>
      <c r="AZ59"/>
      <c r="BA59"/>
      <c r="BB59"/>
      <c r="BC59"/>
      <c r="BD59"/>
      <c r="BE59"/>
      <c r="BF59"/>
      <c r="BG59"/>
      <c r="BH59"/>
      <c r="BI59"/>
      <c r="BJ59"/>
      <c r="BK59"/>
      <c r="BL59"/>
      <c r="BM59"/>
      <c r="BN59"/>
      <c r="BO59"/>
      <c r="BP59"/>
      <c r="BQ59"/>
      <c r="BR59"/>
      <c r="BS59"/>
    </row>
    <row r="60" spans="2:71" ht="30" customHeight="1">
      <c r="B60" s="133" t="s">
        <v>169</v>
      </c>
      <c r="AB60" s="147" t="s">
        <v>1694</v>
      </c>
      <c r="AC60" s="1004">
        <f>IF(ISNUMBER(AE60),AE60,AD60)</f>
        <v>0.15</v>
      </c>
      <c r="AD60" s="275">
        <v>0.15</v>
      </c>
      <c r="AE60" s="1307"/>
      <c r="AR60"/>
      <c r="AS60"/>
      <c r="AT60"/>
      <c r="AU60"/>
      <c r="AV60"/>
      <c r="AW60"/>
      <c r="AX60"/>
      <c r="AY60"/>
      <c r="AZ60"/>
      <c r="BA60"/>
      <c r="BB60"/>
      <c r="BC60"/>
      <c r="BD60"/>
      <c r="BE60"/>
      <c r="BF60"/>
      <c r="BG60"/>
      <c r="BH60"/>
      <c r="BI60"/>
      <c r="BJ60"/>
      <c r="BK60"/>
      <c r="BL60"/>
      <c r="BM60"/>
      <c r="BN60"/>
      <c r="BO60"/>
      <c r="BP60"/>
      <c r="BQ60"/>
      <c r="BR60"/>
      <c r="BS60"/>
    </row>
    <row r="61" spans="2:71" ht="28">
      <c r="B61" s="143"/>
      <c r="C61" s="171" t="s">
        <v>53</v>
      </c>
      <c r="D61" s="171" t="s">
        <v>54</v>
      </c>
      <c r="E61" s="171" t="s">
        <v>55</v>
      </c>
      <c r="F61" s="171" t="s">
        <v>1621</v>
      </c>
      <c r="G61" s="171" t="s">
        <v>41</v>
      </c>
      <c r="H61" s="171" t="s">
        <v>398</v>
      </c>
      <c r="I61" s="171" t="s">
        <v>57</v>
      </c>
      <c r="J61" s="171" t="s">
        <v>58</v>
      </c>
      <c r="K61" s="171" t="s">
        <v>59</v>
      </c>
      <c r="L61" s="171" t="s">
        <v>60</v>
      </c>
      <c r="M61" s="171" t="s">
        <v>61</v>
      </c>
      <c r="N61" s="171" t="s">
        <v>62</v>
      </c>
      <c r="O61" s="171" t="s">
        <v>439</v>
      </c>
      <c r="P61" s="171" t="s">
        <v>67</v>
      </c>
      <c r="Q61" s="172" t="s">
        <v>1623</v>
      </c>
      <c r="AB61" s="147" t="s">
        <v>1695</v>
      </c>
      <c r="AC61" s="1004">
        <f>IF(ISNUMBER(AE61),AE61,AD61)</f>
        <v>2</v>
      </c>
      <c r="AD61" s="275">
        <v>2</v>
      </c>
      <c r="AE61" s="1307"/>
      <c r="AP61"/>
      <c r="AQ61"/>
      <c r="AR61"/>
      <c r="AS61"/>
      <c r="AT61"/>
      <c r="AU61"/>
      <c r="AV61"/>
      <c r="AW61"/>
      <c r="AX61"/>
      <c r="AY61"/>
      <c r="AZ61"/>
      <c r="BA61"/>
      <c r="BB61"/>
      <c r="BC61"/>
      <c r="BD61"/>
      <c r="BE61"/>
      <c r="BF61"/>
      <c r="BG61"/>
      <c r="BH61"/>
      <c r="BI61"/>
      <c r="BJ61"/>
      <c r="BK61"/>
      <c r="BL61"/>
      <c r="BM61"/>
      <c r="BN61"/>
      <c r="BO61"/>
      <c r="BP61"/>
      <c r="BQ61"/>
      <c r="BR61"/>
      <c r="BS61"/>
    </row>
    <row r="62" spans="2:71">
      <c r="B62" s="149" t="s">
        <v>170</v>
      </c>
      <c r="C62" s="173">
        <f>1/$C$44/C47*C20</f>
        <v>0.51138625134455551</v>
      </c>
      <c r="D62" s="174">
        <f>1/$C$44/C48*C21</f>
        <v>0.30971466511453138</v>
      </c>
      <c r="E62" s="174">
        <f>1/$C$44/C47*C22</f>
        <v>1.0653880236344906E-2</v>
      </c>
      <c r="F62" s="174">
        <f>1/$C$44/C47*C23</f>
        <v>1.0653880236344906E-2</v>
      </c>
      <c r="G62" s="174">
        <f>1/$C$44/C50*C25</f>
        <v>9.6775127886968709E-2</v>
      </c>
      <c r="H62" s="174">
        <f>1/$C$44/C49*C26</f>
        <v>6.2914131280691996E-2</v>
      </c>
      <c r="I62" s="174">
        <f>1/$C$44/$C52*C27</f>
        <v>1.821446960177257E-2</v>
      </c>
      <c r="J62" s="174">
        <f>1/$C$44/$C52*C28</f>
        <v>5.6185250027196362E-2</v>
      </c>
      <c r="K62" s="174">
        <f>1/$C$44/$C52*C29</f>
        <v>4.5509627198410389E-2</v>
      </c>
      <c r="L62" s="174">
        <f>1/$C$44/$C51*C30</f>
        <v>8.9010019536526295E-3</v>
      </c>
      <c r="M62" s="174">
        <f>1/$C$44/$C51*C31</f>
        <v>1.8962434525420296E-3</v>
      </c>
      <c r="N62" s="174">
        <f>1/$C$44*C32</f>
        <v>2.8220874121275708E-3</v>
      </c>
      <c r="O62" s="174">
        <f>1/$C$44*C33</f>
        <v>0</v>
      </c>
      <c r="P62" s="174">
        <f>1/$C$44*(C23/C47*D56*IF(C56=P61,1,0)+C24/C48*D57*IF(C57=P61,1,0))</f>
        <v>0.1704620837815185</v>
      </c>
      <c r="Q62" s="175">
        <f>1/$C$44/C48*C24</f>
        <v>6.3207074513169656E-3</v>
      </c>
      <c r="R62" s="180"/>
      <c r="AB62" s="147" t="s">
        <v>1696</v>
      </c>
      <c r="AC62" s="1004">
        <f>IF(ISNUMBER(AE62),AE62,AD62)</f>
        <v>0.03</v>
      </c>
      <c r="AD62" s="275">
        <v>0.03</v>
      </c>
      <c r="AE62" s="1307"/>
      <c r="AR62"/>
      <c r="AS62"/>
      <c r="AT62"/>
      <c r="AU62"/>
      <c r="AV62"/>
      <c r="AW62"/>
      <c r="AX62"/>
      <c r="AY62"/>
      <c r="AZ62"/>
      <c r="BA62"/>
      <c r="BB62"/>
      <c r="BC62"/>
      <c r="BD62"/>
      <c r="BE62"/>
      <c r="BF62"/>
      <c r="BG62"/>
      <c r="BH62"/>
      <c r="BI62"/>
      <c r="BJ62"/>
      <c r="BK62"/>
      <c r="BL62"/>
      <c r="BM62"/>
      <c r="BN62"/>
      <c r="BO62"/>
      <c r="BP62"/>
      <c r="BQ62"/>
      <c r="BR62"/>
      <c r="BS62"/>
    </row>
    <row r="63" spans="2:71">
      <c r="AB63" s="147" t="s">
        <v>1676</v>
      </c>
      <c r="AC63" s="1004">
        <f t="shared" ref="AC63:AC75" si="5">IF(ISNUMBER(AE63),AE63,AD63)</f>
        <v>0.04</v>
      </c>
      <c r="AD63" s="275">
        <v>0.04</v>
      </c>
      <c r="AE63" s="1307"/>
      <c r="AP63"/>
      <c r="AQ63"/>
      <c r="AR63"/>
      <c r="AS63"/>
      <c r="AT63"/>
      <c r="AU63"/>
      <c r="AV63"/>
      <c r="AW63"/>
      <c r="AX63"/>
      <c r="AY63"/>
      <c r="AZ63"/>
      <c r="BA63"/>
      <c r="BB63"/>
      <c r="BC63"/>
      <c r="BD63"/>
      <c r="BE63"/>
      <c r="BF63"/>
      <c r="BG63"/>
      <c r="BH63"/>
      <c r="BI63"/>
      <c r="BJ63"/>
      <c r="BK63"/>
      <c r="BL63"/>
      <c r="BM63"/>
      <c r="BN63"/>
      <c r="BO63"/>
      <c r="BP63"/>
      <c r="BQ63"/>
      <c r="BR63"/>
      <c r="BS63"/>
    </row>
    <row r="64" spans="2:71">
      <c r="B64" s="133" t="s">
        <v>171</v>
      </c>
      <c r="D64" s="115"/>
      <c r="AB64" s="147" t="s">
        <v>1678</v>
      </c>
      <c r="AC64" s="1004">
        <f t="shared" si="5"/>
        <v>0.2</v>
      </c>
      <c r="AD64" s="275">
        <v>0.2</v>
      </c>
      <c r="AE64" s="1307"/>
      <c r="AP64"/>
      <c r="AQ64"/>
      <c r="AR64"/>
      <c r="AS64"/>
      <c r="AT64"/>
      <c r="AU64"/>
      <c r="AV64"/>
      <c r="AW64"/>
      <c r="AX64"/>
      <c r="AY64"/>
      <c r="AZ64"/>
      <c r="BA64"/>
      <c r="BB64"/>
      <c r="BC64"/>
      <c r="BD64"/>
      <c r="BE64"/>
      <c r="BF64"/>
      <c r="BG64"/>
      <c r="BH64"/>
      <c r="BI64"/>
      <c r="BJ64"/>
      <c r="BK64"/>
      <c r="BL64"/>
      <c r="BM64"/>
      <c r="BN64"/>
      <c r="BO64"/>
      <c r="BP64"/>
      <c r="BQ64"/>
      <c r="BR64"/>
      <c r="BS64"/>
    </row>
    <row r="65" spans="2:71">
      <c r="B65" s="143"/>
      <c r="C65" s="144" t="s">
        <v>191</v>
      </c>
      <c r="D65" s="144" t="s">
        <v>192</v>
      </c>
      <c r="E65" s="146" t="s">
        <v>193</v>
      </c>
      <c r="G65" s="120" t="s">
        <v>270</v>
      </c>
      <c r="H65" s="120"/>
      <c r="AB65" s="147" t="s">
        <v>1560</v>
      </c>
      <c r="AC65" s="1004">
        <f t="shared" si="5"/>
        <v>0.18</v>
      </c>
      <c r="AD65" s="275">
        <v>0.18</v>
      </c>
      <c r="AE65" s="1307"/>
      <c r="AP65"/>
      <c r="AQ65"/>
      <c r="AR65"/>
      <c r="AS65"/>
      <c r="AT65"/>
      <c r="AU65"/>
      <c r="AV65"/>
      <c r="AW65"/>
      <c r="AX65"/>
      <c r="AY65"/>
      <c r="AZ65"/>
      <c r="BA65"/>
      <c r="BB65"/>
      <c r="BC65"/>
      <c r="BD65"/>
      <c r="BE65"/>
      <c r="BF65"/>
      <c r="BG65"/>
      <c r="BH65"/>
      <c r="BI65"/>
      <c r="BJ65"/>
      <c r="BK65"/>
      <c r="BL65"/>
      <c r="BM65"/>
      <c r="BN65"/>
      <c r="BO65"/>
      <c r="BP65"/>
      <c r="BQ65"/>
      <c r="BR65"/>
      <c r="BS65"/>
    </row>
    <row r="66" spans="2:71">
      <c r="B66" s="147" t="s">
        <v>194</v>
      </c>
      <c r="E66" s="176"/>
      <c r="G66" s="120" t="s">
        <v>271</v>
      </c>
      <c r="H66" s="1223">
        <f>1/907.185</f>
        <v>1.1023109950010197E-3</v>
      </c>
      <c r="AB66" s="147" t="s">
        <v>1550</v>
      </c>
      <c r="AC66" s="1004">
        <f t="shared" si="5"/>
        <v>0.5</v>
      </c>
      <c r="AD66" s="275">
        <v>0.5</v>
      </c>
      <c r="AE66" s="1307"/>
      <c r="AP66"/>
      <c r="AQ66"/>
      <c r="AR66"/>
      <c r="AS66"/>
      <c r="AT66"/>
      <c r="AU66"/>
      <c r="AV66"/>
      <c r="AW66"/>
      <c r="AX66"/>
      <c r="AY66"/>
      <c r="AZ66"/>
      <c r="BA66"/>
      <c r="BB66"/>
      <c r="BC66"/>
      <c r="BD66"/>
      <c r="BE66"/>
      <c r="BF66"/>
      <c r="BG66"/>
      <c r="BH66"/>
      <c r="BI66"/>
      <c r="BJ66"/>
      <c r="BK66"/>
      <c r="BL66"/>
      <c r="BM66"/>
      <c r="BN66"/>
      <c r="BO66"/>
      <c r="BP66"/>
      <c r="BQ66"/>
      <c r="BR66"/>
      <c r="BS66"/>
    </row>
    <row r="67" spans="2:71">
      <c r="B67" s="147" t="s">
        <v>173</v>
      </c>
      <c r="C67" s="178">
        <f>(C$62*HLOOKUP($C$9, 'GREET IO'!$B$77:$AZ$98, ROW($B67)-ROW($B$65)+1, FALSE)+(D$62+E$62)*'GREET IO'!$K79+SUMPRODUCT(F$62:O$62,'GREET IO'!$L79:$U79)+P$62*'GREET IO'!$H79+Q$62*'GREET IO'!$L79)*$H$66</f>
        <v>0.22065424587799429</v>
      </c>
      <c r="D67" s="178">
        <f>C$37/$H$67*C$39*('GREET IO'!$B22/1000000+1)+C$37/$H$67*C$38/1000000*IF(C$10=Input!$AD$35,'Geographic Par.'!$E70, IF(C$10=Input!$AD$36, 'Geographic Par.'!$F70, IF(C$10=Input!$AD$37, 'Geographic Par.'!$H70, IF(C$10=Input!$AD$38,'Geographic Par.'!$G70,'Geographic Par.'!$I70))))</f>
        <v>6.4648673679446489E-2</v>
      </c>
      <c r="E67" s="179">
        <f>C67+D67</f>
        <v>0.2853029195574408</v>
      </c>
      <c r="G67" s="120" t="s">
        <v>1292</v>
      </c>
      <c r="H67" s="1027">
        <v>1055.06</v>
      </c>
      <c r="AB67" s="147" t="s">
        <v>1690</v>
      </c>
      <c r="AC67" s="1004">
        <f t="shared" si="5"/>
        <v>0.5</v>
      </c>
      <c r="AD67" s="275">
        <v>0.5</v>
      </c>
      <c r="AE67" s="1307"/>
      <c r="AP67"/>
      <c r="AQ67"/>
      <c r="AR67"/>
      <c r="AS67"/>
      <c r="AT67"/>
      <c r="AU67"/>
      <c r="AV67"/>
      <c r="AW67"/>
      <c r="AX67"/>
      <c r="AY67"/>
      <c r="AZ67"/>
      <c r="BA67"/>
      <c r="BB67"/>
      <c r="BC67"/>
      <c r="BD67"/>
      <c r="BE67"/>
      <c r="BF67"/>
      <c r="BG67"/>
      <c r="BH67"/>
      <c r="BI67"/>
      <c r="BJ67"/>
      <c r="BK67"/>
      <c r="BL67"/>
      <c r="BM67"/>
      <c r="BN67"/>
      <c r="BO67"/>
      <c r="BP67"/>
      <c r="BQ67"/>
      <c r="BR67"/>
      <c r="BS67"/>
    </row>
    <row r="68" spans="2:71">
      <c r="B68" s="147" t="s">
        <v>174</v>
      </c>
      <c r="C68" s="178">
        <f>(C$62*HLOOKUP($C$9, 'GREET IO'!$B$77:$AZ$98, ROW($B68)-ROW($B$65)+1, FALSE)+(D$62+E$62)*'GREET IO'!$K80+SUMPRODUCT(F$62:O$62,'GREET IO'!$L80:$U80)+P$62*'GREET IO'!$H80+Q$62*'GREET IO'!$L80)*$H$66</f>
        <v>0.20332397868778435</v>
      </c>
      <c r="D68" s="178">
        <f>C$37/$H$67*C$39*('GREET IO'!$B23/1000000+1)+C$37/$H$67*C$38/1000000*IF(C$10=Input!$AD$35, 'Geographic Par.'!$E71, IF(C$10=Input!$AD$36, 'Geographic Par.'!$F71, IF(C$10=Input!$AD$37, 'Geographic Par.'!$H71, IF(C$10=Input!$AD$38,'Geographic Par.'!$G71,'Geographic Par.'!$I71))))</f>
        <v>6.0820996548805364E-2</v>
      </c>
      <c r="E68" s="179">
        <f t="shared" ref="E68:E86" si="6">C68+D68</f>
        <v>0.2641449752365897</v>
      </c>
      <c r="G68" s="120" t="s">
        <v>1387</v>
      </c>
      <c r="H68" s="225">
        <v>1E-3</v>
      </c>
      <c r="AB68" s="147" t="s">
        <v>1680</v>
      </c>
      <c r="AC68" s="1004">
        <f t="shared" si="5"/>
        <v>1</v>
      </c>
      <c r="AD68" s="275">
        <v>1</v>
      </c>
      <c r="AE68" s="1307"/>
      <c r="AP68"/>
      <c r="AQ68"/>
      <c r="AR68"/>
      <c r="AS68"/>
      <c r="AT68"/>
      <c r="AU68"/>
      <c r="AV68"/>
      <c r="AW68"/>
      <c r="AX68"/>
      <c r="AY68"/>
      <c r="AZ68"/>
      <c r="BA68"/>
      <c r="BB68"/>
      <c r="BC68"/>
      <c r="BD68"/>
      <c r="BE68"/>
      <c r="BF68"/>
      <c r="BG68"/>
      <c r="BH68"/>
      <c r="BI68"/>
      <c r="BJ68"/>
      <c r="BK68"/>
      <c r="BL68"/>
      <c r="BM68"/>
      <c r="BN68"/>
      <c r="BO68"/>
      <c r="BP68"/>
      <c r="BQ68"/>
      <c r="BR68"/>
      <c r="BS68"/>
    </row>
    <row r="69" spans="2:71">
      <c r="B69" s="147" t="s">
        <v>175</v>
      </c>
      <c r="C69" s="178">
        <f>(C$62*HLOOKUP($C$9, 'GREET IO'!$B$77:$AZ$98, ROW($B69)-ROW($B$65)+1, FALSE)+(D$62+E$62)*'GREET IO'!$K81+SUMPRODUCT(F$62:O$62,'GREET IO'!$L81:$U81)+P$62*'GREET IO'!$H81+Q$62*'GREET IO'!$L81)*$H$66</f>
        <v>5.0349776092478413E-2</v>
      </c>
      <c r="D69" s="178">
        <f>C$37/$H$67*C$39*'GREET IO'!$B24/1000000+C$37/$H$67*C$38/1000000*IF(C$10=Input!$AD$35, 'Geographic Par.'!$E72, IF(C$10=Input!$AD$36, 'Geographic Par.'!$F72, IF(C$10=Input!$AD$37, 'Geographic Par.'!$H72, IF(C$10=Input!$AD$38,'Geographic Par.'!$G72,'Geographic Par.'!$I72))))</f>
        <v>6.5126070545133185E-3</v>
      </c>
      <c r="E69" s="179">
        <f t="shared" si="6"/>
        <v>5.6862383146991734E-2</v>
      </c>
      <c r="AB69" s="147" t="s">
        <v>1681</v>
      </c>
      <c r="AC69" s="1004">
        <f t="shared" si="5"/>
        <v>0.2</v>
      </c>
      <c r="AD69" s="275">
        <v>0.2</v>
      </c>
      <c r="AE69" s="1307"/>
      <c r="AP69"/>
      <c r="AQ69"/>
      <c r="AR69"/>
      <c r="AS69"/>
      <c r="AT69"/>
      <c r="AU69"/>
      <c r="AV69"/>
      <c r="AW69"/>
      <c r="AX69"/>
      <c r="AY69"/>
      <c r="AZ69"/>
      <c r="BA69"/>
      <c r="BB69"/>
      <c r="BC69"/>
      <c r="BD69"/>
      <c r="BE69"/>
      <c r="BF69"/>
      <c r="BG69"/>
      <c r="BH69"/>
      <c r="BI69"/>
      <c r="BJ69"/>
      <c r="BK69"/>
      <c r="BL69"/>
      <c r="BM69"/>
      <c r="BN69"/>
      <c r="BO69"/>
      <c r="BP69"/>
      <c r="BQ69"/>
      <c r="BR69"/>
      <c r="BS69"/>
    </row>
    <row r="70" spans="2:71">
      <c r="B70" s="147" t="s">
        <v>176</v>
      </c>
      <c r="C70" s="178">
        <f>(C$62*HLOOKUP($C$9, 'GREET IO'!$B$77:$AZ$98, ROW($B70)-ROW($B$65)+1, FALSE)+(D$62+E$62)*'GREET IO'!$K82+SUMPRODUCT(F$62:O$62,'GREET IO'!$L82:$U82)+P$62*'GREET IO'!$H82+Q$62*'GREET IO'!$L82)*$H$66</f>
        <v>0.11154339416546916</v>
      </c>
      <c r="D70" s="178">
        <f>C$37/$H$67*C$39*('GREET IO'!$B25/1000000+1)+C$37/$H$67*C$38/1000000*IF(C$10=Input!$AD$35, 'Geographic Par.'!$E73, IF(C$10=Input!$AD$36, 'Geographic Par.'!$F73, IF(C$10=Input!$AD$37, 'Geographic Par.'!$H73, IF(C$10=Input!$AD$38,'Geographic Par.'!$G73,'Geographic Par.'!$I73))))</f>
        <v>5.409560461474109E-2</v>
      </c>
      <c r="E70" s="179">
        <f t="shared" si="6"/>
        <v>0.16563899878021024</v>
      </c>
      <c r="AB70" s="147" t="s">
        <v>1551</v>
      </c>
      <c r="AC70" s="1004">
        <f t="shared" si="5"/>
        <v>0.4</v>
      </c>
      <c r="AD70" s="275">
        <v>0.4</v>
      </c>
      <c r="AE70" s="1307"/>
      <c r="AP70"/>
      <c r="AQ70"/>
      <c r="AR70"/>
      <c r="AS70"/>
      <c r="AT70"/>
      <c r="AU70"/>
      <c r="AV70"/>
      <c r="AW70"/>
      <c r="AX70"/>
      <c r="AY70"/>
      <c r="AZ70"/>
      <c r="BA70"/>
      <c r="BB70"/>
      <c r="BC70"/>
      <c r="BD70"/>
      <c r="BE70"/>
      <c r="BF70"/>
      <c r="BG70"/>
      <c r="BH70"/>
      <c r="BI70"/>
      <c r="BJ70"/>
      <c r="BK70"/>
      <c r="BL70"/>
      <c r="BM70"/>
      <c r="BN70"/>
      <c r="BO70"/>
      <c r="BP70"/>
      <c r="BQ70"/>
      <c r="BR70"/>
      <c r="BS70"/>
    </row>
    <row r="71" spans="2:71">
      <c r="B71" s="147" t="s">
        <v>177</v>
      </c>
      <c r="C71" s="177">
        <f>(C$62*HLOOKUP($C$9, 'GREET IO'!$B$77:$AZ$98, ROW($B71)-ROW($B$65)+1, FALSE)+(D$62+E$62)*'GREET IO'!$K83+SUMPRODUCT(F$62:O$62,'GREET IO'!$L83:$U83)+P$62*'GREET IO'!$H83+Q$62*'GREET IO'!$L83)*$H$66</f>
        <v>4.1430808429836818E-2</v>
      </c>
      <c r="D71" s="177">
        <f>C$37/$H$67*C$39*'GREET IO'!$B26/1000000+C$37/$H$67*C$38/1000000*IF(C$10=Input!$AD$35, 'Geographic Par.'!$E74, IF(C$10=Input!$AD$36, 'Geographic Par.'!$F74, IF(C$10=Input!$AD$37, 'Geographic Par.'!$H74, IF(C$10=Input!$AD$38,'Geographic Par.'!$G74,'Geographic Par.'!$I74))))</f>
        <v>2.1278487955095305E-4</v>
      </c>
      <c r="E71" s="181">
        <f t="shared" si="6"/>
        <v>4.1643593309387772E-2</v>
      </c>
      <c r="AB71" s="147" t="s">
        <v>1679</v>
      </c>
      <c r="AC71" s="1004">
        <f t="shared" si="5"/>
        <v>0.6</v>
      </c>
      <c r="AD71" s="275">
        <v>0.6</v>
      </c>
      <c r="AE71" s="1307"/>
      <c r="AP71"/>
      <c r="AQ71"/>
      <c r="AR71"/>
      <c r="AS71"/>
      <c r="AT71"/>
      <c r="AU71"/>
      <c r="AV71"/>
      <c r="AW71"/>
      <c r="AX71"/>
      <c r="AY71"/>
      <c r="AZ71"/>
      <c r="BA71"/>
      <c r="BB71"/>
      <c r="BC71"/>
      <c r="BD71"/>
      <c r="BE71"/>
      <c r="BF71"/>
      <c r="BG71"/>
      <c r="BH71"/>
      <c r="BI71"/>
      <c r="BJ71"/>
      <c r="BK71"/>
      <c r="BL71"/>
      <c r="BM71"/>
      <c r="BN71"/>
      <c r="BO71"/>
      <c r="BP71"/>
      <c r="BQ71"/>
      <c r="BR71"/>
      <c r="BS71"/>
    </row>
    <row r="72" spans="2:71">
      <c r="B72" s="143" t="s">
        <v>195</v>
      </c>
      <c r="C72" s="183">
        <f>(C$62*HLOOKUP($C$9, 'GREET IO'!$B$77:$AZ$98, ROW($B72)-ROW($B$65)+1, FALSE)+(D$62+E$62)*'GREET IO'!$K84+SUMPRODUCT(F$62:O$62,'GREET IO'!$L84:$U84)+P$62*'GREET IO'!$H84+Q$62*'GREET IO'!$L84)*$H$66</f>
        <v>17.490117801458005</v>
      </c>
      <c r="D72" s="183">
        <f>C$37/$H$67*C$39*'GREET IO'!$B27+C$37/$H$67*C$38*IF(C$10=Input!$AD$35, 'Geographic Par.'!$E75, IF(C$10=Input!$AD$36, 'Geographic Par.'!$F75, IF(C$10=Input!$AD$37,'Geographic Par.'!$H75, IF(C$10=Input!$AD$38,'Geographic Par.'!$G75,'Geographic Par.'!$I75))))</f>
        <v>1.6800916313652097</v>
      </c>
      <c r="E72" s="184">
        <f t="shared" si="6"/>
        <v>19.170209432823214</v>
      </c>
      <c r="AB72" s="147" t="s">
        <v>1687</v>
      </c>
      <c r="AC72" s="1004">
        <f t="shared" si="5"/>
        <v>0.5</v>
      </c>
      <c r="AD72" s="275">
        <v>0.5</v>
      </c>
      <c r="AE72" s="1307"/>
      <c r="AP72"/>
      <c r="AQ72"/>
      <c r="AR72"/>
      <c r="AS72"/>
      <c r="AT72"/>
      <c r="AU72"/>
      <c r="AV72"/>
      <c r="AW72"/>
      <c r="AX72"/>
      <c r="AY72"/>
      <c r="AZ72"/>
      <c r="BA72"/>
      <c r="BB72"/>
      <c r="BC72"/>
      <c r="BD72"/>
      <c r="BE72"/>
      <c r="BF72"/>
      <c r="BG72"/>
      <c r="BH72"/>
      <c r="BI72"/>
      <c r="BJ72"/>
      <c r="BK72"/>
      <c r="BL72"/>
      <c r="BM72"/>
      <c r="BN72"/>
      <c r="BO72"/>
      <c r="BP72"/>
      <c r="BQ72"/>
      <c r="BR72"/>
      <c r="BS72"/>
    </row>
    <row r="73" spans="2:71">
      <c r="B73" s="147" t="s">
        <v>196</v>
      </c>
      <c r="E73" s="176"/>
      <c r="AB73" s="147" t="s">
        <v>1688</v>
      </c>
      <c r="AC73" s="1004">
        <f t="shared" si="5"/>
        <v>0.75</v>
      </c>
      <c r="AD73" s="275">
        <v>0.75</v>
      </c>
      <c r="AE73" s="1307"/>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row>
    <row r="74" spans="2:71">
      <c r="B74" s="147" t="s">
        <v>180</v>
      </c>
      <c r="C74" s="178">
        <f>(C$62*HLOOKUP($C$9, 'GREET IO'!$B$77:$AZ$98, ROW($B74)-ROW($B$65)+1, FALSE)+(D$62+E$62)*'GREET IO'!$K86+SUMPRODUCT(F$62:O$62,'GREET IO'!$L86:$U86)+P$62*'GREET IO'!$H86+Q$62*'GREET IO'!$L86)*$H$66</f>
        <v>3.4801958237694475</v>
      </c>
      <c r="D74" s="178">
        <f>C$37/$H$67*C$39*('GREET IO'!$B28+'GREET IO'!$B4)+C$37/$H$67*C$38*IF(C$10=Input!$AD$35, 'Geographic Par.'!$E76, IF(C$10=Input!$AD$36, 'Geographic Par.'!$F76, IF(C$10=Input!$AD$37, 'Geographic Par.'!$H76, IF(C$10=Input!$AD$38,'Geographic Par.'!$G76,'Geographic Par.'!$I76))))</f>
        <v>0.70151107226809961</v>
      </c>
      <c r="E74" s="179">
        <f t="shared" si="6"/>
        <v>4.1817068960375474</v>
      </c>
      <c r="AB74" s="147" t="s">
        <v>1683</v>
      </c>
      <c r="AC74" s="1004">
        <f t="shared" si="5"/>
        <v>3</v>
      </c>
      <c r="AD74" s="275">
        <v>3</v>
      </c>
      <c r="AE74" s="1307"/>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row>
    <row r="75" spans="2:71">
      <c r="B75" s="147" t="s">
        <v>181</v>
      </c>
      <c r="C75" s="178">
        <f>(C$62*HLOOKUP($C$9, 'GREET IO'!$B$77:$AZ$98, ROW($B75)-ROW($B$65)+1, FALSE)+(D$62+E$62)*'GREET IO'!$K87+SUMPRODUCT(F$62:O$62,'GREET IO'!$L87:$U87)+P$62*'GREET IO'!$H87+Q$62*'GREET IO'!$L87)*$H$66</f>
        <v>23.82542204931578</v>
      </c>
      <c r="D75" s="178">
        <f>C$37/$H$67*C$39*('GREET IO'!$B29+'GREET IO'!$B5)+C$37/$H$67*C$38*IF(C$10=Input!$AD$35, 'Geographic Par.'!$E77, IF(C$10=Input!$AD$36, 'Geographic Par.'!$F77, IF(C$10=Input!$AD$37, 'Geographic Par.'!$H77, IF(C$10=Input!$AD$38,'Geographic Par.'!$G77,'Geographic Par.'!$I77))))</f>
        <v>2.8591914417606916</v>
      </c>
      <c r="E75" s="179">
        <f t="shared" si="6"/>
        <v>26.684613491076473</v>
      </c>
      <c r="AB75" s="147" t="s">
        <v>1684</v>
      </c>
      <c r="AC75" s="1004">
        <f t="shared" si="5"/>
        <v>3</v>
      </c>
      <c r="AD75" s="275">
        <v>3</v>
      </c>
      <c r="AE75" s="1307"/>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row>
    <row r="76" spans="2:71">
      <c r="B76" s="147" t="s">
        <v>182</v>
      </c>
      <c r="C76" s="178">
        <f>(C$62*HLOOKUP($C$9, 'GREET IO'!$B$77:$AZ$98, ROW($B76)-ROW($B$65)+1, FALSE)+(D$62+E$62)*'GREET IO'!$K88+SUMPRODUCT(F$62:O$62,'GREET IO'!$L88:$U88)+P$62*'GREET IO'!$H88+Q$62*'GREET IO'!$L88)*$H$66</f>
        <v>20.059431887719089</v>
      </c>
      <c r="D76" s="178">
        <f>C$37/$H$67*C$39*('GREET IO'!$B30+'GREET IO'!$B6)+C$37/$H$67*C$38*IF(C$10=Input!$AD$35, 'Geographic Par.'!$E78, IF(C$10=Input!$AD$36, 'Geographic Par.'!$F78, IF(C$10=Input!$AD$37, 'Geographic Par.'!$H78, IF(C$10=Input!$AD$38,'Geographic Par.'!$G78,'Geographic Par.'!$I78))))</f>
        <v>4.0969094942795223</v>
      </c>
      <c r="E76" s="179">
        <f t="shared" si="6"/>
        <v>24.156341381998612</v>
      </c>
      <c r="AB76" s="147" t="s">
        <v>1562</v>
      </c>
      <c r="AC76" s="1004">
        <f>IF(ISNUMBER(AE76),AE76,AD76)</f>
        <v>20</v>
      </c>
      <c r="AD76" s="275">
        <v>20</v>
      </c>
      <c r="AE76" s="1307"/>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row>
    <row r="77" spans="2:71">
      <c r="B77" s="147" t="s">
        <v>183</v>
      </c>
      <c r="C77" s="178">
        <f>(C$62*HLOOKUP($C$9, 'GREET IO'!$B$77:$AZ$98, ROW($B77)-ROW($B$65)+1, FALSE)+(D$62+E$62)*'GREET IO'!$K89+SUMPRODUCT(F$62:O$62,'GREET IO'!$L89:$U89)+P$62*'GREET IO'!$H89+Q$62*'GREET IO'!$L89)*$H$66</f>
        <v>6.4301861480017273</v>
      </c>
      <c r="D77" s="178">
        <f>C$37/$H$67*C$39*('GREET IO'!$B31+'GREET IO'!$B7)+C$37/$H$67*C$38*IF(C$10=Input!$AD$35, 'Geographic Par.'!$E79, IF(C$10=Input!$AD$36, 'Geographic Par.'!$F79, IF(C$10=Input!$AD$37, 'Geographic Par.'!$H79, IF(C$10=Input!$AD$38,'Geographic Par.'!$G79,'Geographic Par.'!$I79))))</f>
        <v>0.29411109012423209</v>
      </c>
      <c r="E77" s="179">
        <f t="shared" si="6"/>
        <v>6.7242972381259598</v>
      </c>
      <c r="AB77" s="147" t="s">
        <v>1563</v>
      </c>
      <c r="AC77" s="1004">
        <f>IF(ISNUMBER(AE77),AE77,AD77)</f>
        <v>200</v>
      </c>
      <c r="AD77" s="275">
        <v>200</v>
      </c>
      <c r="AE77" s="130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row>
    <row r="78" spans="2:71">
      <c r="B78" s="147" t="s">
        <v>184</v>
      </c>
      <c r="C78" s="178">
        <f>(C$62*HLOOKUP($C$9, 'GREET IO'!$B$77:$AZ$98, ROW($B78)-ROW($B$65)+1, FALSE)+(D$62+E$62)*'GREET IO'!$K90+SUMPRODUCT(F$62:O$62,'GREET IO'!$L90:$U90)+P$62*'GREET IO'!$H90+Q$62*'GREET IO'!$L90)*$H$66</f>
        <v>2.187066255135758</v>
      </c>
      <c r="D78" s="178">
        <f>C$37/$H$67*C$39*('GREET IO'!$B32+'GREET IO'!$B8)+C$37/$H$67*C$38*IF(C$10=Input!$AD$35, 'Geographic Par.'!$E80, IF(C$10=Input!$AD$36, 'Geographic Par.'!$F80, IF(C$10=Input!$AD$37, 'Geographic Par.'!$H80, IF(C$10=Input!$AD$38,'Geographic Par.'!$G80,'Geographic Par.'!$I80))))</f>
        <v>0.23384241522475377</v>
      </c>
      <c r="E78" s="179">
        <f t="shared" si="6"/>
        <v>2.4209086703605118</v>
      </c>
      <c r="AB78" s="1183" t="s">
        <v>1564</v>
      </c>
      <c r="AC78" s="1309">
        <f>IF(ISNUMBER(AE78),AE78,AD78)</f>
        <v>354.51</v>
      </c>
      <c r="AD78" s="1308">
        <v>354.51</v>
      </c>
      <c r="AE78" s="1235"/>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row>
    <row r="79" spans="2:71">
      <c r="B79" s="147" t="s">
        <v>185</v>
      </c>
      <c r="C79" s="178">
        <f>(C$62*HLOOKUP($C$9, 'GREET IO'!$B$77:$AZ$98, ROW($B79)-ROW($B$65)+1, FALSE)+(D$62+E$62)*'GREET IO'!$K91+SUMPRODUCT(F$62:O$62,'GREET IO'!$L91:$U91)+P$62*'GREET IO'!$H91+Q$62*'GREET IO'!$L91)*$H$66</f>
        <v>64.253423152616378</v>
      </c>
      <c r="D79" s="178">
        <f>C$37/$H$67*C$39*('GREET IO'!$B33+'GREET IO'!$B9)+C$37/$H$67*C$38*IF(C$10=Input!$AD$35, 'Geographic Par.'!$E81, IF(C$10=Input!$AD$36, 'Geographic Par.'!$F81, IF(C$10=Input!$AD$37, 'Geographic Par.'!$H81, IF(C$10=Input!$AD$38,'Geographic Par.'!$G81,'Geographic Par.'!$I81))))</f>
        <v>1.2469342677546598</v>
      </c>
      <c r="E79" s="179">
        <f t="shared" si="6"/>
        <v>65.500357420371031</v>
      </c>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row>
    <row r="80" spans="2:71">
      <c r="B80" s="147" t="s">
        <v>186</v>
      </c>
      <c r="C80" s="178">
        <f>(C$62*HLOOKUP($C$9, 'GREET IO'!$B$77:$AZ$98, ROW($B80)-ROW($B$65)+1, FALSE)+(D$62+E$62)*'GREET IO'!$K92+SUMPRODUCT(F$62:O$62,'GREET IO'!$L92:$U92)+P$62*'GREET IO'!$H92+Q$62*'GREET IO'!$L92)*$H$66</f>
        <v>0.15675837262654022</v>
      </c>
      <c r="D80" s="178">
        <f>C$37/$H$67*C$39*('GREET IO'!$B34+'GREET IO'!$B10)+C$37/$H$67*C$38*IF(C$10=Input!$AD$35, 'Geographic Par.'!$E82, IF(C$10=Input!$AD$36, 'Geographic Par.'!$F82, IF(C$10=Input!$AD$37, 'Geographic Par.'!$H82, IF(C$10=Input!$AD$38,'Geographic Par.'!$G82,'Geographic Par.'!$I82))))</f>
        <v>3.1112777282783062E-2</v>
      </c>
      <c r="E80" s="179">
        <f t="shared" si="6"/>
        <v>0.18787114990932327</v>
      </c>
      <c r="AB80" s="133" t="s">
        <v>1566</v>
      </c>
      <c r="AD80" s="1693" t="s">
        <v>63</v>
      </c>
      <c r="AE80" s="1694"/>
      <c r="AF80" s="1694"/>
      <c r="AG80" s="1694"/>
      <c r="AH80" s="1694"/>
      <c r="AI80" s="1694"/>
      <c r="AJ80" s="1694"/>
      <c r="AK80" s="1695"/>
      <c r="AM80"/>
      <c r="AN80"/>
      <c r="AO80"/>
      <c r="AP80"/>
      <c r="AQ80"/>
      <c r="AR80"/>
      <c r="AS80"/>
      <c r="AT80"/>
      <c r="AU80"/>
      <c r="AV80"/>
      <c r="AW80"/>
      <c r="AX80"/>
      <c r="AY80"/>
      <c r="AZ80"/>
      <c r="BA80"/>
      <c r="BB80"/>
      <c r="BC80"/>
      <c r="BD80"/>
      <c r="BE80"/>
      <c r="BF80"/>
      <c r="BG80"/>
      <c r="BH80"/>
      <c r="BI80"/>
      <c r="BJ80"/>
      <c r="BK80"/>
      <c r="BL80"/>
      <c r="BM80"/>
      <c r="BN80"/>
      <c r="BO80"/>
      <c r="BP80"/>
      <c r="BQ80"/>
      <c r="BR80"/>
      <c r="BS80"/>
    </row>
    <row r="81" spans="2:71">
      <c r="B81" s="147" t="s">
        <v>187</v>
      </c>
      <c r="C81" s="178">
        <f>(C$62*HLOOKUP($C$9, 'GREET IO'!$B$77:$AZ$98, ROW($B81)-ROW($B$65)+1, FALSE)+(D$62+E$62)*'GREET IO'!$K93+SUMPRODUCT(F$62:O$62,'GREET IO'!$L93:$U93)+P$62*'GREET IO'!$H93+Q$62*'GREET IO'!$L93)*$H$66</f>
        <v>0.34001335762619533</v>
      </c>
      <c r="D81" s="178">
        <f>C$37/$H$67*C$39*('GREET IO'!$B35+'GREET IO'!$B11)+C$37/$H$67*C$38*IF(C$10=Input!$AD$35, 'Geographic Par.'!$E83, IF(C$10=Input!$AD$36, 'Geographic Par.'!$F83, IF(C$10=Input!$AD$37, 'Geographic Par.'!$H83, IF(C$10=Input!$AD$38,'Geographic Par.'!$G83,'Geographic Par.'!$I83))))</f>
        <v>8.7489348881457207E-2</v>
      </c>
      <c r="E81" s="179">
        <f t="shared" si="6"/>
        <v>0.42750270650765254</v>
      </c>
      <c r="AB81" s="143"/>
      <c r="AC81" s="144" t="s">
        <v>51</v>
      </c>
      <c r="AD81" s="145" t="s">
        <v>1029</v>
      </c>
      <c r="AE81" s="144" t="s">
        <v>1540</v>
      </c>
      <c r="AF81" s="144" t="s">
        <v>667</v>
      </c>
      <c r="AG81" s="144" t="s">
        <v>669</v>
      </c>
      <c r="AH81" s="144" t="s">
        <v>42</v>
      </c>
      <c r="AI81" s="144" t="s">
        <v>73</v>
      </c>
      <c r="AJ81" s="144" t="s">
        <v>148</v>
      </c>
      <c r="AK81" s="146" t="s">
        <v>149</v>
      </c>
      <c r="AL81" s="146" t="s">
        <v>52</v>
      </c>
      <c r="AM81"/>
      <c r="AN81"/>
      <c r="AO81"/>
      <c r="AP81"/>
      <c r="AQ81"/>
      <c r="AR81"/>
      <c r="AS81"/>
      <c r="AT81"/>
      <c r="AU81"/>
      <c r="AV81"/>
      <c r="AW81"/>
      <c r="AX81"/>
      <c r="AY81"/>
      <c r="AZ81"/>
      <c r="BA81"/>
      <c r="BB81"/>
      <c r="BC81"/>
      <c r="BD81"/>
      <c r="BE81"/>
      <c r="BF81"/>
      <c r="BG81"/>
      <c r="BH81"/>
      <c r="BI81"/>
      <c r="BJ81"/>
      <c r="BK81"/>
      <c r="BL81"/>
      <c r="BM81"/>
      <c r="BN81"/>
      <c r="BO81"/>
      <c r="BP81"/>
      <c r="BQ81"/>
      <c r="BR81"/>
      <c r="BS81"/>
    </row>
    <row r="82" spans="2:71">
      <c r="B82" s="147" t="s">
        <v>188</v>
      </c>
      <c r="C82" s="178">
        <f>(C$62*HLOOKUP($C$9, 'GREET IO'!$B$77:$AZ$98, ROW($B82)-ROW($B$65)+1, FALSE)+(D$62+E$62)*'GREET IO'!$K94+SUMPRODUCT(F$62:O$62,'GREET IO'!$L94:$U94)+P$62*'GREET IO'!$H94+Q$62*'GREET IO'!$L94)*$H$66</f>
        <v>89.328950799436029</v>
      </c>
      <c r="D82" s="178">
        <f>C$37/$H$67*C$39*('GREET IO'!$B36+'GREET IO'!$B12)+C$37/$H$67*C$38*IF(C$10=Input!$AD$35, 'Geographic Par.'!$E84, IF(C$10=Input!$AD$36, 'Geographic Par.'!$F84, IF(C$10=Input!$AD$37, 'Geographic Par.'!$H84, IF(C$10=Input!$AD$38,'Geographic Par.'!$G84,'Geographic Par.'!$I84))))</f>
        <v>11.722536317600513</v>
      </c>
      <c r="E82" s="179">
        <f t="shared" si="6"/>
        <v>101.05148711703654</v>
      </c>
      <c r="AB82" s="147" t="s">
        <v>363</v>
      </c>
      <c r="AC82" s="1080">
        <f>IF(ISNUMBER(AL82),AL82,HLOOKUP($C$9, $AD$81:$AK$83, ROW($AC82)-ROW($AC$82)+2, FALSE))</f>
        <v>0</v>
      </c>
      <c r="AD82" s="1081">
        <v>0</v>
      </c>
      <c r="AE82" s="1081">
        <v>0</v>
      </c>
      <c r="AF82" s="1081">
        <v>0</v>
      </c>
      <c r="AG82" s="1081">
        <v>0</v>
      </c>
      <c r="AH82" s="1081">
        <v>0</v>
      </c>
      <c r="AI82" s="1081">
        <v>0</v>
      </c>
      <c r="AJ82" s="1081">
        <v>0</v>
      </c>
      <c r="AK82" s="1312">
        <v>0</v>
      </c>
      <c r="AL82" s="1082"/>
      <c r="AM82"/>
      <c r="AN82"/>
      <c r="AO82"/>
      <c r="AP82"/>
      <c r="AQ82"/>
      <c r="AR82"/>
      <c r="AS82"/>
      <c r="AT82"/>
      <c r="AU82"/>
      <c r="AV82"/>
      <c r="AW82"/>
      <c r="AX82"/>
      <c r="AY82"/>
      <c r="AZ82"/>
      <c r="BA82"/>
      <c r="BB82"/>
      <c r="BC82"/>
      <c r="BD82"/>
      <c r="BE82"/>
      <c r="BF82"/>
      <c r="BG82"/>
      <c r="BH82"/>
      <c r="BI82"/>
      <c r="BJ82"/>
      <c r="BK82"/>
      <c r="BL82"/>
      <c r="BM82"/>
      <c r="BN82"/>
      <c r="BO82"/>
      <c r="BP82"/>
      <c r="BQ82"/>
      <c r="BR82"/>
      <c r="BS82"/>
    </row>
    <row r="83" spans="2:71">
      <c r="B83" s="147" t="s">
        <v>189</v>
      </c>
      <c r="C83" s="178">
        <f>(C$62*HLOOKUP($C$9, 'GREET IO'!$B$77:$AZ$98, ROW($B83)-ROW($B$65)+1, FALSE)+(D$62+E$62)*'GREET IO'!$K95+SUMPRODUCT(F$62:O$62,'GREET IO'!$L95:$U95)+P$62*'GREET IO'!$H95+Q$62*'GREET IO'!$L95)*$H$66</f>
        <v>0.39093575627662641</v>
      </c>
      <c r="D83" s="178">
        <f>C$37/$H$67*C$39*('GREET IO'!$B37+'GREET IO'!$B13)+C$37/$H$67*C$38*IF(C$10=Input!$AD$35, 'Geographic Par.'!$E85, IF(C$10=Input!$AD$36, 'Geographic Par.'!$F85, IF(C$10=Input!$AD$37, 'Geographic Par.'!$H85, IF(C$10=Input!$AD$38,'Geographic Par.'!$G85,'Geographic Par.'!$I85))))</f>
        <v>0.1131233764561671</v>
      </c>
      <c r="E83" s="179">
        <f t="shared" si="6"/>
        <v>0.50405913273279346</v>
      </c>
      <c r="AB83" s="1183" t="s">
        <v>1565</v>
      </c>
      <c r="AC83" s="1310">
        <f>IF(ISNUMBER(AL83),AL83,HLOOKUP($C$9, $AD$81:$AK$83, ROW($AC83)-ROW($AC$82)+2, FALSE))</f>
        <v>0</v>
      </c>
      <c r="AD83" s="1311">
        <v>0</v>
      </c>
      <c r="AE83" s="1311">
        <v>0</v>
      </c>
      <c r="AF83" s="1311">
        <v>0</v>
      </c>
      <c r="AG83" s="1311">
        <v>0</v>
      </c>
      <c r="AH83" s="1311">
        <v>0</v>
      </c>
      <c r="AI83" s="1311">
        <v>0</v>
      </c>
      <c r="AJ83" s="1311">
        <v>0</v>
      </c>
      <c r="AK83" s="1311">
        <v>0</v>
      </c>
      <c r="AL83" s="162"/>
      <c r="AM83"/>
      <c r="AN83"/>
      <c r="AO83"/>
      <c r="AP83"/>
      <c r="AQ83"/>
      <c r="AR83"/>
      <c r="AS83"/>
      <c r="AT83"/>
      <c r="AU83"/>
      <c r="AV83"/>
      <c r="AW83"/>
      <c r="AX83"/>
      <c r="AY83"/>
      <c r="AZ83"/>
      <c r="BA83"/>
      <c r="BB83"/>
      <c r="BC83"/>
      <c r="BD83"/>
      <c r="BE83"/>
      <c r="BF83"/>
      <c r="BG83"/>
      <c r="BH83"/>
      <c r="BI83"/>
      <c r="BJ83"/>
      <c r="BK83"/>
      <c r="BL83"/>
      <c r="BM83"/>
      <c r="BN83"/>
      <c r="BO83"/>
      <c r="BP83"/>
      <c r="BQ83"/>
      <c r="BR83"/>
      <c r="BS83"/>
    </row>
    <row r="84" spans="2:71">
      <c r="B84" s="147" t="s">
        <v>190</v>
      </c>
      <c r="C84" s="185">
        <f>(C$62*HLOOKUP($C$9, 'GREET IO'!$B$77:$AZ$98, ROW($B84)-ROW($B$65)+1, FALSE)+(D$62+E$62)*'GREET IO'!$K96+SUMPRODUCT(F$62:O$62,'GREET IO'!$L96:$U96)+P$62*'GREET IO'!$H96+Q$62*'GREET IO'!$L96)*$H$66</f>
        <v>13822.083129792332</v>
      </c>
      <c r="D84" s="185">
        <f>C$37/$H$67*C$39*('GREET IO'!$B38+'GREET IO'!$B14)+C$37/$H$67*C$38*IF(C$10=Input!$AD$35, 'Geographic Par.'!$E86, IF(C$10=Input!$AD$36, 'Geographic Par.'!$F86, IF(C$10=Input!$AD$37, 'Geographic Par.'!$H86, IF(C$10=Input!$AD$38,'Geographic Par.'!$G86,'Geographic Par.'!$I86))))</f>
        <v>3875.7147792089399</v>
      </c>
      <c r="E84" s="186">
        <f t="shared" si="6"/>
        <v>17697.797909001274</v>
      </c>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row>
    <row r="85" spans="2:71">
      <c r="B85" s="147" t="s">
        <v>198</v>
      </c>
      <c r="C85" s="185">
        <f>(C$62*HLOOKUP($C$9, 'GREET IO'!$B$77:$AZ$98, ROW($B85)-ROW($B$65)+1, FALSE)+(D$62+E$62)*'GREET IO'!$K97+SUMPRODUCT(F$62:O$62,'GREET IO'!$L97:$U97)+P$62*'GREET IO'!$H97+Q$62*'GREET IO'!$L97)*$H$66</f>
        <v>13870.369689044386</v>
      </c>
      <c r="D85" s="185">
        <f>D$84+D$74*'GREET IO'!$B$118/'GREET IO'!$B$120+D$75*'GREET IO'!$B$119/'GREET IO'!$B$120</f>
        <v>3882.3941705069424</v>
      </c>
      <c r="E85" s="186">
        <f t="shared" si="6"/>
        <v>17752.763859551327</v>
      </c>
      <c r="AB85" s="133" t="s">
        <v>159</v>
      </c>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row>
    <row r="86" spans="2:71">
      <c r="B86" s="149" t="s">
        <v>199</v>
      </c>
      <c r="C86" s="323">
        <f>(C$62*HLOOKUP($C$9, 'GREET IO'!$B$77:$AZ$98, ROW($B86)-ROW($B$65)+1, FALSE)+(D$62+E$62)*'GREET IO'!$K98+SUMPRODUCT(F$62:O$62,'GREET IO'!$L98:$U98)+P$62*'GREET IO'!$H98+Q$62*'GREET IO'!$L98)*$H$66</f>
        <v>16648.457455524673</v>
      </c>
      <c r="D86" s="323">
        <f>D$85+SUMPRODUCT(D$82:D$83,'GREET IO'!$B$114:$B$115)</f>
        <v>4262.6084345439713</v>
      </c>
      <c r="E86" s="189">
        <f t="shared" si="6"/>
        <v>20911.065890068643</v>
      </c>
      <c r="AB86" s="133" t="s">
        <v>1576</v>
      </c>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row>
    <row r="87" spans="2:71">
      <c r="AB87" s="143"/>
      <c r="AC87" s="1313" t="s">
        <v>1575</v>
      </c>
      <c r="AD87" s="1313" t="s">
        <v>1572</v>
      </c>
      <c r="AE87" s="1177" t="s">
        <v>1573</v>
      </c>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row>
    <row r="88" spans="2:71">
      <c r="B88" s="133" t="s">
        <v>272</v>
      </c>
      <c r="AB88" s="149" t="s">
        <v>1571</v>
      </c>
      <c r="AC88" s="1369">
        <f>C16*AC13*AC14</f>
        <v>319.2640800100628</v>
      </c>
      <c r="AD88" s="1371">
        <f>(C16*AC13+SUM(AC19:AC24)/1000)*AC14</f>
        <v>359.93808774789619</v>
      </c>
      <c r="AE88" s="1373">
        <f>AD88+SUM(AC28:AC40)</f>
        <v>514.78562201988154</v>
      </c>
      <c r="AF88" s="119"/>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row>
    <row r="89" spans="2:71">
      <c r="B89" s="111" t="s">
        <v>273</v>
      </c>
      <c r="AM89"/>
      <c r="AN89"/>
      <c r="AO89"/>
      <c r="AP89"/>
      <c r="AQ89"/>
      <c r="AR89"/>
      <c r="AS89"/>
      <c r="AT89"/>
      <c r="AU89"/>
      <c r="AV89"/>
      <c r="AW89"/>
      <c r="AX89"/>
      <c r="AY89"/>
      <c r="AZ89"/>
      <c r="BA89"/>
      <c r="BB89"/>
      <c r="BC89"/>
      <c r="BD89"/>
      <c r="BE89"/>
      <c r="BF89"/>
      <c r="BG89"/>
      <c r="BH89"/>
      <c r="BI89"/>
      <c r="BJ89"/>
      <c r="BK89"/>
      <c r="BL89"/>
      <c r="BM89"/>
      <c r="BN89"/>
      <c r="BO89"/>
      <c r="BP89"/>
      <c r="BQ89"/>
      <c r="BR89"/>
      <c r="BS89"/>
    </row>
    <row r="90" spans="2:71">
      <c r="B90" s="1315"/>
      <c r="C90" s="144" t="s">
        <v>275</v>
      </c>
      <c r="D90" s="144" t="s">
        <v>276</v>
      </c>
      <c r="E90" s="144" t="s">
        <v>55</v>
      </c>
      <c r="F90" s="144" t="s">
        <v>1621</v>
      </c>
      <c r="G90" s="144" t="s">
        <v>1623</v>
      </c>
      <c r="H90" s="144" t="s">
        <v>67</v>
      </c>
      <c r="I90" s="144" t="s">
        <v>296</v>
      </c>
      <c r="J90" s="144" t="s">
        <v>295</v>
      </c>
      <c r="K90" s="144" t="s">
        <v>86</v>
      </c>
      <c r="L90" s="144" t="s">
        <v>70</v>
      </c>
      <c r="M90" s="144" t="s">
        <v>1388</v>
      </c>
      <c r="N90" s="146" t="s">
        <v>193</v>
      </c>
      <c r="AB90" s="133" t="s">
        <v>1570</v>
      </c>
      <c r="AC90"/>
      <c r="AD90"/>
      <c r="AE90"/>
      <c r="AF90"/>
      <c r="AG90"/>
      <c r="AH90"/>
      <c r="AI90"/>
      <c r="AM90"/>
      <c r="AN90"/>
      <c r="AO90"/>
      <c r="AP90"/>
      <c r="AQ90"/>
      <c r="AR90"/>
      <c r="AS90"/>
      <c r="AT90"/>
      <c r="AU90"/>
      <c r="AV90"/>
      <c r="AW90"/>
      <c r="AX90"/>
      <c r="AY90"/>
      <c r="AZ90"/>
      <c r="BA90"/>
      <c r="BB90"/>
      <c r="BC90"/>
      <c r="BD90"/>
      <c r="BE90"/>
      <c r="BF90"/>
      <c r="BG90"/>
      <c r="BH90"/>
      <c r="BI90"/>
      <c r="BJ90"/>
      <c r="BK90"/>
      <c r="BL90"/>
      <c r="BM90"/>
      <c r="BN90"/>
      <c r="BO90"/>
      <c r="BP90"/>
      <c r="BQ90"/>
      <c r="BR90"/>
      <c r="BS90"/>
    </row>
    <row r="91" spans="2:71">
      <c r="B91" s="143" t="s">
        <v>274</v>
      </c>
      <c r="C91" s="190">
        <f ca="1">C$62*HLOOKUP(C$9,'BatPaC IO'!$A$4:$S$5,2,FALSE)</f>
        <v>12.784656283613888</v>
      </c>
      <c r="D91" s="191">
        <f>D$62*'BatPaC IO'!$F$5</f>
        <v>3.0971466511453141</v>
      </c>
      <c r="E91" s="191">
        <f>E$62*'BatPaC IO'!$C$5</f>
        <v>7.4577161654414345E-2</v>
      </c>
      <c r="F91" s="191">
        <f>F$62*'BatPaC IO'!$D$5</f>
        <v>0.15980820354517361</v>
      </c>
      <c r="G91" s="191">
        <f>Q$62*'BatPaC IO'!$T$5</f>
        <v>6.3207074513169662E-2</v>
      </c>
      <c r="H91" s="191">
        <f>P$62*'BatPaC IO'!$E$5</f>
        <v>0.46024762621010001</v>
      </c>
      <c r="I91" s="191">
        <f>H$62*'BatPaC IO'!$G$5</f>
        <v>0.31068706805279994</v>
      </c>
      <c r="J91" s="191">
        <f>G$62*'BatPaC IO'!$H$5</f>
        <v>1.2960954627719021</v>
      </c>
      <c r="K91" s="191">
        <f>M$62*5*'BatPaC IO'!$I$5</f>
        <v>1.2103681611970403</v>
      </c>
      <c r="L91" s="191">
        <f>SUM(I$62:K$62)*'BatPaC IO'!$J$5</f>
        <v>0.99924455689482783</v>
      </c>
      <c r="M91" s="191">
        <f>'BatPaC IO'!B11*(D95/'BatPaC IO'!D53)^'BatPaC IO'!L25+'BatPaC IO'!C11*(D95/'BatPaC IO'!D53)^'BatPaC IO'!M25+'BatPaC IO'!D11*(D95/'BatPaC IO'!D53)^'BatPaC IO'!N25</f>
        <v>0.35931292988433305</v>
      </c>
      <c r="N91" s="192">
        <f ca="1">SUM(C91:M91)</f>
        <v>20.81535117948296</v>
      </c>
      <c r="AB91" s="143"/>
      <c r="AC91" s="1313" t="s">
        <v>41</v>
      </c>
      <c r="AD91" s="1214" t="s">
        <v>398</v>
      </c>
      <c r="AE91" s="1314" t="s">
        <v>60</v>
      </c>
      <c r="AF91" s="1214" t="s">
        <v>1567</v>
      </c>
      <c r="AG91" s="1214" t="s">
        <v>1568</v>
      </c>
      <c r="AH91" s="1214" t="s">
        <v>439</v>
      </c>
      <c r="AI91" s="1214" t="s">
        <v>1691</v>
      </c>
      <c r="AJ91" s="1217" t="s">
        <v>1569</v>
      </c>
      <c r="AM91"/>
      <c r="AN91"/>
      <c r="AO91"/>
      <c r="AP91"/>
      <c r="AQ91"/>
      <c r="AR91"/>
      <c r="AS91"/>
      <c r="AT91"/>
      <c r="AU91"/>
      <c r="AV91"/>
      <c r="AW91"/>
      <c r="AX91"/>
      <c r="AY91"/>
      <c r="AZ91"/>
      <c r="BA91"/>
      <c r="BB91"/>
      <c r="BC91"/>
      <c r="BD91"/>
      <c r="BE91"/>
      <c r="BF91"/>
      <c r="BG91"/>
      <c r="BH91"/>
      <c r="BI91"/>
      <c r="BJ91"/>
      <c r="BK91"/>
      <c r="BL91"/>
      <c r="BM91"/>
      <c r="BN91"/>
      <c r="BO91"/>
      <c r="BP91"/>
      <c r="BQ91"/>
      <c r="BR91"/>
      <c r="BS91"/>
    </row>
    <row r="92" spans="2:71">
      <c r="C92"/>
      <c r="D92"/>
      <c r="E92"/>
      <c r="F92"/>
      <c r="G92"/>
      <c r="H92"/>
      <c r="I92"/>
      <c r="J92"/>
      <c r="K92"/>
      <c r="L92"/>
      <c r="M92"/>
      <c r="N92"/>
      <c r="AB92" s="149" t="s">
        <v>1574</v>
      </c>
      <c r="AC92" s="1369">
        <f>(AC19+AC21)*AC14/1000+(AC36+AC37+AC38*0.9)</f>
        <v>11.997993171785842</v>
      </c>
      <c r="AD92" s="1370">
        <f>AC22*AC14/1000+(AC32+AC39)</f>
        <v>44.992661298016671</v>
      </c>
      <c r="AE92" s="1371">
        <f>AC20*AC14/1000</f>
        <v>4.3845063673041462</v>
      </c>
      <c r="AF92" s="1371">
        <f>AC29+AC35+AC38*0.1</f>
        <v>2.086941710301824</v>
      </c>
      <c r="AG92" s="1371">
        <f>AC24*AC14/1000+AC40</f>
        <v>4.4992000000000001</v>
      </c>
      <c r="AH92" s="1371">
        <f>AC23*AC14/1000+(AC28+AC30+AC33)</f>
        <v>99.999450632619087</v>
      </c>
      <c r="AI92" s="1371">
        <f>AC34</f>
        <v>16.078319954614152</v>
      </c>
      <c r="AJ92" s="1372">
        <f>AC31</f>
        <v>11.482468875177066</v>
      </c>
      <c r="AK92" s="119"/>
      <c r="AM92"/>
      <c r="AN92"/>
      <c r="AO92"/>
      <c r="AP92"/>
      <c r="AQ92"/>
      <c r="AR92"/>
      <c r="AS92"/>
      <c r="AT92"/>
      <c r="AU92"/>
      <c r="AV92"/>
      <c r="AW92"/>
      <c r="AX92"/>
      <c r="AY92"/>
      <c r="AZ92"/>
      <c r="BA92"/>
      <c r="BB92"/>
      <c r="BC92"/>
      <c r="BD92"/>
      <c r="BE92"/>
      <c r="BF92"/>
      <c r="BG92"/>
      <c r="BH92"/>
      <c r="BI92"/>
      <c r="BJ92"/>
      <c r="BK92"/>
      <c r="BL92"/>
      <c r="BM92"/>
      <c r="BN92"/>
      <c r="BO92"/>
      <c r="BP92"/>
      <c r="BQ92"/>
      <c r="BR92"/>
      <c r="BS92"/>
    </row>
    <row r="93" spans="2:71" ht="45" customHeight="1">
      <c r="B93" s="111" t="s">
        <v>277</v>
      </c>
      <c r="E93"/>
      <c r="AM93"/>
      <c r="AN93"/>
      <c r="AO93"/>
      <c r="AP93"/>
      <c r="AQ93"/>
      <c r="AR93"/>
      <c r="AS93"/>
      <c r="AT93"/>
      <c r="AU93"/>
      <c r="AV93"/>
      <c r="AW93"/>
      <c r="AX93"/>
      <c r="AY93"/>
      <c r="AZ93"/>
      <c r="BA93"/>
      <c r="BB93"/>
      <c r="BC93"/>
      <c r="BD93"/>
      <c r="BE93"/>
      <c r="BF93"/>
      <c r="BG93"/>
      <c r="BH93"/>
      <c r="BI93"/>
      <c r="BJ93"/>
      <c r="BK93"/>
      <c r="BL93"/>
      <c r="BM93"/>
      <c r="BN93"/>
      <c r="BO93"/>
      <c r="BP93"/>
      <c r="BQ93"/>
      <c r="BR93"/>
      <c r="BS93"/>
    </row>
    <row r="94" spans="2:71" ht="56">
      <c r="B94" s="193" t="s">
        <v>278</v>
      </c>
      <c r="C94" s="194" t="s">
        <v>1672</v>
      </c>
      <c r="D94" s="194" t="s">
        <v>279</v>
      </c>
      <c r="E94" s="194" t="s">
        <v>1662</v>
      </c>
      <c r="F94" s="194" t="s">
        <v>1663</v>
      </c>
      <c r="G94" s="194" t="s">
        <v>115</v>
      </c>
      <c r="H94" s="194" t="s">
        <v>116</v>
      </c>
      <c r="I94" s="195" t="s">
        <v>1674</v>
      </c>
      <c r="J94"/>
      <c r="K94"/>
      <c r="M94" s="233"/>
      <c r="U94"/>
      <c r="V94"/>
      <c r="AB94" s="133" t="s">
        <v>1632</v>
      </c>
      <c r="AD94" s="115"/>
      <c r="AM94"/>
      <c r="AN94"/>
      <c r="AO94"/>
      <c r="AP94"/>
      <c r="AQ94"/>
      <c r="AR94"/>
      <c r="AS94"/>
      <c r="AT94"/>
      <c r="AU94"/>
      <c r="AV94"/>
      <c r="AW94"/>
      <c r="AX94"/>
      <c r="AY94"/>
      <c r="AZ94"/>
      <c r="BA94"/>
      <c r="BB94"/>
      <c r="BC94"/>
      <c r="BD94"/>
      <c r="BE94"/>
      <c r="BF94"/>
      <c r="BG94"/>
      <c r="BH94"/>
      <c r="BI94"/>
      <c r="BJ94"/>
      <c r="BK94"/>
      <c r="BL94"/>
      <c r="BM94"/>
      <c r="BN94"/>
      <c r="BO94"/>
      <c r="BP94"/>
      <c r="BQ94"/>
      <c r="BR94"/>
      <c r="BS94"/>
    </row>
    <row r="95" spans="2:71">
      <c r="B95" s="196">
        <f>Input!E8*1000000</f>
        <v>50000000</v>
      </c>
      <c r="C95" s="197">
        <f>B95/C15</f>
        <v>200000000</v>
      </c>
      <c r="D95" s="197">
        <f>C$8/$H$68/C$16/C$44</f>
        <v>210526315.78947365</v>
      </c>
      <c r="E95" s="197">
        <f>HLOOKUP($C$9,'BatPaC IO'!$B$62:$I$64,2,FALSE)*$D$95/10000</f>
        <v>199190958.28219742</v>
      </c>
      <c r="F95" s="197">
        <f>HLOOKUP($C$9,'BatPaC IO'!$B$62:$I$64,3,FALSE)*$D$95/10000</f>
        <v>207046794.79424775</v>
      </c>
      <c r="G95" s="197">
        <f>$C$16*C62*$C$95</f>
        <v>81633630.532657117</v>
      </c>
      <c r="H95" s="197">
        <f>$C$16*D62*$C$95</f>
        <v>49440383.81170778</v>
      </c>
      <c r="I95" s="198">
        <f>1/$C$44*(C23/C47*D56*IF(C56=P61,1,0)+C24/C48*D57*IF(C57=P61,1,0))*$C$16*$C$95</f>
        <v>27211210.177552376</v>
      </c>
      <c r="J95"/>
      <c r="K95"/>
      <c r="AB95" s="143"/>
      <c r="AC95" s="144" t="s">
        <v>191</v>
      </c>
      <c r="AD95" s="144" t="s">
        <v>192</v>
      </c>
      <c r="AE95" s="146" t="s">
        <v>193</v>
      </c>
      <c r="AM95"/>
      <c r="AN95"/>
      <c r="AO95"/>
      <c r="AP95"/>
      <c r="AQ95"/>
      <c r="AR95"/>
      <c r="AS95"/>
      <c r="AT95"/>
      <c r="AU95"/>
      <c r="AV95"/>
      <c r="AW95"/>
      <c r="AX95"/>
      <c r="AY95"/>
      <c r="AZ95"/>
      <c r="BA95"/>
      <c r="BB95"/>
      <c r="BC95"/>
      <c r="BD95"/>
      <c r="BE95"/>
      <c r="BF95"/>
      <c r="BG95"/>
      <c r="BH95"/>
      <c r="BI95"/>
      <c r="BJ95"/>
      <c r="BK95"/>
      <c r="BL95"/>
      <c r="BM95"/>
      <c r="BN95"/>
      <c r="BO95"/>
      <c r="BP95"/>
      <c r="BQ95"/>
      <c r="BR95"/>
      <c r="BS95"/>
    </row>
    <row r="96" spans="2:71">
      <c r="B96"/>
      <c r="C96" s="50"/>
      <c r="D96" s="50"/>
      <c r="E96"/>
      <c r="F96" s="1487"/>
      <c r="G96"/>
      <c r="H96" s="1487"/>
      <c r="I96"/>
      <c r="J96"/>
      <c r="AB96" s="147" t="s">
        <v>1579</v>
      </c>
      <c r="AE96" s="176"/>
      <c r="AM96"/>
      <c r="AN96"/>
      <c r="AO96"/>
      <c r="AP96"/>
      <c r="AQ96"/>
      <c r="AR96"/>
      <c r="AS96"/>
      <c r="AT96"/>
      <c r="AU96"/>
      <c r="AV96"/>
      <c r="AW96"/>
      <c r="AX96"/>
      <c r="AY96"/>
      <c r="AZ96"/>
      <c r="BA96"/>
      <c r="BB96"/>
      <c r="BC96"/>
      <c r="BD96"/>
      <c r="BE96"/>
      <c r="BF96"/>
      <c r="BG96"/>
      <c r="BH96"/>
      <c r="BI96"/>
      <c r="BJ96"/>
      <c r="BK96"/>
      <c r="BL96"/>
      <c r="BM96"/>
      <c r="BN96"/>
      <c r="BO96"/>
      <c r="BP96"/>
      <c r="BQ96"/>
      <c r="BR96"/>
      <c r="BS96"/>
    </row>
    <row r="97" spans="2:73" ht="60" customHeight="1">
      <c r="B97" s="111" t="s">
        <v>280</v>
      </c>
      <c r="AB97" s="147" t="s">
        <v>173</v>
      </c>
      <c r="AC97" s="179">
        <f>(AC$92*HLOOKUP($AC$91, 'GREET IO'!$B$77:$BW$98, ROW($B75)-ROW($B$73)+1, FALSE)+AD$92*HLOOKUP($AD$91, 'GREET IO'!$B$77:$BW$98, ROW($B75)-ROW($B$73)+1, FALSE)+AE$92*HLOOKUP($AE$91, 'GREET IO'!$B$77:$BW$98, ROW($B75)-ROW($B$73)+1, FALSE)+AF$92*HLOOKUP($AF$91, 'GREET IO'!$B$77:$BW$98, ROW($B75)-ROW($B$73)+1, FALSE)+AG$92*HLOOKUP($AG$91, 'GREET IO'!$B$77:$BW$98, ROW($B75)-ROW($B$73)+1, FALSE)+AH$92*HLOOKUP($AH$91, 'GREET IO'!$B$77:$BW$98, ROW($B75)-ROW($B$73)+1, FALSE)+AI$92*HLOOKUP($AI$91, 'GREET IO'!$B$77:$BW$98, ROW($B75)-ROW($B$73)+1, FALSE)+AJ$92*HLOOKUP($AJ$91, 'GREET IO'!$B$77:$BW$98, ROW($B75)-ROW($B$73)+1, FALSE))*$H$66</f>
        <v>10.186947422097383</v>
      </c>
      <c r="AD97" s="179">
        <f>AC$83/$H$67*('GREET IO'!$B22/1000000+1)+AC$82/$H$67*1000000*IF(AC$9=Input!$AD$35,'Geographic Par.'!$E70,IF(AC$9=Input!$AD$36,'Geographic Par.'!$F70,IF(AC$9=Input!$AD$37,'Geographic Par.'!$H70,IF(AC$9=Input!$AD$38,'Geographic Par.'!$G70,'Geographic Par.'!$I70))))</f>
        <v>0</v>
      </c>
      <c r="AE97" s="179">
        <f t="shared" ref="AE97:AE102" si="7">AC97+AD97</f>
        <v>10.186947422097383</v>
      </c>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s="171" t="s">
        <v>103</v>
      </c>
      <c r="BU97" s="146" t="s">
        <v>104</v>
      </c>
    </row>
    <row r="98" spans="2:73" ht="60" customHeight="1">
      <c r="B98" s="1315"/>
      <c r="C98" s="1320" t="s">
        <v>1652</v>
      </c>
      <c r="D98" s="1427" t="s">
        <v>1653</v>
      </c>
      <c r="E98" s="1427" t="s">
        <v>1389</v>
      </c>
      <c r="F98" s="1427" t="s">
        <v>1390</v>
      </c>
      <c r="G98" s="1427" t="s">
        <v>1654</v>
      </c>
      <c r="H98" s="1427" t="s">
        <v>1655</v>
      </c>
      <c r="I98" s="1427" t="s">
        <v>1656</v>
      </c>
      <c r="J98" s="1427" t="s">
        <v>1657</v>
      </c>
      <c r="K98" s="1427" t="s">
        <v>1658</v>
      </c>
      <c r="L98" s="1427" t="s">
        <v>1659</v>
      </c>
      <c r="M98" s="1427" t="s">
        <v>98</v>
      </c>
      <c r="N98" s="1427" t="s">
        <v>100</v>
      </c>
      <c r="O98" s="1427" t="s">
        <v>101</v>
      </c>
      <c r="P98" s="1427" t="s">
        <v>1650</v>
      </c>
      <c r="Q98" s="1427" t="s">
        <v>1651</v>
      </c>
      <c r="R98" s="1427" t="s">
        <v>102</v>
      </c>
      <c r="S98" s="1427" t="s">
        <v>1660</v>
      </c>
      <c r="T98" s="1427" t="s">
        <v>1661</v>
      </c>
      <c r="U98" s="1427" t="s">
        <v>1649</v>
      </c>
      <c r="V98" s="1320" t="s">
        <v>293</v>
      </c>
      <c r="W98" s="1427" t="s">
        <v>97</v>
      </c>
      <c r="X98" s="1427" t="s">
        <v>103</v>
      </c>
      <c r="Y98" s="1321" t="s">
        <v>99</v>
      </c>
      <c r="AB98" s="147" t="s">
        <v>174</v>
      </c>
      <c r="AC98" s="179">
        <f>(AC$92*HLOOKUP($AC$91, 'GREET IO'!$B$77:$BW$98, ROW($B76)-ROW($B$73)+1, FALSE)+AD$92*HLOOKUP($AD$91, 'GREET IO'!$B$77:$BW$98, ROW($B76)-ROW($B$73)+1, FALSE)+AE$92*HLOOKUP($AE$91, 'GREET IO'!$B$77:$BW$98, ROW($B76)-ROW($B$73)+1, FALSE)+AF$92*HLOOKUP($AF$91, 'GREET IO'!$B$77:$BW$98, ROW($B76)-ROW($B$73)+1, FALSE)+AG$92*HLOOKUP($AG$91, 'GREET IO'!$B$77:$BW$98, ROW($B76)-ROW($B$73)+1, FALSE)+AH$92*HLOOKUP($AH$91, 'GREET IO'!$B$77:$BW$98, ROW($B76)-ROW($B$73)+1, FALSE)+AI$92*HLOOKUP($AI$91, 'GREET IO'!$B$77:$BW$98, ROW($B76)-ROW($B$73)+1, FALSE)+AJ$92*HLOOKUP($AJ$91, 'GREET IO'!$B$77:$BW$98, ROW($B76)-ROW($B$73)+1, FALSE))*$H$66</f>
        <v>8.64060279830694</v>
      </c>
      <c r="AD98" s="179">
        <f>AC$83/$H$67*('GREET IO'!$B23/1000000+1)+AC$82/$H$67/1000000*IF(AC$9=Input!$AD$35, 'Geographic Par.'!$E71, IF(AC$9=Input!$AD$36, 'Geographic Par.'!$F71, IF(AC$9=Input!$AD$37, 'Geographic Par.'!$H71, IF(AC$9=Input!$AD$38,'Geographic Par.'!$G71,'Geographic Par.'!$I71))))</f>
        <v>0</v>
      </c>
      <c r="AE98" s="179">
        <f t="shared" si="7"/>
        <v>8.64060279830694</v>
      </c>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s="200">
        <f>BS98</f>
        <v>0</v>
      </c>
      <c r="BU98" s="201">
        <f>BC98</f>
        <v>0</v>
      </c>
    </row>
    <row r="99" spans="2:73">
      <c r="B99" s="167" t="s">
        <v>284</v>
      </c>
      <c r="C99" s="199">
        <f>$G$95/'BatPaC IO'!$G$53</f>
        <v>1.1259811107952706</v>
      </c>
      <c r="D99" s="200">
        <f>$H$95/'BatPaC IO'!$H$53</f>
        <v>1.0069324605235801</v>
      </c>
      <c r="E99" s="200">
        <f>$E$95/'BatPaC IO'!$E$53</f>
        <v>0.65739590192144359</v>
      </c>
      <c r="F99" s="200">
        <f>$F$95/'BatPaC IO'!$F$53</f>
        <v>0.65729141204523089</v>
      </c>
      <c r="G99" s="200">
        <f>$E$95/'BatPaC IO'!$E$53</f>
        <v>0.65739590192144359</v>
      </c>
      <c r="H99" s="200">
        <f>$F$95/'BatPaC IO'!$F$53</f>
        <v>0.65729141204523089</v>
      </c>
      <c r="I99" s="200">
        <f>$E$95/'BatPaC IO'!$E$53</f>
        <v>0.65739590192144359</v>
      </c>
      <c r="J99" s="200">
        <f>$F$95/'BatPaC IO'!$F$53</f>
        <v>0.65729141204523089</v>
      </c>
      <c r="K99" s="200">
        <f>$E$95/'BatPaC IO'!$E$53</f>
        <v>0.65739590192144359</v>
      </c>
      <c r="L99" s="200">
        <f>$F$95/'BatPaC IO'!$F$53</f>
        <v>0.65729141204523089</v>
      </c>
      <c r="M99" s="200">
        <f>(E$95+F$95)/('BatPaC IO'!$E$53+'BatPaC IO'!$F$53)</f>
        <v>0.6573426425185197</v>
      </c>
      <c r="N99" s="200">
        <f>D$95/'BatPaC IO'!$D$53</f>
        <v>0.99775505113494622</v>
      </c>
      <c r="O99" s="200">
        <f>D$95/'BatPaC IO'!$D$53</f>
        <v>0.99775505113494622</v>
      </c>
      <c r="P99" s="200">
        <f>D$95/'BatPaC IO'!$D$53</f>
        <v>0.99775505113494622</v>
      </c>
      <c r="Q99" s="200">
        <f>D$95/'BatPaC IO'!$D$53</f>
        <v>0.99775505113494622</v>
      </c>
      <c r="R99" s="200">
        <f>D$95/'BatPaC IO'!$D$53</f>
        <v>0.99775505113494622</v>
      </c>
      <c r="S99" s="200">
        <f>MAX(D$95/'BatPaC IO'!$D$53,(E$95+F$95)/('BatPaC IO'!$E$53+'BatPaC IO'!$F$53))</f>
        <v>0.99775505113494622</v>
      </c>
      <c r="T99" s="200">
        <f>D$95/'BatPaC IO'!$D$53</f>
        <v>0.99775505113494622</v>
      </c>
      <c r="U99" s="201">
        <f>B$95/'BatPaC IO'!$B$53</f>
        <v>1</v>
      </c>
      <c r="V99" s="201">
        <f>B$95/'BatPaC IO'!$B$53</f>
        <v>1</v>
      </c>
      <c r="W99" s="201">
        <f>I$95/'BatPaC IO'!$I$53</f>
        <v>1.1244301726261312</v>
      </c>
      <c r="X99" s="201">
        <f>D$95/'BatPaC IO'!$D$53</f>
        <v>0.99775505113494622</v>
      </c>
      <c r="Y99" s="201">
        <f>B$95/'BatPaC IO'!$B$53</f>
        <v>1</v>
      </c>
      <c r="AB99" s="147" t="s">
        <v>175</v>
      </c>
      <c r="AC99" s="179">
        <f>(AC$92*HLOOKUP($AC$91, 'GREET IO'!$B$77:$BW$98, ROW($B77)-ROW($B$73)+1, FALSE)+AD$92*HLOOKUP($AD$91, 'GREET IO'!$B$77:$BW$98, ROW($B77)-ROW($B$73)+1, FALSE)+AE$92*HLOOKUP($AE$91, 'GREET IO'!$B$77:$BW$98, ROW($B77)-ROW($B$73)+1, FALSE)+AF$92*HLOOKUP($AF$91, 'GREET IO'!$B$77:$BW$98, ROW($B77)-ROW($B$73)+1, FALSE)+AG$92*HLOOKUP($AG$91, 'GREET IO'!$B$77:$BW$98, ROW($B77)-ROW($B$73)+1, FALSE)+AH$92*HLOOKUP($AH$91, 'GREET IO'!$B$77:$BW$98, ROW($B77)-ROW($B$73)+1, FALSE)+AI$92*HLOOKUP($AI$91, 'GREET IO'!$B$77:$BW$98, ROW($B77)-ROW($B$73)+1, FALSE)+AJ$92*HLOOKUP($AJ$91, 'GREET IO'!$B$77:$BW$98, ROW($B77)-ROW($B$73)+1, FALSE))*$H$66</f>
        <v>3.7813205254938689</v>
      </c>
      <c r="AD99" s="179">
        <f>AC$83/$H$67*'GREET IO'!$B24/1000000+AC$82/$H$67/1000000*IF(AC$9=Input!$AD$35, 'Geographic Par.'!$E72, IF(AC$9=Input!$AD$36, 'Geographic Par.'!$F72, IF(AC$9=Input!$AD$37, 'Geographic Par.'!$H72, IF(AC$9=Input!$AD$38,'Geographic Par.'!$G72,'Geographic Par.'!$I72))))</f>
        <v>0</v>
      </c>
      <c r="AE99" s="179">
        <f t="shared" si="7"/>
        <v>3.7813205254938689</v>
      </c>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s="202">
        <f>'BatPaC IO'!V$41*BT$98^'BatPaC IO'!V$28</f>
        <v>0</v>
      </c>
      <c r="BU99" s="636">
        <f>'BatPaC IO'!W$41*BU$98^'BatPaC IO'!W$28</f>
        <v>0</v>
      </c>
    </row>
    <row r="100" spans="2:73">
      <c r="B100" s="147" t="s">
        <v>281</v>
      </c>
      <c r="C100" s="202">
        <f>'BatPaC IO'!A$41*C$99^'BatPaC IO'!A$28</f>
        <v>222539.95204134501</v>
      </c>
      <c r="D100" s="202">
        <f>'BatPaC IO'!B$41*D$99^'BatPaC IO'!B$28</f>
        <v>271684.00546915253</v>
      </c>
      <c r="E100" s="202">
        <f>'BatPaC IO'!C$41*E$99^'BatPaC IO'!C$28</f>
        <v>43987.664741456108</v>
      </c>
      <c r="F100" s="202">
        <f>'BatPaC IO'!D$41*F$99^'BatPaC IO'!D$28</f>
        <v>43982.770487240872</v>
      </c>
      <c r="G100" s="202">
        <f>'BatPaC IO'!E$41*G$99^'BatPaC IO'!E$28</f>
        <v>45478.772020827506</v>
      </c>
      <c r="H100" s="202">
        <f>'BatPaC IO'!F$41*H$99^'BatPaC IO'!F$28</f>
        <v>51437.477349485089</v>
      </c>
      <c r="I100" s="202">
        <f>'BatPaC IO'!G$41*I$99^'BatPaC IO'!G$28</f>
        <v>186388.4099214242</v>
      </c>
      <c r="J100" s="202">
        <f>'BatPaC IO'!H$41*J$99^'BatPaC IO'!H$28</f>
        <v>186367.6715561054</v>
      </c>
      <c r="K100" s="202">
        <f>'BatPaC IO'!I$41*K$99^'BatPaC IO'!I$28</f>
        <v>30567.699227113568</v>
      </c>
      <c r="L100" s="202">
        <f>'BatPaC IO'!J$41*L$99^'BatPaC IO'!J$28</f>
        <v>26091.474017854754</v>
      </c>
      <c r="M100" s="202">
        <f>'BatPaC IO'!K$41*M$99^'BatPaC IO'!K$28</f>
        <v>193832.95309974474</v>
      </c>
      <c r="N100" s="202">
        <f>'BatPaC IO'!L$41*N$99^'BatPaC IO'!L$28</f>
        <v>698585.52333062887</v>
      </c>
      <c r="O100" s="202">
        <f>'BatPaC IO'!M$41*O$99^'BatPaC IO'!M$28</f>
        <v>189616.07061831356</v>
      </c>
      <c r="P100" s="202">
        <f>'BatPaC IO'!N$41*P$99^'BatPaC IO'!N$28</f>
        <v>189616.07061831356</v>
      </c>
      <c r="Q100" s="202">
        <f>'BatPaC IO'!O$41*Q$99^'BatPaC IO'!O$28</f>
        <v>48900.986633144021</v>
      </c>
      <c r="R100" s="202">
        <f>'BatPaC IO'!P$41*R$99^'BatPaC IO'!P$28</f>
        <v>131733.27011377574</v>
      </c>
      <c r="S100" s="202">
        <f>'BatPaC IO'!Q$41*S$99^'BatPaC IO'!Q$28</f>
        <v>8000</v>
      </c>
      <c r="T100" s="202">
        <f>'BatPaC IO'!R$41*T$99^'BatPaC IO'!R$28</f>
        <v>559119.68341627356</v>
      </c>
      <c r="U100" s="203">
        <f>'BatPaC IO'!U$41*U$99^'BatPaC IO'!U$28</f>
        <v>31000</v>
      </c>
      <c r="V100" s="203">
        <f>'BatPaC IO'!V$41*V$99^'BatPaC IO'!V$28</f>
        <v>0</v>
      </c>
      <c r="W100" s="203">
        <f>'BatPaC IO'!W$41*W$99^'BatPaC IO'!W$28</f>
        <v>18026.655815457063</v>
      </c>
      <c r="X100" s="203">
        <f>'BatPaC IO'!X$41*X$99^'BatPaC IO'!X$28</f>
        <v>37940.264231818561</v>
      </c>
      <c r="Y100" s="203">
        <f>'BatPaC IO'!Y$41*Y$99^'BatPaC IO'!Y$28</f>
        <v>46000</v>
      </c>
      <c r="AB100" s="147" t="s">
        <v>176</v>
      </c>
      <c r="AC100" s="179">
        <f>(AC$92*HLOOKUP($AC$91, 'GREET IO'!$B$77:$BW$98, ROW($B78)-ROW($B$73)+1, FALSE)+AD$92*HLOOKUP($AD$91, 'GREET IO'!$B$77:$BW$98, ROW($B78)-ROW($B$73)+1, FALSE)+AE$92*HLOOKUP($AE$91, 'GREET IO'!$B$77:$BW$98, ROW($B78)-ROW($B$73)+1, FALSE)+AF$92*HLOOKUP($AF$91, 'GREET IO'!$B$77:$BW$98, ROW($B78)-ROW($B$73)+1, FALSE)+AG$92*HLOOKUP($AG$91, 'GREET IO'!$B$77:$BW$98, ROW($B78)-ROW($B$73)+1, FALSE)+AH$92*HLOOKUP($AH$91, 'GREET IO'!$B$77:$BW$98, ROW($B78)-ROW($B$73)+1, FALSE)+AI$92*HLOOKUP($AI$91, 'GREET IO'!$B$77:$BW$98, ROW($B78)-ROW($B$73)+1, FALSE)+AJ$92*HLOOKUP($AJ$91, 'GREET IO'!$B$77:$BW$98, ROW($B78)-ROW($B$73)+1, FALSE))*$H$66</f>
        <v>4.2587017392219488</v>
      </c>
      <c r="AD100" s="179">
        <f>AC$83/$H$67*('GREET IO'!$B25/1000000+1)+AC$82/$H$67/1000000*IF(AC$9=Input!$AD$35, 'Geographic Par.'!$E73, IF(AC$9=Input!$AD$36, 'Geographic Par.'!$F73, IF(AC$9=Input!$AD$37, 'Geographic Par.'!$H73, IF(AC$9=Input!$AD$38,'Geographic Par.'!$G73,'Geographic Par.'!$I73))))</f>
        <v>0</v>
      </c>
      <c r="AE100" s="179">
        <f t="shared" si="7"/>
        <v>4.2587017392219488</v>
      </c>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s="204">
        <f>'BatPaC IO'!V$45*BT$98^'BatPaC IO'!V$31</f>
        <v>0</v>
      </c>
      <c r="BU100" s="637">
        <f>'BatPaC IO'!W$45*BU$98^'BatPaC IO'!W$31</f>
        <v>0</v>
      </c>
    </row>
    <row r="101" spans="2:73">
      <c r="B101" s="147" t="s">
        <v>282</v>
      </c>
      <c r="C101" s="204">
        <f>'BatPaC IO'!A$45*C$99^'BatPaC IO'!A$31*'Geographic Par.'!$C$10</f>
        <v>222.539952041345</v>
      </c>
      <c r="D101" s="204">
        <f>'BatPaC IO'!B$45*D$99^'BatPaC IO'!B$31*'Geographic Par.'!$C$10</f>
        <v>281.74637604208414</v>
      </c>
      <c r="E101" s="204">
        <f>'BatPaC IO'!C$45*E$99^'BatPaC IO'!C$31*'Geographic Par.'!$C$10</f>
        <v>61.700232796645672</v>
      </c>
      <c r="F101" s="204">
        <f>'BatPaC IO'!D$45*F$99^'BatPaC IO'!D$31*'Geographic Par.'!$C$10</f>
        <v>53.465885607507325</v>
      </c>
      <c r="G101" s="204">
        <f>'BatPaC IO'!E$45*G$99^'BatPaC IO'!E$31*'Geographic Par.'!$C$10</f>
        <v>17.138953554623797</v>
      </c>
      <c r="H101" s="204">
        <f>'BatPaC IO'!F$45*H$99^'BatPaC IO'!F$31*'Geographic Par.'!$C$10</f>
        <v>17.13650179727799</v>
      </c>
      <c r="I101" s="204">
        <f>'BatPaC IO'!G$45*I$99^'BatPaC IO'!G$31*'Geographic Par.'!$C$10</f>
        <v>19.881186123363605</v>
      </c>
      <c r="J101" s="204">
        <f>'BatPaC IO'!H$45*J$99^'BatPaC IO'!H$31*'Geographic Par.'!$C$10</f>
        <v>19.878342084842469</v>
      </c>
      <c r="K101" s="204">
        <f>'BatPaC IO'!I$45*K$99^'BatPaC IO'!I$31*'Geographic Par.'!$C$10</f>
        <v>9.5978139905893265</v>
      </c>
      <c r="L101" s="204">
        <f>'BatPaC IO'!J$45*L$99^'BatPaC IO'!J$31*'Geographic Par.'!$C$10</f>
        <v>7.5400607908023156</v>
      </c>
      <c r="M101" s="204">
        <f>'BatPaC IO'!K$45*M$99^'BatPaC IO'!K$31*'Geographic Par.'!$C$10</f>
        <v>20.565244652821509</v>
      </c>
      <c r="N101" s="204">
        <f>'BatPaC IO'!L$45*N$99^'BatPaC IO'!L$31*'Geographic Par.'!$C$10</f>
        <v>169.65648423743846</v>
      </c>
      <c r="O101" s="204">
        <f>'BatPaC IO'!M$45*O$99^'BatPaC IO'!M$31*'Geographic Par.'!$C$10</f>
        <v>189.61607061831356</v>
      </c>
      <c r="P101" s="204">
        <f>'BatPaC IO'!N$45*P$99^'BatPaC IO'!N$31*'Geographic Par.'!$C$10</f>
        <v>13.971710466612578</v>
      </c>
      <c r="Q101" s="204">
        <f>'BatPaC IO'!O$45*Q$99^'BatPaC IO'!O$31*'Geographic Par.'!$C$10</f>
        <v>10.977772509481312</v>
      </c>
      <c r="R101" s="204">
        <f>'BatPaC IO'!P$45*R$99^'BatPaC IO'!P$31*'Geographic Par.'!$C$10</f>
        <v>24.94948297609389</v>
      </c>
      <c r="S101" s="204">
        <f>'BatPaC IO'!Q$45*S$99^'BatPaC IO'!Q$31*'Geographic Par.'!$C$10</f>
        <v>7.2852490290194156</v>
      </c>
      <c r="T101" s="204">
        <f>'BatPaC IO'!R$45*T$99^'BatPaC IO'!R$31*'Geographic Par.'!$C$10</f>
        <v>828.22975839478806</v>
      </c>
      <c r="U101" s="204">
        <f>'BatPaC IO'!U$45*U$99^'BatPaC IO'!U$31*'Geographic Par.'!$C$10</f>
        <v>200</v>
      </c>
      <c r="V101" s="204">
        <f>'BatPaC IO'!V$45*V$99^'BatPaC IO'!V$31*'Geographic Par.'!$C$10</f>
        <v>1700</v>
      </c>
      <c r="W101" s="204">
        <f>'BatPaC IO'!W$45*W$99^'BatPaC IO'!W$31*'Geographic Par.'!$C$10</f>
        <v>40.242816378368914</v>
      </c>
      <c r="X101" s="204">
        <f>'BatPaC IO'!X$45*X$99^'BatPaC IO'!X$31*'Geographic Par.'!$C$10</f>
        <v>9.2812076671069281</v>
      </c>
      <c r="Y101" s="204">
        <f>'BatPaC IO'!Y$45*Y$99^'BatPaC IO'!Y$31*'Geographic Par.'!$C$10</f>
        <v>16</v>
      </c>
      <c r="AB101" s="147" t="s">
        <v>177</v>
      </c>
      <c r="AC101" s="179">
        <f>(AC$92*HLOOKUP($AC$91, 'GREET IO'!$B$77:$BW$98, ROW($B79)-ROW($B$73)+1, FALSE)+AD$92*HLOOKUP($AD$91, 'GREET IO'!$B$77:$BW$98, ROW($B79)-ROW($B$73)+1, FALSE)+AE$92*HLOOKUP($AE$91, 'GREET IO'!$B$77:$BW$98, ROW($B79)-ROW($B$73)+1, FALSE)+AF$92*HLOOKUP($AF$91, 'GREET IO'!$B$77:$BW$98, ROW($B79)-ROW($B$73)+1, FALSE)+AG$92*HLOOKUP($AG$91, 'GREET IO'!$B$77:$BW$98, ROW($B79)-ROW($B$73)+1, FALSE)+AH$92*HLOOKUP($AH$91, 'GREET IO'!$B$77:$BW$98, ROW($B79)-ROW($B$73)+1, FALSE)+AI$92*HLOOKUP($AI$91, 'GREET IO'!$B$77:$BW$98, ROW($B79)-ROW($B$73)+1, FALSE)+AJ$92*HLOOKUP($AJ$91, 'GREET IO'!$B$77:$BW$98, ROW($B79)-ROW($B$73)+1, FALSE))*$H$66</f>
        <v>0.60058053359112262</v>
      </c>
      <c r="AD101" s="181">
        <f>AC$83/$H$67*'GREET IO'!$B26/1000000+AC$82/$H$67/1000000*IF(AC$9=Input!$AD$35, 'Geographic Par.'!$E74, IF(AC$9=Input!$AD$36, 'Geographic Par.'!$F74, IF(AC$9=Input!$AD$37, 'Geographic Par.'!$H74, IF(AC$9=Input!$AD$38,'Geographic Par.'!$G74,'Geographic Par.'!$I74))))</f>
        <v>0</v>
      </c>
      <c r="AE101" s="181">
        <f t="shared" si="7"/>
        <v>0.60058053359112262</v>
      </c>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s="205">
        <f>'BatPaC IO'!X$49*BT$98^'BatPaC IO'!V$34</f>
        <v>0</v>
      </c>
      <c r="BU101" s="638" t="e">
        <f>'BatPaC IO'!#REF!*BU$98^'BatPaC IO'!W$34</f>
        <v>#REF!</v>
      </c>
    </row>
    <row r="102" spans="2:73" ht="16.5">
      <c r="B102" s="149" t="s">
        <v>283</v>
      </c>
      <c r="C102" s="205">
        <f>'BatPaC IO'!A$49*C$99^'BatPaC IO'!A$34</f>
        <v>8954.5658949314093</v>
      </c>
      <c r="D102" s="205">
        <f>'BatPaC IO'!B$49*D$99^'BatPaC IO'!B$34</f>
        <v>8857.9453499292231</v>
      </c>
      <c r="E102" s="205">
        <f>'BatPaC IO'!C$49*E$99^'BatPaC IO'!C$34</f>
        <v>10741.269802938757</v>
      </c>
      <c r="F102" s="205">
        <f>'BatPaC IO'!D$49*F$99^'BatPaC IO'!D$34</f>
        <v>10739.647887608256</v>
      </c>
      <c r="G102" s="205">
        <f>'BatPaC IO'!E$49*G$99^'BatPaC IO'!E$34</f>
        <v>1409.791661635712</v>
      </c>
      <c r="H102" s="205">
        <f>'BatPaC IO'!F$49*H$99^'BatPaC IO'!F$34</f>
        <v>1409.5787852485837</v>
      </c>
      <c r="I102" s="205">
        <f>'BatPaC IO'!G$49*I$99^'BatPaC IO'!G$34</f>
        <v>2148.2539605877514</v>
      </c>
      <c r="J102" s="205">
        <f>'BatPaC IO'!H$49*J$99^'BatPaC IO'!H$34</f>
        <v>2147.9295775216515</v>
      </c>
      <c r="K102" s="205">
        <f>'BatPaC IO'!I$49*K$99^'BatPaC IO'!I$34</f>
        <v>1342.6587253673447</v>
      </c>
      <c r="L102" s="205">
        <f>'BatPaC IO'!J$49*L$99^'BatPaC IO'!J$34</f>
        <v>1073.9647887608257</v>
      </c>
      <c r="M102" s="205">
        <f>'BatPaC IO'!K$49*M$99^'BatPaC IO'!K$34</f>
        <v>0</v>
      </c>
      <c r="N102" s="205">
        <f>'BatPaC IO'!L$49*N$99^'BatPaC IO'!L$34</f>
        <v>0</v>
      </c>
      <c r="O102" s="205">
        <f>'BatPaC IO'!M$49*O$99^'BatPaC IO'!M$34</f>
        <v>0</v>
      </c>
      <c r="P102" s="205">
        <f>'BatPaC IO'!N$49*P$99^'BatPaC IO'!N$34</f>
        <v>0</v>
      </c>
      <c r="Q102" s="205">
        <f>'BatPaC IO'!O$49*Q$99^'BatPaC IO'!O$34</f>
        <v>0</v>
      </c>
      <c r="R102" s="205">
        <f>'BatPaC IO'!P$49*R$99^'BatPaC IO'!P$34</f>
        <v>0</v>
      </c>
      <c r="S102" s="205">
        <f>'BatPaC IO'!Q$49*S$99^'BatPaC IO'!Q$34</f>
        <v>60869.897906122977</v>
      </c>
      <c r="T102" s="205">
        <f>'BatPaC IO'!R$49*T$99^'BatPaC IO'!R$34</f>
        <v>109765.38966677914</v>
      </c>
      <c r="U102" s="188">
        <f>'BatPaC IO'!U$49*U$99^'BatPaC IO'!U$34</f>
        <v>10000</v>
      </c>
      <c r="V102" s="188">
        <f>'BatPaC IO'!V$49*V$99^'BatPaC IO'!V$34</f>
        <v>0</v>
      </c>
      <c r="W102" s="188">
        <f>'BatPaC IO'!W$49*W$99^'BatPaC IO'!W$34</f>
        <v>1229.6416115612724</v>
      </c>
      <c r="X102" s="188">
        <f>'BatPaC IO'!X$49*X$99^'BatPaC IO'!X$34</f>
        <v>3292.9616900033743</v>
      </c>
      <c r="Y102" s="188">
        <f>'BatPaC IO'!Y$49*Y$99^'BatPaC IO'!Y$34</f>
        <v>1300</v>
      </c>
      <c r="AB102" s="143" t="s">
        <v>1580</v>
      </c>
      <c r="AC102" s="184">
        <f>(AC$92*HLOOKUP($AC$91, 'GREET IO'!$B$77:$BW$98, ROW($B80)-ROW($B$73)+1, FALSE)+AD$92*HLOOKUP($AD$91, 'GREET IO'!$B$77:$BW$98, ROW($B80)-ROW($B$73)+1, FALSE)+AE$92*HLOOKUP($AE$91, 'GREET IO'!$B$77:$BW$98, ROW($B80)-ROW($B$73)+1, FALSE)+AF$92*HLOOKUP($AF$91, 'GREET IO'!$B$77:$BW$98, ROW($B80)-ROW($B$73)+1, FALSE)+AG$92*HLOOKUP($AG$91, 'GREET IO'!$B$77:$BW$98, ROW($B80)-ROW($B$73)+1, FALSE)+AH$92*HLOOKUP($AH$91, 'GREET IO'!$B$77:$BW$98, ROW($B80)-ROW($B$73)+1, FALSE)+AI$92*HLOOKUP($AI$91, 'GREET IO'!$B$77:$BW$98, ROW($B80)-ROW($B$73)+1, FALSE)+AJ$92*HLOOKUP($AJ$91, 'GREET IO'!$B$77:$BW$98, ROW($B80)-ROW($B$73)+1, FALSE))*$H$66</f>
        <v>1436.5371306229119</v>
      </c>
      <c r="AD102" s="184">
        <f>AC$83/$H$67*'GREET IO'!$B27+AC$82/$H$67*IF(AC$9=Input!$AD$35, 'Geographic Par.'!$E75, IF(AC$9=Input!$AD$36, 'Geographic Par.'!$F75, IF(AC$9=Input!$AD$37,'Geographic Par.'!$H75, IF(AC$9=Input!$AD$38,'Geographic Par.'!$G75,'Geographic Par.'!$I75))))</f>
        <v>0</v>
      </c>
      <c r="AE102" s="184">
        <f t="shared" si="7"/>
        <v>1436.5371306229119</v>
      </c>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row>
    <row r="103" spans="2:73">
      <c r="C103"/>
      <c r="D103"/>
      <c r="E103"/>
      <c r="F103"/>
      <c r="G103"/>
      <c r="H103"/>
      <c r="I103"/>
      <c r="J103"/>
      <c r="K103"/>
      <c r="L103"/>
      <c r="M103"/>
      <c r="N103"/>
      <c r="O103"/>
      <c r="P103"/>
      <c r="Q103"/>
      <c r="R103"/>
      <c r="S103"/>
      <c r="T103"/>
      <c r="U103"/>
      <c r="V103"/>
      <c r="W103"/>
      <c r="X103"/>
      <c r="Y103"/>
      <c r="AB103" s="147" t="s">
        <v>1581</v>
      </c>
      <c r="AC103" s="176"/>
      <c r="AD103" s="176"/>
      <c r="AE103" s="176"/>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row>
    <row r="104" spans="2:73">
      <c r="B104" s="111" t="s">
        <v>285</v>
      </c>
      <c r="AB104" s="147" t="s">
        <v>180</v>
      </c>
      <c r="AC104" s="179">
        <f>(AC$92*HLOOKUP($AC$91, 'GREET IO'!$B$77:$BW$98, ROW($B82)-ROW($B$73)+1, FALSE)+AD$92*HLOOKUP($AD$91, 'GREET IO'!$B$77:$BW$98, ROW($B82)-ROW($B$73)+1, FALSE)+AE$92*HLOOKUP($AE$91, 'GREET IO'!$B$77:$BW$98, ROW($B82)-ROW($B$73)+1, FALSE)+AF$92*HLOOKUP($AF$91, 'GREET IO'!$B$77:$BW$98, ROW($B82)-ROW($B$73)+1, FALSE)+AG$92*HLOOKUP($AG$91, 'GREET IO'!$B$77:$BW$98, ROW($B82)-ROW($B$73)+1, FALSE)+AH$92*HLOOKUP($AH$91, 'GREET IO'!$B$77:$BW$98, ROW($B82)-ROW($B$73)+1, FALSE)+AI$92*HLOOKUP($AI$91, 'GREET IO'!$B$77:$BW$98, ROW($B82)-ROW($B$73)+1, FALSE)+AJ$92*HLOOKUP($AJ$91, 'GREET IO'!$B$77:$BW$98, ROW($B82)-ROW($B$73)+1, FALSE))*$H$66</f>
        <v>386.45931626847283</v>
      </c>
      <c r="AD104" s="179">
        <f>AC$83/$H$67*('GREET IO'!$B28+'GREET IO'!$B4)+AC$82/$H$67*IF(AC$9=Input!$AD$35, 'Geographic Par.'!$E76, IF(AC$9=Input!$AD$36, 'Geographic Par.'!$F76, IF(AC$9=Input!$AD$37, 'Geographic Par.'!$H76, IF(AC$9=Input!$AD$38,'Geographic Par.'!$G76,'Geographic Par.'!$I76))))</f>
        <v>0</v>
      </c>
      <c r="AE104" s="179">
        <f t="shared" ref="AE104:AE116" si="8">AC104+AD104</f>
        <v>386.45931626847283</v>
      </c>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row>
    <row r="105" spans="2:73">
      <c r="B105" s="167" t="s">
        <v>286</v>
      </c>
      <c r="C105" s="206">
        <f ca="1">N91</f>
        <v>20.81535117948296</v>
      </c>
      <c r="D105"/>
      <c r="AB105" s="147" t="s">
        <v>181</v>
      </c>
      <c r="AC105" s="179">
        <f>(AC$92*HLOOKUP($AC$91, 'GREET IO'!$B$77:$BW$98, ROW($B83)-ROW($B$73)+1, FALSE)+AD$92*HLOOKUP($AD$91, 'GREET IO'!$B$77:$BW$98, ROW($B83)-ROW($B$73)+1, FALSE)+AE$92*HLOOKUP($AE$91, 'GREET IO'!$B$77:$BW$98, ROW($B83)-ROW($B$73)+1, FALSE)+AF$92*HLOOKUP($AF$91, 'GREET IO'!$B$77:$BW$98, ROW($B83)-ROW($B$73)+1, FALSE)+AG$92*HLOOKUP($AG$91, 'GREET IO'!$B$77:$BW$98, ROW($B83)-ROW($B$73)+1, FALSE)+AH$92*HLOOKUP($AH$91, 'GREET IO'!$B$77:$BW$98, ROW($B83)-ROW($B$73)+1, FALSE)+AI$92*HLOOKUP($AI$91, 'GREET IO'!$B$77:$BW$98, ROW($B83)-ROW($B$73)+1, FALSE)+AJ$92*HLOOKUP($AJ$91, 'GREET IO'!$B$77:$BW$98, ROW($B83)-ROW($B$73)+1, FALSE))*$H$66</f>
        <v>2135.7011885944257</v>
      </c>
      <c r="AD105" s="179">
        <f>AC$83/$H$67*('GREET IO'!$B29+'GREET IO'!$B5)+AC$82/$H$67*IF(AC$9=Input!$AD$35, 'Geographic Par.'!$E77, IF(AC$9=Input!$AD$36, 'Geographic Par.'!$F77, IF(AC$9=Input!$AD$37, 'Geographic Par.'!$H77, IF(AC$9=Input!$AD$38,'Geographic Par.'!$G77,'Geographic Par.'!$I77))))</f>
        <v>0</v>
      </c>
      <c r="AE105" s="179">
        <f t="shared" si="8"/>
        <v>2135.7011885944257</v>
      </c>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row>
    <row r="106" spans="2:73">
      <c r="B106" s="147" t="s">
        <v>287</v>
      </c>
      <c r="C106" s="207">
        <f>(SUM(C$100:Y$100)-U100/3*2)*'BatPaC IO'!$E$59/(C$8/$H$68)</f>
        <v>0.50745306329805107</v>
      </c>
      <c r="D106"/>
      <c r="AB106" s="147" t="s">
        <v>182</v>
      </c>
      <c r="AC106" s="179">
        <f>(AC$92*HLOOKUP($AC$91, 'GREET IO'!$B$77:$BW$98, ROW($B84)-ROW($B$73)+1, FALSE)+AD$92*HLOOKUP($AD$91, 'GREET IO'!$B$77:$BW$98, ROW($B84)-ROW($B$73)+1, FALSE)+AE$92*HLOOKUP($AE$91, 'GREET IO'!$B$77:$BW$98, ROW($B84)-ROW($B$73)+1, FALSE)+AF$92*HLOOKUP($AF$91, 'GREET IO'!$B$77:$BW$98, ROW($B84)-ROW($B$73)+1, FALSE)+AG$92*HLOOKUP($AG$91, 'GREET IO'!$B$77:$BW$98, ROW($B84)-ROW($B$73)+1, FALSE)+AH$92*HLOOKUP($AH$91, 'GREET IO'!$B$77:$BW$98, ROW($B84)-ROW($B$73)+1, FALSE)+AI$92*HLOOKUP($AI$91, 'GREET IO'!$B$77:$BW$98, ROW($B84)-ROW($B$73)+1, FALSE)+AJ$92*HLOOKUP($AJ$91, 'GREET IO'!$B$77:$BW$98, ROW($B84)-ROW($B$73)+1, FALSE))*$H$66</f>
        <v>693.32239750371582</v>
      </c>
      <c r="AD106" s="179">
        <f>AC$83/$H$67*('GREET IO'!$B30+'GREET IO'!$B6)+AC$82/$H$67*IF(AC$9=Input!$AD$35, 'Geographic Par.'!$E78, IF(AC$9=Input!$AD$36, 'Geographic Par.'!$F78, IF(AC$9=Input!$AD$37, 'Geographic Par.'!$H78, IF(AC$9=Input!$AD$38,'Geographic Par.'!$G78,'Geographic Par.'!$I78))))</f>
        <v>0</v>
      </c>
      <c r="AE106" s="179">
        <f t="shared" si="8"/>
        <v>693.32239750371582</v>
      </c>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row>
    <row r="107" spans="2:73">
      <c r="B107" s="147" t="s">
        <v>131</v>
      </c>
      <c r="C107" s="207">
        <f>C$115*'BatPaC IO'!$K$59+'BatPaC IO'!$L$59*C$116</f>
        <v>2.3770165400519758</v>
      </c>
      <c r="D107"/>
      <c r="AB107" s="147" t="s">
        <v>183</v>
      </c>
      <c r="AC107" s="179">
        <f>(AC$92*HLOOKUP($AC$91, 'GREET IO'!$B$77:$BW$98, ROW($B85)-ROW($B$73)+1, FALSE)+AD$92*HLOOKUP($AD$91, 'GREET IO'!$B$77:$BW$98, ROW($B85)-ROW($B$73)+1, FALSE)+AE$92*HLOOKUP($AE$91, 'GREET IO'!$B$77:$BW$98, ROW($B85)-ROW($B$73)+1, FALSE)+AF$92*HLOOKUP($AF$91, 'GREET IO'!$B$77:$BW$98, ROW($B85)-ROW($B$73)+1, FALSE)+AG$92*HLOOKUP($AG$91, 'GREET IO'!$B$77:$BW$98, ROW($B85)-ROW($B$73)+1, FALSE)+AH$92*HLOOKUP($AH$91, 'GREET IO'!$B$77:$BW$98, ROW($B85)-ROW($B$73)+1, FALSE)+AI$92*HLOOKUP($AI$91, 'GREET IO'!$B$77:$BW$98, ROW($B85)-ROW($B$73)+1, FALSE)+AJ$92*HLOOKUP($AJ$91, 'GREET IO'!$B$77:$BW$98, ROW($B85)-ROW($B$73)+1, FALSE))*$H$66</f>
        <v>242.9429082500022</v>
      </c>
      <c r="AD107" s="179">
        <f>AC$83/$H$67*('GREET IO'!$B31+'GREET IO'!$B7)+AC$82/$H$67*IF(AC$9=Input!$AD$35, 'Geographic Par.'!$E79, IF(AC$9=Input!$AD$36, 'Geographic Par.'!$F79, IF(AC$9=Input!$AD$37, 'Geographic Par.'!$H79, IF(AC$9=Input!$AD$38,'Geographic Par.'!$G79,'Geographic Par.'!$I79))))</f>
        <v>0</v>
      </c>
      <c r="AE107" s="179">
        <f t="shared" si="8"/>
        <v>242.9429082500022</v>
      </c>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row>
    <row r="108" spans="2:73">
      <c r="B108" s="147" t="s">
        <v>128</v>
      </c>
      <c r="C108" s="207">
        <f>C$106*'BatPaC IO'!$F$59+'BatPaC IO'!$G$59*C$107</f>
        <v>0.67838453332961568</v>
      </c>
      <c r="D108"/>
      <c r="AB108" s="147" t="s">
        <v>184</v>
      </c>
      <c r="AC108" s="179">
        <f>(AC$92*HLOOKUP($AC$91, 'GREET IO'!$B$77:$BW$98, ROW($B86)-ROW($B$73)+1, FALSE)+AD$92*HLOOKUP($AD$91, 'GREET IO'!$B$77:$BW$98, ROW($B86)-ROW($B$73)+1, FALSE)+AE$92*HLOOKUP($AE$91, 'GREET IO'!$B$77:$BW$98, ROW($B86)-ROW($B$73)+1, FALSE)+AF$92*HLOOKUP($AF$91, 'GREET IO'!$B$77:$BW$98, ROW($B86)-ROW($B$73)+1, FALSE)+AG$92*HLOOKUP($AG$91, 'GREET IO'!$B$77:$BW$98, ROW($B86)-ROW($B$73)+1, FALSE)+AH$92*HLOOKUP($AH$91, 'GREET IO'!$B$77:$BW$98, ROW($B86)-ROW($B$73)+1, FALSE)+AI$92*HLOOKUP($AI$91, 'GREET IO'!$B$77:$BW$98, ROW($B86)-ROW($B$73)+1, FALSE)+AJ$92*HLOOKUP($AJ$91, 'GREET IO'!$B$77:$BW$98, ROW($B86)-ROW($B$73)+1, FALSE))*$H$66</f>
        <v>147.26129151260267</v>
      </c>
      <c r="AD108" s="179">
        <f>AC$83/$H$67*('GREET IO'!$B32+'GREET IO'!$B8)+AC$82/$H$67*IF(AC$9=Input!$AD$35, 'Geographic Par.'!$E80, IF(AC$9=Input!$AD$36, 'Geographic Par.'!$F80, IF(AC$9=Input!$AD$37, 'Geographic Par.'!$H80, IF(AC$9=Input!$AD$38,'Geographic Par.'!$G80,'Geographic Par.'!$I80))))</f>
        <v>0</v>
      </c>
      <c r="AE108" s="179">
        <f t="shared" si="8"/>
        <v>147.26129151260267</v>
      </c>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row>
    <row r="109" spans="2:73">
      <c r="B109" s="147" t="s">
        <v>129</v>
      </c>
      <c r="C109" s="207">
        <f>(C$106+C$108)*'BatPaC IO'!$H$59+'BatPaC IO'!$I$59*C$107</f>
        <v>0.89071353416991061</v>
      </c>
      <c r="D109"/>
      <c r="AB109" s="147" t="s">
        <v>185</v>
      </c>
      <c r="AC109" s="179">
        <f>(AC$92*HLOOKUP($AC$91, 'GREET IO'!$B$77:$BW$98, ROW($B87)-ROW($B$73)+1, FALSE)+AD$92*HLOOKUP($AD$91, 'GREET IO'!$B$77:$BW$98, ROW($B87)-ROW($B$73)+1, FALSE)+AE$92*HLOOKUP($AE$91, 'GREET IO'!$B$77:$BW$98, ROW($B87)-ROW($B$73)+1, FALSE)+AF$92*HLOOKUP($AF$91, 'GREET IO'!$B$77:$BW$98, ROW($B87)-ROW($B$73)+1, FALSE)+AG$92*HLOOKUP($AG$91, 'GREET IO'!$B$77:$BW$98, ROW($B87)-ROW($B$73)+1, FALSE)+AH$92*HLOOKUP($AH$91, 'GREET IO'!$B$77:$BW$98, ROW($B87)-ROW($B$73)+1, FALSE)+AI$92*HLOOKUP($AI$91, 'GREET IO'!$B$77:$BW$98, ROW($B87)-ROW($B$73)+1, FALSE)+AJ$92*HLOOKUP($AJ$91, 'GREET IO'!$B$77:$BW$98, ROW($B87)-ROW($B$73)+1, FALSE))*$H$66</f>
        <v>1647.9443050035566</v>
      </c>
      <c r="AD109" s="179">
        <f>AC$83/$H$67*('GREET IO'!$B33+'GREET IO'!$B9)+AC$82/$H$67*IF(AC$9=Input!$AD$35, 'Geographic Par.'!$E81, IF(AC$9=Input!$AD$36, 'Geographic Par.'!$F81, IF(AC$9=Input!$AD$37, 'Geographic Par.'!$H81, IF(AC$9=Input!$AD$38,'Geographic Par.'!$G81,'Geographic Par.'!$I81))))</f>
        <v>0</v>
      </c>
      <c r="AE109" s="179">
        <f t="shared" si="8"/>
        <v>1647.9443050035566</v>
      </c>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row>
    <row r="110" spans="2:73">
      <c r="B110" s="149" t="s">
        <v>288</v>
      </c>
      <c r="C110" s="208">
        <f>C$107*'BatPaC IO'!$J$59</f>
        <v>0.95080661602079042</v>
      </c>
      <c r="D110"/>
      <c r="AB110" s="147" t="s">
        <v>186</v>
      </c>
      <c r="AC110" s="179">
        <f>(AC$92*HLOOKUP($AC$91, 'GREET IO'!$B$77:$BW$98, ROW($B88)-ROW($B$73)+1, FALSE)+AD$92*HLOOKUP($AD$91, 'GREET IO'!$B$77:$BW$98, ROW($B88)-ROW($B$73)+1, FALSE)+AE$92*HLOOKUP($AE$91, 'GREET IO'!$B$77:$BW$98, ROW($B88)-ROW($B$73)+1, FALSE)+AF$92*HLOOKUP($AF$91, 'GREET IO'!$B$77:$BW$98, ROW($B88)-ROW($B$73)+1, FALSE)+AG$92*HLOOKUP($AG$91, 'GREET IO'!$B$77:$BW$98, ROW($B88)-ROW($B$73)+1, FALSE)+AH$92*HLOOKUP($AH$91, 'GREET IO'!$B$77:$BW$98, ROW($B88)-ROW($B$73)+1, FALSE)+AI$92*HLOOKUP($AI$91, 'GREET IO'!$B$77:$BW$98, ROW($B88)-ROW($B$73)+1, FALSE)+AJ$92*HLOOKUP($AJ$91, 'GREET IO'!$B$77:$BW$98, ROW($B88)-ROW($B$73)+1, FALSE))*$H$66</f>
        <v>3.1784535777534955</v>
      </c>
      <c r="AD110" s="179">
        <f>AC$83/$H$67*('GREET IO'!$B34+'GREET IO'!$B10)+AC$82/$H$67*IF(AC$9=Input!$AD$35, 'Geographic Par.'!$E82, IF(AC$9=Input!$AD$36, 'Geographic Par.'!$F82, IF(AC$9=Input!$AD$37, 'Geographic Par.'!$H82, IF(AC$9=Input!$AD$38,'Geographic Par.'!$G82,'Geographic Par.'!$I82))))</f>
        <v>0</v>
      </c>
      <c r="AE110" s="179">
        <f t="shared" si="8"/>
        <v>3.1784535777534955</v>
      </c>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row>
    <row r="111" spans="2:73">
      <c r="B111" s="209" t="s">
        <v>289</v>
      </c>
      <c r="C111" s="210">
        <f ca="1">C105+C106+C108</f>
        <v>22.001188776110627</v>
      </c>
      <c r="D111"/>
      <c r="AB111" s="147" t="s">
        <v>187</v>
      </c>
      <c r="AC111" s="179">
        <f>(AC$92*HLOOKUP($AC$91, 'GREET IO'!$B$77:$BW$98, ROW($B89)-ROW($B$73)+1, FALSE)+AD$92*HLOOKUP($AD$91, 'GREET IO'!$B$77:$BW$98, ROW($B89)-ROW($B$73)+1, FALSE)+AE$92*HLOOKUP($AE$91, 'GREET IO'!$B$77:$BW$98, ROW($B89)-ROW($B$73)+1, FALSE)+AF$92*HLOOKUP($AF$91, 'GREET IO'!$B$77:$BW$98, ROW($B89)-ROW($B$73)+1, FALSE)+AG$92*HLOOKUP($AG$91, 'GREET IO'!$B$77:$BW$98, ROW($B89)-ROW($B$73)+1, FALSE)+AH$92*HLOOKUP($AH$91, 'GREET IO'!$B$77:$BW$98, ROW($B89)-ROW($B$73)+1, FALSE)+AI$92*HLOOKUP($AI$91, 'GREET IO'!$B$77:$BW$98, ROW($B89)-ROW($B$73)+1, FALSE)+AJ$92*HLOOKUP($AJ$91, 'GREET IO'!$B$77:$BW$98, ROW($B89)-ROW($B$73)+1, FALSE))*$H$66</f>
        <v>9.3719793599430243</v>
      </c>
      <c r="AD111" s="179">
        <f>AC$83/$H$67*('GREET IO'!$B35+'GREET IO'!$B11)+AC$82/$H$67*IF(AC$9=Input!$AD$35, 'Geographic Par.'!$E83, IF(AC$9=Input!$AD$36, 'Geographic Par.'!$F83, IF(AC$9=Input!$AD$37, 'Geographic Par.'!$H83, IF(AC$9=Input!$AD$38,'Geographic Par.'!$G83,'Geographic Par.'!$I83))))</f>
        <v>0</v>
      </c>
      <c r="AE111" s="179">
        <f t="shared" si="8"/>
        <v>9.3719793599430243</v>
      </c>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row>
    <row r="112" spans="2:73">
      <c r="B112" s="209" t="s">
        <v>290</v>
      </c>
      <c r="C112" s="207">
        <f ca="1">SUM(C$113:C$116)</f>
        <v>30.377918198997641</v>
      </c>
      <c r="D112"/>
      <c r="AB112" s="147" t="s">
        <v>188</v>
      </c>
      <c r="AC112" s="179">
        <f>(AC$92*HLOOKUP($AC$91, 'GREET IO'!$B$77:$BW$98, ROW($B90)-ROW($B$73)+1, FALSE)+AD$92*HLOOKUP($AD$91, 'GREET IO'!$B$77:$BW$98, ROW($B90)-ROW($B$73)+1, FALSE)+AE$92*HLOOKUP($AE$91, 'GREET IO'!$B$77:$BW$98, ROW($B90)-ROW($B$73)+1, FALSE)+AF$92*HLOOKUP($AF$91, 'GREET IO'!$B$77:$BW$98, ROW($B90)-ROW($B$73)+1, FALSE)+AG$92*HLOOKUP($AG$91, 'GREET IO'!$B$77:$BW$98, ROW($B90)-ROW($B$73)+1, FALSE)+AH$92*HLOOKUP($AH$91, 'GREET IO'!$B$77:$BW$98, ROW($B90)-ROW($B$73)+1, FALSE)+AI$92*HLOOKUP($AI$91, 'GREET IO'!$B$77:$BW$98, ROW($B90)-ROW($B$73)+1, FALSE)+AJ$92*HLOOKUP($AJ$91, 'GREET IO'!$B$77:$BW$98, ROW($B90)-ROW($B$73)+1, FALSE))*$H$66</f>
        <v>1457.1085631035785</v>
      </c>
      <c r="AD112" s="179">
        <f>AC$83/$H$67*('GREET IO'!$B36+'GREET IO'!$B12)+AC$82/$H$67*IF(AC$9=Input!$AD$35, 'Geographic Par.'!$E84, IF(AC$9=Input!$AD$36, 'Geographic Par.'!$F84, IF(AC$9=Input!$AD$37, 'Geographic Par.'!$H84, IF(AC$9=Input!$AD$38,'Geographic Par.'!$G84,'Geographic Par.'!$I84))))</f>
        <v>0</v>
      </c>
      <c r="AE112" s="179">
        <f t="shared" si="8"/>
        <v>1457.1085631035785</v>
      </c>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row>
    <row r="113" spans="2:71">
      <c r="B113" s="211" t="s">
        <v>125</v>
      </c>
      <c r="C113" s="207">
        <f ca="1">C$105*'BatPaC IO'!$B$59+'BatPaC IO'!$C$59*(C$106+C$108)</f>
        <v>1.1593513186369147</v>
      </c>
      <c r="D113"/>
      <c r="AB113" s="147" t="s">
        <v>189</v>
      </c>
      <c r="AC113" s="179">
        <f>(AC$92*HLOOKUP($AC$91, 'GREET IO'!$B$77:$BW$98, ROW($B91)-ROW($B$73)+1, FALSE)+AD$92*HLOOKUP($AD$91, 'GREET IO'!$B$77:$BW$98, ROW($B91)-ROW($B$73)+1, FALSE)+AE$92*HLOOKUP($AE$91, 'GREET IO'!$B$77:$BW$98, ROW($B91)-ROW($B$73)+1, FALSE)+AF$92*HLOOKUP($AF$91, 'GREET IO'!$B$77:$BW$98, ROW($B91)-ROW($B$73)+1, FALSE)+AG$92*HLOOKUP($AG$91, 'GREET IO'!$B$77:$BW$98, ROW($B91)-ROW($B$73)+1, FALSE)+AH$92*HLOOKUP($AH$91, 'GREET IO'!$B$77:$BW$98, ROW($B91)-ROW($B$73)+1, FALSE)+AI$92*HLOOKUP($AI$91, 'GREET IO'!$B$77:$BW$98, ROW($B91)-ROW($B$73)+1, FALSE)+AJ$92*HLOOKUP($AJ$91, 'GREET IO'!$B$77:$BW$98, ROW($B91)-ROW($B$73)+1, FALSE))*$H$66</f>
        <v>22.605103546537396</v>
      </c>
      <c r="AD113" s="179">
        <f>AC$83/$H$67*('GREET IO'!$B37+'GREET IO'!$B13)+AC$82/$H$67*IF(AC$9=Input!$AD$35, 'Geographic Par.'!$E85, IF(AC$9=Input!$AD$36, 'Geographic Par.'!$F85, IF(AC$9=Input!$AD$37, 'Geographic Par.'!$H85, IF(AC$9=Input!$AD$38,'Geographic Par.'!$G85,'Geographic Par.'!$I85))))</f>
        <v>0</v>
      </c>
      <c r="AE113" s="179">
        <f t="shared" si="8"/>
        <v>22.605103546537396</v>
      </c>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row>
    <row r="114" spans="2:71">
      <c r="B114" s="211" t="s">
        <v>291</v>
      </c>
      <c r="C114" s="207">
        <f ca="1">C$111*'BatPaC IO'!$D$59</f>
        <v>3.3001783164165941</v>
      </c>
      <c r="D114"/>
      <c r="AB114" s="147" t="s">
        <v>190</v>
      </c>
      <c r="AC114" s="186">
        <f>(AC$92*HLOOKUP($AC$91, 'GREET IO'!$B$77:$BW$98, ROW($B92)-ROW($B$73)+1, FALSE)+AD$92*HLOOKUP($AD$91, 'GREET IO'!$B$77:$BW$98, ROW($B92)-ROW($B$73)+1, FALSE)+AE$92*HLOOKUP($AE$91, 'GREET IO'!$B$77:$BW$98, ROW($B92)-ROW($B$73)+1, FALSE)+AF$92*HLOOKUP($AF$91, 'GREET IO'!$B$77:$BW$98, ROW($B92)-ROW($B$73)+1, FALSE)+AG$92*HLOOKUP($AG$91, 'GREET IO'!$B$77:$BW$98, ROW($B92)-ROW($B$73)+1, FALSE)+AH$92*HLOOKUP($AH$91, 'GREET IO'!$B$77:$BW$98, ROW($B92)-ROW($B$73)+1, FALSE)+AI$92*HLOOKUP($AI$91, 'GREET IO'!$B$77:$BW$98, ROW($B92)-ROW($B$73)+1, FALSE)+AJ$92*HLOOKUP($AJ$91, 'GREET IO'!$B$77:$BW$98, ROW($B92)-ROW($B$73)+1, FALSE))*$H$66</f>
        <v>656622.51443327684</v>
      </c>
      <c r="AD114" s="186">
        <f>AC$83/$H$67*('GREET IO'!$B38+'GREET IO'!$B14)+AC$82/$H$67*IF(AC$9=Input!$AD$35, 'Geographic Par.'!$E86, IF(AC$9=Input!$AD$36, 'Geographic Par.'!$F86, IF(AC$9=Input!$AD$37, 'Geographic Par.'!$H86, IF(AC$9=Input!$AD$38,'Geographic Par.'!$G86,'Geographic Par.'!$I86))))</f>
        <v>0</v>
      </c>
      <c r="AE114" s="186">
        <f t="shared" si="8"/>
        <v>656622.51443327684</v>
      </c>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row>
    <row r="115" spans="2:71">
      <c r="B115" s="211" t="s">
        <v>292</v>
      </c>
      <c r="C115" s="207">
        <f>(SUM(C$101:T$101)+U$101/3+SUM(W$101:Y$101)+V$101*(SUM(C$102:Y$102)-U$102/3*2)/(SUM(C$102:Y$102)+AC$127+AD$127))*1000000/(C$8/$H$68)</f>
        <v>21.621942237095386</v>
      </c>
      <c r="D115"/>
      <c r="AB115" s="147" t="s">
        <v>198</v>
      </c>
      <c r="AC115" s="186">
        <f>AC$114+AC$104*'GREET IO'!$B$118/'GREET IO'!$B$120+AC$105*'GREET IO'!$B$119/'GREET IO'!$B$120</f>
        <v>661183.08117010479</v>
      </c>
      <c r="AD115" s="186">
        <f>AD$114+AD$104*'GREET IO'!$B$118/'GREET IO'!$B$120+AD$105*'GREET IO'!$B$119/'GREET IO'!$B$120</f>
        <v>0</v>
      </c>
      <c r="AE115" s="186">
        <f t="shared" si="8"/>
        <v>661183.08117010479</v>
      </c>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row>
    <row r="116" spans="2:71">
      <c r="B116" s="212" t="s">
        <v>293</v>
      </c>
      <c r="C116" s="213">
        <f>(SUM(C$102:Y$102)-U102/3*2)*'BatPaC IO'!$A$59/(C$8/$H$68)</f>
        <v>4.2964463268487441</v>
      </c>
      <c r="D116"/>
      <c r="AB116" s="149" t="s">
        <v>199</v>
      </c>
      <c r="AC116" s="189">
        <f>AC$115+SUMPRODUCT(AC$112:AC$113,'GREET IO'!$B$114:$B$115)</f>
        <v>710776.10961879615</v>
      </c>
      <c r="AD116" s="189">
        <f>AD$115+SUMPRODUCT(AD$112:AD$113,'GREET IO'!$B$114:$B$115)</f>
        <v>0</v>
      </c>
      <c r="AE116" s="189">
        <f t="shared" si="8"/>
        <v>710776.10961879615</v>
      </c>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row>
    <row r="117" spans="2:71">
      <c r="B117" s="214" t="s">
        <v>294</v>
      </c>
      <c r="C117" s="206">
        <f ca="1">IF(E117="Yes",C$112*'BatPaC IO'!$M$59,0)</f>
        <v>1.5188959099498822</v>
      </c>
      <c r="D117" t="s">
        <v>1423</v>
      </c>
      <c r="E117" s="113" t="s">
        <v>50</v>
      </c>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row>
    <row r="118" spans="2:71">
      <c r="B118" s="215" t="s">
        <v>124</v>
      </c>
      <c r="C118" s="208">
        <f ca="1">IF(E118="Yes",(SUM(C$105:C$110)+C$117)*'BatPaC IO'!$N$59,0)</f>
        <v>1.5533627970729786</v>
      </c>
      <c r="D118" t="s">
        <v>1702</v>
      </c>
      <c r="E118" s="113" t="s">
        <v>50</v>
      </c>
      <c r="AB118" s="133" t="s">
        <v>1577</v>
      </c>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row>
    <row r="119" spans="2:71" ht="60" customHeight="1">
      <c r="B119" s="215" t="s">
        <v>193</v>
      </c>
      <c r="C119" s="216">
        <f ca="1">SUM(C$105:C$110)+SUM(C$117:C$118)</f>
        <v>29.291984173376168</v>
      </c>
      <c r="D119"/>
      <c r="AB119" s="111" t="s">
        <v>1586</v>
      </c>
      <c r="AC119" s="1693" t="s">
        <v>1582</v>
      </c>
      <c r="AD119" s="1694"/>
      <c r="AE119" s="1694"/>
      <c r="AF119" s="1694"/>
      <c r="AG119" s="1694"/>
      <c r="AH119" s="1694"/>
      <c r="AI119" s="1695"/>
      <c r="AJ119" s="1693" t="s">
        <v>1583</v>
      </c>
      <c r="AK119" s="1694"/>
      <c r="AL119" s="1694"/>
      <c r="AM119" s="1694"/>
      <c r="AN119" s="1694"/>
      <c r="AO119" s="1694"/>
      <c r="AP119" s="1694"/>
      <c r="AQ119" s="1694"/>
      <c r="AR119" s="1694"/>
      <c r="AS119" s="1694"/>
      <c r="AT119" s="1694"/>
      <c r="AU119" s="1695"/>
      <c r="AV119"/>
      <c r="AW119"/>
      <c r="AX119"/>
      <c r="AY119"/>
      <c r="AZ119"/>
      <c r="BA119"/>
      <c r="BB119"/>
      <c r="BC119"/>
      <c r="BD119"/>
      <c r="BE119"/>
      <c r="BF119"/>
      <c r="BG119"/>
      <c r="BH119"/>
      <c r="BI119"/>
      <c r="BJ119"/>
      <c r="BK119"/>
      <c r="BL119"/>
      <c r="BM119"/>
      <c r="BN119"/>
      <c r="BO119"/>
      <c r="BP119"/>
      <c r="BQ119"/>
      <c r="BR119"/>
      <c r="BS119"/>
    </row>
    <row r="120" spans="2:71" ht="56">
      <c r="C120" s="646"/>
      <c r="AB120" s="1315"/>
      <c r="AC120" s="1319" t="s">
        <v>1693</v>
      </c>
      <c r="AD120" s="1319" t="s">
        <v>1677</v>
      </c>
      <c r="AE120" s="1319" t="s">
        <v>1692</v>
      </c>
      <c r="AF120" s="1319" t="s">
        <v>1678</v>
      </c>
      <c r="AG120" s="1319" t="s">
        <v>1560</v>
      </c>
      <c r="AH120" s="1319" t="s">
        <v>1550</v>
      </c>
      <c r="AI120" s="1319" t="s">
        <v>1690</v>
      </c>
      <c r="AJ120" s="1319" t="s">
        <v>1680</v>
      </c>
      <c r="AK120" s="1319" t="s">
        <v>1681</v>
      </c>
      <c r="AL120" s="1319" t="s">
        <v>1699</v>
      </c>
      <c r="AM120" s="1319" t="s">
        <v>1679</v>
      </c>
      <c r="AN120" s="1319" t="s">
        <v>1682</v>
      </c>
      <c r="AO120" s="1319" t="s">
        <v>1700</v>
      </c>
      <c r="AP120" s="1319" t="s">
        <v>1684</v>
      </c>
      <c r="AQ120" s="1319" t="s">
        <v>1683</v>
      </c>
      <c r="AR120" s="1319" t="s">
        <v>1686</v>
      </c>
      <c r="AS120" s="1319" t="s">
        <v>1562</v>
      </c>
      <c r="AT120" s="1319" t="s">
        <v>1563</v>
      </c>
      <c r="AU120" s="1319" t="s">
        <v>1564</v>
      </c>
      <c r="AV120" s="1319" t="s">
        <v>193</v>
      </c>
      <c r="AW120"/>
      <c r="AX120"/>
      <c r="AY120"/>
      <c r="AZ120"/>
      <c r="BA120"/>
      <c r="BB120"/>
      <c r="BC120"/>
      <c r="BD120"/>
      <c r="BE120"/>
      <c r="BF120"/>
      <c r="BG120"/>
      <c r="BH120"/>
      <c r="BI120"/>
      <c r="BJ120"/>
      <c r="BK120"/>
      <c r="BL120"/>
      <c r="BM120"/>
      <c r="BN120"/>
      <c r="BO120"/>
      <c r="BP120"/>
      <c r="BQ120"/>
      <c r="BR120"/>
      <c r="BS120"/>
    </row>
    <row r="121" spans="2:71">
      <c r="B121" s="217" t="s">
        <v>647</v>
      </c>
      <c r="AB121" s="143" t="s">
        <v>1578</v>
      </c>
      <c r="AC121" s="1316">
        <f>(AC22/1000*AC45+AC60*AC13)*AC14</f>
        <v>85.541697324313546</v>
      </c>
      <c r="AD121" s="1317">
        <f>(AC13/AG13*AC61+AG14*AD62)*AC14</f>
        <v>481.59999999999997</v>
      </c>
      <c r="AE121" s="1317">
        <f>(AC19/1000*AC46+((AC13/AG13-1)*(1+(AG13-1)*2)+(AG13-1)*2)*AC63)*AC14</f>
        <v>82.313232587608752</v>
      </c>
      <c r="AF121" s="1317">
        <f>(AC20/1000*AC47+2*AC64)*AC14</f>
        <v>18.084364644799535</v>
      </c>
      <c r="AG121" s="1317">
        <f>(AC21*0.5/1000*AC48+2*AC65)*AC14</f>
        <v>15.712193305823007</v>
      </c>
      <c r="AH121" s="1317">
        <f>(AC23/1000*AC49+AC66)*AC14</f>
        <v>48.395673883321351</v>
      </c>
      <c r="AI121" s="1317">
        <f>AC67*AC14</f>
        <v>10</v>
      </c>
      <c r="AJ121" s="1317">
        <f>AC28*AC50+AC68*AC15</f>
        <v>64.582541971607171</v>
      </c>
      <c r="AK121" s="1317">
        <f>AC15*(AC14/AC15-1)*AC69</f>
        <v>3.2</v>
      </c>
      <c r="AL121" s="1317">
        <f>AC36*AC52+AC70*(AC14+AC15)</f>
        <v>18.048616469537819</v>
      </c>
      <c r="AM121" s="1317">
        <f>AC37*AC53+AC71</f>
        <v>14.159811383337226</v>
      </c>
      <c r="AN121" s="1317">
        <f>(AC30-1)*AC54+AC72*AC15*2+1*8+1</f>
        <v>61.144151814605209</v>
      </c>
      <c r="AO121" s="1317">
        <f>AC38*0.9*AC55+AC73*2</f>
        <v>7.9879191316236309</v>
      </c>
      <c r="AP121" s="1317">
        <f>AC33*AC57+AC75</f>
        <v>31.117936085860592</v>
      </c>
      <c r="AQ121" s="1317">
        <f>AC32*AC56+AC74</f>
        <v>99.02448033419563</v>
      </c>
      <c r="AR121" s="1317">
        <f>AC35/10/0.032*3</f>
        <v>17.46315481102258</v>
      </c>
      <c r="AS121" s="1317">
        <f>AC76</f>
        <v>20</v>
      </c>
      <c r="AT121" s="1318">
        <f>AC77</f>
        <v>200</v>
      </c>
      <c r="AU121" s="1318">
        <f>AC78</f>
        <v>354.51</v>
      </c>
      <c r="AV121" s="1318">
        <f>SUM(AC121:AU121)</f>
        <v>1632.885773747656</v>
      </c>
      <c r="AW121"/>
      <c r="AX121"/>
      <c r="AY121"/>
      <c r="AZ121"/>
      <c r="BA121"/>
      <c r="BB121"/>
      <c r="BC121"/>
      <c r="BD121"/>
      <c r="BE121"/>
      <c r="BF121"/>
      <c r="BG121"/>
      <c r="BH121"/>
      <c r="BI121"/>
      <c r="BJ121"/>
      <c r="BK121"/>
      <c r="BL121"/>
      <c r="BM121"/>
      <c r="BN121"/>
      <c r="BO121"/>
      <c r="BP121"/>
      <c r="BQ121"/>
      <c r="BR121"/>
      <c r="BS121"/>
    </row>
    <row r="122" spans="2:71">
      <c r="B122" s="218" t="s">
        <v>648</v>
      </c>
      <c r="AB122" s="111" t="s">
        <v>1587</v>
      </c>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row>
    <row r="123" spans="2:71" ht="28">
      <c r="B123" s="193" t="s">
        <v>53</v>
      </c>
      <c r="C123" s="219">
        <f>C$20*(1/C$44/C$47-1/C$44)</f>
        <v>3.9998561465853302E-2</v>
      </c>
      <c r="AB123" s="146"/>
      <c r="AC123" s="1320" t="s">
        <v>1584</v>
      </c>
      <c r="AD123" s="1321" t="s">
        <v>1585</v>
      </c>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row>
    <row r="124" spans="2:71">
      <c r="B124" s="159" t="s">
        <v>83</v>
      </c>
      <c r="C124" s="220">
        <f>C$21*(1/C$44/C$48-1/C$44)</f>
        <v>2.4224626760864999E-2</v>
      </c>
      <c r="AB124" s="167" t="s">
        <v>284</v>
      </c>
      <c r="AC124" s="199">
        <f>C$95/AC$13/('BatPaC IO'!K53*'BatPaC IO'!L53)</f>
        <v>1</v>
      </c>
      <c r="AD124" s="1365">
        <f>C95/AC13/AC14/'BatPaC IO'!K53</f>
        <v>1</v>
      </c>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row>
    <row r="125" spans="2:71">
      <c r="B125" s="159" t="s">
        <v>41</v>
      </c>
      <c r="C125" s="220">
        <f>C$25*(1/C$44/C$50-1/C$44)</f>
        <v>1.3039480731490166E-2</v>
      </c>
      <c r="AB125" s="147" t="s">
        <v>281</v>
      </c>
      <c r="AC125" s="202">
        <f>'BatPaC IO'!S41*AC124^'BatPaC IO'!S28</f>
        <v>170000</v>
      </c>
      <c r="AD125" s="202">
        <f>'BatPaC IO'!T41*AD124^'BatPaC IO'!T28</f>
        <v>150000</v>
      </c>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row>
    <row r="126" spans="2:71">
      <c r="B126" s="159" t="s">
        <v>398</v>
      </c>
      <c r="C126" s="220">
        <f>C$26*(1/C$44/C$49-1/C$44)</f>
        <v>8.47705004876044E-3</v>
      </c>
      <c r="AB126" s="147" t="s">
        <v>282</v>
      </c>
      <c r="AC126" s="1497">
        <f>'BatPaC IO'!S45*AC124^'BatPaC IO'!S31</f>
        <v>94</v>
      </c>
      <c r="AD126" s="1497">
        <f>'BatPaC IO'!T45*AD124^'BatPaC IO'!T31</f>
        <v>94</v>
      </c>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row>
    <row r="127" spans="2:71" ht="16.5">
      <c r="B127" s="159" t="s">
        <v>86</v>
      </c>
      <c r="C127" s="220">
        <f>C$31*6*(1/C$44/C$51-1/C$44)</f>
        <v>2.2754921430504451E-4</v>
      </c>
      <c r="AB127" s="149" t="s">
        <v>283</v>
      </c>
      <c r="AC127" s="205">
        <f>'BatPaC IO'!S49*AC124^'BatPaC IO'!S34</f>
        <v>27000</v>
      </c>
      <c r="AD127" s="205">
        <f>'BatPaC IO'!T49*AD124^'BatPaC IO'!T34</f>
        <v>27000</v>
      </c>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row>
    <row r="128" spans="2:71">
      <c r="B128" s="159" t="s">
        <v>70</v>
      </c>
      <c r="C128" s="220">
        <f>SUM(C$27:C$29)*(1/C$44/C$52-1/C$44)</f>
        <v>1.1990934682738024E-3</v>
      </c>
      <c r="AP128"/>
      <c r="AQ128"/>
      <c r="AR128"/>
      <c r="AS128"/>
      <c r="AT128"/>
      <c r="AU128"/>
      <c r="AV128"/>
      <c r="AW128"/>
      <c r="AX128"/>
      <c r="AY128"/>
      <c r="AZ128"/>
      <c r="BA128"/>
      <c r="BB128"/>
      <c r="BC128"/>
      <c r="BD128"/>
      <c r="BE128"/>
      <c r="BF128"/>
      <c r="BG128"/>
      <c r="BH128"/>
      <c r="BI128"/>
      <c r="BJ128"/>
      <c r="BK128"/>
      <c r="BL128"/>
      <c r="BM128"/>
      <c r="BN128"/>
      <c r="BO128"/>
      <c r="BP128"/>
      <c r="BQ128"/>
      <c r="BR128"/>
      <c r="BS128"/>
    </row>
    <row r="129" spans="2:71">
      <c r="B129" s="159" t="s">
        <v>55</v>
      </c>
      <c r="C129" s="220">
        <f>C$22*(1/C$44/C$47-1/C$44)</f>
        <v>8.3330336387194373E-4</v>
      </c>
      <c r="AB129" s="111" t="s">
        <v>1628</v>
      </c>
      <c r="AP129"/>
      <c r="AQ129"/>
      <c r="AR129"/>
      <c r="AS129"/>
      <c r="AT129"/>
      <c r="AU129"/>
      <c r="AV129"/>
      <c r="AW129"/>
      <c r="AX129"/>
      <c r="AY129"/>
      <c r="AZ129"/>
      <c r="BA129"/>
      <c r="BB129"/>
      <c r="BC129"/>
      <c r="BD129"/>
      <c r="BE129"/>
      <c r="BF129"/>
      <c r="BG129"/>
      <c r="BH129"/>
      <c r="BI129"/>
      <c r="BJ129"/>
      <c r="BK129"/>
      <c r="BL129"/>
      <c r="BM129"/>
      <c r="BN129"/>
      <c r="BO129"/>
      <c r="BP129"/>
      <c r="BQ129"/>
      <c r="BR129"/>
      <c r="BS129"/>
    </row>
    <row r="130" spans="2:71">
      <c r="B130" s="159" t="s">
        <v>66</v>
      </c>
      <c r="C130" s="220">
        <f>C$23*(1/C$44/C$47-1/C$44)</f>
        <v>8.3330336387194373E-4</v>
      </c>
      <c r="AB130" s="167" t="s">
        <v>286</v>
      </c>
      <c r="AC130" s="206">
        <f>SUM(AC121:AT121)/AE88</f>
        <v>2.4833167809381509</v>
      </c>
      <c r="AD130"/>
      <c r="AE130"/>
      <c r="AF130"/>
      <c r="AP130"/>
      <c r="AQ130"/>
      <c r="AR130"/>
      <c r="AS130"/>
      <c r="AT130"/>
      <c r="AU130"/>
      <c r="AV130"/>
      <c r="AW130"/>
      <c r="AX130"/>
      <c r="AY130"/>
      <c r="AZ130"/>
      <c r="BA130"/>
      <c r="BB130"/>
      <c r="BC130"/>
      <c r="BD130"/>
      <c r="BE130"/>
      <c r="BF130"/>
      <c r="BG130"/>
      <c r="BH130"/>
      <c r="BI130"/>
      <c r="BJ130"/>
      <c r="BK130"/>
      <c r="BL130"/>
      <c r="BM130"/>
      <c r="BN130"/>
      <c r="BO130"/>
      <c r="BP130"/>
      <c r="BQ130"/>
      <c r="BR130"/>
      <c r="BS130"/>
    </row>
    <row r="131" spans="2:71">
      <c r="B131" s="159" t="s">
        <v>1620</v>
      </c>
      <c r="C131" s="220">
        <f>C$24*(1/C$44/C$48-1/C$44)</f>
        <v>4.9438013797683665E-4</v>
      </c>
      <c r="AB131" s="147" t="s">
        <v>287</v>
      </c>
      <c r="AC131" s="207">
        <f>(SUM(AC125:AD125)+U100/3*2)*'BatPaC IO'!$E$59/AC8*$H$68</f>
        <v>3.3088207216237071E-2</v>
      </c>
      <c r="AD131"/>
      <c r="AE131"/>
      <c r="AF131"/>
      <c r="AP131"/>
      <c r="AQ131"/>
      <c r="AR131"/>
      <c r="AS131"/>
      <c r="AT131"/>
      <c r="AU131"/>
      <c r="AV131"/>
      <c r="AW131"/>
      <c r="AX131"/>
      <c r="AY131"/>
      <c r="AZ131"/>
      <c r="BA131"/>
      <c r="BB131"/>
      <c r="BC131"/>
      <c r="BD131"/>
      <c r="BE131"/>
      <c r="BF131"/>
      <c r="BG131"/>
      <c r="BH131"/>
      <c r="BI131"/>
      <c r="BJ131"/>
      <c r="BK131"/>
      <c r="BL131"/>
      <c r="BM131"/>
      <c r="BN131"/>
      <c r="BO131"/>
      <c r="BP131"/>
      <c r="BQ131"/>
      <c r="BR131"/>
      <c r="BS131"/>
    </row>
    <row r="132" spans="2:71">
      <c r="B132" s="221" t="s">
        <v>193</v>
      </c>
      <c r="C132" s="222">
        <f>SUM(C$123:C$131)</f>
        <v>8.9327348555268471E-2</v>
      </c>
      <c r="AB132" s="147" t="s">
        <v>131</v>
      </c>
      <c r="AC132" s="207">
        <f>AC$140*'BatPaC IO'!$K$59+'BatPaC IO'!$L$59*AC$141</f>
        <v>0.29870544968365281</v>
      </c>
      <c r="AD132"/>
      <c r="AE132"/>
      <c r="AF132"/>
      <c r="AP132"/>
      <c r="AQ132"/>
      <c r="AR132"/>
      <c r="AS132"/>
      <c r="AT132"/>
      <c r="AU132"/>
      <c r="AV132"/>
      <c r="AW132"/>
      <c r="AX132"/>
      <c r="AY132"/>
      <c r="AZ132"/>
      <c r="BA132"/>
      <c r="BB132"/>
      <c r="BC132"/>
      <c r="BD132"/>
      <c r="BE132"/>
      <c r="BF132"/>
      <c r="BG132"/>
      <c r="BH132"/>
      <c r="BI132"/>
      <c r="BJ132"/>
      <c r="BK132"/>
      <c r="BL132"/>
      <c r="BM132"/>
      <c r="BN132"/>
      <c r="BO132"/>
      <c r="BP132"/>
      <c r="BQ132"/>
      <c r="BR132"/>
      <c r="BS132"/>
    </row>
    <row r="133" spans="2:71">
      <c r="F133" s="120"/>
      <c r="G133" s="120" t="s">
        <v>74</v>
      </c>
      <c r="H133" s="120" t="s">
        <v>77</v>
      </c>
      <c r="I133" s="120" t="s">
        <v>75</v>
      </c>
      <c r="J133" s="120" t="s">
        <v>76</v>
      </c>
      <c r="K133" s="120" t="s">
        <v>78</v>
      </c>
      <c r="L133" s="120" t="s">
        <v>302</v>
      </c>
      <c r="M133" s="120" t="s">
        <v>303</v>
      </c>
      <c r="N133" s="120" t="s">
        <v>296</v>
      </c>
      <c r="O133" s="120" t="s">
        <v>297</v>
      </c>
      <c r="P133" s="120" t="s">
        <v>372</v>
      </c>
      <c r="Q133" s="120" t="s">
        <v>1626</v>
      </c>
      <c r="AB133" s="147" t="s">
        <v>128</v>
      </c>
      <c r="AC133" s="207">
        <f>AC$131*'BatPaC IO'!$F$59+'BatPaC IO'!$G$59*AC$132</f>
        <v>7.2976372823225388E-2</v>
      </c>
      <c r="AD133"/>
      <c r="AE133"/>
      <c r="AF133"/>
      <c r="AP133"/>
      <c r="AQ133"/>
      <c r="AR133"/>
      <c r="AS133"/>
      <c r="AT133"/>
      <c r="AU133"/>
      <c r="AV133"/>
      <c r="AW133"/>
      <c r="AX133"/>
      <c r="AY133"/>
      <c r="AZ133"/>
      <c r="BA133"/>
      <c r="BB133"/>
      <c r="BC133"/>
      <c r="BD133"/>
      <c r="BE133"/>
      <c r="BF133"/>
      <c r="BG133"/>
      <c r="BH133"/>
      <c r="BI133"/>
      <c r="BJ133"/>
      <c r="BK133"/>
      <c r="BL133"/>
      <c r="BM133"/>
      <c r="BN133"/>
      <c r="BO133"/>
      <c r="BP133"/>
      <c r="BQ133"/>
      <c r="BR133"/>
      <c r="BS133"/>
    </row>
    <row r="134" spans="2:71">
      <c r="B134" s="111" t="s">
        <v>349</v>
      </c>
      <c r="F134" s="120" t="s">
        <v>348</v>
      </c>
      <c r="G134" s="120">
        <v>6.94</v>
      </c>
      <c r="H134" s="120">
        <v>58.933</v>
      </c>
      <c r="I134" s="120">
        <v>58.692999999999998</v>
      </c>
      <c r="J134" s="120">
        <v>54.938000000000002</v>
      </c>
      <c r="K134" s="120">
        <v>15.999000000000001</v>
      </c>
      <c r="L134" s="120">
        <v>30.974</v>
      </c>
      <c r="M134" s="120">
        <v>18.998000000000001</v>
      </c>
      <c r="N134" s="120">
        <v>26.981999999999999</v>
      </c>
      <c r="O134" s="120">
        <v>55.844999999999999</v>
      </c>
      <c r="P134" s="120">
        <v>12.010999999999999</v>
      </c>
      <c r="Q134" s="120">
        <v>1.008</v>
      </c>
      <c r="AB134" s="147" t="s">
        <v>129</v>
      </c>
      <c r="AC134" s="207">
        <f>(AC$133+AC$131)*'BatPaC IO'!$H$59+'BatPaC IO'!$I$59*AC$132</f>
        <v>0.10119250743077882</v>
      </c>
      <c r="AD134"/>
      <c r="AE134"/>
      <c r="AF134"/>
      <c r="AP134"/>
      <c r="AQ134"/>
      <c r="AR134"/>
      <c r="AS134"/>
      <c r="AT134"/>
      <c r="AU134"/>
      <c r="AV134"/>
      <c r="AW134"/>
      <c r="AX134"/>
      <c r="AY134"/>
      <c r="AZ134"/>
      <c r="BA134"/>
      <c r="BB134"/>
      <c r="BC134"/>
      <c r="BD134"/>
      <c r="BE134"/>
      <c r="BF134"/>
      <c r="BG134"/>
      <c r="BH134"/>
      <c r="BI134"/>
      <c r="BJ134"/>
      <c r="BK134"/>
      <c r="BL134"/>
      <c r="BM134"/>
      <c r="BN134"/>
      <c r="BO134"/>
      <c r="BP134"/>
      <c r="BQ134"/>
      <c r="BR134"/>
      <c r="BS134"/>
    </row>
    <row r="135" spans="2:71">
      <c r="B135" s="193" t="s">
        <v>1401</v>
      </c>
      <c r="C135" s="219">
        <f>VLOOKUP($C$9, $F$159:$P$168, 2, FALSE)*C$123+C$147*$G$165</f>
        <v>2.8722002223399868E-3</v>
      </c>
      <c r="F135" s="120"/>
      <c r="G135" s="120"/>
      <c r="H135" s="120"/>
      <c r="I135" s="120"/>
      <c r="J135" s="120"/>
      <c r="K135" s="120"/>
      <c r="L135" s="120"/>
      <c r="M135" s="120"/>
      <c r="N135" s="120"/>
      <c r="O135" s="120"/>
      <c r="AB135" s="149" t="s">
        <v>288</v>
      </c>
      <c r="AC135" s="208">
        <f>AC$132*'BatPaC IO'!$J$59</f>
        <v>0.11948217987346113</v>
      </c>
      <c r="AD135"/>
      <c r="AE135"/>
      <c r="AF135"/>
      <c r="AP135"/>
      <c r="AQ135"/>
      <c r="AR135"/>
      <c r="AS135"/>
      <c r="AT135"/>
      <c r="AU135"/>
      <c r="AV135"/>
      <c r="AW135"/>
      <c r="AX135"/>
      <c r="AY135"/>
      <c r="AZ135"/>
      <c r="BA135"/>
      <c r="BB135"/>
      <c r="BC135"/>
      <c r="BD135"/>
      <c r="BE135"/>
      <c r="BF135"/>
      <c r="BG135"/>
      <c r="BH135"/>
      <c r="BI135"/>
      <c r="BJ135"/>
      <c r="BK135"/>
      <c r="BL135"/>
      <c r="BM135"/>
      <c r="BN135"/>
      <c r="BO135"/>
      <c r="BP135"/>
      <c r="BQ135"/>
      <c r="BR135"/>
      <c r="BS135"/>
    </row>
    <row r="136" spans="2:71">
      <c r="B136" s="29" t="s">
        <v>1402</v>
      </c>
      <c r="C136" s="220">
        <f>VLOOKUP($C$9, $F$159:$P$168, 3, FALSE)*C$123</f>
        <v>4.8638891194848393E-3</v>
      </c>
      <c r="F136" s="120" t="s">
        <v>305</v>
      </c>
      <c r="G136" s="120"/>
      <c r="H136" s="120"/>
      <c r="I136" s="120"/>
      <c r="J136" s="120"/>
      <c r="K136" s="120"/>
      <c r="L136" s="120"/>
      <c r="M136" s="120"/>
      <c r="N136" s="120"/>
      <c r="O136" s="120"/>
      <c r="AB136" s="209" t="s">
        <v>289</v>
      </c>
      <c r="AC136" s="210">
        <f>AC130+AC131+AC133</f>
        <v>2.5893813609776135</v>
      </c>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row>
    <row r="137" spans="2:71">
      <c r="B137" s="29" t="s">
        <v>1403</v>
      </c>
      <c r="C137" s="220">
        <f>VLOOKUP($C$9, $F$159:$P$168, 4, FALSE)*C$123</f>
        <v>1.4532243942608911E-2</v>
      </c>
      <c r="F137" s="120"/>
      <c r="G137" s="120" t="s">
        <v>74</v>
      </c>
      <c r="H137" s="120" t="s">
        <v>77</v>
      </c>
      <c r="I137" s="120" t="s">
        <v>75</v>
      </c>
      <c r="J137" s="120" t="s">
        <v>76</v>
      </c>
      <c r="K137" s="120" t="s">
        <v>78</v>
      </c>
      <c r="L137" s="120" t="s">
        <v>302</v>
      </c>
      <c r="M137" s="120" t="s">
        <v>303</v>
      </c>
      <c r="N137" s="120" t="s">
        <v>296</v>
      </c>
      <c r="O137" s="120" t="s">
        <v>297</v>
      </c>
      <c r="AB137" s="209" t="s">
        <v>290</v>
      </c>
      <c r="AC137" s="207">
        <f>SUM(AC138:AC141)</f>
        <v>3.8637792258239543</v>
      </c>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row>
    <row r="138" spans="2:71">
      <c r="B138" s="159" t="s">
        <v>1404</v>
      </c>
      <c r="C138" s="220">
        <f>VLOOKUP($C$9, $F$159:$P$168, 5, FALSE)*C$123</f>
        <v>4.5341716940637353E-3</v>
      </c>
      <c r="F138" s="120" t="s">
        <v>42</v>
      </c>
      <c r="G138" s="120">
        <v>1</v>
      </c>
      <c r="H138" s="120">
        <v>1</v>
      </c>
      <c r="I138" s="120"/>
      <c r="J138" s="120"/>
      <c r="K138" s="120">
        <v>2</v>
      </c>
      <c r="L138" s="120"/>
      <c r="M138" s="120"/>
      <c r="N138" s="120"/>
      <c r="O138" s="120"/>
      <c r="AB138" s="211" t="s">
        <v>125</v>
      </c>
      <c r="AC138" s="207">
        <f>AC130*'BatPaC IO'!$B$59+'BatPaC IO'!$C$59*(AC$133+AC$131)</f>
        <v>0.13477229705085381</v>
      </c>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row>
    <row r="139" spans="2:71">
      <c r="B139" s="159" t="s">
        <v>41</v>
      </c>
      <c r="C139" s="220">
        <f>C125</f>
        <v>1.3039480731490166E-2</v>
      </c>
      <c r="F139" s="120" t="s">
        <v>1029</v>
      </c>
      <c r="G139" s="120">
        <v>1</v>
      </c>
      <c r="H139" s="223">
        <f>1/3</f>
        <v>0.33333333333333331</v>
      </c>
      <c r="I139" s="223">
        <f>1/3</f>
        <v>0.33333333333333331</v>
      </c>
      <c r="J139" s="223">
        <f>1/3</f>
        <v>0.33333333333333331</v>
      </c>
      <c r="K139" s="120">
        <v>2</v>
      </c>
      <c r="L139" s="120"/>
      <c r="M139" s="120"/>
      <c r="N139" s="120"/>
      <c r="O139" s="120"/>
      <c r="AB139" s="211" t="s">
        <v>291</v>
      </c>
      <c r="AC139" s="207">
        <f>AC136*'BatPaC IO'!$D$59</f>
        <v>0.38840720414664204</v>
      </c>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row>
    <row r="140" spans="2:71">
      <c r="B140" s="159" t="s">
        <v>398</v>
      </c>
      <c r="C140" s="220">
        <f>C126</f>
        <v>8.47705004876044E-3</v>
      </c>
      <c r="F140" s="120" t="s">
        <v>1540</v>
      </c>
      <c r="G140" s="120">
        <v>1</v>
      </c>
      <c r="H140" s="223">
        <v>0.2</v>
      </c>
      <c r="I140" s="223">
        <v>0.5</v>
      </c>
      <c r="J140" s="223">
        <v>0.3</v>
      </c>
      <c r="K140" s="120">
        <v>2</v>
      </c>
      <c r="L140" s="120"/>
      <c r="M140" s="120"/>
      <c r="N140" s="120"/>
      <c r="O140" s="120"/>
      <c r="AB140" s="211" t="s">
        <v>292</v>
      </c>
      <c r="AC140" s="207">
        <f>(SUM(AC126:AD126)+U101/3*2+V$101*(1-(SUM(C$102:Y$102)-U$102/3*2)/(SUM(C$102:Y$102)+AC$127+AD$127)))*1000000/(AC$8/$H$68)</f>
        <v>2.6335092690465975</v>
      </c>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row>
    <row r="141" spans="2:71">
      <c r="B141" s="159" t="s">
        <v>54</v>
      </c>
      <c r="C141" s="220">
        <f>C124</f>
        <v>2.4224626760864999E-2</v>
      </c>
      <c r="F141" s="120" t="s">
        <v>667</v>
      </c>
      <c r="G141" s="120">
        <v>1</v>
      </c>
      <c r="H141" s="223">
        <v>0.2</v>
      </c>
      <c r="I141" s="223">
        <v>0.6</v>
      </c>
      <c r="J141" s="223">
        <v>0.2</v>
      </c>
      <c r="K141" s="120">
        <v>2</v>
      </c>
      <c r="L141" s="120"/>
      <c r="M141" s="120"/>
      <c r="N141" s="120"/>
      <c r="O141" s="120"/>
      <c r="AB141" s="212" t="s">
        <v>293</v>
      </c>
      <c r="AC141" s="213">
        <f>(SUM(AC127:AD127)+U102/3*2)*'BatPaC IO'!$A$59/(AC$8/$H$68)</f>
        <v>0.70709045557986072</v>
      </c>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row>
    <row r="142" spans="2:71">
      <c r="B142" s="159" t="s">
        <v>55</v>
      </c>
      <c r="C142" s="220">
        <f>C129</f>
        <v>8.3330336387194373E-4</v>
      </c>
      <c r="F142" s="120" t="s">
        <v>669</v>
      </c>
      <c r="G142" s="120">
        <v>1</v>
      </c>
      <c r="H142" s="223">
        <v>0.1</v>
      </c>
      <c r="I142" s="223">
        <v>0.8</v>
      </c>
      <c r="J142" s="223">
        <v>0.1</v>
      </c>
      <c r="K142" s="120">
        <v>2</v>
      </c>
      <c r="L142" s="120"/>
      <c r="M142" s="120"/>
      <c r="N142" s="120"/>
      <c r="O142" s="120"/>
      <c r="AB142" s="214" t="s">
        <v>294</v>
      </c>
      <c r="AC142" s="206">
        <f>AC$137*'BatPaC IO'!$M$59</f>
        <v>0.19318896129119772</v>
      </c>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row>
    <row r="143" spans="2:71">
      <c r="B143" s="159" t="s">
        <v>66</v>
      </c>
      <c r="C143" s="220">
        <f>C130</f>
        <v>8.3330336387194373E-4</v>
      </c>
      <c r="F143" s="120" t="s">
        <v>301</v>
      </c>
      <c r="G143" s="120">
        <v>1</v>
      </c>
      <c r="H143" s="120"/>
      <c r="I143" s="120"/>
      <c r="J143" s="120"/>
      <c r="K143" s="120"/>
      <c r="L143" s="120">
        <v>1</v>
      </c>
      <c r="M143" s="120">
        <v>6</v>
      </c>
      <c r="N143" s="120"/>
      <c r="O143" s="120"/>
      <c r="AB143" s="215" t="s">
        <v>124</v>
      </c>
      <c r="AC143" s="208">
        <f>(SUM(AC$130:AC$135)+AC$142)*'BatPaC IO'!$N$59</f>
        <v>0.18490922571837545</v>
      </c>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row>
    <row r="144" spans="2:71">
      <c r="B144" s="159" t="s">
        <v>298</v>
      </c>
      <c r="C144" s="224">
        <f>C127</f>
        <v>2.2754921430504451E-4</v>
      </c>
      <c r="F144" s="120" t="s">
        <v>73</v>
      </c>
      <c r="G144" s="120">
        <v>1</v>
      </c>
      <c r="H144" s="120">
        <v>0.15</v>
      </c>
      <c r="I144" s="120">
        <v>0.8</v>
      </c>
      <c r="J144" s="120"/>
      <c r="K144" s="120">
        <v>2</v>
      </c>
      <c r="L144" s="120"/>
      <c r="M144" s="120"/>
      <c r="N144" s="120">
        <v>0.05</v>
      </c>
      <c r="O144" s="120"/>
      <c r="AB144" s="215" t="s">
        <v>1564</v>
      </c>
      <c r="AC144" s="208">
        <f>AU121/AE88</f>
        <v>0.68865559727367143</v>
      </c>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row>
    <row r="145" spans="2:71">
      <c r="B145" s="147" t="s">
        <v>299</v>
      </c>
      <c r="C145" s="220">
        <f>SUM(C$28:C$29)/SUM(C$27:C$29)*C128</f>
        <v>1.0169487722560752E-3</v>
      </c>
      <c r="F145" s="120" t="s">
        <v>148</v>
      </c>
      <c r="G145" s="120">
        <v>1</v>
      </c>
      <c r="H145" s="120"/>
      <c r="I145" s="120"/>
      <c r="J145" s="120">
        <v>2</v>
      </c>
      <c r="K145" s="120">
        <v>4</v>
      </c>
      <c r="L145" s="120"/>
      <c r="M145" s="120"/>
      <c r="N145" s="120"/>
      <c r="O145" s="120"/>
      <c r="AB145" s="215" t="s">
        <v>193</v>
      </c>
      <c r="AC145" s="216">
        <f>SUM(AC$130:AC$135)+SUM(AC$142:AC$143)+AC144</f>
        <v>4.1755152822487513</v>
      </c>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row>
    <row r="146" spans="2:71">
      <c r="B146" s="147" t="s">
        <v>1620</v>
      </c>
      <c r="C146" s="220">
        <f>C131</f>
        <v>4.9438013797683665E-4</v>
      </c>
      <c r="F146" s="120" t="s">
        <v>149</v>
      </c>
      <c r="G146" s="120">
        <v>1</v>
      </c>
      <c r="H146" s="120"/>
      <c r="I146" s="120"/>
      <c r="J146" s="120"/>
      <c r="K146" s="120">
        <v>4</v>
      </c>
      <c r="L146" s="120">
        <v>1</v>
      </c>
      <c r="M146" s="120"/>
      <c r="N146" s="120"/>
      <c r="O146" s="120">
        <v>1</v>
      </c>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row>
    <row r="147" spans="2:71">
      <c r="B147" s="147" t="s">
        <v>301</v>
      </c>
      <c r="C147" s="220">
        <f>C$27/SUM(C$27:C$29)*C128</f>
        <v>1.8214469601772706E-4</v>
      </c>
      <c r="F147" s="120" t="s">
        <v>304</v>
      </c>
      <c r="G147" s="120"/>
      <c r="H147" s="120"/>
      <c r="I147" s="120"/>
      <c r="J147" s="120"/>
      <c r="K147" s="120"/>
      <c r="L147" s="120"/>
      <c r="M147" s="120"/>
      <c r="N147" s="120"/>
      <c r="O147" s="120"/>
      <c r="P147" s="120"/>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row>
    <row r="148" spans="2:71">
      <c r="B148" s="147" t="s">
        <v>439</v>
      </c>
      <c r="C148" s="220">
        <v>0</v>
      </c>
      <c r="F148" s="120"/>
      <c r="G148" s="120" t="s">
        <v>74</v>
      </c>
      <c r="H148" s="120" t="s">
        <v>77</v>
      </c>
      <c r="I148" s="120" t="s">
        <v>75</v>
      </c>
      <c r="J148" s="120" t="s">
        <v>76</v>
      </c>
      <c r="K148" s="120" t="s">
        <v>78</v>
      </c>
      <c r="L148" s="120" t="s">
        <v>302</v>
      </c>
      <c r="M148" s="120" t="s">
        <v>303</v>
      </c>
      <c r="N148" s="120" t="s">
        <v>296</v>
      </c>
      <c r="O148" s="120" t="s">
        <v>297</v>
      </c>
      <c r="P148" s="120" t="s">
        <v>193</v>
      </c>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row>
    <row r="149" spans="2:71">
      <c r="B149" s="149" t="s">
        <v>1627</v>
      </c>
      <c r="C149" s="222">
        <f>C147*M165+C143*F171/G171</f>
        <v>6.3114137569843048E-4</v>
      </c>
      <c r="F149" s="120" t="s">
        <v>42</v>
      </c>
      <c r="G149" s="223">
        <f t="shared" ref="G149:O149" si="9">G138*G$134</f>
        <v>6.94</v>
      </c>
      <c r="H149" s="223">
        <f t="shared" si="9"/>
        <v>58.933</v>
      </c>
      <c r="I149" s="223">
        <f t="shared" si="9"/>
        <v>0</v>
      </c>
      <c r="J149" s="223">
        <f t="shared" si="9"/>
        <v>0</v>
      </c>
      <c r="K149" s="223">
        <f t="shared" si="9"/>
        <v>31.998000000000001</v>
      </c>
      <c r="L149" s="223">
        <f t="shared" si="9"/>
        <v>0</v>
      </c>
      <c r="M149" s="223">
        <f t="shared" si="9"/>
        <v>0</v>
      </c>
      <c r="N149" s="223">
        <f t="shared" si="9"/>
        <v>0</v>
      </c>
      <c r="O149" s="223">
        <f t="shared" si="9"/>
        <v>0</v>
      </c>
      <c r="P149" s="223">
        <f t="shared" ref="P149:P157" si="10">SUM(G149:O149)</f>
        <v>97.871000000000009</v>
      </c>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row>
    <row r="150" spans="2:71">
      <c r="B150"/>
      <c r="C150"/>
      <c r="D150" s="180"/>
      <c r="F150" s="120" t="s">
        <v>1029</v>
      </c>
      <c r="G150" s="223">
        <f t="shared" ref="G150:O150" si="11">G139*G$134</f>
        <v>6.94</v>
      </c>
      <c r="H150" s="223">
        <f t="shared" si="11"/>
        <v>19.644333333333332</v>
      </c>
      <c r="I150" s="223">
        <f t="shared" si="11"/>
        <v>19.56433333333333</v>
      </c>
      <c r="J150" s="223">
        <f t="shared" si="11"/>
        <v>18.312666666666665</v>
      </c>
      <c r="K150" s="223">
        <f t="shared" si="11"/>
        <v>31.998000000000001</v>
      </c>
      <c r="L150" s="223">
        <f t="shared" si="11"/>
        <v>0</v>
      </c>
      <c r="M150" s="223">
        <f t="shared" si="11"/>
        <v>0</v>
      </c>
      <c r="N150" s="223">
        <f t="shared" si="11"/>
        <v>0</v>
      </c>
      <c r="O150" s="223">
        <f t="shared" si="11"/>
        <v>0</v>
      </c>
      <c r="P150" s="223">
        <f t="shared" si="10"/>
        <v>96.459333333333333</v>
      </c>
      <c r="AD150" s="959"/>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row>
    <row r="151" spans="2:71">
      <c r="F151" s="120" t="s">
        <v>1540</v>
      </c>
      <c r="G151" s="223">
        <f t="shared" ref="G151:O151" si="12">G140*G$134</f>
        <v>6.94</v>
      </c>
      <c r="H151" s="223">
        <f t="shared" si="12"/>
        <v>11.7866</v>
      </c>
      <c r="I151" s="223">
        <f t="shared" si="12"/>
        <v>29.346499999999999</v>
      </c>
      <c r="J151" s="223">
        <f t="shared" si="12"/>
        <v>16.481400000000001</v>
      </c>
      <c r="K151" s="223">
        <f t="shared" si="12"/>
        <v>31.998000000000001</v>
      </c>
      <c r="L151" s="223">
        <f t="shared" si="12"/>
        <v>0</v>
      </c>
      <c r="M151" s="223">
        <f t="shared" si="12"/>
        <v>0</v>
      </c>
      <c r="N151" s="223">
        <f t="shared" si="12"/>
        <v>0</v>
      </c>
      <c r="O151" s="223">
        <f t="shared" si="12"/>
        <v>0</v>
      </c>
      <c r="P151" s="223">
        <f t="shared" si="10"/>
        <v>96.552499999999995</v>
      </c>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row>
    <row r="152" spans="2:71">
      <c r="B152" s="111" t="s">
        <v>351</v>
      </c>
      <c r="F152" s="120" t="s">
        <v>667</v>
      </c>
      <c r="G152" s="223">
        <f t="shared" ref="G152:O152" si="13">G141*G$134</f>
        <v>6.94</v>
      </c>
      <c r="H152" s="223">
        <f t="shared" si="13"/>
        <v>11.7866</v>
      </c>
      <c r="I152" s="223">
        <f t="shared" si="13"/>
        <v>35.215799999999994</v>
      </c>
      <c r="J152" s="223">
        <f t="shared" si="13"/>
        <v>10.9876</v>
      </c>
      <c r="K152" s="223">
        <f t="shared" si="13"/>
        <v>31.998000000000001</v>
      </c>
      <c r="L152" s="223">
        <f t="shared" si="13"/>
        <v>0</v>
      </c>
      <c r="M152" s="223">
        <f t="shared" si="13"/>
        <v>0</v>
      </c>
      <c r="N152" s="223">
        <f t="shared" si="13"/>
        <v>0</v>
      </c>
      <c r="O152" s="223">
        <f t="shared" si="13"/>
        <v>0</v>
      </c>
      <c r="P152" s="223">
        <f t="shared" si="10"/>
        <v>96.927999999999997</v>
      </c>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row>
    <row r="153" spans="2:71">
      <c r="B153" s="193" t="s">
        <v>1401</v>
      </c>
      <c r="C153" s="219">
        <f>(VLOOKUP($C$9, $F$159:$P$168, 2, FALSE)*C$20+$G$165*C$27)*(1/C$44-1)</f>
        <v>1.7287494939414172E-3</v>
      </c>
      <c r="F153" s="120" t="s">
        <v>669</v>
      </c>
      <c r="G153" s="223">
        <f t="shared" ref="G153:O153" si="14">G142*G$134</f>
        <v>6.94</v>
      </c>
      <c r="H153" s="223">
        <f t="shared" si="14"/>
        <v>5.8933</v>
      </c>
      <c r="I153" s="223">
        <f t="shared" si="14"/>
        <v>46.9544</v>
      </c>
      <c r="J153" s="223">
        <f t="shared" si="14"/>
        <v>5.4938000000000002</v>
      </c>
      <c r="K153" s="223">
        <f t="shared" si="14"/>
        <v>31.998000000000001</v>
      </c>
      <c r="L153" s="223">
        <f t="shared" si="14"/>
        <v>0</v>
      </c>
      <c r="M153" s="223">
        <f t="shared" si="14"/>
        <v>0</v>
      </c>
      <c r="N153" s="223">
        <f t="shared" si="14"/>
        <v>0</v>
      </c>
      <c r="O153" s="223">
        <f t="shared" si="14"/>
        <v>0</v>
      </c>
      <c r="P153" s="223">
        <f t="shared" si="10"/>
        <v>97.279499999999999</v>
      </c>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row>
    <row r="154" spans="2:71">
      <c r="B154" s="29" t="s">
        <v>1402</v>
      </c>
      <c r="C154" s="220">
        <f>VLOOKUP($C$9, $F$159:$P$168, 3, FALSE)*C$20*(1/C$44-1)</f>
        <v>2.8660748934901709E-3</v>
      </c>
      <c r="F154" s="120" t="s">
        <v>301</v>
      </c>
      <c r="G154" s="223">
        <f t="shared" ref="G154:O154" si="15">G143*G$134</f>
        <v>6.94</v>
      </c>
      <c r="H154" s="223">
        <f t="shared" si="15"/>
        <v>0</v>
      </c>
      <c r="I154" s="223">
        <f t="shared" si="15"/>
        <v>0</v>
      </c>
      <c r="J154" s="223">
        <f t="shared" si="15"/>
        <v>0</v>
      </c>
      <c r="K154" s="223">
        <f t="shared" si="15"/>
        <v>0</v>
      </c>
      <c r="L154" s="223">
        <f t="shared" si="15"/>
        <v>30.974</v>
      </c>
      <c r="M154" s="223">
        <f t="shared" si="15"/>
        <v>113.988</v>
      </c>
      <c r="N154" s="223">
        <f t="shared" si="15"/>
        <v>0</v>
      </c>
      <c r="O154" s="223">
        <f t="shared" si="15"/>
        <v>0</v>
      </c>
      <c r="P154" s="223">
        <f t="shared" si="10"/>
        <v>151.90199999999999</v>
      </c>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row>
    <row r="155" spans="2:71">
      <c r="B155" s="29" t="s">
        <v>1403</v>
      </c>
      <c r="C155" s="220">
        <f>VLOOKUP($C$9, $F$159:$P$168, 4, FALSE)*C$20*(1/C$44-1)</f>
        <v>8.5632090877921663E-3</v>
      </c>
      <c r="F155" s="120" t="s">
        <v>73</v>
      </c>
      <c r="G155" s="223">
        <f t="shared" ref="G155:O155" si="16">G144*G$134</f>
        <v>6.94</v>
      </c>
      <c r="H155" s="223">
        <f t="shared" si="16"/>
        <v>8.83995</v>
      </c>
      <c r="I155" s="223">
        <f t="shared" si="16"/>
        <v>46.9544</v>
      </c>
      <c r="J155" s="223">
        <f t="shared" si="16"/>
        <v>0</v>
      </c>
      <c r="K155" s="223">
        <f t="shared" si="16"/>
        <v>31.998000000000001</v>
      </c>
      <c r="L155" s="223">
        <f t="shared" si="16"/>
        <v>0</v>
      </c>
      <c r="M155" s="223">
        <f t="shared" si="16"/>
        <v>0</v>
      </c>
      <c r="N155" s="223">
        <f t="shared" si="16"/>
        <v>1.3491</v>
      </c>
      <c r="O155" s="223">
        <f t="shared" si="16"/>
        <v>0</v>
      </c>
      <c r="P155" s="223">
        <f t="shared" si="10"/>
        <v>96.08144999999999</v>
      </c>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row>
    <row r="156" spans="2:71">
      <c r="B156" s="159" t="s">
        <v>1404</v>
      </c>
      <c r="C156" s="220">
        <f>VLOOKUP($C$9, $F$159:$P$168, 5, FALSE)*C$20*(1/C$44-1)</f>
        <v>2.6717869868929638E-3</v>
      </c>
      <c r="F156" s="120" t="s">
        <v>148</v>
      </c>
      <c r="G156" s="223">
        <f t="shared" ref="G156:O156" si="17">G145*G$134</f>
        <v>6.94</v>
      </c>
      <c r="H156" s="223">
        <f t="shared" si="17"/>
        <v>0</v>
      </c>
      <c r="I156" s="223">
        <f t="shared" si="17"/>
        <v>0</v>
      </c>
      <c r="J156" s="223">
        <f t="shared" si="17"/>
        <v>109.876</v>
      </c>
      <c r="K156" s="223">
        <f t="shared" si="17"/>
        <v>63.996000000000002</v>
      </c>
      <c r="L156" s="223">
        <f t="shared" si="17"/>
        <v>0</v>
      </c>
      <c r="M156" s="223">
        <f t="shared" si="17"/>
        <v>0</v>
      </c>
      <c r="N156" s="223">
        <f t="shared" si="17"/>
        <v>0</v>
      </c>
      <c r="O156" s="223">
        <f t="shared" si="17"/>
        <v>0</v>
      </c>
      <c r="P156" s="223">
        <f t="shared" si="10"/>
        <v>180.81200000000001</v>
      </c>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row>
    <row r="157" spans="2:71">
      <c r="B157" s="159" t="s">
        <v>41</v>
      </c>
      <c r="C157" s="220">
        <f>C$25*(1/C$44-1)</f>
        <v>4.1867823577739225E-3</v>
      </c>
      <c r="F157" s="120" t="s">
        <v>149</v>
      </c>
      <c r="G157" s="223">
        <f t="shared" ref="G157:O157" si="18">G146*G$134</f>
        <v>6.94</v>
      </c>
      <c r="H157" s="223">
        <f t="shared" si="18"/>
        <v>0</v>
      </c>
      <c r="I157" s="223">
        <f t="shared" si="18"/>
        <v>0</v>
      </c>
      <c r="J157" s="223">
        <f t="shared" si="18"/>
        <v>0</v>
      </c>
      <c r="K157" s="223">
        <f t="shared" si="18"/>
        <v>63.996000000000002</v>
      </c>
      <c r="L157" s="223">
        <f t="shared" si="18"/>
        <v>30.974</v>
      </c>
      <c r="M157" s="223">
        <f t="shared" si="18"/>
        <v>0</v>
      </c>
      <c r="N157" s="223">
        <f t="shared" si="18"/>
        <v>0</v>
      </c>
      <c r="O157" s="223">
        <f t="shared" si="18"/>
        <v>55.844999999999999</v>
      </c>
      <c r="P157" s="223">
        <f t="shared" si="10"/>
        <v>157.755</v>
      </c>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row>
    <row r="158" spans="2:71">
      <c r="B158" s="159" t="s">
        <v>398</v>
      </c>
      <c r="C158" s="220">
        <f>C$26*(1/C$44-1)</f>
        <v>2.7218540615965747E-3</v>
      </c>
      <c r="F158" s="120" t="s">
        <v>384</v>
      </c>
      <c r="G158" s="120"/>
      <c r="H158" s="120"/>
      <c r="I158" s="120"/>
      <c r="J158" s="120"/>
      <c r="K158" s="120"/>
      <c r="L158" s="120"/>
      <c r="M158" s="120"/>
      <c r="N158" s="120"/>
      <c r="O158" s="120"/>
      <c r="P158" s="120"/>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row>
    <row r="159" spans="2:71">
      <c r="B159" s="159" t="s">
        <v>54</v>
      </c>
      <c r="C159" s="220">
        <f>C$21*(1/C$44-1)</f>
        <v>1.4274501917683303E-2</v>
      </c>
      <c r="F159" s="120"/>
      <c r="G159" s="120" t="s">
        <v>74</v>
      </c>
      <c r="H159" s="120" t="s">
        <v>77</v>
      </c>
      <c r="I159" s="120" t="s">
        <v>75</v>
      </c>
      <c r="J159" s="120" t="s">
        <v>76</v>
      </c>
      <c r="K159" s="120" t="s">
        <v>78</v>
      </c>
      <c r="L159" s="120" t="s">
        <v>302</v>
      </c>
      <c r="M159" s="120" t="s">
        <v>303</v>
      </c>
      <c r="N159" s="120" t="s">
        <v>296</v>
      </c>
      <c r="O159" s="120" t="s">
        <v>297</v>
      </c>
      <c r="P159" s="120" t="s">
        <v>193</v>
      </c>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row>
    <row r="160" spans="2:71">
      <c r="B160" s="159" t="s">
        <v>55</v>
      </c>
      <c r="C160" s="220">
        <f>C$22*(1/C$44-1)</f>
        <v>4.9102884362364763E-4</v>
      </c>
      <c r="D160" s="180"/>
      <c r="F160" s="120" t="s">
        <v>42</v>
      </c>
      <c r="G160" s="225">
        <f t="shared" ref="G160:O160" si="19">G149/$P149</f>
        <v>7.0909666806306254E-2</v>
      </c>
      <c r="H160" s="225">
        <f t="shared" si="19"/>
        <v>0.60214976857291735</v>
      </c>
      <c r="I160" s="225">
        <f t="shared" si="19"/>
        <v>0</v>
      </c>
      <c r="J160" s="225">
        <f t="shared" si="19"/>
        <v>0</v>
      </c>
      <c r="K160" s="225">
        <f t="shared" si="19"/>
        <v>0.32694056462077631</v>
      </c>
      <c r="L160" s="225">
        <f t="shared" si="19"/>
        <v>0</v>
      </c>
      <c r="M160" s="225">
        <f t="shared" si="19"/>
        <v>0</v>
      </c>
      <c r="N160" s="225">
        <f t="shared" si="19"/>
        <v>0</v>
      </c>
      <c r="O160" s="225">
        <f t="shared" si="19"/>
        <v>0</v>
      </c>
      <c r="P160" s="223">
        <f>SUM(G160:O160)</f>
        <v>1</v>
      </c>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row>
    <row r="161" spans="2:71">
      <c r="B161" s="159" t="s">
        <v>66</v>
      </c>
      <c r="C161" s="220">
        <f>C$23*(1/C$44-1)</f>
        <v>4.9102884362364763E-4</v>
      </c>
      <c r="F161" s="120" t="s">
        <v>1029</v>
      </c>
      <c r="G161" s="225">
        <f t="shared" ref="G161:O161" si="20">G150/$P150</f>
        <v>7.1947418255707066E-2</v>
      </c>
      <c r="H161" s="225">
        <f t="shared" si="20"/>
        <v>0.20365404419133451</v>
      </c>
      <c r="I161" s="225">
        <f t="shared" si="20"/>
        <v>0.2028246791393955</v>
      </c>
      <c r="J161" s="225">
        <f t="shared" si="20"/>
        <v>0.18984857176426678</v>
      </c>
      <c r="K161" s="225">
        <f t="shared" si="20"/>
        <v>0.33172528664929607</v>
      </c>
      <c r="L161" s="225">
        <f t="shared" si="20"/>
        <v>0</v>
      </c>
      <c r="M161" s="225">
        <f t="shared" si="20"/>
        <v>0</v>
      </c>
      <c r="N161" s="225">
        <f t="shared" si="20"/>
        <v>0</v>
      </c>
      <c r="O161" s="225">
        <f t="shared" si="20"/>
        <v>0</v>
      </c>
      <c r="P161" s="223">
        <f>SUM(G161:O161)</f>
        <v>1</v>
      </c>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row>
    <row r="162" spans="2:71">
      <c r="B162" s="159" t="s">
        <v>298</v>
      </c>
      <c r="C162" s="220">
        <f>SUM(C$30:C$32)*(1/C$44-1)</f>
        <v>6.7016939550991613E-4</v>
      </c>
      <c r="F162" s="120" t="s">
        <v>1540</v>
      </c>
      <c r="G162" s="225">
        <f t="shared" ref="G162:O162" si="21">G151/$P151</f>
        <v>7.1877993837549531E-2</v>
      </c>
      <c r="H162" s="225">
        <f t="shared" si="21"/>
        <v>0.1220745190440434</v>
      </c>
      <c r="I162" s="225">
        <f t="shared" si="21"/>
        <v>0.30394345045441601</v>
      </c>
      <c r="J162" s="225">
        <f t="shared" si="21"/>
        <v>0.17069884259858628</v>
      </c>
      <c r="K162" s="225">
        <f t="shared" si="21"/>
        <v>0.33140519406540486</v>
      </c>
      <c r="L162" s="225">
        <f t="shared" si="21"/>
        <v>0</v>
      </c>
      <c r="M162" s="225">
        <f t="shared" si="21"/>
        <v>0</v>
      </c>
      <c r="N162" s="225">
        <f t="shared" si="21"/>
        <v>0</v>
      </c>
      <c r="O162" s="225">
        <f t="shared" si="21"/>
        <v>0</v>
      </c>
      <c r="P162" s="223">
        <f>SUM(G162:O162)</f>
        <v>1</v>
      </c>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row>
    <row r="163" spans="2:71">
      <c r="B163" s="159" t="s">
        <v>299</v>
      </c>
      <c r="C163" s="226">
        <f>SUM(C$28:C$29)*(1/C$44-1)</f>
        <v>5.0338964226675281E-3</v>
      </c>
      <c r="F163" s="120" t="s">
        <v>667</v>
      </c>
      <c r="G163" s="225">
        <f t="shared" ref="G163:O163" si="22">G152/$P152</f>
        <v>7.159953780125454E-2</v>
      </c>
      <c r="H163" s="225">
        <f t="shared" si="22"/>
        <v>0.12160160118851106</v>
      </c>
      <c r="I163" s="225">
        <f t="shared" si="22"/>
        <v>0.36331916474083853</v>
      </c>
      <c r="J163" s="225">
        <f t="shared" si="22"/>
        <v>0.11335836909871246</v>
      </c>
      <c r="K163" s="225">
        <f t="shared" si="22"/>
        <v>0.33012132717068343</v>
      </c>
      <c r="L163" s="225">
        <f t="shared" si="22"/>
        <v>0</v>
      </c>
      <c r="M163" s="225">
        <f t="shared" si="22"/>
        <v>0</v>
      </c>
      <c r="N163" s="225">
        <f t="shared" si="22"/>
        <v>0</v>
      </c>
      <c r="O163" s="225">
        <f t="shared" si="22"/>
        <v>0</v>
      </c>
      <c r="P163" s="223">
        <f>P152/$P152</f>
        <v>1</v>
      </c>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row>
    <row r="164" spans="2:71">
      <c r="B164" s="147" t="s">
        <v>1620</v>
      </c>
      <c r="C164" s="227">
        <f>C$24*(1/C$44-1)</f>
        <v>2.9131636566700613E-4</v>
      </c>
      <c r="F164" s="120" t="s">
        <v>669</v>
      </c>
      <c r="G164" s="225">
        <f t="shared" ref="G164:O164" si="23">G153/$P153</f>
        <v>7.1340827204087201E-2</v>
      </c>
      <c r="H164" s="225">
        <f t="shared" si="23"/>
        <v>6.0581109072312254E-2</v>
      </c>
      <c r="I164" s="225">
        <f t="shared" si="23"/>
        <v>0.48267517822357231</v>
      </c>
      <c r="J164" s="225">
        <f t="shared" si="23"/>
        <v>5.6474385661932885E-2</v>
      </c>
      <c r="K164" s="225">
        <f t="shared" si="23"/>
        <v>0.32892849983809541</v>
      </c>
      <c r="L164" s="225">
        <f t="shared" si="23"/>
        <v>0</v>
      </c>
      <c r="M164" s="225">
        <f t="shared" si="23"/>
        <v>0</v>
      </c>
      <c r="N164" s="225">
        <f t="shared" si="23"/>
        <v>0</v>
      </c>
      <c r="O164" s="225">
        <f t="shared" si="23"/>
        <v>0</v>
      </c>
      <c r="P164" s="223">
        <f>P153/$P153</f>
        <v>1</v>
      </c>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row>
    <row r="165" spans="2:71">
      <c r="B165" s="147" t="s">
        <v>301</v>
      </c>
      <c r="C165" s="227">
        <f>C$27*(1/C$44-1)</f>
        <v>9.0161624528774123E-4</v>
      </c>
      <c r="F165" s="120" t="s">
        <v>301</v>
      </c>
      <c r="G165" s="225">
        <f t="shared" ref="G165:O165" si="24">G154/$P154</f>
        <v>4.5687351055285652E-2</v>
      </c>
      <c r="H165" s="225">
        <f t="shared" si="24"/>
        <v>0</v>
      </c>
      <c r="I165" s="225">
        <f t="shared" si="24"/>
        <v>0</v>
      </c>
      <c r="J165" s="225">
        <f t="shared" si="24"/>
        <v>0</v>
      </c>
      <c r="K165" s="225">
        <f t="shared" si="24"/>
        <v>0</v>
      </c>
      <c r="L165" s="225">
        <f t="shared" si="24"/>
        <v>0.20390778264933973</v>
      </c>
      <c r="M165" s="225">
        <f t="shared" si="24"/>
        <v>0.75040486629537473</v>
      </c>
      <c r="N165" s="225">
        <f t="shared" si="24"/>
        <v>0</v>
      </c>
      <c r="O165" s="225">
        <f t="shared" si="24"/>
        <v>0</v>
      </c>
      <c r="P165" s="223">
        <f>SUM(G165:O165)</f>
        <v>1</v>
      </c>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row>
    <row r="166" spans="2:71">
      <c r="B166" s="147" t="s">
        <v>439</v>
      </c>
      <c r="C166" s="220">
        <f>C$33*(1/C$44-1)</f>
        <v>0</v>
      </c>
      <c r="F166" s="120" t="s">
        <v>73</v>
      </c>
      <c r="G166" s="225">
        <f t="shared" ref="G166:O166" si="25">G155/$P155</f>
        <v>7.2230383700495795E-2</v>
      </c>
      <c r="H166" s="225">
        <f t="shared" si="25"/>
        <v>9.2004752218040012E-2</v>
      </c>
      <c r="I166" s="225">
        <f t="shared" si="25"/>
        <v>0.48869370726607481</v>
      </c>
      <c r="J166" s="225">
        <f t="shared" si="25"/>
        <v>0</v>
      </c>
      <c r="K166" s="225">
        <f t="shared" si="25"/>
        <v>0.33302994490611876</v>
      </c>
      <c r="L166" s="225">
        <f t="shared" si="25"/>
        <v>0</v>
      </c>
      <c r="M166" s="225">
        <f t="shared" si="25"/>
        <v>0</v>
      </c>
      <c r="N166" s="225">
        <f t="shared" si="25"/>
        <v>1.404121190927073E-2</v>
      </c>
      <c r="O166" s="225">
        <f t="shared" si="25"/>
        <v>0</v>
      </c>
      <c r="P166" s="223">
        <f>SUM(G166:O166)</f>
        <v>1.0000000000000002</v>
      </c>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row>
    <row r="167" spans="2:71">
      <c r="B167" s="147" t="s">
        <v>1627</v>
      </c>
      <c r="C167" s="220">
        <f>C161*F171/G171+C165*M165</f>
        <v>9.679401180530435E-4</v>
      </c>
      <c r="D167" s="180"/>
      <c r="F167" s="120" t="s">
        <v>148</v>
      </c>
      <c r="G167" s="225">
        <f t="shared" ref="G167:O167" si="26">G156/$P156</f>
        <v>3.8382408247240228E-2</v>
      </c>
      <c r="H167" s="225">
        <f t="shared" si="26"/>
        <v>0</v>
      </c>
      <c r="I167" s="225">
        <f t="shared" si="26"/>
        <v>0</v>
      </c>
      <c r="J167" s="225">
        <f t="shared" si="26"/>
        <v>0.60768090613454862</v>
      </c>
      <c r="K167" s="225">
        <f t="shared" si="26"/>
        <v>0.35393668561821118</v>
      </c>
      <c r="L167" s="225">
        <f t="shared" si="26"/>
        <v>0</v>
      </c>
      <c r="M167" s="225">
        <f t="shared" si="26"/>
        <v>0</v>
      </c>
      <c r="N167" s="225">
        <f t="shared" si="26"/>
        <v>0</v>
      </c>
      <c r="O167" s="225">
        <f t="shared" si="26"/>
        <v>0</v>
      </c>
      <c r="P167" s="223">
        <f>SUM(G167:O167)</f>
        <v>1</v>
      </c>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row>
    <row r="168" spans="2:71">
      <c r="B168" s="149" t="s">
        <v>193</v>
      </c>
      <c r="C168" s="228">
        <f>1/C$44-1</f>
        <v>5.2631578947368363E-2</v>
      </c>
      <c r="D168" s="180"/>
      <c r="F168" s="120" t="s">
        <v>149</v>
      </c>
      <c r="G168" s="225">
        <f t="shared" ref="G168:O168" si="27">G157/$P157</f>
        <v>4.3992266489176257E-2</v>
      </c>
      <c r="H168" s="225">
        <f t="shared" si="27"/>
        <v>0</v>
      </c>
      <c r="I168" s="225">
        <f t="shared" si="27"/>
        <v>0</v>
      </c>
      <c r="J168" s="225">
        <f t="shared" si="27"/>
        <v>0</v>
      </c>
      <c r="K168" s="225">
        <f t="shared" si="27"/>
        <v>0.4056670153085481</v>
      </c>
      <c r="L168" s="225">
        <f t="shared" si="27"/>
        <v>0.19634242971696619</v>
      </c>
      <c r="M168" s="225">
        <f t="shared" si="27"/>
        <v>0</v>
      </c>
      <c r="N168" s="225">
        <f t="shared" si="27"/>
        <v>0</v>
      </c>
      <c r="O168" s="225">
        <f t="shared" si="27"/>
        <v>0.35399828848530951</v>
      </c>
      <c r="P168" s="223">
        <f>SUM(G168:O168)</f>
        <v>1</v>
      </c>
      <c r="AB168"/>
      <c r="AC168"/>
      <c r="AD168"/>
      <c r="AE168"/>
      <c r="AF168"/>
      <c r="AG168"/>
      <c r="AH168"/>
      <c r="AI168"/>
      <c r="AJ168"/>
      <c r="AK168"/>
      <c r="AL168"/>
      <c r="AM168"/>
      <c r="AN168"/>
      <c r="AO168"/>
      <c r="AP168"/>
      <c r="AQ168"/>
    </row>
    <row r="169" spans="2:71">
      <c r="F169" s="111">
        <v>1</v>
      </c>
      <c r="G169" s="111">
        <v>2</v>
      </c>
      <c r="H169" s="111">
        <v>3</v>
      </c>
      <c r="I169" s="111">
        <v>4</v>
      </c>
      <c r="J169" s="111">
        <v>5</v>
      </c>
      <c r="K169" s="111">
        <v>6</v>
      </c>
      <c r="L169" s="111">
        <v>7</v>
      </c>
      <c r="M169" s="111">
        <v>8</v>
      </c>
      <c r="N169" s="111">
        <v>9</v>
      </c>
      <c r="O169" s="111">
        <v>10</v>
      </c>
      <c r="P169" s="111">
        <v>11</v>
      </c>
      <c r="AB169"/>
      <c r="AC169"/>
      <c r="AD169"/>
      <c r="AE169"/>
    </row>
    <row r="170" spans="2:71">
      <c r="F170" s="120" t="s">
        <v>1625</v>
      </c>
      <c r="G170" s="120" t="s">
        <v>1624</v>
      </c>
      <c r="AB170"/>
      <c r="AC170"/>
      <c r="AD170"/>
      <c r="AE170"/>
    </row>
    <row r="171" spans="2:71">
      <c r="F171" s="120">
        <f>M134*2</f>
        <v>37.996000000000002</v>
      </c>
      <c r="G171" s="120">
        <f>(P134+M134+Q134)*2</f>
        <v>64.034000000000006</v>
      </c>
    </row>
  </sheetData>
  <mergeCells count="10">
    <mergeCell ref="AC119:AI119"/>
    <mergeCell ref="AJ119:AU119"/>
    <mergeCell ref="AD26:AK26"/>
    <mergeCell ref="D54:F54"/>
    <mergeCell ref="G54:I54"/>
    <mergeCell ref="AD17:AK17"/>
    <mergeCell ref="D13:K13"/>
    <mergeCell ref="D18:K18"/>
    <mergeCell ref="D35:K35"/>
    <mergeCell ref="AD80:AK80"/>
  </mergeCells>
  <phoneticPr fontId="153" type="noConversion"/>
  <dataValidations count="2">
    <dataValidation type="list" allowBlank="1" showInputMessage="1" showErrorMessage="1" sqref="C56:C57" xr:uid="{00000000-0002-0000-0400-000000000000}">
      <formula1>Solvent</formula1>
    </dataValidation>
    <dataValidation type="list" allowBlank="1" showInputMessage="1" showErrorMessage="1" sqref="E117:E118" xr:uid="{F435DE91-0FBC-4FB0-B280-AA1F42F9EE20}">
      <formula1>YorN</formula1>
    </dataValidation>
  </dataValidations>
  <pageMargins left="0.7" right="0.7" top="0.75" bottom="0.75" header="0.3" footer="0.3"/>
  <pageSetup orientation="portrait" verticalDpi="0" r:id="rId1"/>
  <ignoredErrors>
    <ignoredError sqref="C116" unlockedFormula="1"/>
  </ignoredErrors>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tabColor rgb="FFFFFF00"/>
  </sheetPr>
  <dimension ref="B1:R101"/>
  <sheetViews>
    <sheetView zoomScale="80" zoomScaleNormal="80" workbookViewId="0">
      <pane ySplit="5" topLeftCell="A6" activePane="bottomLeft" state="frozen"/>
      <selection pane="bottomLeft" activeCell="D55" sqref="D55"/>
    </sheetView>
  </sheetViews>
  <sheetFormatPr defaultColWidth="8.83203125" defaultRowHeight="14"/>
  <cols>
    <col min="1" max="1" width="8.83203125" style="111"/>
    <col min="2" max="2" width="55.83203125" style="111" customWidth="1"/>
    <col min="3" max="3" width="20.75" style="111" customWidth="1"/>
    <col min="4" max="7" width="24.4140625" style="111" customWidth="1"/>
    <col min="8" max="8" width="16.83203125" style="111" customWidth="1"/>
    <col min="9" max="9" width="18" style="111" customWidth="1"/>
    <col min="10" max="16384" width="8.83203125" style="111"/>
  </cols>
  <sheetData>
    <row r="1" spans="2:4">
      <c r="B1"/>
    </row>
    <row r="2" spans="2:4">
      <c r="B2"/>
    </row>
    <row r="3" spans="2:4">
      <c r="B3"/>
    </row>
    <row r="7" spans="2:4">
      <c r="B7" s="133" t="s">
        <v>160</v>
      </c>
    </row>
    <row r="8" spans="2:4">
      <c r="B8" s="133" t="s">
        <v>152</v>
      </c>
    </row>
    <row r="9" spans="2:4" ht="14.5">
      <c r="B9" s="1469" t="str">
        <f>Input!C17</f>
        <v>From collection to disassembly</v>
      </c>
      <c r="C9" s="1518" t="str">
        <f>Input!D17</f>
        <v>Miles</v>
      </c>
      <c r="D9" s="1551">
        <f>Input!E17</f>
        <v>100</v>
      </c>
    </row>
    <row r="10" spans="2:4" ht="14.5">
      <c r="B10" s="1106" t="str">
        <f>Input!C18</f>
        <v>From disassembly to preprocessor</v>
      </c>
      <c r="C10" s="1104" t="str">
        <f>Input!D18</f>
        <v>Miles</v>
      </c>
      <c r="D10" s="1107">
        <f>Input!E18</f>
        <v>500</v>
      </c>
    </row>
    <row r="11" spans="2:4" ht="14.5">
      <c r="B11" s="1106" t="str">
        <f>Input!C19</f>
        <v>From preprocessor to CM recovery</v>
      </c>
      <c r="C11" s="1104" t="str">
        <f>Input!D19</f>
        <v>Miles</v>
      </c>
      <c r="D11" s="1107">
        <f>Input!E19</f>
        <v>1000</v>
      </c>
    </row>
    <row r="12" spans="2:4" ht="14.5">
      <c r="B12" s="1106" t="str">
        <f>Input!C20</f>
        <v>From manufacturer to preprocessor/CM recovery</v>
      </c>
      <c r="C12" s="1104" t="str">
        <f>Input!D20</f>
        <v>Miles</v>
      </c>
      <c r="D12" s="1107">
        <f>Input!E20</f>
        <v>1000</v>
      </c>
    </row>
    <row r="13" spans="2:4" ht="14.5">
      <c r="B13" s="1106" t="str">
        <f>Input!C21</f>
        <v>From recycler to cathode producer</v>
      </c>
      <c r="C13" s="1104" t="str">
        <f>Input!D21</f>
        <v>Miles</v>
      </c>
      <c r="D13" s="1107">
        <f>Input!E21</f>
        <v>1000</v>
      </c>
    </row>
    <row r="14" spans="2:4" ht="14.5">
      <c r="B14" s="1108" t="str">
        <f>Input!C22</f>
        <v>From cathode producer to manufacturer</v>
      </c>
      <c r="C14" s="1517" t="str">
        <f>Input!D22</f>
        <v>Miles</v>
      </c>
      <c r="D14" s="1109">
        <f>Input!E22</f>
        <v>1000</v>
      </c>
    </row>
    <row r="15" spans="2:4">
      <c r="B15"/>
      <c r="C15"/>
      <c r="D15"/>
    </row>
    <row r="16" spans="2:4">
      <c r="B16"/>
      <c r="C16"/>
      <c r="D16"/>
    </row>
    <row r="18" spans="2:10" ht="15" customHeight="1">
      <c r="B18" s="133" t="s">
        <v>657</v>
      </c>
    </row>
    <row r="19" spans="2:10">
      <c r="B19" s="145"/>
      <c r="C19" s="146"/>
      <c r="D19" s="144" t="s">
        <v>309</v>
      </c>
      <c r="E19" s="144" t="s">
        <v>659</v>
      </c>
      <c r="F19" s="144" t="s">
        <v>658</v>
      </c>
      <c r="G19" s="144" t="s">
        <v>312</v>
      </c>
      <c r="H19" s="146" t="s">
        <v>313</v>
      </c>
    </row>
    <row r="20" spans="2:10">
      <c r="B20" s="229" t="str">
        <f>B9</f>
        <v>From collection to disassembly</v>
      </c>
      <c r="C20" s="230" t="s">
        <v>321</v>
      </c>
      <c r="D20" s="1130">
        <v>0</v>
      </c>
      <c r="E20" s="1130">
        <f>IF(D9&gt;100,D9,0)</f>
        <v>0</v>
      </c>
      <c r="F20" s="1130">
        <f>IF(D9&lt;=100,D9,0)</f>
        <v>100</v>
      </c>
      <c r="G20" s="1130">
        <v>0</v>
      </c>
      <c r="H20" s="1131">
        <v>0</v>
      </c>
      <c r="I20" s="115" t="str">
        <f>IF(OR(SUM(D20:H20)=D9, AND(ISBLANK(D20),ISBLANK(E20),ISBLANK(F20),ISBLANK(G20),ISBLANK(H20)))," ", "Warning: transportation distances do not add up to "&amp;TEXT(D9,"0")&amp;" miles")</f>
        <v xml:space="preserve"> </v>
      </c>
      <c r="J20"/>
    </row>
    <row r="21" spans="2:10">
      <c r="B21" s="229"/>
      <c r="C21" s="230" t="s">
        <v>322</v>
      </c>
      <c r="D21" s="1130">
        <v>0</v>
      </c>
      <c r="E21" s="1130">
        <v>0</v>
      </c>
      <c r="F21" s="1130">
        <v>0</v>
      </c>
      <c r="G21" s="1130">
        <v>0</v>
      </c>
      <c r="H21" s="1132">
        <v>0</v>
      </c>
      <c r="J21"/>
    </row>
    <row r="22" spans="2:10">
      <c r="B22" s="229" t="str">
        <f>B10</f>
        <v>From disassembly to preprocessor</v>
      </c>
      <c r="C22" s="230" t="s">
        <v>321</v>
      </c>
      <c r="D22" s="1130">
        <v>0</v>
      </c>
      <c r="E22" s="1130">
        <f>IF(D10&gt;100,D10,0)</f>
        <v>500</v>
      </c>
      <c r="F22" s="1130">
        <f>IF(D10&lt;=100,D10,0)</f>
        <v>0</v>
      </c>
      <c r="G22" s="1130">
        <v>0</v>
      </c>
      <c r="H22" s="1132">
        <v>0</v>
      </c>
      <c r="I22" s="115" t="str">
        <f>IF(OR(SUM(D22:H22)=D10, AND(ISBLANK(D22),ISBLANK(E22),ISBLANK(F22),ISBLANK(G22),ISBLANK(H22)))," ", "Warning: transportation distances do not add up to "&amp;TEXT(D10,"0")&amp;" miles")</f>
        <v xml:space="preserve"> </v>
      </c>
      <c r="J22"/>
    </row>
    <row r="23" spans="2:10">
      <c r="B23" s="229"/>
      <c r="C23" s="230" t="s">
        <v>322</v>
      </c>
      <c r="D23" s="1130">
        <v>0</v>
      </c>
      <c r="E23" s="1130">
        <v>0</v>
      </c>
      <c r="F23" s="1130">
        <v>0</v>
      </c>
      <c r="G23" s="1130">
        <v>0</v>
      </c>
      <c r="H23" s="1132">
        <v>0</v>
      </c>
      <c r="J23"/>
    </row>
    <row r="24" spans="2:10">
      <c r="B24" s="229" t="str">
        <f>B11</f>
        <v>From preprocessor to CM recovery</v>
      </c>
      <c r="C24" s="230" t="s">
        <v>321</v>
      </c>
      <c r="D24" s="1130">
        <v>0</v>
      </c>
      <c r="E24" s="1130">
        <f>IF(D11&gt;100,D11,0)</f>
        <v>1000</v>
      </c>
      <c r="F24" s="1130">
        <f>IF(D11&lt;=100,D11,0)</f>
        <v>0</v>
      </c>
      <c r="G24" s="1130">
        <v>0</v>
      </c>
      <c r="H24" s="1132">
        <v>0</v>
      </c>
      <c r="I24" s="115" t="str">
        <f>IF(OR(SUM(D24:H24)=D11, AND(ISBLANK(D24),ISBLANK(E24),ISBLANK(F24),ISBLANK(G24),ISBLANK(H24)))," ", "Warning: transportation distances do not add up to "&amp;TEXT(D11,"0")&amp;" miles")</f>
        <v xml:space="preserve"> </v>
      </c>
      <c r="J24"/>
    </row>
    <row r="25" spans="2:10">
      <c r="B25" s="229"/>
      <c r="C25" s="230" t="s">
        <v>322</v>
      </c>
      <c r="D25" s="1130">
        <v>0</v>
      </c>
      <c r="E25" s="1130">
        <v>0</v>
      </c>
      <c r="F25" s="1130">
        <v>0</v>
      </c>
      <c r="G25" s="1130">
        <v>0</v>
      </c>
      <c r="H25" s="1132">
        <v>0</v>
      </c>
      <c r="J25"/>
    </row>
    <row r="26" spans="2:10">
      <c r="B26" s="229" t="str">
        <f>B12</f>
        <v>From manufacturer to preprocessor/CM recovery</v>
      </c>
      <c r="C26" s="230" t="s">
        <v>321</v>
      </c>
      <c r="D26" s="1130">
        <v>0</v>
      </c>
      <c r="E26" s="1130">
        <f>IF(D12&gt;100, D12,0)</f>
        <v>1000</v>
      </c>
      <c r="F26" s="1130">
        <f>IF(D12&lt;=100,D12,0)</f>
        <v>0</v>
      </c>
      <c r="G26" s="1130">
        <v>0</v>
      </c>
      <c r="H26" s="1132">
        <v>0</v>
      </c>
      <c r="I26" s="115" t="str">
        <f>IF(OR(SUM(D26:H26)=D12, AND(ISBLANK(D26),ISBLANK(E26),ISBLANK(F26),ISBLANK(G26),ISBLANK(H26)))," ", "Warning: transportation distances do not add up to "&amp;TEXT(D12,"0")&amp;" miles")</f>
        <v xml:space="preserve"> </v>
      </c>
      <c r="J26"/>
    </row>
    <row r="27" spans="2:10">
      <c r="B27" s="229"/>
      <c r="C27" s="230" t="s">
        <v>322</v>
      </c>
      <c r="D27" s="1130">
        <v>0</v>
      </c>
      <c r="E27" s="1130">
        <v>0</v>
      </c>
      <c r="F27" s="1130">
        <v>0</v>
      </c>
      <c r="G27" s="1130">
        <v>0</v>
      </c>
      <c r="H27" s="1132">
        <v>0</v>
      </c>
      <c r="J27"/>
    </row>
    <row r="28" spans="2:10">
      <c r="B28" s="229" t="str">
        <f>B13</f>
        <v>From recycler to cathode producer</v>
      </c>
      <c r="C28" s="230" t="s">
        <v>321</v>
      </c>
      <c r="D28" s="1130">
        <v>0</v>
      </c>
      <c r="E28" s="1130">
        <f>IF(D13&gt;100, D13,0)</f>
        <v>1000</v>
      </c>
      <c r="F28" s="1130">
        <f>IF(D13&lt;=100,D13,0)</f>
        <v>0</v>
      </c>
      <c r="G28" s="1130">
        <v>0</v>
      </c>
      <c r="H28" s="1132">
        <v>0</v>
      </c>
      <c r="I28" s="115" t="str">
        <f>IF(OR(SUM(D28:H28)=D13, AND(ISBLANK(D28),ISBLANK(E28),ISBLANK(F28),ISBLANK(G28),ISBLANK(H28)))," ", "Warning: transportation distances do not add up to "&amp;TEXT(D13,"0")&amp;" miles")</f>
        <v xml:space="preserve"> </v>
      </c>
      <c r="J28"/>
    </row>
    <row r="29" spans="2:10">
      <c r="B29" s="229"/>
      <c r="C29" s="230" t="s">
        <v>322</v>
      </c>
      <c r="D29" s="1130">
        <v>0</v>
      </c>
      <c r="E29" s="1130">
        <v>0</v>
      </c>
      <c r="F29" s="1130">
        <v>0</v>
      </c>
      <c r="G29" s="1130">
        <v>0</v>
      </c>
      <c r="H29" s="1132">
        <v>0</v>
      </c>
      <c r="J29"/>
    </row>
    <row r="30" spans="2:10">
      <c r="B30" s="229" t="str">
        <f>B14</f>
        <v>From cathode producer to manufacturer</v>
      </c>
      <c r="C30" s="230" t="s">
        <v>321</v>
      </c>
      <c r="D30" s="1130">
        <v>0</v>
      </c>
      <c r="E30" s="1130">
        <f>IF(D14&gt;100, D14,0)</f>
        <v>1000</v>
      </c>
      <c r="F30" s="1130">
        <f>IF(D14&lt;=100,D14,0)</f>
        <v>0</v>
      </c>
      <c r="G30" s="1130">
        <v>0</v>
      </c>
      <c r="H30" s="1132">
        <v>0</v>
      </c>
      <c r="I30" s="115" t="str">
        <f>IF(OR(SUM(D30:H30)=D14, AND(ISBLANK(D30),ISBLANK(E30),ISBLANK(F30),ISBLANK(G30),ISBLANK(H30)))," ", "Warning: transportation distances do not add up to "&amp;TEXT(D14,"0")&amp;" miles")</f>
        <v xml:space="preserve"> </v>
      </c>
      <c r="J30"/>
    </row>
    <row r="31" spans="2:10">
      <c r="B31" s="232"/>
      <c r="C31" s="169" t="s">
        <v>322</v>
      </c>
      <c r="D31" s="1133">
        <v>0</v>
      </c>
      <c r="E31" s="1134">
        <v>0</v>
      </c>
      <c r="F31" s="1134">
        <v>0</v>
      </c>
      <c r="G31" s="1134">
        <v>0</v>
      </c>
      <c r="H31" s="1135">
        <v>0</v>
      </c>
    </row>
    <row r="33" spans="2:18">
      <c r="B33" s="133" t="s">
        <v>315</v>
      </c>
    </row>
    <row r="34" spans="2:18">
      <c r="B34" s="143"/>
      <c r="C34" s="144" t="s">
        <v>51</v>
      </c>
      <c r="D34" s="144" t="s">
        <v>63</v>
      </c>
      <c r="E34" s="146" t="s">
        <v>52</v>
      </c>
    </row>
    <row r="35" spans="2:18">
      <c r="B35" s="147" t="s">
        <v>310</v>
      </c>
      <c r="C35" s="598">
        <f>IF(E35&gt;0,E35,D35)</f>
        <v>10</v>
      </c>
      <c r="D35" s="123">
        <v>20</v>
      </c>
      <c r="E35" s="148">
        <v>10</v>
      </c>
    </row>
    <row r="36" spans="2:18">
      <c r="B36" s="149" t="s">
        <v>311</v>
      </c>
      <c r="C36" s="608">
        <f>IF(E36&gt;0,E36,D36)</f>
        <v>4</v>
      </c>
      <c r="D36" s="150">
        <v>8</v>
      </c>
      <c r="E36" s="151">
        <v>4</v>
      </c>
    </row>
    <row r="38" spans="2:18">
      <c r="B38" s="133" t="s">
        <v>1595</v>
      </c>
    </row>
    <row r="39" spans="2:18">
      <c r="B39" s="111" t="s">
        <v>1594</v>
      </c>
      <c r="C39"/>
      <c r="D39"/>
      <c r="E39"/>
      <c r="F39"/>
      <c r="G39"/>
      <c r="H39"/>
      <c r="K39"/>
      <c r="L39"/>
      <c r="M39"/>
      <c r="N39"/>
      <c r="O39"/>
      <c r="P39"/>
      <c r="Q39"/>
      <c r="R39"/>
    </row>
    <row r="40" spans="2:18">
      <c r="B40" s="143"/>
      <c r="C40" s="144" t="s">
        <v>51</v>
      </c>
      <c r="D40" s="144" t="s">
        <v>63</v>
      </c>
      <c r="E40" s="146" t="s">
        <v>52</v>
      </c>
      <c r="F40"/>
      <c r="G40"/>
      <c r="H40"/>
      <c r="K40"/>
      <c r="L40"/>
      <c r="M40"/>
      <c r="N40"/>
      <c r="O40"/>
      <c r="P40"/>
      <c r="Q40"/>
      <c r="R40"/>
    </row>
    <row r="41" spans="2:18">
      <c r="B41" s="147" t="s">
        <v>309</v>
      </c>
      <c r="C41" s="1004">
        <f>IF(E41&gt;0,E41,D41)</f>
        <v>4.3999999999999997E-2</v>
      </c>
      <c r="D41" s="927">
        <v>4.3999999999999997E-2</v>
      </c>
      <c r="E41" s="259">
        <v>0</v>
      </c>
      <c r="F41"/>
      <c r="G41"/>
      <c r="H41"/>
      <c r="I41" s="1003"/>
      <c r="J41" s="115"/>
      <c r="K41"/>
      <c r="L41"/>
      <c r="M41"/>
      <c r="N41"/>
      <c r="O41"/>
      <c r="P41"/>
      <c r="Q41"/>
      <c r="R41"/>
    </row>
    <row r="42" spans="2:18">
      <c r="B42" s="147" t="s">
        <v>312</v>
      </c>
      <c r="C42" s="1004">
        <f>IF(E42&gt;0,E42,D42)</f>
        <v>2.9399999999999999E-2</v>
      </c>
      <c r="D42" s="429">
        <f>D43</f>
        <v>2.9399999999999999E-2</v>
      </c>
      <c r="E42" s="259">
        <v>0</v>
      </c>
      <c r="F42"/>
      <c r="G42"/>
      <c r="H42"/>
      <c r="I42" s="1003"/>
      <c r="J42" s="115"/>
      <c r="K42"/>
      <c r="L42"/>
      <c r="M42"/>
      <c r="N42"/>
      <c r="O42"/>
      <c r="P42"/>
      <c r="Q42"/>
      <c r="R42"/>
    </row>
    <row r="43" spans="2:18">
      <c r="B43" s="149" t="s">
        <v>313</v>
      </c>
      <c r="C43" s="633">
        <f>IF(E43&gt;0,E43,D43)</f>
        <v>2.9399999999999999E-2</v>
      </c>
      <c r="D43" s="927">
        <v>2.9399999999999999E-2</v>
      </c>
      <c r="E43" s="1005">
        <v>0</v>
      </c>
      <c r="F43"/>
      <c r="G43"/>
      <c r="H43"/>
      <c r="I43" s="1003"/>
      <c r="J43" s="115"/>
      <c r="K43"/>
      <c r="L43"/>
      <c r="M43"/>
      <c r="N43"/>
      <c r="O43"/>
      <c r="P43"/>
      <c r="Q43"/>
      <c r="R43"/>
    </row>
    <row r="44" spans="2:18">
      <c r="B44" s="111" t="s">
        <v>1596</v>
      </c>
      <c r="C44" s="1777" t="s">
        <v>680</v>
      </c>
      <c r="D44" s="1778"/>
      <c r="E44" s="1779"/>
      <c r="F44" s="1777" t="s">
        <v>681</v>
      </c>
      <c r="G44" s="1778"/>
      <c r="H44" s="1779"/>
      <c r="I44" s="1003"/>
      <c r="J44" s="115"/>
      <c r="K44"/>
      <c r="L44"/>
      <c r="M44"/>
      <c r="N44"/>
      <c r="O44"/>
      <c r="P44"/>
      <c r="Q44"/>
      <c r="R44"/>
    </row>
    <row r="45" spans="2:18">
      <c r="B45" s="143"/>
      <c r="C45" s="144" t="s">
        <v>51</v>
      </c>
      <c r="D45" s="144" t="s">
        <v>63</v>
      </c>
      <c r="E45" s="146" t="s">
        <v>52</v>
      </c>
      <c r="F45" s="144" t="s">
        <v>51</v>
      </c>
      <c r="G45" s="144" t="s">
        <v>63</v>
      </c>
      <c r="H45" s="146" t="s">
        <v>52</v>
      </c>
      <c r="I45" s="1003"/>
      <c r="J45" s="115"/>
      <c r="K45"/>
      <c r="L45"/>
      <c r="M45"/>
      <c r="N45"/>
      <c r="O45"/>
      <c r="P45"/>
      <c r="Q45"/>
      <c r="R45"/>
    </row>
    <row r="46" spans="2:18">
      <c r="B46" s="147" t="s">
        <v>310</v>
      </c>
      <c r="C46" s="1004">
        <f>IF(E46&gt;0,E46,D46)</f>
        <v>0.01</v>
      </c>
      <c r="D46" s="1474">
        <v>1.74</v>
      </c>
      <c r="E46" s="259">
        <v>0.01</v>
      </c>
      <c r="F46" s="1004">
        <f>IF(H46&gt;0,H46,G46)</f>
        <v>0.01</v>
      </c>
      <c r="G46" s="1474">
        <v>1.8339999999999999</v>
      </c>
      <c r="H46" s="259">
        <v>0.01</v>
      </c>
      <c r="I46" s="1691"/>
      <c r="J46" s="115"/>
      <c r="K46"/>
      <c r="L46"/>
      <c r="M46"/>
      <c r="N46"/>
      <c r="O46"/>
      <c r="P46"/>
      <c r="Q46"/>
      <c r="R46"/>
    </row>
    <row r="47" spans="2:18">
      <c r="B47" s="149" t="s">
        <v>311</v>
      </c>
      <c r="C47" s="1351">
        <f>IF(E47&gt;0,E47,D47)</f>
        <v>0.01</v>
      </c>
      <c r="D47" s="1474">
        <v>1.99</v>
      </c>
      <c r="E47" s="1005">
        <v>0.01</v>
      </c>
      <c r="F47" s="1352">
        <f>IF(H47&gt;0,H47,G47)</f>
        <v>0.01</v>
      </c>
      <c r="G47" s="1474">
        <v>2.0840000000000001</v>
      </c>
      <c r="H47" s="1005">
        <v>0.01</v>
      </c>
      <c r="I47" s="1003"/>
      <c r="J47" s="115"/>
      <c r="K47"/>
      <c r="L47"/>
      <c r="M47"/>
      <c r="N47"/>
      <c r="O47"/>
      <c r="P47"/>
      <c r="Q47"/>
      <c r="R47"/>
    </row>
    <row r="48" spans="2:18">
      <c r="B48" s="111" t="s">
        <v>1597</v>
      </c>
      <c r="C48" s="1777" t="s">
        <v>680</v>
      </c>
      <c r="D48" s="1778"/>
      <c r="E48" s="1779"/>
      <c r="F48" s="1777" t="s">
        <v>681</v>
      </c>
      <c r="G48" s="1778"/>
      <c r="H48" s="1779"/>
      <c r="I48" s="1003"/>
      <c r="J48" s="115"/>
      <c r="K48"/>
      <c r="L48"/>
      <c r="M48"/>
      <c r="N48"/>
      <c r="O48"/>
      <c r="P48"/>
      <c r="Q48"/>
      <c r="R48"/>
    </row>
    <row r="49" spans="2:18">
      <c r="B49" s="143"/>
      <c r="C49" s="144" t="s">
        <v>51</v>
      </c>
      <c r="D49" s="144" t="s">
        <v>63</v>
      </c>
      <c r="E49" s="146" t="s">
        <v>52</v>
      </c>
      <c r="F49" s="144" t="s">
        <v>51</v>
      </c>
      <c r="G49" s="144" t="s">
        <v>63</v>
      </c>
      <c r="H49" s="146" t="s">
        <v>52</v>
      </c>
      <c r="I49" s="1003"/>
      <c r="J49" s="115"/>
      <c r="K49"/>
      <c r="L49"/>
      <c r="M49"/>
      <c r="N49"/>
      <c r="O49"/>
      <c r="P49"/>
      <c r="Q49"/>
      <c r="R49"/>
    </row>
    <row r="50" spans="2:18">
      <c r="B50" s="1315" t="s">
        <v>1598</v>
      </c>
      <c r="C50" s="1353">
        <f>IF(E50&gt;0,E50,D50)</f>
        <v>0.01</v>
      </c>
      <c r="D50" s="1662">
        <v>6.0399603778599209E-2</v>
      </c>
      <c r="E50" s="1354">
        <v>0.01</v>
      </c>
      <c r="F50" s="1353">
        <f>IF(H50&gt;0,H50,G50)</f>
        <v>0.01</v>
      </c>
      <c r="G50" s="1662">
        <v>0.58889613684134234</v>
      </c>
      <c r="H50" s="1354">
        <v>0.01</v>
      </c>
      <c r="I50" s="1003"/>
      <c r="J50" s="115"/>
      <c r="K50"/>
      <c r="L50"/>
      <c r="M50"/>
      <c r="N50"/>
      <c r="O50"/>
      <c r="P50"/>
      <c r="Q50"/>
      <c r="R50"/>
    </row>
    <row r="51" spans="2:18">
      <c r="I51" s="1003"/>
      <c r="J51" s="115"/>
      <c r="K51"/>
      <c r="L51"/>
      <c r="M51"/>
      <c r="N51"/>
      <c r="O51"/>
      <c r="P51"/>
      <c r="Q51"/>
      <c r="R51"/>
    </row>
    <row r="52" spans="2:18">
      <c r="B52" s="133" t="s">
        <v>1276</v>
      </c>
      <c r="I52" s="1003"/>
      <c r="J52" s="115"/>
      <c r="K52"/>
      <c r="L52"/>
      <c r="M52"/>
      <c r="N52"/>
      <c r="O52"/>
      <c r="P52"/>
      <c r="Q52"/>
      <c r="R52"/>
    </row>
    <row r="53" spans="2:18">
      <c r="B53" s="1626" t="s">
        <v>1601</v>
      </c>
      <c r="C53" s="113" t="s">
        <v>1263</v>
      </c>
      <c r="I53" s="1003"/>
      <c r="J53" s="115"/>
      <c r="K53"/>
      <c r="L53"/>
      <c r="M53"/>
      <c r="N53"/>
      <c r="O53"/>
      <c r="P53"/>
      <c r="Q53"/>
      <c r="R53"/>
    </row>
    <row r="54" spans="2:18">
      <c r="B54" s="159" t="s">
        <v>1883</v>
      </c>
      <c r="C54" s="113" t="s">
        <v>1263</v>
      </c>
      <c r="I54" s="1003"/>
      <c r="J54" s="115"/>
      <c r="K54"/>
      <c r="L54"/>
      <c r="M54"/>
      <c r="N54"/>
      <c r="O54"/>
      <c r="P54"/>
      <c r="Q54"/>
      <c r="R54"/>
    </row>
    <row r="55" spans="2:18">
      <c r="B55" s="159" t="s">
        <v>1955</v>
      </c>
      <c r="C55" s="113" t="s">
        <v>1263</v>
      </c>
      <c r="I55" s="1003"/>
      <c r="J55" s="115"/>
      <c r="K55"/>
      <c r="L55"/>
      <c r="M55"/>
      <c r="N55"/>
      <c r="O55"/>
      <c r="P55"/>
      <c r="Q55"/>
      <c r="R55"/>
    </row>
    <row r="56" spans="2:18">
      <c r="B56" s="159" t="s">
        <v>1956</v>
      </c>
      <c r="C56" s="113" t="s">
        <v>1263</v>
      </c>
      <c r="I56" s="1003"/>
      <c r="J56" s="115"/>
      <c r="K56"/>
      <c r="L56"/>
      <c r="M56"/>
      <c r="N56"/>
      <c r="O56"/>
      <c r="P56"/>
      <c r="Q56"/>
      <c r="R56"/>
    </row>
    <row r="57" spans="2:18">
      <c r="B57" s="159" t="s">
        <v>1277</v>
      </c>
      <c r="C57" s="113" t="s">
        <v>1263</v>
      </c>
      <c r="I57" s="1003"/>
      <c r="J57" s="115"/>
      <c r="K57"/>
      <c r="L57"/>
      <c r="M57"/>
      <c r="N57"/>
      <c r="O57"/>
      <c r="P57"/>
      <c r="Q57"/>
      <c r="R57"/>
    </row>
    <row r="58" spans="2:18">
      <c r="B58" s="221" t="s">
        <v>1278</v>
      </c>
      <c r="C58" s="113" t="s">
        <v>1263</v>
      </c>
      <c r="I58" s="1003"/>
      <c r="J58" s="115"/>
      <c r="K58"/>
      <c r="L58"/>
      <c r="M58"/>
      <c r="N58"/>
      <c r="O58"/>
      <c r="P58"/>
      <c r="Q58"/>
      <c r="R58"/>
    </row>
    <row r="59" spans="2:18">
      <c r="K59"/>
      <c r="L59"/>
      <c r="M59"/>
      <c r="N59"/>
      <c r="O59"/>
      <c r="P59"/>
      <c r="Q59"/>
      <c r="R59"/>
    </row>
    <row r="60" spans="2:18">
      <c r="B60" s="133" t="s">
        <v>1884</v>
      </c>
    </row>
    <row r="61" spans="2:18" ht="15.5">
      <c r="B61" s="1441" t="str">
        <f>B20</f>
        <v>From collection to disassembly</v>
      </c>
      <c r="C61" s="1470">
        <f>IF(Input!E15="Pack",IF(ISNUMBER(SUM(Disassembly!C12:G12)),SUM(Disassembly!C11:G11)/SUM(Input!F28:F32)*1.1, 1.1),0)</f>
        <v>0</v>
      </c>
    </row>
    <row r="62" spans="2:18" ht="15.5">
      <c r="B62" s="159" t="str">
        <f>B22</f>
        <v>From disassembly to preprocessor</v>
      </c>
      <c r="C62" s="1471">
        <f>IF(Input!E15="Select Battery",0,(IF(ISNUMBER(SEARCH("battery",Input!D28)),Input!F28,0)+IF(ISNUMBER(SEARCH("battery",Input!D29)),Input!F29,0)+IF(ISNUMBER(SEARCH("battery",Input!D30)),Input!F30,0)+IF(ISNUMBER(SEARCH("battery",Input!D31)),Input!F31,0)+IF(ISNUMBER(SEARCH("battery",Input!D32)),Input!F32,0))/SUM(Input!F28:F32)*1.1)</f>
        <v>0</v>
      </c>
    </row>
    <row r="63" spans="2:18" ht="15.5">
      <c r="B63" s="159" t="str">
        <f>B24</f>
        <v>From preprocessor to CM recovery</v>
      </c>
      <c r="C63" s="1471">
        <f>((IF(ISNUMBER(SEARCH("Black mass",Input!D28)),Input!F28,0)+IF(ISNUMBER(SEARCH("Black mass",Input!D29)),Input!F29,0)+IF(ISNUMBER(SEARCH("Black mass",Input!D30)),Input!F30,0)+IF(ISNUMBER(SEARCH("Black mass",Input!D31)),Input!F31,0)+IF(ISNUMBER(SEARCH("Black mass",Input!D32)),Input!F32,0))/SUM(Input!F28:F32)+IFERROR('Preproc. Par.'!AC102*'Preproc. Par.'!AD14,0)/SUM(Input!F28:F32))*1.1</f>
        <v>1.1000000000000001</v>
      </c>
    </row>
    <row r="64" spans="2:18" ht="15.5">
      <c r="B64" s="159" t="str">
        <f>B26</f>
        <v>From manufacturer to preprocessor/CM recovery</v>
      </c>
      <c r="C64" s="1472">
        <f>(IF(ISNUMBER(SEARCH("scrap",Input!D28)),Input!F28,0)+IF(ISNUMBER(SEARCH("scrap",Input!D29)),Input!F29,0)+IF(ISNUMBER(SEARCH("scrap",Input!D30)),Input!F30,0)+IF(ISNUMBER(SEARCH("scrap",Input!D31)),Input!F31,0)+IF(ISNUMBER(SEARCH("scrap",Input!D32)),Input!F32,0))/SUM(Input!F28:F32)*1.1</f>
        <v>0</v>
      </c>
    </row>
    <row r="65" spans="2:9" ht="15.5">
      <c r="B65" s="159" t="str">
        <f>B28</f>
        <v>From recycler to cathode producer</v>
      </c>
      <c r="C65" s="1471">
        <f>('Mat. Conv Par.'!D32+'Mat. Conv Par.'!D33+'Mat. Conv Par.'!D34+'Mat. Conv Par.'!D36)*1.1</f>
        <v>1.0865454151492449</v>
      </c>
    </row>
    <row r="66" spans="2:9" ht="15.5">
      <c r="B66" s="221" t="str">
        <f>B30</f>
        <v>From cathode producer to manufacturer</v>
      </c>
      <c r="C66" s="1473">
        <f>IFERROR(Input!E40/SUM(Input!F28:F32)*1.1,0)</f>
        <v>0</v>
      </c>
    </row>
    <row r="68" spans="2:9">
      <c r="B68" s="133" t="s">
        <v>159</v>
      </c>
    </row>
    <row r="69" spans="2:9">
      <c r="B69" s="133" t="s">
        <v>1885</v>
      </c>
      <c r="D69" s="180"/>
    </row>
    <row r="70" spans="2:9">
      <c r="B70" s="193" t="str">
        <f t="shared" ref="B70:B75" si="0">B61</f>
        <v>From collection to disassembly</v>
      </c>
      <c r="C70" s="206">
        <f>IF(C53="Yes", ((D20+D21)*C41+(E20+E21)*F46/C35+(F20+F21)*F47/C36+(G20+G21)*C42+(H20+H21)*C43)*C61*F70+IF(D9=0,0,F50)*C61/1.1, ((D20+D21)*C41+(E20+E21)*C46/C35+(F20+F21)*C47/C36+(G20+G21)*C42+(H20+H21)*C43)*C61*F70+IF(D9=0,0,C50)*C61/1.1)</f>
        <v>0</v>
      </c>
      <c r="E70" s="120" t="s">
        <v>271</v>
      </c>
      <c r="F70" s="120">
        <v>1.1000000000000001E-3</v>
      </c>
      <c r="G70" s="233"/>
    </row>
    <row r="71" spans="2:9">
      <c r="B71" s="159" t="str">
        <f t="shared" si="0"/>
        <v>From disassembly to preprocessor</v>
      </c>
      <c r="C71" s="206">
        <f>IF(C54="Yes", ((D22+D23)*C41+(E22+E23)*F46/C35+(F22+F23)*F47/C36+(G22+G23)*C42+(H22+H23)*C43)*C62*F70+IF(OR(D10=0,AND(D9&lt;&gt;0,C53="Yes")),0,F50*C62/1.1),((D22+D23)*C41+(E22+E23)*C46/C35+(F22+F23)*C47/C36+(G22+G23)*C42+(H22+H23)*C43)*C62*F70+IF(OR(D10=0,AND(D9&lt;&gt;0,C53="No")),0,C50*C62/1.1))</f>
        <v>0</v>
      </c>
      <c r="D71" s="1661"/>
      <c r="E71" s="1661"/>
    </row>
    <row r="72" spans="2:9">
      <c r="B72" s="159" t="str">
        <f t="shared" si="0"/>
        <v>From preprocessor to CM recovery</v>
      </c>
      <c r="C72" s="1355">
        <f>IF(C55="Yes", ((D24+D25)*C41+(E24+E25)*F46/C35+(F24+F25)*F47/C36+(G24+G25)*C42+(H24+H25)*C43)*C63*F70+IF(OR(D11=0,AND(D9&lt;&gt;0,C53="Yes",OR(D10=0,D11=0))),0,F50),((D24+D25)*C41+(E24+E25)*C46/C35+(F24+F25)*C47/C36+(G24+G25)*C42+(H24+H25)*C43)*C63*F70+IF(OR(D11=0,AND(D9&lt;&gt;0,C53="No",OR(D10=0,D11=0))),0,C50))</f>
        <v>1.1210000000000001E-2</v>
      </c>
    </row>
    <row r="73" spans="2:9">
      <c r="B73" s="159" t="str">
        <f t="shared" si="0"/>
        <v>From manufacturer to preprocessor/CM recovery</v>
      </c>
      <c r="C73" s="206">
        <f>C64*IF(C56="Yes", ((D26+D27)*C41+(E26+E27)*F46/C35+(F26+F27)*F47/C36+(G26+G27)*C42+(H26+H27)*C43)*F70+IF(D12=0,0,F50), ((D26+D27)*C41+(E26+E27)*C46/C35+(F26+F27)*C47/C36+(G26+G27)*C42+(H26+H27)*C43)*F70+IF(D12=0,0,C50))</f>
        <v>0</v>
      </c>
    </row>
    <row r="74" spans="2:9">
      <c r="B74" s="159" t="str">
        <f t="shared" si="0"/>
        <v>From recycler to cathode producer</v>
      </c>
      <c r="C74" s="206">
        <f>C65*IF(C57="Yes",((D28+D29)*C41+(E28+E29)*F46/C35+(F28+F29)*F47/C36+(G28+G29)*C42+(H28+H29)*C43)*F70,((D28+D29)*C41+(E28+E29)*C46/C35+(F28+F29)*C47/C36+(G28+G29)*C42+(H28+H29)*C43)*F70)</f>
        <v>1.1951999566641694E-3</v>
      </c>
    </row>
    <row r="75" spans="2:9">
      <c r="B75" s="159" t="str">
        <f t="shared" si="0"/>
        <v>From cathode producer to manufacturer</v>
      </c>
      <c r="C75" s="206">
        <f>C66*IF(C58="Yes",((D30+D31)*C41+(E30+E31)*F46/C35+(F30+F31)*F47/C36+(G30+G31)*C42+(H30+H31)*C43)*F70,((D30+D31)*C41+(E30+E31)*C46/C35+(F30+F31)*C47/C36+(G30+G31)*C42+(H30+H31)*C43)*F70)</f>
        <v>0</v>
      </c>
    </row>
    <row r="76" spans="2:9">
      <c r="B76" s="221" t="s">
        <v>193</v>
      </c>
      <c r="C76" s="208">
        <f>SUM(C70:C75)</f>
        <v>1.240519995666417E-2</v>
      </c>
    </row>
    <row r="77" spans="2:9" ht="30" customHeight="1"/>
    <row r="78" spans="2:9">
      <c r="B78" s="133" t="s">
        <v>662</v>
      </c>
    </row>
    <row r="79" spans="2:9" ht="42">
      <c r="B79" s="143"/>
      <c r="C79" s="234" t="str">
        <f>B70</f>
        <v>From collection to disassembly</v>
      </c>
      <c r="D79" s="171" t="str">
        <f>B71</f>
        <v>From disassembly to preprocessor</v>
      </c>
      <c r="E79" s="171" t="str">
        <f>B72</f>
        <v>From preprocessor to CM recovery</v>
      </c>
      <c r="F79" s="171" t="str">
        <f>B73</f>
        <v>From manufacturer to preprocessor/CM recovery</v>
      </c>
      <c r="G79" s="171" t="str">
        <f>B74</f>
        <v>From recycler to cathode producer</v>
      </c>
      <c r="H79" s="171" t="str">
        <f>B75</f>
        <v>From cathode producer to manufacturer</v>
      </c>
      <c r="I79" s="172" t="s">
        <v>193</v>
      </c>
    </row>
    <row r="80" spans="2:9">
      <c r="B80" s="147" t="s">
        <v>1949</v>
      </c>
      <c r="C80" s="193"/>
      <c r="D80" s="235"/>
      <c r="E80" s="235"/>
      <c r="F80" s="235"/>
      <c r="G80" s="235"/>
      <c r="H80" s="235"/>
      <c r="I80" s="236"/>
    </row>
    <row r="81" spans="2:9">
      <c r="B81" s="147" t="s">
        <v>173</v>
      </c>
      <c r="C81" s="237">
        <f>((('GREET IO'!$D$125*D$20+'GREET IO'!$D$126*D$21)+('GREET IO'!$B$125/$C$35*E$20+'GREET IO'!$B$126/$C$35*E$21)+('GREET IO'!$C$125/$C$36*F$20+'GREET IO'!$C$126/$C$36*F$21))*(1+'GREET IO'!$B146)+(('GREET IO'!$E$125*G$20+'GREET IO'!$E$126*G$21)+('GREET IO'!$F$125*H$20+'GREET IO'!$F$126*H$21))*(1+'GREET IO'!$C146))/1000000*$C$61*$F$70</f>
        <v>0</v>
      </c>
      <c r="D81" s="178">
        <f>((('GREET IO'!$D$125*D$22+'GREET IO'!$D$126*D$23)+('GREET IO'!$B$125/$C$35*E$22+'GREET IO'!$B$126/$C$35*E$23)+('GREET IO'!$C$125/$C$36*F$22+'GREET IO'!$C$126/$C$36*F$23))*(1+'GREET IO'!$B146)+(('GREET IO'!$E$125*G$22+'GREET IO'!$E$126*G$23)+('GREET IO'!$F$125*H$22+'GREET IO'!$F$126*H$23))*(1+'GREET IO'!$C146))/1000000*$C$62*$F$70</f>
        <v>0</v>
      </c>
      <c r="E81" s="178">
        <f>((('GREET IO'!$D$125*D$24+'GREET IO'!$D$126*D$25)+('GREET IO'!$B$125/$C$35*E$24+'GREET IO'!$B$126/$C$35*E$25)+('GREET IO'!$C$125/$C$36*F$24+'GREET IO'!$C$126/$C$36*F$25))*(1+'GREET IO'!$B146)+(('GREET IO'!$E$125*G$24+'GREET IO'!$E$126*G$25)+('GREET IO'!$F$125*H$24+'GREET IO'!$F$126*H$25))*(1+'GREET IO'!$C146))/1000000*$C$63*$F$70</f>
        <v>2.5718113243200055E-3</v>
      </c>
      <c r="F81" s="178">
        <f>((('GREET IO'!$D$125*D$26+'GREET IO'!$D$126*D$27)+('GREET IO'!$B$125/$C$35*E$26+'GREET IO'!$B$126/$C$35*E$27)+('GREET IO'!$C$125/$C$36*F$26+'GREET IO'!$C$126/$C$36*F$27))*(1+'GREET IO'!$B146)+(('GREET IO'!$E$125*G$26+'GREET IO'!$E$126*G$27)+('GREET IO'!$F$125*H$26+'GREET IO'!$F$126*H$27))*(1+'GREET IO'!$C146))/1000000*$C$64*$F$70</f>
        <v>0</v>
      </c>
      <c r="G81" s="178">
        <f>((('GREET IO'!$D$125*D$28+'GREET IO'!$D$126*D$29)+('GREET IO'!$B$125/$C$35*E$28+'GREET IO'!$B$126/$C$35*E$29)+('GREET IO'!$C$125/$C$36*F$28+'GREET IO'!$C$126/$C$36*F$29))*(1+'GREET IO'!$B146)+(('GREET IO'!$E$125*G$28+'GREET IO'!$E$126*G$29)+('GREET IO'!$F$125*H$28+'GREET IO'!$F$126*H$29))*(1+'GREET IO'!$C146))/1000000*$C$65*$F$70</f>
        <v>2.54035436642619E-3</v>
      </c>
      <c r="H81" s="178">
        <f>((('GREET IO'!$D$125*D$30+'GREET IO'!$D$126*D$31)+('GREET IO'!$B$125/$C$35*E$30+'GREET IO'!$B$126/$C$35*E$31)+('GREET IO'!$C$125/$C$36*F$30+'GREET IO'!$C$126/$C$36*F$31))*(1+'GREET IO'!$B146)+(('GREET IO'!$E$125*G$30+'GREET IO'!$E$126*G$31)+('GREET IO'!$F$125*H$30+'GREET IO'!$F$126*H$31))*(1+'GREET IO'!$C146))/1000000*$C$66*$F$70</f>
        <v>0</v>
      </c>
      <c r="I81" s="179">
        <f t="shared" ref="I81:I86" si="1">SUM(C81:H81)</f>
        <v>5.1121656907461956E-3</v>
      </c>
    </row>
    <row r="82" spans="2:9">
      <c r="B82" s="147" t="s">
        <v>174</v>
      </c>
      <c r="C82" s="237">
        <f>((('GREET IO'!$D$125*D$20+'GREET IO'!$D$126*D$21)+('GREET IO'!$B$125/$C$35*E$20+'GREET IO'!$B$126/$C$35*E$21)+('GREET IO'!$C$125/$C$36*F$20+'GREET IO'!$C$126/$C$36*F$21))*(1+'GREET IO'!$B147)+(('GREET IO'!$E$125*G$20+'GREET IO'!$E$126*G$21)+('GREET IO'!$F$125*H$20+'GREET IO'!$F$126*H$21))*(1+'GREET IO'!$C147))/1000000*$C$61*$F$70</f>
        <v>0</v>
      </c>
      <c r="D82" s="178">
        <f>((('GREET IO'!$D$125*D$22+'GREET IO'!$D$126*D$23)+('GREET IO'!$B$125/$C$35*E$22+'GREET IO'!$B$126/$C$35*E$23)+('GREET IO'!$C$125/$C$36*F$22+'GREET IO'!$C$126/$C$36*F$23))*(1+'GREET IO'!$B147)+(('GREET IO'!$E$125*G$22+'GREET IO'!$E$126*G$23)+('GREET IO'!$F$125*H$22+'GREET IO'!$F$126*H$23))*(1+'GREET IO'!$C147))/1000000*$C$62*$F$70</f>
        <v>0</v>
      </c>
      <c r="E82" s="178">
        <f>((('GREET IO'!$D$125*D$24+'GREET IO'!$D$126*D$25)+('GREET IO'!$B$125/$C$35*E$24+'GREET IO'!$B$126/$C$35*E$25)+('GREET IO'!$C$125/$C$36*F$24+'GREET IO'!$C$126/$C$36*F$25))*(1+'GREET IO'!$B147)+(('GREET IO'!$E$125*G$24+'GREET IO'!$E$126*G$25)+('GREET IO'!$F$125*H$24+'GREET IO'!$F$126*H$25))*(1+'GREET IO'!$C147))/1000000*$C$63*$F$70</f>
        <v>2.5589355687466262E-3</v>
      </c>
      <c r="F82" s="178">
        <f>((('GREET IO'!$D$125*D$26+'GREET IO'!$D$126*D$27)+('GREET IO'!$B$125/$C$35*E$26+'GREET IO'!$B$126/$C$35*E$27)+('GREET IO'!$C$125/$C$36*F$26+'GREET IO'!$C$126/$C$36*F$27))*(1+'GREET IO'!$B147)+(('GREET IO'!$E$125*G$26+'GREET IO'!$E$126*G$27)+('GREET IO'!$F$125*H$26+'GREET IO'!$F$126*H$27))*(1+'GREET IO'!$C147))/1000000*$C$64*$F$70</f>
        <v>0</v>
      </c>
      <c r="G82" s="178">
        <f>((('GREET IO'!$D$125*D$28+'GREET IO'!$D$126*D$29)+('GREET IO'!$B$125/$C$35*E$28+'GREET IO'!$B$126/$C$35*E$29)+('GREET IO'!$C$125/$C$36*F$28+'GREET IO'!$C$126/$C$36*F$29))*(1+'GREET IO'!$B147)+(('GREET IO'!$E$125*G$28+'GREET IO'!$E$126*G$29)+('GREET IO'!$F$125*H$28+'GREET IO'!$F$126*H$29))*(1+'GREET IO'!$C147))/1000000*$C$65*$F$70</f>
        <v>2.5276360998945199E-3</v>
      </c>
      <c r="H82" s="178">
        <f>((('GREET IO'!$D$125*D$30+'GREET IO'!$D$126*D$31)+('GREET IO'!$B$125/$C$35*E$30+'GREET IO'!$B$126/$C$35*E$31)+('GREET IO'!$C$125/$C$36*F$30+'GREET IO'!$C$126/$C$36*F$31))*(1+'GREET IO'!$B147)+(('GREET IO'!$E$125*G$30+'GREET IO'!$E$126*G$31)+('GREET IO'!$F$125*H$30+'GREET IO'!$F$126*H$31))*(1+'GREET IO'!$C147))/1000000*$C$66*$F$70</f>
        <v>0</v>
      </c>
      <c r="I82" s="179">
        <f t="shared" si="1"/>
        <v>5.0865716686411457E-3</v>
      </c>
    </row>
    <row r="83" spans="2:9">
      <c r="B83" s="147" t="s">
        <v>175</v>
      </c>
      <c r="C83" s="237">
        <f>((('GREET IO'!$D$125*D$20+'GREET IO'!$D$126*D$21)+('GREET IO'!$B$125/$C$35*E$20+'GREET IO'!$B$126/$C$35*E$21)+('GREET IO'!$C$125/$C$36*F$20+'GREET IO'!$C$126/$C$36*F$21))*'GREET IO'!$B148+(('GREET IO'!$E$125*G$20+'GREET IO'!$E$126*G$21)+('GREET IO'!$F$125*H$20+'GREET IO'!$F$126*H$21))*'GREET IO'!$C148)/1000000*$C$61*$F$70</f>
        <v>0</v>
      </c>
      <c r="D83" s="178">
        <f>((('GREET IO'!$D$125*D$22+'GREET IO'!$D$126*D$23)+('GREET IO'!$B$125/$C$35*E$22+'GREET IO'!$B$126/$C$35*E$23)+('GREET IO'!$C$125/$C$36*F$22+'GREET IO'!$C$126/$C$36*F$23))*'GREET IO'!$B148+(('GREET IO'!$E$125*G$22+'GREET IO'!$E$126*G$23)+('GREET IO'!$F$125*H$22+'GREET IO'!$F$126*H$23))*'GREET IO'!$C148)/1000000*$C$62*$F$70</f>
        <v>0</v>
      </c>
      <c r="E83" s="178">
        <f>((('GREET IO'!$D$125*D$24+'GREET IO'!$D$126*D$25)+('GREET IO'!$B$125/$C$35*E$24+'GREET IO'!$B$126/$C$35*E$25)+('GREET IO'!$C$125/$C$36*F$24+'GREET IO'!$C$126/$C$36*F$25))*'GREET IO'!$B148+(('GREET IO'!$E$125*G$24+'GREET IO'!$E$126*G$25)+('GREET IO'!$F$125*H$24+'GREET IO'!$F$126*H$25))*'GREET IO'!$C148)/1000000*$C$63*$F$70</f>
        <v>2.1221156225271474E-5</v>
      </c>
      <c r="F83" s="178">
        <f>((('GREET IO'!$D$125*D$26+'GREET IO'!$D$126*D$27)+('GREET IO'!$B$125/$C$35*E$26+'GREET IO'!$B$126/$C$35*E$27)+('GREET IO'!$C$125/$C$36*F$26+'GREET IO'!$C$126/$C$36*F$27))*'GREET IO'!$B148+(('GREET IO'!$E$125*G$26+'GREET IO'!$E$126*G$27)+('GREET IO'!$F$125*H$26+'GREET IO'!$F$126*H$27))*'GREET IO'!$C148)/1000000*$C$64*$F$70</f>
        <v>0</v>
      </c>
      <c r="G83" s="178">
        <f>((('GREET IO'!$D$125*D$28+'GREET IO'!$D$126*D$29)+('GREET IO'!$B$125/$C$35*E$28+'GREET IO'!$B$126/$C$35*E$29)+('GREET IO'!$C$125/$C$36*F$28+'GREET IO'!$C$126/$C$36*F$29))*'GREET IO'!$B148+(('GREET IO'!$E$125*G$28+'GREET IO'!$E$126*G$29)+('GREET IO'!$F$125*H$28+'GREET IO'!$F$126*H$29))*'GREET IO'!$C148)/1000000*$C$65*$F$70</f>
        <v>2.0961590909758704E-5</v>
      </c>
      <c r="H83" s="178">
        <f>((('GREET IO'!$D$125*D$30+'GREET IO'!$D$126*D$31)+('GREET IO'!$B$125/$C$35*E$30+'GREET IO'!$B$126/$C$35*E$31)+('GREET IO'!$C$125/$C$36*F$30+'GREET IO'!$C$126/$C$36*F$31))*'GREET IO'!$B148+(('GREET IO'!$E$125*G$30+'GREET IO'!$E$126*G$31)+('GREET IO'!$F$125*H$30+'GREET IO'!$F$126*H$31))*'GREET IO'!$C148)/1000000*$C$66*$F$70</f>
        <v>0</v>
      </c>
      <c r="I83" s="179">
        <f t="shared" si="1"/>
        <v>4.2182747135030178E-5</v>
      </c>
    </row>
    <row r="84" spans="2:9">
      <c r="B84" s="147" t="s">
        <v>176</v>
      </c>
      <c r="C84" s="237">
        <f>((('GREET IO'!$D$125*D$20+'GREET IO'!$D$126*D$21)+('GREET IO'!$B$125/$C$35*E$20+'GREET IO'!$B$126/$C$35*E$21)+('GREET IO'!$C$125/$C$36*F$20+'GREET IO'!$C$126/$C$36*F$21))*'GREET IO'!$B149+(('GREET IO'!$E$125*G$20+'GREET IO'!$E$126*G$21)+('GREET IO'!$F$125*H$20+'GREET IO'!$F$126*H$21))*'GREET IO'!$C149)/1000000*$C$61*$F$70</f>
        <v>0</v>
      </c>
      <c r="D84" s="178">
        <f>((('GREET IO'!$D$125*D$22+'GREET IO'!$D$126*D$23)+('GREET IO'!$B$125/$C$35*E$22+'GREET IO'!$B$126/$C$35*E$23)+('GREET IO'!$C$125/$C$36*F$22+'GREET IO'!$C$126/$C$36*F$23))*'GREET IO'!$B149+(('GREET IO'!$E$125*G$22+'GREET IO'!$E$126*G$23)+('GREET IO'!$F$125*H$22+'GREET IO'!$F$126*H$23))*'GREET IO'!$C149)/1000000*$C$62*$F$70</f>
        <v>0</v>
      </c>
      <c r="E84" s="178">
        <f>((('GREET IO'!$D$125*D$24+'GREET IO'!$D$126*D$25)+('GREET IO'!$B$125/$C$35*E$24+'GREET IO'!$B$126/$C$35*E$25)+('GREET IO'!$C$125/$C$36*F$24+'GREET IO'!$C$126/$C$36*F$25))*'GREET IO'!$B149+(('GREET IO'!$E$125*G$24+'GREET IO'!$E$126*G$25)+('GREET IO'!$F$125*H$24+'GREET IO'!$F$126*H$25))*'GREET IO'!$C149)/1000000*$C$63*$F$70</f>
        <v>2.6886662098136408E-4</v>
      </c>
      <c r="F84" s="178">
        <f>((('GREET IO'!$D$125*D$26+'GREET IO'!$D$126*D$27)+('GREET IO'!$B$125/$C$35*E$26+'GREET IO'!$B$126/$C$35*E$27)+('GREET IO'!$C$125/$C$36*F$26+'GREET IO'!$C$126/$C$36*F$27))*'GREET IO'!$B149+(('GREET IO'!$E$125*G$26+'GREET IO'!$E$126*G$27)+('GREET IO'!$F$125*H$26+'GREET IO'!$F$126*H$27))*'GREET IO'!$C149)/1000000*$C$64*$F$70</f>
        <v>0</v>
      </c>
      <c r="G84" s="178">
        <f>((('GREET IO'!$D$125*D$28+'GREET IO'!$D$126*D$29)+('GREET IO'!$B$125/$C$35*E$28+'GREET IO'!$B$126/$C$35*E$29)+('GREET IO'!$C$125/$C$36*F$28+'GREET IO'!$C$126/$C$36*F$29))*'GREET IO'!$B149+(('GREET IO'!$E$125*G$28+'GREET IO'!$E$126*G$29)+('GREET IO'!$F$125*H$28+'GREET IO'!$F$126*H$29))*'GREET IO'!$C149)/1000000*$C$65*$F$70</f>
        <v>2.6557799483088263E-4</v>
      </c>
      <c r="H84" s="178">
        <f>((('GREET IO'!$D$125*D$30+'GREET IO'!$D$126*D$31)+('GREET IO'!$B$125/$C$35*E$30+'GREET IO'!$B$126/$C$35*E$31)+('GREET IO'!$C$125/$C$36*F$30+'GREET IO'!$C$126/$C$36*F$31))*'GREET IO'!$B149+(('GREET IO'!$E$125*G$30+'GREET IO'!$E$126*G$31)+('GREET IO'!$F$125*H$30+'GREET IO'!$F$126*H$31))*'GREET IO'!$C149)/1000000*$C$66*$F$70</f>
        <v>0</v>
      </c>
      <c r="I84" s="179">
        <f t="shared" si="1"/>
        <v>5.344446158122467E-4</v>
      </c>
    </row>
    <row r="85" spans="2:9">
      <c r="B85" s="147" t="s">
        <v>177</v>
      </c>
      <c r="C85" s="238">
        <f>((('GREET IO'!$D$125*D$20+'GREET IO'!$D$126*D$21)+('GREET IO'!$B$125/$C$35*E$20+'GREET IO'!$B$126/$C$35*E$21)+('GREET IO'!$C$125/$C$36*F$20+'GREET IO'!$C$126/$C$36*F$21))*(1+'GREET IO'!$B150)+(('GREET IO'!$E$125*G$20+'GREET IO'!$E$126*G$21)+('GREET IO'!$F$125*H$20+'GREET IO'!$F$126*H$21))*(1+'GREET IO'!$C150))/1000000*$C$61*$F$70</f>
        <v>0</v>
      </c>
      <c r="D85" s="177">
        <f>((('GREET IO'!$D$125*D$22+'GREET IO'!$D$126*D$23)+('GREET IO'!$B$125/$C$35*E$22+'GREET IO'!$B$126/$C$35*E$23)+('GREET IO'!$C$125/$C$36*F$22+'GREET IO'!$C$126/$C$36*F$23))*(1+'GREET IO'!$B150)+(('GREET IO'!$E$125*G$22+'GREET IO'!$E$126*G$23)+('GREET IO'!$F$125*H$22+'GREET IO'!$F$126*H$23))*(1+'GREET IO'!$C150))/1000000*$C$62*$F$70</f>
        <v>0</v>
      </c>
      <c r="E85" s="177">
        <f>((('GREET IO'!$D$125*D$24+'GREET IO'!$D$126*D$25)+('GREET IO'!$B$125/$C$35*E$24+'GREET IO'!$B$126/$C$35*E$25)+('GREET IO'!$C$125/$C$36*F$24+'GREET IO'!$C$126/$C$36*F$25))*(1+'GREET IO'!$B150)+(('GREET IO'!$E$125*G$24+'GREET IO'!$E$126*G$25)+('GREET IO'!$F$125*H$24+'GREET IO'!$F$126*H$25))*(1+'GREET IO'!$C150))/1000000*$C$63*$F$70</f>
        <v>2.2688477915399903E-3</v>
      </c>
      <c r="F85" s="177">
        <f>((('GREET IO'!$D$125*D$26+'GREET IO'!$D$126*D$27)+('GREET IO'!$B$125/$C$35*E$26+'GREET IO'!$B$126/$C$35*E$27)+('GREET IO'!$C$125/$C$36*F$26+'GREET IO'!$C$126/$C$36*F$27))*(1+'GREET IO'!$B150)+(('GREET IO'!$E$125*G$26+'GREET IO'!$E$126*G$27)+('GREET IO'!$F$125*H$26+'GREET IO'!$F$126*H$27))*(1+'GREET IO'!$C150))/1000000*$C$64*$F$70</f>
        <v>0</v>
      </c>
      <c r="G85" s="177">
        <f>((('GREET IO'!$D$125*D$28+'GREET IO'!$D$126*D$29)+('GREET IO'!$B$125/$C$35*E$28+'GREET IO'!$B$126/$C$35*E$29)+('GREET IO'!$C$125/$C$36*F$28+'GREET IO'!$C$126/$C$36*F$29))*(1+'GREET IO'!$B150)+(('GREET IO'!$E$125*G$28+'GREET IO'!$E$126*G$29)+('GREET IO'!$F$125*H$28+'GREET IO'!$F$126*H$29))*(1+'GREET IO'!$C150))/1000000*$C$65*$F$70</f>
        <v>2.241096514153878E-3</v>
      </c>
      <c r="H85" s="177">
        <f>((('GREET IO'!$D$125*D$30+'GREET IO'!$D$126*D$31)+('GREET IO'!$B$125/$C$35*E$30+'GREET IO'!$B$126/$C$35*E$31)+('GREET IO'!$C$125/$C$36*F$30+'GREET IO'!$C$126/$C$36*F$31))*(1+'GREET IO'!$B150)+(('GREET IO'!$E$125*G$30+'GREET IO'!$E$126*G$31)+('GREET IO'!$F$125*H$30+'GREET IO'!$F$126*H$31))*(1+'GREET IO'!$C150))/1000000*$C$66*$F$70</f>
        <v>0</v>
      </c>
      <c r="I85" s="181">
        <f t="shared" si="1"/>
        <v>4.5099443056938679E-3</v>
      </c>
    </row>
    <row r="86" spans="2:9">
      <c r="B86" s="143" t="s">
        <v>1950</v>
      </c>
      <c r="C86" s="239">
        <f>((('GREET IO'!$D$125*D$20+'GREET IO'!$D$126*D$21)+('GREET IO'!$B$125/$C$35*E$20+'GREET IO'!$B$126/$C$35*E$21)+('GREET IO'!$C$125/$C$36*F$20+'GREET IO'!$C$126/$C$36*F$21))/1000000*'GREET IO'!$B151+(('GREET IO'!$E$125*G$20+'GREET IO'!$E$126*G$21)+('GREET IO'!$F$125*H$20+'GREET IO'!$F$126*H$21))/1000000*'GREET IO'!$C151)*$C$61*$F$70</f>
        <v>0</v>
      </c>
      <c r="D86" s="240">
        <f>((('GREET IO'!$D$125*D$22+'GREET IO'!$D$126*D$23)+('GREET IO'!$B$125/$C$35*E$22+'GREET IO'!$B$126/$C$35*E$23)+('GREET IO'!$C$125/$C$36*F$22+'GREET IO'!$C$126/$C$36*F$23))*'GREET IO'!$B151+(('GREET IO'!$E$125*G$22+'GREET IO'!$E$126*G$23)+('GREET IO'!$F$125*H$22+'GREET IO'!$F$126*H$23))*'GREET IO'!$C151)/1000000*$C$62*$F$70</f>
        <v>0</v>
      </c>
      <c r="E86" s="240">
        <f>((('GREET IO'!$D$125*D$24+'GREET IO'!$D$126*D$25)+('GREET IO'!$B$125/$C$35*E$24+'GREET IO'!$B$126/$C$35*E$25)+('GREET IO'!$C$125/$C$36*F$24+'GREET IO'!$C$126/$C$36*F$25))*'GREET IO'!$B151+(('GREET IO'!$E$125*G$24+'GREET IO'!$E$126*G$25)+('GREET IO'!$F$125*H$24+'GREET IO'!$F$126*H$25))*'GREET IO'!$C151)/1000000*$C$63*$F$70</f>
        <v>5.0277772907437908E-2</v>
      </c>
      <c r="F86" s="240">
        <f>((('GREET IO'!$D$125*D$26+'GREET IO'!$D$126*D$27)+('GREET IO'!$B$125/$C$35*E$26+'GREET IO'!$B$126/$C$35*E$27)+('GREET IO'!$C$125/$C$36*F$26+'GREET IO'!$C$126/$C$36*F$27))*'GREET IO'!$B151+(('GREET IO'!$E$125*G$26+'GREET IO'!$E$126*G$27)+('GREET IO'!$F$125*H$26+'GREET IO'!$F$126*H$27))*'GREET IO'!$C151)/1000000*$C$64*$F$70</f>
        <v>0</v>
      </c>
      <c r="G86" s="240">
        <f>((('GREET IO'!$D$125*D$28+'GREET IO'!$D$126*D$29)+('GREET IO'!$B$125/$C$35*E$28+'GREET IO'!$B$126/$C$35*E$29)+('GREET IO'!$C$125/$C$36*F$28+'GREET IO'!$C$126/$C$36*F$29))*'GREET IO'!$B151+(('GREET IO'!$E$125*G$28+'GREET IO'!$E$126*G$29)+('GREET IO'!$F$125*H$28+'GREET IO'!$F$126*H$29))*'GREET IO'!$C151)/1000000*$C$65*$F$70</f>
        <v>4.9662803305901428E-2</v>
      </c>
      <c r="H86" s="240">
        <f>((('GREET IO'!$D$125*D$30+'GREET IO'!$D$126*D$31)+('GREET IO'!$B$125/$C$35*E$30+'GREET IO'!$B$126/$C$35*E$31)+('GREET IO'!$C$125/$C$36*F$30+'GREET IO'!$C$126/$C$36*F$31))*'GREET IO'!$B151+(('GREET IO'!$E$125*G$30+'GREET IO'!$E$126*G$31)+('GREET IO'!$F$125*H$30+'GREET IO'!$F$126*H$31))*'GREET IO'!$C151)/1000000*$C$66*$F$70</f>
        <v>0</v>
      </c>
      <c r="I86" s="241">
        <f t="shared" si="1"/>
        <v>9.9940576213339335E-2</v>
      </c>
    </row>
    <row r="87" spans="2:9">
      <c r="B87" s="147" t="s">
        <v>1951</v>
      </c>
      <c r="C87"/>
      <c r="D87"/>
      <c r="E87"/>
      <c r="F87"/>
      <c r="G87"/>
      <c r="H87"/>
      <c r="I87" s="1675"/>
    </row>
    <row r="88" spans="2:9">
      <c r="B88" s="147" t="s">
        <v>180</v>
      </c>
      <c r="C88" s="237">
        <f>('GREET IO'!$D$125*D$20*('GREET IO'!$F131+'GREET IO'!$B153)+'GREET IO'!$D$126*D$21*('GREET IO'!$G131+'GREET IO'!$B153)+'GREET IO'!$B$125/$C$35*E$20*('GREET IO'!$B131+'GREET IO'!$B153)+'GREET IO'!$B$126/$C$35*E$21*('GREET IO'!$C131+'GREET IO'!$B153)+'GREET IO'!$C$125/$C$36*F$20*('GREET IO'!$D131+'GREET IO'!$B153)+'GREET IO'!$C$126/$C$36*F$21*('GREET IO'!$E131+'GREET IO'!$B153)+'GREET IO'!$E$125*G$20*('GREET IO'!$H131+'GREET IO'!$C153)+'GREET IO'!$E$126*G$21*('GREET IO'!$I131+'GREET IO'!$C153)+'GREET IO'!$F$125*H$20*('GREET IO'!$J131+'GREET IO'!$C153)+'GREET IO'!$F$126*H$21*('GREET IO'!$K131+'GREET IO'!$C153))/1000000*$C$61*$F$70</f>
        <v>0</v>
      </c>
      <c r="D88" s="178">
        <f>('GREET IO'!$D$125*D$22*('GREET IO'!$F131+'GREET IO'!$B153)+'GREET IO'!$D$126*D$23*('GREET IO'!$G131+'GREET IO'!$B153)+'GREET IO'!$B$125/$C$35*E$22*('GREET IO'!$B131+'GREET IO'!$B153)+'GREET IO'!$B$126/$C$35*E$23*('GREET IO'!$C131+'GREET IO'!$B153)+'GREET IO'!$C$125/$C$36*F$22*('GREET IO'!$D131+'GREET IO'!$B153)+'GREET IO'!$C$126/$C$36*F$23*('GREET IO'!$E131+'GREET IO'!$B153)+'GREET IO'!$E$125*G$22*('GREET IO'!$H131+'GREET IO'!$C153)+'GREET IO'!$E$126*G$23*('GREET IO'!$I131+'GREET IO'!$C153)+'GREET IO'!$F$125*H$22*('GREET IO'!$J131+'GREET IO'!$C153)+'GREET IO'!$F$126*H$23*('GREET IO'!$K131+'GREET IO'!$C153))/1000000*$C$62*$F$70</f>
        <v>0</v>
      </c>
      <c r="E88" s="178">
        <f>('GREET IO'!$D$125*D$24*('GREET IO'!$F131+'GREET IO'!$B153)+'GREET IO'!$D$126*D$25*('GREET IO'!$G131+'GREET IO'!$B153)+'GREET IO'!$B$125/$C$35*E$24*('GREET IO'!$B131+'GREET IO'!$B153)+'GREET IO'!$B$126/$C$35*E$25*('GREET IO'!$C131+'GREET IO'!$B153)+'GREET IO'!$C$125/$C$36*F$24*('GREET IO'!$D131+'GREET IO'!$B153)+'GREET IO'!$C$126/$C$36*F$25*('GREET IO'!$E131+'GREET IO'!$B153)+'GREET IO'!$E$125*G$24*('GREET IO'!$H131+'GREET IO'!$C153)+'GREET IO'!$E$126*G$25*('GREET IO'!$I131+'GREET IO'!$C153)+'GREET IO'!$F$125*H$24*('GREET IO'!$J131+'GREET IO'!$C153)+'GREET IO'!$F$126*H$25*('GREET IO'!$K131+'GREET IO'!$C153))/1000000*$C$63*$F$70</f>
        <v>2.8867706248299707E-2</v>
      </c>
      <c r="F88" s="178">
        <f>('GREET IO'!$D$125*D$26*('GREET IO'!$F131+'GREET IO'!$B153)+'GREET IO'!$D$126*D$27*('GREET IO'!$G131+'GREET IO'!$B153)+'GREET IO'!$B$125/$C$35*E$26*('GREET IO'!$B131+'GREET IO'!$B153)+'GREET IO'!$B$126/$C$35*E$27*('GREET IO'!$C131+'GREET IO'!$B153)+'GREET IO'!$C$125/$C$36*F$26*('GREET IO'!$D131+'GREET IO'!$B153)+'GREET IO'!$C$126/$C$36*F$27*('GREET IO'!$E131+'GREET IO'!$B153)+'GREET IO'!$E$125*G$26*('GREET IO'!$H131+'GREET IO'!$C153)+'GREET IO'!$E$126*G$27*('GREET IO'!$I131+'GREET IO'!$C153)+'GREET IO'!$F$125*H$26*('GREET IO'!$J131+'GREET IO'!$C153)+'GREET IO'!$F$126*H$27*('GREET IO'!$K131+'GREET IO'!$C153))/1000000*$C$64*$F$70</f>
        <v>0</v>
      </c>
      <c r="G88" s="178">
        <f>('GREET IO'!$D$125*D$28*('GREET IO'!$F131+'GREET IO'!$B153)+'GREET IO'!$D$126*D$29*('GREET IO'!$G131+'GREET IO'!$B153)+'GREET IO'!$B$125/$C$35*E$28*('GREET IO'!$B131+'GREET IO'!$B153)+'GREET IO'!$B$126/$C$35*E$29*('GREET IO'!$C131+'GREET IO'!$B153)+'GREET IO'!$C$125/$C$36*F$28*('GREET IO'!$D131+'GREET IO'!$B153)+'GREET IO'!$C$126/$C$36*F$29*('GREET IO'!$E131+'GREET IO'!$B153)+'GREET IO'!$E$125*G$28*('GREET IO'!$H131+'GREET IO'!$C153)+'GREET IO'!$E$126*G$29*('GREET IO'!$I131+'GREET IO'!$C153)+'GREET IO'!$F$125*H$28*('GREET IO'!$J131+'GREET IO'!$C153)+'GREET IO'!$F$126*H$29*('GREET IO'!$K131+'GREET IO'!$C153))/1000000*$C$65*$F$70</f>
        <v>2.8514612609059319E-2</v>
      </c>
      <c r="H88" s="178">
        <f>('GREET IO'!$D$125*D$30*('GREET IO'!$F131+'GREET IO'!$B153)+'GREET IO'!$D$126*D$31*('GREET IO'!$G131+'GREET IO'!$B153)+'GREET IO'!$B$125/$C$35*E$30*('GREET IO'!$B131+'GREET IO'!$B153)+'GREET IO'!$B$126/$C$35*E$31*('GREET IO'!$C131+'GREET IO'!$B153)+'GREET IO'!$C$125/$C$36*F$30*('GREET IO'!$D131+'GREET IO'!$B153)+'GREET IO'!$C$126/$C$36*F$31*('GREET IO'!$E131+'GREET IO'!$B153)+'GREET IO'!$E$125*G$30*('GREET IO'!$H131+'GREET IO'!$C153)+'GREET IO'!$E$126*G$31*('GREET IO'!$I131+'GREET IO'!$C153)+'GREET IO'!$F$125*H$30*('GREET IO'!$J131+'GREET IO'!$C153)+'GREET IO'!$F$126*H$31*('GREET IO'!$K131+'GREET IO'!$C153))/1000000*$C$66*$F$70</f>
        <v>0</v>
      </c>
      <c r="I88" s="179">
        <f t="shared" ref="I88:I100" si="2">SUM(C88:H88)</f>
        <v>5.7382318857359026E-2</v>
      </c>
    </row>
    <row r="89" spans="2:9">
      <c r="B89" s="147" t="s">
        <v>181</v>
      </c>
      <c r="C89" s="237">
        <f>('GREET IO'!$D$125*D$20*('GREET IO'!$F132+'GREET IO'!$B154)+'GREET IO'!$D$126*D$21*('GREET IO'!$G132+'GREET IO'!$B154)+'GREET IO'!$B$125/$C$35*E$20*('GREET IO'!$B132+'GREET IO'!$B154)+'GREET IO'!$B$126/$C$35*E$21*('GREET IO'!$C132+'GREET IO'!$B154)+'GREET IO'!$C$125/$C$36*F$20*('GREET IO'!$D132+'GREET IO'!$B154)+'GREET IO'!$C$126/$C$36*F$21*('GREET IO'!$E132+'GREET IO'!$B154)+'GREET IO'!$E$125*G$20*('GREET IO'!$H132+'GREET IO'!$C154)+'GREET IO'!$E$126*G$21*('GREET IO'!$I132+'GREET IO'!$C154)+'GREET IO'!$F$125*H$20*('GREET IO'!$J132+'GREET IO'!$C154)+'GREET IO'!$F$126*H$21*('GREET IO'!$K132+'GREET IO'!$C154))/1000000*$C$61*$F$70</f>
        <v>0</v>
      </c>
      <c r="D89" s="178">
        <f>('GREET IO'!$D$125*D$22*('GREET IO'!$F132+'GREET IO'!$B154)+'GREET IO'!$D$126*D$23*('GREET IO'!$G132+'GREET IO'!$B154)+'GREET IO'!$B$125/$C$35*E$22*('GREET IO'!$B132+'GREET IO'!$B154)+'GREET IO'!$B$126/$C$35*E$23*('GREET IO'!$C132+'GREET IO'!$B154)+'GREET IO'!$C$125/$C$36*F$22*('GREET IO'!$D132+'GREET IO'!$B154)+'GREET IO'!$C$126/$C$36*F$23*('GREET IO'!$E132+'GREET IO'!$B154)+'GREET IO'!$E$125*G$22*('GREET IO'!$H132+'GREET IO'!$C154)+'GREET IO'!$E$126*G$23*('GREET IO'!$I132+'GREET IO'!$C154)+'GREET IO'!$F$125*H$22*('GREET IO'!$J132+'GREET IO'!$C154)+'GREET IO'!$F$126*H$23*('GREET IO'!$K132+'GREET IO'!$C154))/1000000*$C$62*$F$70</f>
        <v>0</v>
      </c>
      <c r="E89" s="178">
        <f>('GREET IO'!$D$125*D$24*('GREET IO'!$F132+'GREET IO'!$B154)+'GREET IO'!$D$126*D$25*('GREET IO'!$G132+'GREET IO'!$B154)+'GREET IO'!$B$125/$C$35*E$24*('GREET IO'!$B132+'GREET IO'!$B154)+'GREET IO'!$B$126/$C$35*E$25*('GREET IO'!$C132+'GREET IO'!$B154)+'GREET IO'!$C$125/$C$36*F$24*('GREET IO'!$D132+'GREET IO'!$B154)+'GREET IO'!$C$126/$C$36*F$25*('GREET IO'!$E132+'GREET IO'!$B154)+'GREET IO'!$E$125*G$24*('GREET IO'!$H132+'GREET IO'!$C154)+'GREET IO'!$E$126*G$25*('GREET IO'!$I132+'GREET IO'!$C154)+'GREET IO'!$F$125*H$24*('GREET IO'!$J132+'GREET IO'!$C154)+'GREET IO'!$F$126*H$25*('GREET IO'!$K132+'GREET IO'!$C154))/1000000*$C$63*$F$70</f>
        <v>0.37771595151864207</v>
      </c>
      <c r="F89" s="178">
        <f>('GREET IO'!$D$125*D$26*('GREET IO'!$F132+'GREET IO'!$B154)+'GREET IO'!$D$126*D$27*('GREET IO'!$G132+'GREET IO'!$B154)+'GREET IO'!$B$125/$C$35*E$26*('GREET IO'!$B132+'GREET IO'!$B154)+'GREET IO'!$B$126/$C$35*E$27*('GREET IO'!$C132+'GREET IO'!$B154)+'GREET IO'!$C$125/$C$36*F$26*('GREET IO'!$D132+'GREET IO'!$B154)+'GREET IO'!$C$126/$C$36*F$27*('GREET IO'!$E132+'GREET IO'!$B154)+'GREET IO'!$E$125*G$26*('GREET IO'!$H132+'GREET IO'!$C154)+'GREET IO'!$E$126*G$27*('GREET IO'!$I132+'GREET IO'!$C154)+'GREET IO'!$F$125*H$26*('GREET IO'!$J132+'GREET IO'!$C154)+'GREET IO'!$F$126*H$27*('GREET IO'!$K132+'GREET IO'!$C154))/1000000*$C$64*$F$70</f>
        <v>0</v>
      </c>
      <c r="G89" s="178">
        <f>('GREET IO'!$D$125*D$28*('GREET IO'!$F132+'GREET IO'!$B154)+'GREET IO'!$D$126*D$29*('GREET IO'!$G132+'GREET IO'!$B154)+'GREET IO'!$B$125/$C$35*E$28*('GREET IO'!$B132+'GREET IO'!$B154)+'GREET IO'!$B$126/$C$35*E$29*('GREET IO'!$C132+'GREET IO'!$B154)+'GREET IO'!$C$125/$C$36*F$28*('GREET IO'!$D132+'GREET IO'!$B154)+'GREET IO'!$C$126/$C$36*F$29*('GREET IO'!$E132+'GREET IO'!$B154)+'GREET IO'!$E$125*G$28*('GREET IO'!$H132+'GREET IO'!$C154)+'GREET IO'!$E$126*G$29*('GREET IO'!$I132+'GREET IO'!$C154)+'GREET IO'!$F$125*H$28*('GREET IO'!$J132+'GREET IO'!$C154)+'GREET IO'!$F$126*H$29*('GREET IO'!$K132+'GREET IO'!$C154))/1000000*$C$65*$F$70</f>
        <v>0.37309594122846812</v>
      </c>
      <c r="H89" s="178">
        <f>('GREET IO'!$D$125*D$30*('GREET IO'!$F132+'GREET IO'!$B154)+'GREET IO'!$D$126*D$31*('GREET IO'!$G132+'GREET IO'!$B154)+'GREET IO'!$B$125/$C$35*E$30*('GREET IO'!$B132+'GREET IO'!$B154)+'GREET IO'!$B$126/$C$35*E$31*('GREET IO'!$C132+'GREET IO'!$B154)+'GREET IO'!$C$125/$C$36*F$30*('GREET IO'!$D132+'GREET IO'!$B154)+'GREET IO'!$C$126/$C$36*F$31*('GREET IO'!$E132+'GREET IO'!$B154)+'GREET IO'!$E$125*G$30*('GREET IO'!$H132+'GREET IO'!$C154)+'GREET IO'!$E$126*G$31*('GREET IO'!$I132+'GREET IO'!$C154)+'GREET IO'!$F$125*H$30*('GREET IO'!$J132+'GREET IO'!$C154)+'GREET IO'!$F$126*H$31*('GREET IO'!$K132+'GREET IO'!$C154))/1000000*$C$66*$F$70</f>
        <v>0</v>
      </c>
      <c r="I89" s="179">
        <f t="shared" si="2"/>
        <v>0.75081189274711013</v>
      </c>
    </row>
    <row r="90" spans="2:9">
      <c r="B90" s="147" t="s">
        <v>182</v>
      </c>
      <c r="C90" s="237">
        <f>('GREET IO'!$D$125*D$20*('GREET IO'!$F133+'GREET IO'!$B155)+'GREET IO'!$D$126*D$21*('GREET IO'!$G133+'GREET IO'!$B155)+'GREET IO'!$B$125/$C$35*E$20*('GREET IO'!$B133+'GREET IO'!$B155)+'GREET IO'!$B$126/$C$35*E$21*('GREET IO'!$C133+'GREET IO'!$B155)+'GREET IO'!$C$125/$C$36*F$20*('GREET IO'!$D133+'GREET IO'!$B155)+'GREET IO'!$C$126/$C$36*F$21*('GREET IO'!$E133+'GREET IO'!$B155)+'GREET IO'!$E$125*G$20*('GREET IO'!$H133+'GREET IO'!$C155)+'GREET IO'!$E$126*G$21*('GREET IO'!$I133+'GREET IO'!$C155)+'GREET IO'!$F$125*H$20*('GREET IO'!$J133+'GREET IO'!$C155)+'GREET IO'!$F$126*H$21*('GREET IO'!$K133+'GREET IO'!$C155))/1000000*$C$61*$F$70</f>
        <v>0</v>
      </c>
      <c r="D90" s="178">
        <f>('GREET IO'!$D$125*D$22*('GREET IO'!$F133+'GREET IO'!$B155)+'GREET IO'!$D$126*D$23*('GREET IO'!$G133+'GREET IO'!$B155)+'GREET IO'!$B$125/$C$35*E$22*('GREET IO'!$B133+'GREET IO'!$B155)+'GREET IO'!$B$126/$C$35*E$23*('GREET IO'!$C133+'GREET IO'!$B155)+'GREET IO'!$C$125/$C$36*F$22*('GREET IO'!$D133+'GREET IO'!$B155)+'GREET IO'!$C$126/$C$36*F$23*('GREET IO'!$E133+'GREET IO'!$B155)+'GREET IO'!$E$125*G$22*('GREET IO'!$H133+'GREET IO'!$C155)+'GREET IO'!$E$126*G$23*('GREET IO'!$I133+'GREET IO'!$C155)+'GREET IO'!$F$125*H$22*('GREET IO'!$J133+'GREET IO'!$C155)+'GREET IO'!$F$126*H$23*('GREET IO'!$K133+'GREET IO'!$C155))/1000000*$C$62*$F$70</f>
        <v>0</v>
      </c>
      <c r="E90" s="178">
        <f>('GREET IO'!$D$125*D$24*('GREET IO'!$F133+'GREET IO'!$B155)+'GREET IO'!$D$126*D$25*('GREET IO'!$G133+'GREET IO'!$B155)+'GREET IO'!$B$125/$C$35*E$24*('GREET IO'!$B133+'GREET IO'!$B155)+'GREET IO'!$B$126/$C$35*E$25*('GREET IO'!$C133+'GREET IO'!$B155)+'GREET IO'!$C$125/$C$36*F$24*('GREET IO'!$D133+'GREET IO'!$B155)+'GREET IO'!$C$126/$C$36*F$25*('GREET IO'!$E133+'GREET IO'!$B155)+'GREET IO'!$E$125*G$24*('GREET IO'!$H133+'GREET IO'!$C155)+'GREET IO'!$E$126*G$25*('GREET IO'!$I133+'GREET IO'!$C155)+'GREET IO'!$F$125*H$24*('GREET IO'!$J133+'GREET IO'!$C155)+'GREET IO'!$F$126*H$25*('GREET IO'!$K133+'GREET IO'!$C155))/1000000*$C$63*$F$70</f>
        <v>0.2615110813880811</v>
      </c>
      <c r="F90" s="178">
        <f>('GREET IO'!$D$125*D$26*('GREET IO'!$F133+'GREET IO'!$B155)+'GREET IO'!$D$126*D$27*('GREET IO'!$G133+'GREET IO'!$B155)+'GREET IO'!$B$125/$C$35*E$26*('GREET IO'!$B133+'GREET IO'!$B155)+'GREET IO'!$B$126/$C$35*E$27*('GREET IO'!$C133+'GREET IO'!$B155)+'GREET IO'!$C$125/$C$36*F$26*('GREET IO'!$D133+'GREET IO'!$B155)+'GREET IO'!$C$126/$C$36*F$27*('GREET IO'!$E133+'GREET IO'!$B155)+'GREET IO'!$E$125*G$26*('GREET IO'!$H133+'GREET IO'!$C155)+'GREET IO'!$E$126*G$27*('GREET IO'!$I133+'GREET IO'!$C155)+'GREET IO'!$F$125*H$26*('GREET IO'!$J133+'GREET IO'!$C155)+'GREET IO'!$F$126*H$27*('GREET IO'!$K133+'GREET IO'!$C155))/1000000*$C$64*$F$70</f>
        <v>0</v>
      </c>
      <c r="G90" s="178">
        <f>('GREET IO'!$D$125*D$28*('GREET IO'!$F133+'GREET IO'!$B155)+'GREET IO'!$D$126*D$29*('GREET IO'!$G133+'GREET IO'!$B155)+'GREET IO'!$B$125/$C$35*E$28*('GREET IO'!$B133+'GREET IO'!$B155)+'GREET IO'!$B$126/$C$35*E$29*('GREET IO'!$C133+'GREET IO'!$B155)+'GREET IO'!$C$125/$C$36*F$28*('GREET IO'!$D133+'GREET IO'!$B155)+'GREET IO'!$C$126/$C$36*F$29*('GREET IO'!$E133+'GREET IO'!$B155)+'GREET IO'!$E$125*G$28*('GREET IO'!$H133+'GREET IO'!$C155)+'GREET IO'!$E$126*G$29*('GREET IO'!$I133+'GREET IO'!$C155)+'GREET IO'!$F$125*H$28*('GREET IO'!$J133+'GREET IO'!$C155)+'GREET IO'!$F$126*H$29*('GREET IO'!$K133+'GREET IO'!$C155))/1000000*$C$65*$F$70</f>
        <v>0.25831242408449134</v>
      </c>
      <c r="H90" s="178">
        <f>('GREET IO'!$D$125*D$30*('GREET IO'!$F133+'GREET IO'!$B155)+'GREET IO'!$D$126*D$31*('GREET IO'!$G133+'GREET IO'!$B155)+'GREET IO'!$B$125/$C$35*E$30*('GREET IO'!$B133+'GREET IO'!$B155)+'GREET IO'!$B$126/$C$35*E$31*('GREET IO'!$C133+'GREET IO'!$B155)+'GREET IO'!$C$125/$C$36*F$30*('GREET IO'!$D133+'GREET IO'!$B155)+'GREET IO'!$C$126/$C$36*F$31*('GREET IO'!$E133+'GREET IO'!$B155)+'GREET IO'!$E$125*G$30*('GREET IO'!$H133+'GREET IO'!$C155)+'GREET IO'!$E$126*G$31*('GREET IO'!$I133+'GREET IO'!$C155)+'GREET IO'!$F$125*H$30*('GREET IO'!$J133+'GREET IO'!$C155)+'GREET IO'!$F$126*H$31*('GREET IO'!$K133+'GREET IO'!$C155))/1000000*$C$66*$F$70</f>
        <v>0</v>
      </c>
      <c r="I90" s="179">
        <f t="shared" si="2"/>
        <v>0.51982350547257239</v>
      </c>
    </row>
    <row r="91" spans="2:9">
      <c r="B91" s="147" t="s">
        <v>183</v>
      </c>
      <c r="C91" s="237">
        <f>('GREET IO'!$D$125*D$20*('GREET IO'!$F134+'GREET IO'!$B156)+'GREET IO'!$D$126*D$21*('GREET IO'!$G134+'GREET IO'!$B156)+'GREET IO'!$B$125/$C$35*E$20*('GREET IO'!$B134+'GREET IO'!$B156)+'GREET IO'!$B$126/$C$35*E$21*('GREET IO'!$C134+'GREET IO'!$B156)+'GREET IO'!$C$125/$C$36*F$20*('GREET IO'!$D134+'GREET IO'!$B156)+'GREET IO'!$C$126/$C$36*F$21*('GREET IO'!$E134+'GREET IO'!$B156)+'GREET IO'!$E$125*G$20*('GREET IO'!$H134+'GREET IO'!$C156)+'GREET IO'!$E$126*G$21*('GREET IO'!$I134+'GREET IO'!$C156)+'GREET IO'!$F$125*H$20*('GREET IO'!$J134+'GREET IO'!$C156)+'GREET IO'!$F$126*H$21*('GREET IO'!$K134+'GREET IO'!$C156))/1000000*$C$61*$F$70</f>
        <v>0</v>
      </c>
      <c r="D91" s="178">
        <f>('GREET IO'!$D$125*D$22*('GREET IO'!$F134+'GREET IO'!$B156)+'GREET IO'!$D$126*D$23*('GREET IO'!$G134+'GREET IO'!$B156)+'GREET IO'!$B$125/$C$35*E$22*('GREET IO'!$B134+'GREET IO'!$B156)+'GREET IO'!$B$126/$C$35*E$23*('GREET IO'!$C134+'GREET IO'!$B156)+'GREET IO'!$C$125/$C$36*F$22*('GREET IO'!$D134+'GREET IO'!$B156)+'GREET IO'!$C$126/$C$36*F$23*('GREET IO'!$E134+'GREET IO'!$B156)+'GREET IO'!$E$125*G$22*('GREET IO'!$H134+'GREET IO'!$C156)+'GREET IO'!$E$126*G$23*('GREET IO'!$I134+'GREET IO'!$C156)+'GREET IO'!$F$125*H$22*('GREET IO'!$J134+'GREET IO'!$C156)+'GREET IO'!$F$126*H$23*('GREET IO'!$K134+'GREET IO'!$C156))/1000000*$C$62*$F$70</f>
        <v>0</v>
      </c>
      <c r="E91" s="178">
        <f>('GREET IO'!$D$125*D$24*('GREET IO'!$F134+'GREET IO'!$B156)+'GREET IO'!$D$126*D$25*('GREET IO'!$G134+'GREET IO'!$B156)+'GREET IO'!$B$125/$C$35*E$24*('GREET IO'!$B134+'GREET IO'!$B156)+'GREET IO'!$B$126/$C$35*E$25*('GREET IO'!$C134+'GREET IO'!$B156)+'GREET IO'!$C$125/$C$36*F$24*('GREET IO'!$D134+'GREET IO'!$B156)+'GREET IO'!$C$126/$C$36*F$25*('GREET IO'!$E134+'GREET IO'!$B156)+'GREET IO'!$E$125*G$24*('GREET IO'!$H134+'GREET IO'!$C156)+'GREET IO'!$E$126*G$25*('GREET IO'!$I134+'GREET IO'!$C156)+'GREET IO'!$F$125*H$24*('GREET IO'!$J134+'GREET IO'!$C156)+'GREET IO'!$F$126*H$25*('GREET IO'!$K134+'GREET IO'!$C156))/1000000*$C$63*$F$70</f>
        <v>1.4748367837224175E-2</v>
      </c>
      <c r="F91" s="178">
        <f>('GREET IO'!$D$125*D$26*('GREET IO'!$F134+'GREET IO'!$B156)+'GREET IO'!$D$126*D$27*('GREET IO'!$G134+'GREET IO'!$B156)+'GREET IO'!$B$125/$C$35*E$26*('GREET IO'!$B134+'GREET IO'!$B156)+'GREET IO'!$B$126/$C$35*E$27*('GREET IO'!$C134+'GREET IO'!$B156)+'GREET IO'!$C$125/$C$36*F$26*('GREET IO'!$D134+'GREET IO'!$B156)+'GREET IO'!$C$126/$C$36*F$27*('GREET IO'!$E134+'GREET IO'!$B156)+'GREET IO'!$E$125*G$26*('GREET IO'!$H134+'GREET IO'!$C156)+'GREET IO'!$E$126*G$27*('GREET IO'!$I134+'GREET IO'!$C156)+'GREET IO'!$F$125*H$26*('GREET IO'!$J134+'GREET IO'!$C156)+'GREET IO'!$F$126*H$27*('GREET IO'!$K134+'GREET IO'!$C156))/1000000*$C$64*$F$70</f>
        <v>0</v>
      </c>
      <c r="G91" s="178">
        <f>('GREET IO'!$D$125*D$28*('GREET IO'!$F134+'GREET IO'!$B156)+'GREET IO'!$D$126*D$29*('GREET IO'!$G134+'GREET IO'!$B156)+'GREET IO'!$B$125/$C$35*E$28*('GREET IO'!$B134+'GREET IO'!$B156)+'GREET IO'!$B$126/$C$35*E$29*('GREET IO'!$C134+'GREET IO'!$B156)+'GREET IO'!$C$125/$C$36*F$28*('GREET IO'!$D134+'GREET IO'!$B156)+'GREET IO'!$C$126/$C$36*F$29*('GREET IO'!$E134+'GREET IO'!$B156)+'GREET IO'!$E$125*G$28*('GREET IO'!$H134+'GREET IO'!$C156)+'GREET IO'!$E$126*G$29*('GREET IO'!$I134+'GREET IO'!$C156)+'GREET IO'!$F$125*H$28*('GREET IO'!$J134+'GREET IO'!$C156)+'GREET IO'!$F$126*H$29*('GREET IO'!$K134+'GREET IO'!$C156))/1000000*$C$65*$F$70</f>
        <v>1.4567974049518647E-2</v>
      </c>
      <c r="H91" s="178">
        <f>('GREET IO'!$D$125*D$30*('GREET IO'!$F134+'GREET IO'!$B156)+'GREET IO'!$D$126*D$31*('GREET IO'!$G134+'GREET IO'!$B156)+'GREET IO'!$B$125/$C$35*E$30*('GREET IO'!$B134+'GREET IO'!$B156)+'GREET IO'!$B$126/$C$35*E$31*('GREET IO'!$C134+'GREET IO'!$B156)+'GREET IO'!$C$125/$C$36*F$30*('GREET IO'!$D134+'GREET IO'!$B156)+'GREET IO'!$C$126/$C$36*F$31*('GREET IO'!$E134+'GREET IO'!$B156)+'GREET IO'!$E$125*G$30*('GREET IO'!$H134+'GREET IO'!$C156)+'GREET IO'!$E$126*G$31*('GREET IO'!$I134+'GREET IO'!$C156)+'GREET IO'!$F$125*H$30*('GREET IO'!$J134+'GREET IO'!$C156)+'GREET IO'!$F$126*H$31*('GREET IO'!$K134+'GREET IO'!$C156))/1000000*$C$66*$F$70</f>
        <v>0</v>
      </c>
      <c r="I91" s="179">
        <f t="shared" si="2"/>
        <v>2.9316341886742821E-2</v>
      </c>
    </row>
    <row r="92" spans="2:9">
      <c r="B92" s="147" t="s">
        <v>184</v>
      </c>
      <c r="C92" s="237">
        <f>('GREET IO'!$D$125*D$20*('GREET IO'!$F135+'GREET IO'!$B157)+'GREET IO'!$D$126*D$21*('GREET IO'!$G135+'GREET IO'!$B157)+'GREET IO'!$B$125/$C$35*E$20*('GREET IO'!$B135+'GREET IO'!$B157)+'GREET IO'!$B$126/$C$35*E$21*('GREET IO'!$C135+'GREET IO'!$B157)+'GREET IO'!$C$125/$C$36*F$20*('GREET IO'!$D135+'GREET IO'!$B157)+'GREET IO'!$C$126/$C$36*F$21*('GREET IO'!$E135+'GREET IO'!$B157)+'GREET IO'!$E$125*G$20*('GREET IO'!$H135+'GREET IO'!$C157)+'GREET IO'!$E$126*G$21*('GREET IO'!$I135+'GREET IO'!$C157)+'GREET IO'!$F$125*H$20*('GREET IO'!$J135+'GREET IO'!$C157)+'GREET IO'!$F$126*H$21*('GREET IO'!$K135+'GREET IO'!$C157))/1000000*$C$61*$F$70</f>
        <v>0</v>
      </c>
      <c r="D92" s="178">
        <f>('GREET IO'!$D$125*D$22*('GREET IO'!$F135+'GREET IO'!$B157)+'GREET IO'!$D$126*D$23*('GREET IO'!$G135+'GREET IO'!$B157)+'GREET IO'!$B$125/$C$35*E$22*('GREET IO'!$B135+'GREET IO'!$B157)+'GREET IO'!$B$126/$C$35*E$23*('GREET IO'!$C135+'GREET IO'!$B157)+'GREET IO'!$C$125/$C$36*F$22*('GREET IO'!$D135+'GREET IO'!$B157)+'GREET IO'!$C$126/$C$36*F$23*('GREET IO'!$E135+'GREET IO'!$B157)+'GREET IO'!$E$125*G$22*('GREET IO'!$H135+'GREET IO'!$C157)+'GREET IO'!$E$126*G$23*('GREET IO'!$I135+'GREET IO'!$C157)+'GREET IO'!$F$125*H$22*('GREET IO'!$J135+'GREET IO'!$C157)+'GREET IO'!$F$126*H$23*('GREET IO'!$K135+'GREET IO'!$C157))/1000000*$C$62*$F$70</f>
        <v>0</v>
      </c>
      <c r="E92" s="178">
        <f>('GREET IO'!$D$125*D$24*('GREET IO'!$F135+'GREET IO'!$B157)+'GREET IO'!$D$126*D$25*('GREET IO'!$G135+'GREET IO'!$B157)+'GREET IO'!$B$125/$C$35*E$24*('GREET IO'!$B135+'GREET IO'!$B157)+'GREET IO'!$B$126/$C$35*E$25*('GREET IO'!$C135+'GREET IO'!$B157)+'GREET IO'!$C$125/$C$36*F$24*('GREET IO'!$D135+'GREET IO'!$B157)+'GREET IO'!$C$126/$C$36*F$25*('GREET IO'!$E135+'GREET IO'!$B157)+'GREET IO'!$E$125*G$24*('GREET IO'!$H135+'GREET IO'!$C157)+'GREET IO'!$E$126*G$25*('GREET IO'!$I135+'GREET IO'!$C157)+'GREET IO'!$F$125*H$24*('GREET IO'!$J135+'GREET IO'!$C157)+'GREET IO'!$F$126*H$25*('GREET IO'!$K135+'GREET IO'!$C157))/1000000*$C$63*$F$70</f>
        <v>4.4929817027039307E-3</v>
      </c>
      <c r="F92" s="178">
        <f>('GREET IO'!$D$125*D$26*('GREET IO'!$F135+'GREET IO'!$B157)+'GREET IO'!$D$126*D$27*('GREET IO'!$G135+'GREET IO'!$B157)+'GREET IO'!$B$125/$C$35*E$26*('GREET IO'!$B135+'GREET IO'!$B157)+'GREET IO'!$B$126/$C$35*E$27*('GREET IO'!$C135+'GREET IO'!$B157)+'GREET IO'!$C$125/$C$36*F$26*('GREET IO'!$D135+'GREET IO'!$B157)+'GREET IO'!$C$126/$C$36*F$27*('GREET IO'!$E135+'GREET IO'!$B157)+'GREET IO'!$E$125*G$26*('GREET IO'!$H135+'GREET IO'!$C157)+'GREET IO'!$E$126*G$27*('GREET IO'!$I135+'GREET IO'!$C157)+'GREET IO'!$F$125*H$26*('GREET IO'!$J135+'GREET IO'!$C157)+'GREET IO'!$F$126*H$27*('GREET IO'!$K135+'GREET IO'!$C157))/1000000*$C$64*$F$70</f>
        <v>0</v>
      </c>
      <c r="G92" s="178">
        <f>('GREET IO'!$D$125*D$28*('GREET IO'!$F135+'GREET IO'!$B157)+'GREET IO'!$D$126*D$29*('GREET IO'!$G135+'GREET IO'!$B157)+'GREET IO'!$B$125/$C$35*E$28*('GREET IO'!$B135+'GREET IO'!$B157)+'GREET IO'!$B$126/$C$35*E$29*('GREET IO'!$C135+'GREET IO'!$B157)+'GREET IO'!$C$125/$C$36*F$28*('GREET IO'!$D135+'GREET IO'!$B157)+'GREET IO'!$C$126/$C$36*F$29*('GREET IO'!$E135+'GREET IO'!$B157)+'GREET IO'!$E$125*G$28*('GREET IO'!$H135+'GREET IO'!$C157)+'GREET IO'!$E$126*G$29*('GREET IO'!$I135+'GREET IO'!$C157)+'GREET IO'!$F$125*H$28*('GREET IO'!$J135+'GREET IO'!$C157)+'GREET IO'!$F$126*H$29*('GREET IO'!$K135+'GREET IO'!$C157))/1000000*$C$65*$F$70</f>
        <v>4.4380260631112752E-3</v>
      </c>
      <c r="H92" s="178">
        <f>('GREET IO'!$D$125*D$30*('GREET IO'!$F135+'GREET IO'!$B157)+'GREET IO'!$D$126*D$31*('GREET IO'!$G135+'GREET IO'!$B157)+'GREET IO'!$B$125/$C$35*E$30*('GREET IO'!$B135+'GREET IO'!$B157)+'GREET IO'!$B$126/$C$35*E$31*('GREET IO'!$C135+'GREET IO'!$B157)+'GREET IO'!$C$125/$C$36*F$30*('GREET IO'!$D135+'GREET IO'!$B157)+'GREET IO'!$C$126/$C$36*F$31*('GREET IO'!$E135+'GREET IO'!$B157)+'GREET IO'!$E$125*G$30*('GREET IO'!$H135+'GREET IO'!$C157)+'GREET IO'!$E$126*G$31*('GREET IO'!$I135+'GREET IO'!$C157)+'GREET IO'!$F$125*H$30*('GREET IO'!$J135+'GREET IO'!$C157)+'GREET IO'!$F$126*H$31*('GREET IO'!$K135+'GREET IO'!$C157))/1000000*$C$66*$F$70</f>
        <v>0</v>
      </c>
      <c r="I92" s="179">
        <f t="shared" si="2"/>
        <v>8.9310077658152059E-3</v>
      </c>
    </row>
    <row r="93" spans="2:9">
      <c r="B93" s="147" t="s">
        <v>185</v>
      </c>
      <c r="C93" s="237">
        <f>('GREET IO'!$D$125*D$20*('GREET IO'!$F136+'GREET IO'!$B158)+'GREET IO'!$D$126*D$21*('GREET IO'!$G136+'GREET IO'!$B158)+'GREET IO'!$B$125/$C$35*E$20*('GREET IO'!$B136+'GREET IO'!$B158)+'GREET IO'!$B$126/$C$35*E$21*('GREET IO'!$C136+'GREET IO'!$B158)+'GREET IO'!$C$125/$C$36*F$20*('GREET IO'!$D136+'GREET IO'!$B158)+'GREET IO'!$C$126/$C$36*F$21*('GREET IO'!$E136+'GREET IO'!$B158)+'GREET IO'!$E$125*G$20*('GREET IO'!$H136+'GREET IO'!$C158)+'GREET IO'!$E$126*G$21*('GREET IO'!$I136+'GREET IO'!$C158)+'GREET IO'!$F$125*H$20*('GREET IO'!$J136+'GREET IO'!$C158)+'GREET IO'!$F$126*H$21*('GREET IO'!$K136+'GREET IO'!$C158))/1000000*$C$61*$F$70</f>
        <v>0</v>
      </c>
      <c r="D93" s="178">
        <f>('GREET IO'!$D$125*D$22*('GREET IO'!$F136+'GREET IO'!$B158)+'GREET IO'!$D$126*D$23*('GREET IO'!$G136+'GREET IO'!$B158)+'GREET IO'!$B$125/$C$35*E$22*('GREET IO'!$B136+'GREET IO'!$B158)+'GREET IO'!$B$126/$C$35*E$23*('GREET IO'!$C136+'GREET IO'!$B158)+'GREET IO'!$C$125/$C$36*F$22*('GREET IO'!$D136+'GREET IO'!$B158)+'GREET IO'!$C$126/$C$36*F$23*('GREET IO'!$E136+'GREET IO'!$B158)+'GREET IO'!$E$125*G$22*('GREET IO'!$H136+'GREET IO'!$C158)+'GREET IO'!$E$126*G$23*('GREET IO'!$I136+'GREET IO'!$C158)+'GREET IO'!$F$125*H$22*('GREET IO'!$J136+'GREET IO'!$C158)+'GREET IO'!$F$126*H$23*('GREET IO'!$K136+'GREET IO'!$C158))/1000000*$C$62*$F$70</f>
        <v>0</v>
      </c>
      <c r="E93" s="178">
        <f>('GREET IO'!$D$125*D$24*('GREET IO'!$F136+'GREET IO'!$B158)+'GREET IO'!$D$126*D$25*('GREET IO'!$G136+'GREET IO'!$B158)+'GREET IO'!$B$125/$C$35*E$24*('GREET IO'!$B136+'GREET IO'!$B158)+'GREET IO'!$B$126/$C$35*E$25*('GREET IO'!$C136+'GREET IO'!$B158)+'GREET IO'!$C$125/$C$36*F$24*('GREET IO'!$D136+'GREET IO'!$B158)+'GREET IO'!$C$126/$C$36*F$25*('GREET IO'!$E136+'GREET IO'!$B158)+'GREET IO'!$E$125*G$24*('GREET IO'!$H136+'GREET IO'!$C158)+'GREET IO'!$E$126*G$25*('GREET IO'!$I136+'GREET IO'!$C158)+'GREET IO'!$F$125*H$24*('GREET IO'!$J136+'GREET IO'!$C158)+'GREET IO'!$F$126*H$25*('GREET IO'!$K136+'GREET IO'!$C158))/1000000*$C$63*$F$70</f>
        <v>1.2488503225692265E-2</v>
      </c>
      <c r="F93" s="178">
        <f>('GREET IO'!$D$125*D$26*('GREET IO'!$F136+'GREET IO'!$B158)+'GREET IO'!$D$126*D$27*('GREET IO'!$G136+'GREET IO'!$B158)+'GREET IO'!$B$125/$C$35*E$26*('GREET IO'!$B136+'GREET IO'!$B158)+'GREET IO'!$B$126/$C$35*E$27*('GREET IO'!$C136+'GREET IO'!$B158)+'GREET IO'!$C$125/$C$36*F$26*('GREET IO'!$D136+'GREET IO'!$B158)+'GREET IO'!$C$126/$C$36*F$27*('GREET IO'!$E136+'GREET IO'!$B158)+'GREET IO'!$E$125*G$26*('GREET IO'!$H136+'GREET IO'!$C158)+'GREET IO'!$E$126*G$27*('GREET IO'!$I136+'GREET IO'!$C158)+'GREET IO'!$F$125*H$26*('GREET IO'!$J136+'GREET IO'!$C158)+'GREET IO'!$F$126*H$27*('GREET IO'!$K136+'GREET IO'!$C158))/1000000*$C$64*$F$70</f>
        <v>0</v>
      </c>
      <c r="G93" s="178">
        <f>('GREET IO'!$D$125*D$28*('GREET IO'!$F136+'GREET IO'!$B158)+'GREET IO'!$D$126*D$29*('GREET IO'!$G136+'GREET IO'!$B158)+'GREET IO'!$B$125/$C$35*E$28*('GREET IO'!$B136+'GREET IO'!$B158)+'GREET IO'!$B$126/$C$35*E$29*('GREET IO'!$C136+'GREET IO'!$B158)+'GREET IO'!$C$125/$C$36*F$28*('GREET IO'!$D136+'GREET IO'!$B158)+'GREET IO'!$C$126/$C$36*F$29*('GREET IO'!$E136+'GREET IO'!$B158)+'GREET IO'!$E$125*G$28*('GREET IO'!$H136+'GREET IO'!$C158)+'GREET IO'!$E$126*G$29*('GREET IO'!$I136+'GREET IO'!$C158)+'GREET IO'!$F$125*H$28*('GREET IO'!$J136+'GREET IO'!$C158)+'GREET IO'!$F$126*H$29*('GREET IO'!$K136+'GREET IO'!$C158))/1000000*$C$65*$F$70</f>
        <v>1.2335750838138624E-2</v>
      </c>
      <c r="H93" s="178">
        <f>('GREET IO'!$D$125*D$30*('GREET IO'!$F136+'GREET IO'!$B158)+'GREET IO'!$D$126*D$31*('GREET IO'!$G136+'GREET IO'!$B158)+'GREET IO'!$B$125/$C$35*E$30*('GREET IO'!$B136+'GREET IO'!$B158)+'GREET IO'!$B$126/$C$35*E$31*('GREET IO'!$C136+'GREET IO'!$B158)+'GREET IO'!$C$125/$C$36*F$30*('GREET IO'!$D136+'GREET IO'!$B158)+'GREET IO'!$C$126/$C$36*F$31*('GREET IO'!$E136+'GREET IO'!$B158)+'GREET IO'!$E$125*G$30*('GREET IO'!$H136+'GREET IO'!$C158)+'GREET IO'!$E$126*G$31*('GREET IO'!$I136+'GREET IO'!$C158)+'GREET IO'!$F$125*H$30*('GREET IO'!$J136+'GREET IO'!$C158)+'GREET IO'!$F$126*H$31*('GREET IO'!$K136+'GREET IO'!$C158))/1000000*$C$66*$F$70</f>
        <v>0</v>
      </c>
      <c r="I93" s="179">
        <f t="shared" si="2"/>
        <v>2.4824254063830889E-2</v>
      </c>
    </row>
    <row r="94" spans="2:9">
      <c r="B94" s="147" t="s">
        <v>186</v>
      </c>
      <c r="C94" s="237">
        <f>('GREET IO'!$D$125*D$20*('GREET IO'!$F137+'GREET IO'!$B159)+'GREET IO'!$D$126*D$21*('GREET IO'!$G137+'GREET IO'!$B159)+'GREET IO'!$B$125/$C$35*E$20*('GREET IO'!$B137+'GREET IO'!$B159)+'GREET IO'!$B$126/$C$35*E$21*('GREET IO'!$C137+'GREET IO'!$B159)+'GREET IO'!$C$125/$C$36*F$20*('GREET IO'!$D137+'GREET IO'!$B159)+'GREET IO'!$C$126/$C$36*F$21*('GREET IO'!$E137+'GREET IO'!$B159)+'GREET IO'!$E$125*G$20*('GREET IO'!$H137+'GREET IO'!$C159)+'GREET IO'!$E$126*G$21*('GREET IO'!$I137+'GREET IO'!$C159)+'GREET IO'!$F$125*H$20*('GREET IO'!$J137+'GREET IO'!$C159)+'GREET IO'!$F$126*H$21*('GREET IO'!$K137+'GREET IO'!$C159))/1000000*$C$61*$F$70</f>
        <v>0</v>
      </c>
      <c r="D94" s="178">
        <f>('GREET IO'!$D$125*D$22*('GREET IO'!$F137+'GREET IO'!$B159)+'GREET IO'!$D$126*D$23*('GREET IO'!$G137+'GREET IO'!$B159)+'GREET IO'!$B$125/$C$35*E$22*('GREET IO'!$B137+'GREET IO'!$B159)+'GREET IO'!$B$126/$C$35*E$23*('GREET IO'!$C137+'GREET IO'!$B159)+'GREET IO'!$C$125/$C$36*F$22*('GREET IO'!$D137+'GREET IO'!$B159)+'GREET IO'!$C$126/$C$36*F$23*('GREET IO'!$E137+'GREET IO'!$B159)+'GREET IO'!$E$125*G$22*('GREET IO'!$H137+'GREET IO'!$C159)+'GREET IO'!$E$126*G$23*('GREET IO'!$I137+'GREET IO'!$C159)+'GREET IO'!$F$125*H$22*('GREET IO'!$J137+'GREET IO'!$C159)+'GREET IO'!$F$126*H$23*('GREET IO'!$K137+'GREET IO'!$C159))/1000000*$C$62*$F$70</f>
        <v>0</v>
      </c>
      <c r="E94" s="178">
        <f>('GREET IO'!$D$125*D$24*('GREET IO'!$F137+'GREET IO'!$B159)+'GREET IO'!$D$126*D$25*('GREET IO'!$G137+'GREET IO'!$B159)+'GREET IO'!$B$125/$C$35*E$24*('GREET IO'!$B137+'GREET IO'!$B159)+'GREET IO'!$B$126/$C$35*E$25*('GREET IO'!$C137+'GREET IO'!$B159)+'GREET IO'!$C$125/$C$36*F$24*('GREET IO'!$D137+'GREET IO'!$B159)+'GREET IO'!$C$126/$C$36*F$25*('GREET IO'!$E137+'GREET IO'!$B159)+'GREET IO'!$E$125*G$24*('GREET IO'!$H137+'GREET IO'!$C159)+'GREET IO'!$E$126*G$25*('GREET IO'!$I137+'GREET IO'!$C159)+'GREET IO'!$F$125*H$24*('GREET IO'!$J137+'GREET IO'!$C159)+'GREET IO'!$F$126*H$25*('GREET IO'!$K137+'GREET IO'!$C159))/1000000*$C$63*$F$70</f>
        <v>4.4363136889900324E-4</v>
      </c>
      <c r="F94" s="178">
        <f>('GREET IO'!$D$125*D$26*('GREET IO'!$F137+'GREET IO'!$B159)+'GREET IO'!$D$126*D$27*('GREET IO'!$G137+'GREET IO'!$B159)+'GREET IO'!$B$125/$C$35*E$26*('GREET IO'!$B137+'GREET IO'!$B159)+'GREET IO'!$B$126/$C$35*E$27*('GREET IO'!$C137+'GREET IO'!$B159)+'GREET IO'!$C$125/$C$36*F$26*('GREET IO'!$D137+'GREET IO'!$B159)+'GREET IO'!$C$126/$C$36*F$27*('GREET IO'!$E137+'GREET IO'!$B159)+'GREET IO'!$E$125*G$26*('GREET IO'!$H137+'GREET IO'!$C159)+'GREET IO'!$E$126*G$27*('GREET IO'!$I137+'GREET IO'!$C159)+'GREET IO'!$F$125*H$26*('GREET IO'!$J137+'GREET IO'!$C159)+'GREET IO'!$F$126*H$27*('GREET IO'!$K137+'GREET IO'!$C159))/1000000*$C$64*$F$70</f>
        <v>0</v>
      </c>
      <c r="G94" s="178">
        <f>('GREET IO'!$D$125*D$28*('GREET IO'!$F137+'GREET IO'!$B159)+'GREET IO'!$D$126*D$29*('GREET IO'!$G137+'GREET IO'!$B159)+'GREET IO'!$B$125/$C$35*E$28*('GREET IO'!$B137+'GREET IO'!$B159)+'GREET IO'!$B$126/$C$35*E$29*('GREET IO'!$C137+'GREET IO'!$B159)+'GREET IO'!$C$125/$C$36*F$28*('GREET IO'!$D137+'GREET IO'!$B159)+'GREET IO'!$C$126/$C$36*F$29*('GREET IO'!$E137+'GREET IO'!$B159)+'GREET IO'!$E$125*G$28*('GREET IO'!$H137+'GREET IO'!$C159)+'GREET IO'!$E$126*G$29*('GREET IO'!$I137+'GREET IO'!$C159)+'GREET IO'!$F$125*H$28*('GREET IO'!$J137+'GREET IO'!$C159)+'GREET IO'!$F$126*H$29*('GREET IO'!$K137+'GREET IO'!$C159))/1000000*$C$65*$F$70</f>
        <v>4.3820511808508657E-4</v>
      </c>
      <c r="H94" s="178">
        <f>('GREET IO'!$D$125*D$30*('GREET IO'!$F137+'GREET IO'!$B159)+'GREET IO'!$D$126*D$31*('GREET IO'!$G137+'GREET IO'!$B159)+'GREET IO'!$B$125/$C$35*E$30*('GREET IO'!$B137+'GREET IO'!$B159)+'GREET IO'!$B$126/$C$35*E$31*('GREET IO'!$C137+'GREET IO'!$B159)+'GREET IO'!$C$125/$C$36*F$30*('GREET IO'!$D137+'GREET IO'!$B159)+'GREET IO'!$C$126/$C$36*F$31*('GREET IO'!$E137+'GREET IO'!$B159)+'GREET IO'!$E$125*G$30*('GREET IO'!$H137+'GREET IO'!$C159)+'GREET IO'!$E$126*G$31*('GREET IO'!$I137+'GREET IO'!$C159)+'GREET IO'!$F$125*H$30*('GREET IO'!$J137+'GREET IO'!$C159)+'GREET IO'!$F$126*H$31*('GREET IO'!$K137+'GREET IO'!$C159))/1000000*$C$66*$F$70</f>
        <v>0</v>
      </c>
      <c r="I94" s="179">
        <f t="shared" si="2"/>
        <v>8.8183648698408976E-4</v>
      </c>
    </row>
    <row r="95" spans="2:9">
      <c r="B95" s="147" t="s">
        <v>187</v>
      </c>
      <c r="C95" s="237">
        <f>('GREET IO'!$D$125*D$20*('GREET IO'!$F138+'GREET IO'!$B160)+'GREET IO'!$D$126*D$21*('GREET IO'!$G138+'GREET IO'!$B160)+'GREET IO'!$B$125/$C$35*E$20*('GREET IO'!$B138+'GREET IO'!$B160)+'GREET IO'!$B$126/$C$35*E$21*('GREET IO'!$C138+'GREET IO'!$B160)+'GREET IO'!$C$125/$C$36*F$20*('GREET IO'!$D138+'GREET IO'!$B160)+'GREET IO'!$C$126/$C$36*F$21*('GREET IO'!$E138+'GREET IO'!$B160)+'GREET IO'!$E$125*G$20*('GREET IO'!$H138+'GREET IO'!$C160)+'GREET IO'!$E$126*G$21*('GREET IO'!$I138+'GREET IO'!$C160)+'GREET IO'!$F$125*H$20*('GREET IO'!$J138+'GREET IO'!$C160)+'GREET IO'!$F$126*H$21*('GREET IO'!$K138+'GREET IO'!$C160))/1000000*$C$61*$F$70</f>
        <v>0</v>
      </c>
      <c r="D95" s="178">
        <f>('GREET IO'!$D$125*D$22*('GREET IO'!$F138+'GREET IO'!$B160)+'GREET IO'!$D$126*D$23*('GREET IO'!$G138+'GREET IO'!$B160)+'GREET IO'!$B$125/$C$35*E$22*('GREET IO'!$B138+'GREET IO'!$B160)+'GREET IO'!$B$126/$C$35*E$23*('GREET IO'!$C138+'GREET IO'!$B160)+'GREET IO'!$C$125/$C$36*F$22*('GREET IO'!$D138+'GREET IO'!$B160)+'GREET IO'!$C$126/$C$36*F$23*('GREET IO'!$E138+'GREET IO'!$B160)+'GREET IO'!$E$125*G$22*('GREET IO'!$H138+'GREET IO'!$C160)+'GREET IO'!$E$126*G$23*('GREET IO'!$I138+'GREET IO'!$C160)+'GREET IO'!$F$125*H$22*('GREET IO'!$J138+'GREET IO'!$C160)+'GREET IO'!$F$126*H$23*('GREET IO'!$K138+'GREET IO'!$C160))/1000000*$C$62*$F$70</f>
        <v>0</v>
      </c>
      <c r="E95" s="178">
        <f>('GREET IO'!$D$125*D$24*('GREET IO'!$F138+'GREET IO'!$B160)+'GREET IO'!$D$126*D$25*('GREET IO'!$G138+'GREET IO'!$B160)+'GREET IO'!$B$125/$C$35*E$24*('GREET IO'!$B138+'GREET IO'!$B160)+'GREET IO'!$B$126/$C$35*E$25*('GREET IO'!$C138+'GREET IO'!$B160)+'GREET IO'!$C$125/$C$36*F$24*('GREET IO'!$D138+'GREET IO'!$B160)+'GREET IO'!$C$126/$C$36*F$25*('GREET IO'!$E138+'GREET IO'!$B160)+'GREET IO'!$E$125*G$24*('GREET IO'!$H138+'GREET IO'!$C160)+'GREET IO'!$E$126*G$25*('GREET IO'!$I138+'GREET IO'!$C160)+'GREET IO'!$F$125*H$24*('GREET IO'!$J138+'GREET IO'!$C160)+'GREET IO'!$F$126*H$25*('GREET IO'!$K138+'GREET IO'!$C160))/1000000*$C$63*$F$70</f>
        <v>8.0173184460759325E-4</v>
      </c>
      <c r="F95" s="178">
        <f>('GREET IO'!$D$125*D$26*('GREET IO'!$F138+'GREET IO'!$B160)+'GREET IO'!$D$126*D$27*('GREET IO'!$G138+'GREET IO'!$B160)+'GREET IO'!$B$125/$C$35*E$26*('GREET IO'!$B138+'GREET IO'!$B160)+'GREET IO'!$B$126/$C$35*E$27*('GREET IO'!$C138+'GREET IO'!$B160)+'GREET IO'!$C$125/$C$36*F$26*('GREET IO'!$D138+'GREET IO'!$B160)+'GREET IO'!$C$126/$C$36*F$27*('GREET IO'!$E138+'GREET IO'!$B160)+'GREET IO'!$E$125*G$26*('GREET IO'!$H138+'GREET IO'!$C160)+'GREET IO'!$E$126*G$27*('GREET IO'!$I138+'GREET IO'!$C160)+'GREET IO'!$F$125*H$26*('GREET IO'!$J138+'GREET IO'!$C160)+'GREET IO'!$F$126*H$27*('GREET IO'!$K138+'GREET IO'!$C160))/1000000*$C$64*$F$70</f>
        <v>0</v>
      </c>
      <c r="G95" s="178">
        <f>('GREET IO'!$D$125*D$28*('GREET IO'!$F138+'GREET IO'!$B160)+'GREET IO'!$D$126*D$29*('GREET IO'!$G138+'GREET IO'!$B160)+'GREET IO'!$B$125/$C$35*E$28*('GREET IO'!$B138+'GREET IO'!$B160)+'GREET IO'!$B$126/$C$35*E$29*('GREET IO'!$C138+'GREET IO'!$B160)+'GREET IO'!$C$125/$C$36*F$28*('GREET IO'!$D138+'GREET IO'!$B160)+'GREET IO'!$C$126/$C$36*F$29*('GREET IO'!$E138+'GREET IO'!$B160)+'GREET IO'!$E$125*G$28*('GREET IO'!$H138+'GREET IO'!$C160)+'GREET IO'!$E$126*G$29*('GREET IO'!$I138+'GREET IO'!$C160)+'GREET IO'!$F$125*H$28*('GREET IO'!$J138+'GREET IO'!$C160)+'GREET IO'!$F$126*H$29*('GREET IO'!$K138+'GREET IO'!$C160))/1000000*$C$65*$F$70</f>
        <v>7.919255090341156E-4</v>
      </c>
      <c r="H95" s="178">
        <f>('GREET IO'!$D$125*D$30*('GREET IO'!$F138+'GREET IO'!$B160)+'GREET IO'!$D$126*D$31*('GREET IO'!$G138+'GREET IO'!$B160)+'GREET IO'!$B$125/$C$35*E$30*('GREET IO'!$B138+'GREET IO'!$B160)+'GREET IO'!$B$126/$C$35*E$31*('GREET IO'!$C138+'GREET IO'!$B160)+'GREET IO'!$C$125/$C$36*F$30*('GREET IO'!$D138+'GREET IO'!$B160)+'GREET IO'!$C$126/$C$36*F$31*('GREET IO'!$E138+'GREET IO'!$B160)+'GREET IO'!$E$125*G$30*('GREET IO'!$H138+'GREET IO'!$C160)+'GREET IO'!$E$126*G$31*('GREET IO'!$I138+'GREET IO'!$C160)+'GREET IO'!$F$125*H$30*('GREET IO'!$J138+'GREET IO'!$C160)+'GREET IO'!$F$126*H$31*('GREET IO'!$K138+'GREET IO'!$C160))/1000000*$C$66*$F$70</f>
        <v>0</v>
      </c>
      <c r="I95" s="179">
        <f t="shared" si="2"/>
        <v>1.5936573536417089E-3</v>
      </c>
    </row>
    <row r="96" spans="2:9">
      <c r="B96" s="147" t="s">
        <v>188</v>
      </c>
      <c r="C96" s="237">
        <f>('GREET IO'!$D$125*D$20*('GREET IO'!$F139+'GREET IO'!$B161)+'GREET IO'!$D$126*D$21*('GREET IO'!$G139+'GREET IO'!$B161)+'GREET IO'!$B$125/$C$35*E$20*('GREET IO'!$B139+'GREET IO'!$B161)+'GREET IO'!$B$126/$C$35*E$21*('GREET IO'!$C139+'GREET IO'!$B161)+'GREET IO'!$C$125/$C$36*F$20*('GREET IO'!$D139+'GREET IO'!$B161)+'GREET IO'!$C$126/$C$36*F$21*('GREET IO'!$E139+'GREET IO'!$B161)+'GREET IO'!$E$125*G$20*('GREET IO'!$H139+'GREET IO'!$C161)+'GREET IO'!$E$126*G$21*('GREET IO'!$I139+'GREET IO'!$C161)+'GREET IO'!$F$125*H$20*('GREET IO'!$J139+'GREET IO'!$C161)+'GREET IO'!$F$126*H$21*('GREET IO'!$K139+'GREET IO'!$C161))/1000000*$C$61*$F$70</f>
        <v>0</v>
      </c>
      <c r="D96" s="178">
        <f>('GREET IO'!$D$125*D$22*('GREET IO'!$F139+'GREET IO'!$B161)+'GREET IO'!$D$126*D$23*('GREET IO'!$G139+'GREET IO'!$B161)+'GREET IO'!$B$125/$C$35*E$22*('GREET IO'!$B139+'GREET IO'!$B161)+'GREET IO'!$B$126/$C$35*E$23*('GREET IO'!$C139+'GREET IO'!$B161)+'GREET IO'!$C$125/$C$36*F$22*('GREET IO'!$D139+'GREET IO'!$B161)+'GREET IO'!$C$126/$C$36*F$23*('GREET IO'!$E139+'GREET IO'!$B161)+'GREET IO'!$E$125*G$22*('GREET IO'!$H139+'GREET IO'!$C161)+'GREET IO'!$E$126*G$23*('GREET IO'!$I139+'GREET IO'!$C161)+'GREET IO'!$F$125*H$22*('GREET IO'!$J139+'GREET IO'!$C161)+'GREET IO'!$F$126*H$23*('GREET IO'!$K139+'GREET IO'!$C161))/1000000*$C$62*$F$70</f>
        <v>0</v>
      </c>
      <c r="E96" s="178">
        <f>('GREET IO'!$D$125*D$24*('GREET IO'!$F139+'GREET IO'!$B161)+'GREET IO'!$D$126*D$25*('GREET IO'!$G139+'GREET IO'!$B161)+'GREET IO'!$B$125/$C$35*E$24*('GREET IO'!$B139+'GREET IO'!$B161)+'GREET IO'!$B$126/$C$35*E$25*('GREET IO'!$C139+'GREET IO'!$B161)+'GREET IO'!$C$125/$C$36*F$24*('GREET IO'!$D139+'GREET IO'!$B161)+'GREET IO'!$C$126/$C$36*F$25*('GREET IO'!$E139+'GREET IO'!$B161)+'GREET IO'!$E$125*G$24*('GREET IO'!$H139+'GREET IO'!$C161)+'GREET IO'!$E$126*G$25*('GREET IO'!$I139+'GREET IO'!$C161)+'GREET IO'!$F$125*H$24*('GREET IO'!$J139+'GREET IO'!$C161)+'GREET IO'!$F$126*H$25*('GREET IO'!$K139+'GREET IO'!$C161))/1000000*$C$63*$F$70</f>
        <v>0.24408388160573249</v>
      </c>
      <c r="F96" s="178">
        <f>('GREET IO'!$D$125*D$26*('GREET IO'!$F139+'GREET IO'!$B161)+'GREET IO'!$D$126*D$27*('GREET IO'!$G139+'GREET IO'!$B161)+'GREET IO'!$B$125/$C$35*E$26*('GREET IO'!$B139+'GREET IO'!$B161)+'GREET IO'!$B$126/$C$35*E$27*('GREET IO'!$C139+'GREET IO'!$B161)+'GREET IO'!$C$125/$C$36*F$26*('GREET IO'!$D139+'GREET IO'!$B161)+'GREET IO'!$C$126/$C$36*F$27*('GREET IO'!$E139+'GREET IO'!$B161)+'GREET IO'!$E$125*G$26*('GREET IO'!$H139+'GREET IO'!$C161)+'GREET IO'!$E$126*G$27*('GREET IO'!$I139+'GREET IO'!$C161)+'GREET IO'!$F$125*H$26*('GREET IO'!$J139+'GREET IO'!$C161)+'GREET IO'!$F$126*H$27*('GREET IO'!$K139+'GREET IO'!$C161))/1000000*$C$64*$F$70</f>
        <v>0</v>
      </c>
      <c r="G96" s="178">
        <f>('GREET IO'!$D$125*D$28*('GREET IO'!$F139+'GREET IO'!$B161)+'GREET IO'!$D$126*D$29*('GREET IO'!$G139+'GREET IO'!$B161)+'GREET IO'!$B$125/$C$35*E$28*('GREET IO'!$B139+'GREET IO'!$B161)+'GREET IO'!$B$126/$C$35*E$29*('GREET IO'!$C139+'GREET IO'!$B161)+'GREET IO'!$C$125/$C$36*F$28*('GREET IO'!$D139+'GREET IO'!$B161)+'GREET IO'!$C$126/$C$36*F$29*('GREET IO'!$E139+'GREET IO'!$B161)+'GREET IO'!$E$125*G$28*('GREET IO'!$H139+'GREET IO'!$C161)+'GREET IO'!$E$126*G$29*('GREET IO'!$I139+'GREET IO'!$C161)+'GREET IO'!$F$125*H$28*('GREET IO'!$J139+'GREET IO'!$C161)+'GREET IO'!$F$126*H$29*('GREET IO'!$K139+'GREET IO'!$C161))/1000000*$C$65*$F$70</f>
        <v>0.24109838406412701</v>
      </c>
      <c r="H96" s="178">
        <f>('GREET IO'!$D$125*D$30*('GREET IO'!$F139+'GREET IO'!$B161)+'GREET IO'!$D$126*D$31*('GREET IO'!$G139+'GREET IO'!$B161)+'GREET IO'!$B$125/$C$35*E$30*('GREET IO'!$B139+'GREET IO'!$B161)+'GREET IO'!$B$126/$C$35*E$31*('GREET IO'!$C139+'GREET IO'!$B161)+'GREET IO'!$C$125/$C$36*F$30*('GREET IO'!$D139+'GREET IO'!$B161)+'GREET IO'!$C$126/$C$36*F$31*('GREET IO'!$E139+'GREET IO'!$B161)+'GREET IO'!$E$125*G$30*('GREET IO'!$H139+'GREET IO'!$C161)+'GREET IO'!$E$126*G$31*('GREET IO'!$I139+'GREET IO'!$C161)+'GREET IO'!$F$125*H$30*('GREET IO'!$J139+'GREET IO'!$C161)+'GREET IO'!$F$126*H$31*('GREET IO'!$K139+'GREET IO'!$C161))/1000000*$C$66*$F$70</f>
        <v>0</v>
      </c>
      <c r="I96" s="179">
        <f t="shared" si="2"/>
        <v>0.4851822656698595</v>
      </c>
    </row>
    <row r="97" spans="2:9">
      <c r="B97" s="147" t="s">
        <v>189</v>
      </c>
      <c r="C97" s="237">
        <f>('GREET IO'!$D$125*D$20*('GREET IO'!$F140+'GREET IO'!$B162)+'GREET IO'!$D$126*D$21*('GREET IO'!$G140+'GREET IO'!$B162)+'GREET IO'!$B$125/$C$35*E$20*('GREET IO'!$B140+'GREET IO'!$B162)+'GREET IO'!$B$126/$C$35*E$21*('GREET IO'!$C140+'GREET IO'!$B162)+'GREET IO'!$C$125/$C$36*F$20*('GREET IO'!$D140+'GREET IO'!$B162)+'GREET IO'!$C$126/$C$36*F$21*('GREET IO'!$E140+'GREET IO'!$B162)+'GREET IO'!$E$125*G$20*('GREET IO'!$H140+'GREET IO'!$C162)+'GREET IO'!$E$126*G$21*('GREET IO'!$I140+'GREET IO'!$C162)+'GREET IO'!$F$125*H$20*('GREET IO'!$J140+'GREET IO'!$C162)+'GREET IO'!$F$126*H$21*('GREET IO'!$K140+'GREET IO'!$C162))/1000000*$C$61*$F$70</f>
        <v>0</v>
      </c>
      <c r="D97" s="178">
        <f>('GREET IO'!$D$125*D$22*('GREET IO'!$F140+'GREET IO'!$B162)+'GREET IO'!$D$126*D$23*('GREET IO'!$G140+'GREET IO'!$B162)+'GREET IO'!$B$125/$C$35*E$22*('GREET IO'!$B140+'GREET IO'!$B162)+'GREET IO'!$B$126/$C$35*E$23*('GREET IO'!$C140+'GREET IO'!$B162)+'GREET IO'!$C$125/$C$36*F$22*('GREET IO'!$D140+'GREET IO'!$B162)+'GREET IO'!$C$126/$C$36*F$23*('GREET IO'!$E140+'GREET IO'!$B162)+'GREET IO'!$E$125*G$22*('GREET IO'!$H140+'GREET IO'!$C162)+'GREET IO'!$E$126*G$23*('GREET IO'!$I140+'GREET IO'!$C162)+'GREET IO'!$F$125*H$22*('GREET IO'!$J140+'GREET IO'!$C162)+'GREET IO'!$F$126*H$23*('GREET IO'!$K140+'GREET IO'!$C162))/1000000*$C$62*$F$70</f>
        <v>0</v>
      </c>
      <c r="E97" s="178">
        <f>('GREET IO'!$D$125*D$24*('GREET IO'!$F140+'GREET IO'!$B162)+'GREET IO'!$D$126*D$25*('GREET IO'!$G140+'GREET IO'!$B162)+'GREET IO'!$B$125/$C$35*E$24*('GREET IO'!$B140+'GREET IO'!$B162)+'GREET IO'!$B$126/$C$35*E$25*('GREET IO'!$C140+'GREET IO'!$B162)+'GREET IO'!$C$125/$C$36*F$24*('GREET IO'!$D140+'GREET IO'!$B162)+'GREET IO'!$C$126/$C$36*F$25*('GREET IO'!$E140+'GREET IO'!$B162)+'GREET IO'!$E$125*G$24*('GREET IO'!$H140+'GREET IO'!$C162)+'GREET IO'!$E$126*G$25*('GREET IO'!$I140+'GREET IO'!$C162)+'GREET IO'!$F$125*H$24*('GREET IO'!$J140+'GREET IO'!$C162)+'GREET IO'!$F$126*H$25*('GREET IO'!$K140+'GREET IO'!$C162))/1000000*$C$63*$F$70</f>
        <v>7.6101413698906458E-4</v>
      </c>
      <c r="F97" s="178">
        <f>('GREET IO'!$D$125*D$26*('GREET IO'!$F140+'GREET IO'!$B162)+'GREET IO'!$D$126*D$27*('GREET IO'!$G140+'GREET IO'!$B162)+'GREET IO'!$B$125/$C$35*E$26*('GREET IO'!$B140+'GREET IO'!$B162)+'GREET IO'!$B$126/$C$35*E$27*('GREET IO'!$C140+'GREET IO'!$B162)+'GREET IO'!$C$125/$C$36*F$26*('GREET IO'!$D140+'GREET IO'!$B162)+'GREET IO'!$C$126/$C$36*F$27*('GREET IO'!$E140+'GREET IO'!$B162)+'GREET IO'!$E$125*G$26*('GREET IO'!$H140+'GREET IO'!$C162)+'GREET IO'!$E$126*G$27*('GREET IO'!$I140+'GREET IO'!$C162)+'GREET IO'!$F$125*H$26*('GREET IO'!$J140+'GREET IO'!$C162)+'GREET IO'!$F$126*H$27*('GREET IO'!$K140+'GREET IO'!$C162))/1000000*$C$64*$F$70</f>
        <v>0</v>
      </c>
      <c r="G97" s="178">
        <f>('GREET IO'!$D$125*D$28*('GREET IO'!$F140+'GREET IO'!$B162)+'GREET IO'!$D$126*D$29*('GREET IO'!$G140+'GREET IO'!$B162)+'GREET IO'!$B$125/$C$35*E$28*('GREET IO'!$B140+'GREET IO'!$B162)+'GREET IO'!$B$126/$C$35*E$29*('GREET IO'!$C140+'GREET IO'!$B162)+'GREET IO'!$C$125/$C$36*F$28*('GREET IO'!$D140+'GREET IO'!$B162)+'GREET IO'!$C$126/$C$36*F$29*('GREET IO'!$E140+'GREET IO'!$B162)+'GREET IO'!$E$125*G$28*('GREET IO'!$H140+'GREET IO'!$C162)+'GREET IO'!$E$126*G$29*('GREET IO'!$I140+'GREET IO'!$C162)+'GREET IO'!$F$125*H$28*('GREET IO'!$J140+'GREET IO'!$C162)+'GREET IO'!$F$126*H$29*('GREET IO'!$K140+'GREET IO'!$C162))/1000000*$C$65*$F$70</f>
        <v>7.5170583764475214E-4</v>
      </c>
      <c r="H97" s="178">
        <f>('GREET IO'!$D$125*D$30*('GREET IO'!$F140+'GREET IO'!$B162)+'GREET IO'!$D$126*D$31*('GREET IO'!$G140+'GREET IO'!$B162)+'GREET IO'!$B$125/$C$35*E$30*('GREET IO'!$B140+'GREET IO'!$B162)+'GREET IO'!$B$126/$C$35*E$31*('GREET IO'!$C140+'GREET IO'!$B162)+'GREET IO'!$C$125/$C$36*F$30*('GREET IO'!$D140+'GREET IO'!$B162)+'GREET IO'!$C$126/$C$36*F$31*('GREET IO'!$E140+'GREET IO'!$B162)+'GREET IO'!$E$125*G$30*('GREET IO'!$H140+'GREET IO'!$C162)+'GREET IO'!$E$126*G$31*('GREET IO'!$I140+'GREET IO'!$C162)+'GREET IO'!$F$125*H$30*('GREET IO'!$J140+'GREET IO'!$C162)+'GREET IO'!$F$126*H$31*('GREET IO'!$K140+'GREET IO'!$C162))/1000000*$C$66*$F$70</f>
        <v>0</v>
      </c>
      <c r="I97" s="179">
        <f t="shared" si="2"/>
        <v>1.5127199746338168E-3</v>
      </c>
    </row>
    <row r="98" spans="2:9">
      <c r="B98" s="147" t="s">
        <v>190</v>
      </c>
      <c r="C98" s="202">
        <f>('GREET IO'!$D$125*D$20*('GREET IO'!$F141+'GREET IO'!$B163)+'GREET IO'!$D$126*D$21*('GREET IO'!$G141+'GREET IO'!$B163)+'GREET IO'!$B$125/$C$35*E$20*('GREET IO'!$B141+'GREET IO'!$B163)+'GREET IO'!$B$126/$C$35*E$21*('GREET IO'!$C141+'GREET IO'!$B163)+'GREET IO'!$C$125/$C$36*F$20*('GREET IO'!$D141+'GREET IO'!$B163)+'GREET IO'!$C$126/$C$36*F$21*('GREET IO'!$E141+'GREET IO'!$B163)+'GREET IO'!$E$125*G$20*('GREET IO'!$H141+'GREET IO'!$C163)+'GREET IO'!$E$126*G$21*('GREET IO'!$I141+'GREET IO'!$C163)+'GREET IO'!$F$125*H$20*('GREET IO'!$J141+'GREET IO'!$C163)+'GREET IO'!$F$126*H$21*('GREET IO'!$K141+'GREET IO'!$C163))/1000000*$C$61*$F$70</f>
        <v>0</v>
      </c>
      <c r="D98" s="203">
        <f>('GREET IO'!$D$125*D$22*('GREET IO'!$F141+'GREET IO'!$B163)+'GREET IO'!$D$126*D$23*('GREET IO'!$G141+'GREET IO'!$B163)+'GREET IO'!$B$125/$C$35*E$22*('GREET IO'!$B141+'GREET IO'!$B163)+'GREET IO'!$B$126/$C$35*E$23*('GREET IO'!$C141+'GREET IO'!$B163)+'GREET IO'!$C$125/$C$36*F$22*('GREET IO'!$D141+'GREET IO'!$B163)+'GREET IO'!$C$126/$C$36*F$23*('GREET IO'!$E141+'GREET IO'!$B163)+'GREET IO'!$E$125*G$22*('GREET IO'!$H141+'GREET IO'!$C163)+'GREET IO'!$E$126*G$23*('GREET IO'!$I141+'GREET IO'!$C163)+'GREET IO'!$F$125*H$22*('GREET IO'!$J141+'GREET IO'!$C163)+'GREET IO'!$F$126*H$23*('GREET IO'!$K141+'GREET IO'!$C163))/1000000*$C$62*$F$70</f>
        <v>0</v>
      </c>
      <c r="E98" s="203">
        <f>('GREET IO'!$D$125*D$24*('GREET IO'!$F141+'GREET IO'!$B163)+'GREET IO'!$D$126*D$25*('GREET IO'!$G141+'GREET IO'!$B163)+'GREET IO'!$B$125/$C$35*E$24*('GREET IO'!$B141+'GREET IO'!$B163)+'GREET IO'!$B$126/$C$35*E$25*('GREET IO'!$C141+'GREET IO'!$B163)+'GREET IO'!$C$125/$C$36*F$24*('GREET IO'!$D141+'GREET IO'!$B163)+'GREET IO'!$C$126/$C$36*F$25*('GREET IO'!$E141+'GREET IO'!$B163)+'GREET IO'!$E$125*G$24*('GREET IO'!$H141+'GREET IO'!$C163)+'GREET IO'!$E$126*G$25*('GREET IO'!$I141+'GREET IO'!$C163)+'GREET IO'!$F$125*H$24*('GREET IO'!$J141+'GREET IO'!$C163)+'GREET IO'!$F$126*H$25*('GREET IO'!$K141+'GREET IO'!$C163))/1000000*$C$63*$F$70</f>
        <v>197.55672293766898</v>
      </c>
      <c r="F98" s="203">
        <f>('GREET IO'!$D$125*D$26*('GREET IO'!$F141+'GREET IO'!$B163)+'GREET IO'!$D$126*D$27*('GREET IO'!$G141+'GREET IO'!$B163)+'GREET IO'!$B$125/$C$35*E$26*('GREET IO'!$B141+'GREET IO'!$B163)+'GREET IO'!$B$126/$C$35*E$27*('GREET IO'!$C141+'GREET IO'!$B163)+'GREET IO'!$C$125/$C$36*F$26*('GREET IO'!$D141+'GREET IO'!$B163)+'GREET IO'!$C$126/$C$36*F$27*('GREET IO'!$E141+'GREET IO'!$B163)+'GREET IO'!$E$125*G$26*('GREET IO'!$H141+'GREET IO'!$C163)+'GREET IO'!$E$126*G$27*('GREET IO'!$I141+'GREET IO'!$C163)+'GREET IO'!$F$125*H$26*('GREET IO'!$J141+'GREET IO'!$C163)+'GREET IO'!$F$126*H$27*('GREET IO'!$K141+'GREET IO'!$C163))/1000000*$C$64*$F$70</f>
        <v>0</v>
      </c>
      <c r="G98" s="203">
        <f>('GREET IO'!$D$125*D$28*('GREET IO'!$F141+'GREET IO'!$B163)+'GREET IO'!$D$126*D$29*('GREET IO'!$G141+'GREET IO'!$B163)+'GREET IO'!$B$125/$C$35*E$28*('GREET IO'!$B141+'GREET IO'!$B163)+'GREET IO'!$B$126/$C$35*E$29*('GREET IO'!$C141+'GREET IO'!$B163)+'GREET IO'!$C$125/$C$36*F$28*('GREET IO'!$D141+'GREET IO'!$B163)+'GREET IO'!$C$126/$C$36*F$29*('GREET IO'!$E141+'GREET IO'!$B163)+'GREET IO'!$E$125*G$28*('GREET IO'!$H141+'GREET IO'!$C163)+'GREET IO'!$E$126*G$29*('GREET IO'!$I141+'GREET IO'!$C163)+'GREET IO'!$F$125*H$28*('GREET IO'!$J141+'GREET IO'!$C163)+'GREET IO'!$F$126*H$29*('GREET IO'!$K141+'GREET IO'!$C163))/1000000*$C$65*$F$70</f>
        <v>195.14031958166714</v>
      </c>
      <c r="H98" s="203">
        <f>('GREET IO'!$D$125*D$30*('GREET IO'!$F141+'GREET IO'!$B163)+'GREET IO'!$D$126*D$31*('GREET IO'!$G141+'GREET IO'!$B163)+'GREET IO'!$B$125/$C$35*E$30*('GREET IO'!$B141+'GREET IO'!$B163)+'GREET IO'!$B$126/$C$35*E$31*('GREET IO'!$C141+'GREET IO'!$B163)+'GREET IO'!$C$125/$C$36*F$30*('GREET IO'!$D141+'GREET IO'!$B163)+'GREET IO'!$C$126/$C$36*F$31*('GREET IO'!$E141+'GREET IO'!$B163)+'GREET IO'!$E$125*G$30*('GREET IO'!$H141+'GREET IO'!$C163)+'GREET IO'!$E$126*G$31*('GREET IO'!$I141+'GREET IO'!$C163)+'GREET IO'!$F$125*H$30*('GREET IO'!$J141+'GREET IO'!$C163)+'GREET IO'!$F$126*H$31*('GREET IO'!$K141+'GREET IO'!$C163))/1000000*$C$66*$F$70</f>
        <v>0</v>
      </c>
      <c r="I98" s="186">
        <f t="shared" si="2"/>
        <v>392.69704251933615</v>
      </c>
    </row>
    <row r="99" spans="2:9">
      <c r="B99" s="147" t="s">
        <v>198</v>
      </c>
      <c r="C99" s="202">
        <f>C$98+C$88*'GREET IO'!$B$118/'GREET IO'!$B$120+C$89*'GREET IO'!$B$119/'GREET IO'!$B$120</f>
        <v>0</v>
      </c>
      <c r="D99" s="203">
        <f>D$98+D$88*'GREET IO'!$B$118/'GREET IO'!$B$120+D$89*'GREET IO'!$B$119/'GREET IO'!$B$120</f>
        <v>0</v>
      </c>
      <c r="E99" s="203">
        <f>E$98+E$88*'GREET IO'!$B$118/'GREET IO'!$B$120+E$89*'GREET IO'!$B$119/'GREET IO'!$B$120</f>
        <v>198.2402475935769</v>
      </c>
      <c r="F99" s="203">
        <f>F$98+F$88*'GREET IO'!$B$118/'GREET IO'!$B$120+F$89*'GREET IO'!$B$119/'GREET IO'!$B$120</f>
        <v>0</v>
      </c>
      <c r="G99" s="203">
        <f>G$98+G$88*'GREET IO'!$B$118/'GREET IO'!$B$120+G$89*'GREET IO'!$B$119/'GREET IO'!$B$120</f>
        <v>195.81548374622918</v>
      </c>
      <c r="H99" s="203">
        <f>H$98+H$88*'GREET IO'!$B$118/'GREET IO'!$B$120+H$89*'GREET IO'!$B$119/'GREET IO'!$B$120</f>
        <v>0</v>
      </c>
      <c r="I99" s="186">
        <f t="shared" si="2"/>
        <v>394.05573133980607</v>
      </c>
    </row>
    <row r="100" spans="2:9">
      <c r="B100" s="149" t="s">
        <v>199</v>
      </c>
      <c r="C100" s="205">
        <f>C$99+SUMPRODUCT(C$96:C$97,'GREET IO'!$B$114:$B$115)</f>
        <v>0</v>
      </c>
      <c r="D100" s="188">
        <f>D$99+SUMPRODUCT(D$96:D$97,'GREET IO'!$B$114:$B$115)</f>
        <v>0</v>
      </c>
      <c r="E100" s="188">
        <f>E$99+SUMPRODUCT(E$96:E$97,'GREET IO'!$B$114:$B$115)</f>
        <v>205.72170412482575</v>
      </c>
      <c r="F100" s="188">
        <f>F$99+SUMPRODUCT(F$96:F$97,'GREET IO'!$B$114:$B$115)</f>
        <v>0</v>
      </c>
      <c r="G100" s="188">
        <f>G$99+SUMPRODUCT(G$96:G$97,'GREET IO'!$B$114:$B$115)</f>
        <v>203.20543128501717</v>
      </c>
      <c r="H100" s="188">
        <f>H$99+SUMPRODUCT(H$96:H$97,'GREET IO'!$B$114:$B$115)</f>
        <v>0</v>
      </c>
      <c r="I100" s="189">
        <f t="shared" si="2"/>
        <v>408.92713540984289</v>
      </c>
    </row>
    <row r="101" spans="2:9">
      <c r="D101" s="1660"/>
    </row>
  </sheetData>
  <mergeCells count="4">
    <mergeCell ref="C44:E44"/>
    <mergeCell ref="F44:H44"/>
    <mergeCell ref="C48:E48"/>
    <mergeCell ref="F48:H48"/>
  </mergeCells>
  <phoneticPr fontId="153" type="noConversion"/>
  <dataValidations count="1">
    <dataValidation type="list" allowBlank="1" showInputMessage="1" showErrorMessage="1" sqref="C53:C58" xr:uid="{00000000-0002-0000-0500-000000000000}">
      <formula1>YorN</formula1>
    </dataValidation>
  </dataValidations>
  <pageMargins left="0.7" right="0.7" top="0.75" bottom="0.75" header="0.3" footer="0.3"/>
  <pageSetup orientation="portrait" verticalDpi="0"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8F5D8A-7077-3747-8082-BB5F292F1AA4}">
  <sheetPr codeName="Sheet11">
    <tabColor rgb="FFFFFF00"/>
  </sheetPr>
  <dimension ref="B1:AK92"/>
  <sheetViews>
    <sheetView topLeftCell="A40" workbookViewId="0">
      <selection activeCell="J12" sqref="J12"/>
    </sheetView>
  </sheetViews>
  <sheetFormatPr defaultColWidth="11.4140625" defaultRowHeight="14"/>
  <cols>
    <col min="2" max="2" width="33.75" customWidth="1"/>
    <col min="3" max="3" width="18.25" bestFit="1" customWidth="1"/>
    <col min="4" max="4" width="19.83203125" customWidth="1"/>
    <col min="5" max="5" width="16" customWidth="1"/>
    <col min="27" max="27" width="12.25" customWidth="1"/>
  </cols>
  <sheetData>
    <row r="1" spans="2:37" s="111" customFormat="1">
      <c r="B1"/>
    </row>
    <row r="2" spans="2:37" s="111" customFormat="1">
      <c r="B2"/>
      <c r="AC2" s="1282"/>
      <c r="AD2" s="1393" t="s">
        <v>1029</v>
      </c>
      <c r="AE2" s="1393" t="s">
        <v>1540</v>
      </c>
      <c r="AF2" s="1393" t="s">
        <v>667</v>
      </c>
      <c r="AG2" s="1393" t="s">
        <v>669</v>
      </c>
      <c r="AH2" s="1393" t="s">
        <v>42</v>
      </c>
      <c r="AI2" s="1393" t="s">
        <v>73</v>
      </c>
      <c r="AJ2" s="1393" t="s">
        <v>148</v>
      </c>
      <c r="AK2" s="1394" t="s">
        <v>149</v>
      </c>
    </row>
    <row r="3" spans="2:37" s="111" customFormat="1">
      <c r="B3"/>
      <c r="AC3" s="1477" t="s">
        <v>1646</v>
      </c>
      <c r="AD3" s="744">
        <v>538.36499136841837</v>
      </c>
      <c r="AE3" s="744">
        <v>518.59901478564188</v>
      </c>
      <c r="AF3" s="744">
        <v>514.78562201988154</v>
      </c>
      <c r="AG3" s="744">
        <v>488.72637525178504</v>
      </c>
      <c r="AH3" s="1041">
        <v>632.22200781603408</v>
      </c>
      <c r="AI3" s="744">
        <v>498.73346004576956</v>
      </c>
      <c r="AJ3" s="744">
        <v>632.22200781603408</v>
      </c>
      <c r="AK3" s="1549">
        <v>648.6303585054485</v>
      </c>
    </row>
    <row r="4" spans="2:37" s="111" customFormat="1">
      <c r="AC4" s="29" t="s">
        <v>1729</v>
      </c>
      <c r="AD4" s="744">
        <v>382.37697119612363</v>
      </c>
      <c r="AE4" s="744">
        <v>364.02467180416659</v>
      </c>
      <c r="AF4" s="744">
        <v>359.93808774789619</v>
      </c>
      <c r="AG4" s="744">
        <v>337.31066118407256</v>
      </c>
      <c r="AH4" s="1041">
        <v>464.38659980236474</v>
      </c>
      <c r="AI4" s="744">
        <v>347.5717411701221</v>
      </c>
      <c r="AJ4" s="744">
        <v>464.38659980236474</v>
      </c>
      <c r="AK4" s="1549">
        <v>472.1065166336561</v>
      </c>
    </row>
    <row r="5" spans="2:37" s="111" customFormat="1">
      <c r="AC5" s="1478" t="s">
        <v>1647</v>
      </c>
      <c r="AD5" s="1479">
        <v>340.95170467256247</v>
      </c>
      <c r="AE5" s="1479">
        <v>323.27228900223901</v>
      </c>
      <c r="AF5" s="1479">
        <v>319.2640800100628</v>
      </c>
      <c r="AG5" s="1479">
        <v>297.64961727448912</v>
      </c>
      <c r="AH5" s="1550">
        <v>419.04041490766701</v>
      </c>
      <c r="AI5" s="1479">
        <v>307.72994169626514</v>
      </c>
      <c r="AJ5" s="1479">
        <v>419.04041490766701</v>
      </c>
      <c r="AK5" s="1480">
        <v>423.81741808590681</v>
      </c>
    </row>
    <row r="7" spans="2:37">
      <c r="B7" s="133" t="s">
        <v>160</v>
      </c>
    </row>
    <row r="8" spans="2:37">
      <c r="B8" s="133" t="s">
        <v>1730</v>
      </c>
    </row>
    <row r="9" spans="2:37">
      <c r="B9" s="1313"/>
      <c r="C9" s="1533" t="s">
        <v>1740</v>
      </c>
      <c r="D9" s="1533" t="s">
        <v>1741</v>
      </c>
      <c r="E9" s="1533" t="s">
        <v>1742</v>
      </c>
      <c r="F9" s="1533" t="s">
        <v>1743</v>
      </c>
      <c r="G9" s="1322" t="s">
        <v>1744</v>
      </c>
    </row>
    <row r="10" spans="2:37" ht="14.5">
      <c r="B10" s="1469" t="s">
        <v>2</v>
      </c>
      <c r="C10" s="1518" t="str">
        <f>IF(OR(Input!D28="End-of-life battery: module",Input!D28="End-of-life battery: cell"),Input!C28,"")</f>
        <v/>
      </c>
      <c r="D10" s="1518" t="str">
        <f>IF(OR(Input!D29="End-of-life battery: module",Input!D29="End-of-life battery: cell"),Input!C29,"")</f>
        <v/>
      </c>
      <c r="E10" s="1518" t="str">
        <f>IF(OR(Input!D30="End-of-life battery: module",Input!D30="End-of-life battery: cell"),Input!C30,"")</f>
        <v/>
      </c>
      <c r="F10" s="1518" t="str">
        <f>IF(OR(Input!D31="End-of-life battery: module",Input!D31="End-of-life battery: cell"),Input!C31,"")</f>
        <v/>
      </c>
      <c r="G10" s="1551" t="str">
        <f>IF(OR(Input!D32="End-of-life battery: module",Input!D32="End-of-life battery: cell"),Input!C32,"")</f>
        <v/>
      </c>
    </row>
    <row r="11" spans="2:37" ht="14.5">
      <c r="B11" s="1106" t="s">
        <v>1731</v>
      </c>
      <c r="C11" s="1552">
        <f>IF(C13="Module",Input!F28/HLOOKUP(C10,$AD$2:$AK$5,3,FALSE)*HLOOKUP(C10,$AD$2:$AK$5,2,FALSE),IF(C13="Cell",Input!F28/HLOOKUP(C10,$AD$2:$AK$5,4,FALSE)*HLOOKUP(C10,$AD$2:$AK$5,2,FALSE),0))</f>
        <v>0</v>
      </c>
      <c r="D11" s="1552">
        <f>IF(D13="Module",Input!F29/HLOOKUP(D10,$AD$2:$AK$5,3,FALSE)*HLOOKUP(D10,$AD$2:$AK$5,2,FALSE),IF(D13="Cell",Input!F29/HLOOKUP(D10,$AD$2:$AK$5,4,FALSE)*HLOOKUP(D10,$AD$2:$AK$5,2,FALSE),0))</f>
        <v>0</v>
      </c>
      <c r="E11" s="1552">
        <f>IF(E13="Module",Input!F30/HLOOKUP(E10,$AD$2:$AK$5,3,FALSE)*HLOOKUP(E10,$AD$2:$AK$5,2,FALSE),IF(E13="Cell",Input!F30/HLOOKUP(E10,$AD$2:$AK$5,4,FALSE)*HLOOKUP(E10,$AD$2:$AK$5,2,FALSE),0))</f>
        <v>0</v>
      </c>
      <c r="F11" s="1552">
        <f>IF(F13="Module",Input!F31/HLOOKUP(F10,$AD$2:$AK$5,3,FALSE)*HLOOKUP(F10,$AD$2:$AK$5,2,FALSE),IF(F13="Cell",Input!F31/HLOOKUP(F10,$AD$2:$AK$5,4,FALSE)*HLOOKUP(F10,$AD$2:$AK$5,2,FALSE),0))</f>
        <v>0</v>
      </c>
      <c r="G11" s="1520">
        <f>IF(G13="Module",Input!F32/HLOOKUP(G10,$AD$2:$AK$5,3,FALSE)*HLOOKUP(G10,$AD$2:$AK$5,2,FALSE),IF(G13="Cell",Input!F32/HLOOKUP(G10,$AD$2:$AK$5,4,FALSE)*HLOOKUP(G10,$AD$2:$AK$5,2,FALSE),0))</f>
        <v>0</v>
      </c>
    </row>
    <row r="12" spans="2:37" ht="14.5">
      <c r="B12" s="1106" t="s">
        <v>1733</v>
      </c>
      <c r="C12" s="1553" t="e">
        <f>C11/SUM($C11:$G11)</f>
        <v>#DIV/0!</v>
      </c>
      <c r="D12" s="1553" t="e">
        <f>D11/SUM($C11:$G11)</f>
        <v>#DIV/0!</v>
      </c>
      <c r="E12" s="1553" t="e">
        <f>E11/SUM($C11:$G11)</f>
        <v>#DIV/0!</v>
      </c>
      <c r="F12" s="1553" t="e">
        <f>F11/SUM($C11:$G11)</f>
        <v>#DIV/0!</v>
      </c>
      <c r="G12" s="1174" t="e">
        <f>G11/SUM($C11:$G11)</f>
        <v>#DIV/0!</v>
      </c>
    </row>
    <row r="13" spans="2:37" ht="14.5">
      <c r="B13" s="1108" t="s">
        <v>1732</v>
      </c>
      <c r="C13" s="1517" t="str">
        <f>IF(Input!D28="End-of-life battery: module","Module",IF(Input!D28="End-of-life battery: cell","Cell",""))</f>
        <v/>
      </c>
      <c r="D13" s="1517" t="str">
        <f>IF(Input!D29="End-of-life battery: module","Module",IF(Input!D29="End-of-life battery: cell","Cell",""))</f>
        <v/>
      </c>
      <c r="E13" s="1517" t="str">
        <f>IF(Input!D30="End-of-life battery: module","Module",IF(Input!D30="End-of-life battery: cell","Cell",""))</f>
        <v/>
      </c>
      <c r="F13" s="1517" t="str">
        <f>IF(Input!D31="End-of-life battery: module","Module",IF(Input!D31="End-of-life battery: cell","Cell",""))</f>
        <v/>
      </c>
      <c r="G13" s="1109" t="str">
        <f>IF(Input!D32="End-of-life battery: module","Module",IF(Input!D32="End-of-life battery: cell","Cell",""))</f>
        <v/>
      </c>
    </row>
    <row r="14" spans="2:37">
      <c r="B14" s="133"/>
    </row>
    <row r="15" spans="2:37">
      <c r="B15" s="133" t="s">
        <v>1547</v>
      </c>
    </row>
    <row r="16" spans="2:37">
      <c r="B16" s="143"/>
      <c r="C16" s="144" t="s">
        <v>51</v>
      </c>
      <c r="D16" s="145" t="s">
        <v>63</v>
      </c>
      <c r="E16" s="146" t="s">
        <v>52</v>
      </c>
    </row>
    <row r="17" spans="2:5">
      <c r="B17" s="147" t="s">
        <v>1548</v>
      </c>
      <c r="C17" s="1288">
        <f>IF(ISNUMBER(E17),E17,D17)</f>
        <v>20</v>
      </c>
      <c r="D17" s="1286">
        <f>'Man Par.'!AD13</f>
        <v>20</v>
      </c>
      <c r="E17" s="1076"/>
    </row>
    <row r="18" spans="2:5">
      <c r="B18" s="147" t="s">
        <v>1549</v>
      </c>
      <c r="C18" s="1358">
        <f>IF(ISNUMBER(E18),E18,D18)</f>
        <v>20</v>
      </c>
      <c r="D18" s="1359">
        <f>'Man Par.'!AD14</f>
        <v>20</v>
      </c>
      <c r="E18" s="1342"/>
    </row>
    <row r="19" spans="2:5">
      <c r="B19" s="147" t="s">
        <v>1605</v>
      </c>
      <c r="C19" s="1340" t="e">
        <f>IF(ISNUMBER(E19),E19,D19)</f>
        <v>#DIV/0!</v>
      </c>
      <c r="D19" s="1341" t="e">
        <f>D20+SUM(D37:D42)+SUM(D45:D50)+(C12*IFERROR(HLOOKUP(C10,'Man Par.'!AD27:AK40,5,FALSE),0)+D12*IFERROR(HLOOKUP(D10,'Man Par.'!AD27:AK40,5,FALSE),0)+E12*IFERROR(HLOOKUP(E10,'Man Par.'!AD27:AK40,5,FALSE),0)+F12*IFERROR(HLOOKUP(F10,'Man Par.'!AD27:AK40,5,FALSE),0)+G12*IFERROR(HLOOKUP(G10,'Man Par.'!AD27:AK40,5,FALSE),0))+(C12*IFERROR(HLOOKUP(C10,'Man Par.'!AD27:AK40,8,FALSE),0)+D12*IFERROR(HLOOKUP(D10,'Man Par.'!AD27:AK40,8,FALSE),0)+E12*IFERROR(HLOOKUP(E10,'Man Par.'!AD27:AK40,8,FALSE),0)+F12*IFERROR(HLOOKUP(F10,'Man Par.'!AD27:AK40,8,FALSE),0)+G12*IFERROR(HLOOKUP(G10,'Man Par.'!AD27:AK40,8,FALSE),0))</f>
        <v>#DIV/0!</v>
      </c>
      <c r="E19" s="1342"/>
    </row>
    <row r="20" spans="2:5">
      <c r="B20" s="1183" t="s">
        <v>1607</v>
      </c>
      <c r="C20" s="1343" t="e">
        <f>IF(ISNUMBER(E20),E20,D20)</f>
        <v>#DIV/0!</v>
      </c>
      <c r="D20" s="1498" t="e">
        <f>(C12*IFERROR(HLOOKUP(C10,'Man Par.'!D14:K16,3,FALSE),0)+D12*IFERROR(HLOOKUP(D10,'Man Par.'!D14:K16,3,FALSE),0)+E12*IFERROR(HLOOKUP(E10,'Man Par.'!D14:K16,3,FALSE),0)+F12*IFERROR(HLOOKUP(F10,'Man Par.'!D14:K16,3,FALSE),0)+G12*IFERROR(HLOOKUP(G10,'Man Par.'!D14:K16,3,FALSE),0))*D17*D18</f>
        <v>#DIV/0!</v>
      </c>
      <c r="E20" s="1345"/>
    </row>
    <row r="21" spans="2:5">
      <c r="B21" s="133"/>
    </row>
    <row r="22" spans="2:5">
      <c r="B22" s="133" t="s">
        <v>1734</v>
      </c>
    </row>
    <row r="23" spans="2:5">
      <c r="B23" s="143"/>
      <c r="C23" s="144" t="s">
        <v>51</v>
      </c>
      <c r="D23" s="144" t="s">
        <v>63</v>
      </c>
      <c r="E23" s="146" t="s">
        <v>52</v>
      </c>
    </row>
    <row r="24" spans="2:5">
      <c r="B24" s="147" t="s">
        <v>1591</v>
      </c>
      <c r="C24" s="1332">
        <f>IF(E24&gt;0,E24,D24)</f>
        <v>0.5</v>
      </c>
      <c r="D24" s="409">
        <v>0.5</v>
      </c>
      <c r="E24" s="1333"/>
    </row>
    <row r="25" spans="2:5">
      <c r="B25" s="147" t="s">
        <v>1592</v>
      </c>
      <c r="C25" s="1334">
        <f>IF(E25&gt;0,E25,D25)</f>
        <v>2</v>
      </c>
      <c r="D25" s="409">
        <v>2</v>
      </c>
      <c r="E25" s="1335"/>
    </row>
    <row r="26" spans="2:5">
      <c r="B26" s="1337" t="s">
        <v>1593</v>
      </c>
      <c r="C26" s="1348">
        <f>IF(E26&gt;0,E26,D26)</f>
        <v>2</v>
      </c>
      <c r="D26" s="1349">
        <v>2</v>
      </c>
      <c r="E26" s="1350"/>
    </row>
    <row r="28" spans="2:5">
      <c r="B28" s="133" t="s">
        <v>1735</v>
      </c>
    </row>
    <row r="29" spans="2:5">
      <c r="B29" s="143"/>
      <c r="C29" s="144" t="s">
        <v>51</v>
      </c>
      <c r="D29" s="144" t="s">
        <v>63</v>
      </c>
      <c r="E29" s="146" t="s">
        <v>52</v>
      </c>
    </row>
    <row r="30" spans="2:5">
      <c r="B30" s="147" t="s">
        <v>1591</v>
      </c>
      <c r="C30" s="605">
        <f>IF(E30&gt;0,E30,D30)</f>
        <v>50</v>
      </c>
      <c r="D30" s="515">
        <v>50</v>
      </c>
      <c r="E30" s="1301"/>
    </row>
    <row r="31" spans="2:5">
      <c r="B31" s="147" t="s">
        <v>1592</v>
      </c>
      <c r="C31" s="1336">
        <f>IF(E31&gt;0,E31,D31)</f>
        <v>50</v>
      </c>
      <c r="D31" s="515">
        <v>50</v>
      </c>
      <c r="E31" s="1302"/>
    </row>
    <row r="32" spans="2:5">
      <c r="B32" s="1337" t="s">
        <v>1593</v>
      </c>
      <c r="C32" s="1338">
        <f>IF(E32&gt;0,E32,D32)</f>
        <v>50</v>
      </c>
      <c r="D32" s="1339">
        <v>50</v>
      </c>
      <c r="E32" s="1303"/>
    </row>
    <row r="34" spans="2:5">
      <c r="B34" s="133" t="s">
        <v>1736</v>
      </c>
    </row>
    <row r="35" spans="2:5">
      <c r="B35" s="111" t="s">
        <v>1737</v>
      </c>
      <c r="D35" s="744"/>
    </row>
    <row r="36" spans="2:5">
      <c r="B36" s="143"/>
      <c r="C36" s="144" t="s">
        <v>51</v>
      </c>
      <c r="D36" s="145" t="s">
        <v>63</v>
      </c>
      <c r="E36" s="146" t="s">
        <v>52</v>
      </c>
    </row>
    <row r="37" spans="2:5">
      <c r="B37" s="147" t="s">
        <v>41</v>
      </c>
      <c r="C37" s="1340" t="e">
        <f t="shared" ref="C37:C42" si="0">IF(ISNUMBER(E37),E37,D37)</f>
        <v>#DIV/0!</v>
      </c>
      <c r="D37" s="1341" t="e">
        <f>(C12*IFERROR(HLOOKUP(C10,'Man Par.'!AD27:AK40,12,FALSE),0)+D12*IFERROR(HLOOKUP(D10,'Man Par.'!AD27:AK40,12,FALSE),0)+E12*IFERROR(HLOOKUP(E10,'Man Par.'!AD27:AK40,12,FALSE),0)+F12*IFERROR(HLOOKUP(F10,'Man Par.'!AD27:AK40,12,FALSE),0)+G12*IFERROR(HLOOKUP(G10,'Man Par.'!AD27:AK40,12,FALSE),0))*0.9+C12*IFERROR(HLOOKUP(C10,'Man Par.'!AD27:AK40,11,FALSE),0)+D12*IFERROR(HLOOKUP(D10,'Man Par.'!AD27:AK40,11,FALSE),0)+E12*IFERROR(HLOOKUP(E10,'Man Par.'!AD27:AK40,11,FALSE),0)+F12*IFERROR(HLOOKUP(F10,'Man Par.'!AD27:AK40,11,FALSE),0)+G12*IFERROR(HLOOKUP(G10,'Man Par.'!AD27:AK40,11,FALSE),0)+C12*IFERROR(HLOOKUP(C10,'Man Par.'!AD27:AK40,10,FALSE),0)+D12*IFERROR(HLOOKUP(D10,'Man Par.'!AD27:AK40,10,FALSE),0)+E12*IFERROR(HLOOKUP(E10,'Man Par.'!AD27:AK40,10,FALSE),0)+F12*IFERROR(HLOOKUP(F10,'Man Par.'!AD27:AK40,10,FALSE),0)+G12*IFERROR(HLOOKUP(G10,'Man Par.'!AD27:AK40,10,FALSE),0)</f>
        <v>#DIV/0!</v>
      </c>
      <c r="E37" s="1342"/>
    </row>
    <row r="38" spans="2:5">
      <c r="B38" s="147" t="s">
        <v>398</v>
      </c>
      <c r="C38" s="1340" t="e">
        <f t="shared" si="0"/>
        <v>#DIV/0!</v>
      </c>
      <c r="D38" s="1341" t="e">
        <f>C12*IFERROR(HLOOKUP(C10,'Man Par.'!AD27:AK40,6,FALSE),0)+D12*IFERROR(HLOOKUP(D10,'Man Par.'!AD27:AK40,6,FALSE),0)+E12*IFERROR(HLOOKUP(E10,'Man Par.'!AD27:AK40,6,FALSE),0)+F12*IFERROR(HLOOKUP(F10,'Man Par.'!AD27:AK40,6,FALSE),0)+G12*IFERROR(HLOOKUP(G10,'Man Par.'!AD27:AK40,6,FALSE),0)+'Man Par.'!AD39</f>
        <v>#DIV/0!</v>
      </c>
      <c r="E38" s="1342"/>
    </row>
    <row r="39" spans="2:5">
      <c r="B39" s="147" t="s">
        <v>298</v>
      </c>
      <c r="C39" s="1340">
        <f t="shared" si="0"/>
        <v>0</v>
      </c>
      <c r="D39" s="1341">
        <v>0</v>
      </c>
      <c r="E39" s="1342"/>
    </row>
    <row r="40" spans="2:5">
      <c r="B40" s="147" t="s">
        <v>439</v>
      </c>
      <c r="C40" s="1340" t="e">
        <f t="shared" si="0"/>
        <v>#DIV/0!</v>
      </c>
      <c r="D40" s="1341" t="e">
        <f>C12*IFERROR(HLOOKUP(C10,'Man Par.'!AD27:AK40,2,FALSE),0)+D12*IFERROR(HLOOKUP(D10,'Man Par.'!AD27:AK40,2,FALSE),0)+E12*IFERROR(HLOOKUP(E10,'Man Par.'!AD27:AK40,2,FALSE),0)+F12*IFERROR(HLOOKUP(F10,'Man Par.'!AD27:AK40,2,FALSE),0)+G12*IFERROR(HLOOKUP(G10,'Man Par.'!AD27:AK40,2,FALSE),0)+C12*IFERROR(HLOOKUP(C10,'Man Par.'!AD27:AK40,4,FALSE),0)+D12*IFERROR(HLOOKUP(D10,'Man Par.'!AD27:AK40,4,FALSE),0)+E12*IFERROR(HLOOKUP(E10,'Man Par.'!AD27:AK40,4,FALSE),0)+F12*IFERROR(HLOOKUP(F10,'Man Par.'!AD27:AK40,4,FALSE),0)+G12*IFERROR(HLOOKUP(G10,'Man Par.'!AD27:AK40,4,FALSE),0)+C12*IFERROR(HLOOKUP(C10,'Man Par.'!AD27:AK40,7,FALSE),0)+D12*IFERROR(HLOOKUP(D10,'Man Par.'!AD27:AK40,7,FALSE),0)+E12*IFERROR(HLOOKUP(E10,'Man Par.'!AD27:AK40,7,FALSE),0)+F12*IFERROR(HLOOKUP(F10,'Man Par.'!AD27:AK40,7,FALSE),0)+G12*IFERROR(HLOOKUP(G10,'Man Par.'!AD27:AK40,7,FALSE),0)</f>
        <v>#DIV/0!</v>
      </c>
      <c r="E40" s="1342"/>
    </row>
    <row r="41" spans="2:5">
      <c r="B41" s="147" t="s">
        <v>1568</v>
      </c>
      <c r="C41" s="1340">
        <f t="shared" si="0"/>
        <v>3.5776000000000003</v>
      </c>
      <c r="D41" s="1341">
        <f>'Man Par.'!AD40</f>
        <v>3.5776000000000003</v>
      </c>
      <c r="E41" s="1342"/>
    </row>
    <row r="42" spans="2:5">
      <c r="B42" s="1183" t="s">
        <v>1567</v>
      </c>
      <c r="C42" s="1343" t="e">
        <f t="shared" si="0"/>
        <v>#DIV/0!</v>
      </c>
      <c r="D42" s="1344" t="e">
        <f>(C12*IFERROR(HLOOKUP(C10,'Man Par.'!AD27:AK40,12,FALSE),0)+D12*IFERROR(HLOOKUP(D10,'Man Par.'!AD27:AK40,12,FALSE),0)+E12*IFERROR(HLOOKUP(E10,'Man Par.'!AD27:AK40,12,FALSE),0)+F12*IFERROR(HLOOKUP(F10,'Man Par.'!AD27:AK40,12,FALSE),0)+G12*IFERROR(HLOOKUP(G10,'Man Par.'!AD27:AK40,12,FALSE),0))*0.1+(C12*IFERROR(HLOOKUP(C10,'Man Par.'!AD27:AK40,3,FALSE),0)+D12*IFERROR(HLOOKUP(D10,'Man Par.'!AD27:AK40,3,FALSE),0)+E12*IFERROR(HLOOKUP(E10,'Man Par.'!AD27:AK40,3,FALSE),0)+F12*IFERROR(HLOOKUP(F10,'Man Par.'!AD27:AK40,3,FALSE),0)+G12*IFERROR(HLOOKUP(G10,'Man Par.'!AD27:AK40,3,FALSE),0))+C12*IFERROR(HLOOKUP(C10,'Man Par.'!AD27:AK40,9,FALSE),0)+D12*IFERROR(HLOOKUP(D10,'Man Par.'!AD27:AK40,9,FALSE),0)+E12*IFERROR(HLOOKUP(E10,'Man Par.'!AD27:AK40,9,FALSE),0)+F12*IFERROR(HLOOKUP(F10,'Man Par.'!AD27:AK40,9,FALSE),0)+G12*IFERROR(HLOOKUP(G10,'Man Par.'!AD27:AK40,9,FALSE),0)</f>
        <v>#DIV/0!</v>
      </c>
      <c r="E42" s="1345"/>
    </row>
    <row r="43" spans="2:5">
      <c r="B43" s="111" t="s">
        <v>1738</v>
      </c>
    </row>
    <row r="44" spans="2:5">
      <c r="B44" s="143"/>
      <c r="C44" s="144" t="s">
        <v>51</v>
      </c>
      <c r="D44" s="145" t="s">
        <v>63</v>
      </c>
      <c r="E44" s="146" t="s">
        <v>52</v>
      </c>
    </row>
    <row r="45" spans="2:5">
      <c r="B45" s="147" t="s">
        <v>41</v>
      </c>
      <c r="C45" s="1340" t="e">
        <f t="shared" ref="C45:C50" si="1">IF(ISNUMBER(E45),E45,D45)</f>
        <v>#DIV/0!</v>
      </c>
      <c r="D45" s="1341" t="e">
        <f>(C12*IFERROR(HLOOKUP(C10,'Man Par.'!AD18:AK24,2,FALSE),0)+D12*IFERROR(HLOOKUP(D10,'Man Par.'!AD18:AK24,2,FALSE),0)+E12*IFERROR(HLOOKUP(E10,'Man Par.'!AD18:AK24,2,FALSE),0)+F12*IFERROR(HLOOKUP(F10,'Man Par.'!AD18:AK24,2,FALSE),0)+G12*IFERROR(HLOOKUP(G10,'Man Par.'!AD18:AK24,2,FALSE),0)+C12*IFERROR(HLOOKUP(C10,'Man Par.'!AD18:AK24,4,FALSE),0)+D12*IFERROR(HLOOKUP(D10,'Man Par.'!AD18:AK24,4,FALSE),0)+E12*IFERROR(HLOOKUP(E10,'Man Par.'!AD18:AK24,4,FALSE),0)+F12*IFERROR(HLOOKUP(F10,'Man Par.'!AD18:AK24,4,FALSE),0)+G12*IFERROR(HLOOKUP(G10,'Man Par.'!AD18:AK24,4,FALSE),0))*'Man Par.'!AC14/1000</f>
        <v>#DIV/0!</v>
      </c>
      <c r="E45" s="1342"/>
    </row>
    <row r="46" spans="2:5">
      <c r="B46" s="147" t="s">
        <v>398</v>
      </c>
      <c r="C46" s="1340" t="e">
        <f t="shared" si="1"/>
        <v>#DIV/0!</v>
      </c>
      <c r="D46" s="1341" t="e">
        <f>(C12*IFERROR(HLOOKUP(C10,'Man Par.'!AD18:AK24,5,FALSE),0)+D12*IFERROR(HLOOKUP(D10,'Man Par.'!AD18:AK24,5,FALSE),0)+E12*IFERROR(HLOOKUP(E10,'Man Par.'!AD18:AK24,5,FALSE),0)+F12*IFERROR(HLOOKUP(F10,'Man Par.'!AD18:AK24,5,FALSE),0)+G12*IFERROR(HLOOKUP(G10,'Man Par.'!AD18:AK24,5,FALSE),0))*'Man Par.'!AC14/1000</f>
        <v>#DIV/0!</v>
      </c>
      <c r="E46" s="1342"/>
    </row>
    <row r="47" spans="2:5">
      <c r="B47" s="147" t="s">
        <v>298</v>
      </c>
      <c r="C47" s="1340" t="e">
        <f t="shared" si="1"/>
        <v>#DIV/0!</v>
      </c>
      <c r="D47" s="1341" t="e">
        <f>(C12*IFERROR(HLOOKUP(C10,'Man Par.'!AD18:AK24,3,FALSE),0)+D12*IFERROR(HLOOKUP(D10,'Man Par.'!AD18:AK24,3,FALSE),0)+E12*IFERROR(HLOOKUP(E10,'Man Par.'!AD18:AK24,3,FALSE),0)+F12*IFERROR(HLOOKUP(F10,'Man Par.'!AD18:AK24,3,FALSE),0)+G12*IFERROR(HLOOKUP(G10,'Man Par.'!AD18:AK24,3,FALSE),0))*'Man Par.'!AC14/1000</f>
        <v>#DIV/0!</v>
      </c>
      <c r="E47" s="1342"/>
    </row>
    <row r="48" spans="2:5">
      <c r="B48" s="147" t="s">
        <v>439</v>
      </c>
      <c r="C48" s="1340" t="e">
        <f t="shared" si="1"/>
        <v>#DIV/0!</v>
      </c>
      <c r="D48" s="1341" t="e">
        <f>(C12*IFERROR(HLOOKUP(C10,'Man Par.'!AD18:AK24,6,FALSE),0)+D12*IFERROR(HLOOKUP(D10,'Man Par.'!AD18:AK24,6,FALSE),0)+E12*IFERROR(HLOOKUP(E10,'Man Par.'!AD18:AK24,6,FALSE),0)+F12*IFERROR(HLOOKUP(F10,'Man Par.'!AD18:AK24,6,FALSE),0)+G12*IFERROR(HLOOKUP(G10,'Man Par.'!AD18:AK24,6,FALSE),0))*'Man Par.'!AC14/1000</f>
        <v>#DIV/0!</v>
      </c>
      <c r="E48" s="1342"/>
    </row>
    <row r="49" spans="2:5">
      <c r="B49" s="147" t="s">
        <v>1568</v>
      </c>
      <c r="C49" s="1340" t="e">
        <f t="shared" si="1"/>
        <v>#DIV/0!</v>
      </c>
      <c r="D49" s="1341" t="e">
        <f>(C12*IFERROR(HLOOKUP(C10,'Man Par.'!AD18:AK24,7,FALSE),0)+D12*IFERROR(HLOOKUP(D10,'Man Par.'!AD18:AK24,7,FALSE),0)+E12*IFERROR(HLOOKUP(E10,'Man Par.'!AD18:AK24,7,FALSE),0)+F12*IFERROR(HLOOKUP(F10,'Man Par.'!AD18:AK24,7,FALSE),0)+G12*IFERROR(HLOOKUP(G10,'Man Par.'!AD18:AK24,7,FALSE),0))*'Man Par.'!AC14/1000</f>
        <v>#DIV/0!</v>
      </c>
      <c r="E49" s="1342"/>
    </row>
    <row r="50" spans="2:5">
      <c r="B50" s="1183" t="s">
        <v>1567</v>
      </c>
      <c r="C50" s="1343">
        <f t="shared" si="1"/>
        <v>0</v>
      </c>
      <c r="D50" s="1344">
        <v>0</v>
      </c>
      <c r="E50" s="1345"/>
    </row>
    <row r="51" spans="2:5">
      <c r="C51" s="744"/>
    </row>
    <row r="52" spans="2:5">
      <c r="B52" s="133" t="s">
        <v>1739</v>
      </c>
    </row>
    <row r="53" spans="2:5">
      <c r="B53" s="143"/>
      <c r="C53" s="144" t="s">
        <v>51</v>
      </c>
      <c r="D53" s="145" t="s">
        <v>63</v>
      </c>
      <c r="E53" s="146" t="s">
        <v>52</v>
      </c>
    </row>
    <row r="54" spans="2:5">
      <c r="B54" s="147" t="s">
        <v>41</v>
      </c>
      <c r="C54" s="1004">
        <f t="shared" ref="C54:C59" si="2">IF(ISNUMBER(E54),E54,D54)</f>
        <v>7.1116191035999989</v>
      </c>
      <c r="D54" s="258">
        <v>7.1116191035999989</v>
      </c>
      <c r="E54" s="1307"/>
    </row>
    <row r="55" spans="2:5">
      <c r="B55" s="147" t="s">
        <v>398</v>
      </c>
      <c r="C55" s="1004">
        <f t="shared" si="2"/>
        <v>1.1174777856</v>
      </c>
      <c r="D55" s="258">
        <v>1.1174777856</v>
      </c>
      <c r="E55" s="1307"/>
    </row>
    <row r="56" spans="2:5">
      <c r="B56" s="147" t="s">
        <v>298</v>
      </c>
      <c r="C56" s="1004">
        <f t="shared" si="2"/>
        <v>0.2</v>
      </c>
      <c r="D56" s="258">
        <v>0.2</v>
      </c>
      <c r="E56" s="1307"/>
    </row>
    <row r="57" spans="2:5">
      <c r="B57" s="147" t="s">
        <v>439</v>
      </c>
      <c r="C57" s="1004">
        <f t="shared" si="2"/>
        <v>0.32719999999999999</v>
      </c>
      <c r="D57" s="258">
        <v>0.32719999999999999</v>
      </c>
      <c r="E57" s="1307"/>
    </row>
    <row r="58" spans="2:5">
      <c r="B58" s="147" t="s">
        <v>1568</v>
      </c>
      <c r="C58" s="1004">
        <f t="shared" si="2"/>
        <v>2.6014279999999999</v>
      </c>
      <c r="D58" s="275">
        <f>1.18*2.2046</f>
        <v>2.6014279999999999</v>
      </c>
      <c r="E58" s="1307"/>
    </row>
    <row r="59" spans="2:5">
      <c r="B59" s="1183" t="s">
        <v>1567</v>
      </c>
      <c r="C59" s="633">
        <f t="shared" si="2"/>
        <v>0.2</v>
      </c>
      <c r="D59" s="1346">
        <f>D56</f>
        <v>0.2</v>
      </c>
      <c r="E59" s="1235"/>
    </row>
    <row r="61" spans="2:5">
      <c r="B61" s="133" t="s">
        <v>159</v>
      </c>
    </row>
    <row r="62" spans="2:5">
      <c r="B62" s="133" t="s">
        <v>1611</v>
      </c>
    </row>
    <row r="63" spans="2:5">
      <c r="B63" t="s">
        <v>1604</v>
      </c>
    </row>
    <row r="64" spans="2:5">
      <c r="B64" s="1282" t="s">
        <v>1606</v>
      </c>
      <c r="C64" s="1374" t="e">
        <f>ROUNDUP(SUM(C11:G11)*1000/C19*Disassembly!C18*Disassembly!C17,0)</f>
        <v>#DIV/0!</v>
      </c>
    </row>
    <row r="65" spans="2:5">
      <c r="B65" t="s">
        <v>1608</v>
      </c>
    </row>
    <row r="66" spans="2:5">
      <c r="B66" s="1282"/>
      <c r="C66" s="1282" t="s">
        <v>1609</v>
      </c>
      <c r="D66" s="1282" t="s">
        <v>1610</v>
      </c>
    </row>
    <row r="67" spans="2:5">
      <c r="B67" s="167" t="s">
        <v>284</v>
      </c>
      <c r="C67" s="1375" t="e">
        <f>SUM(C11:G11)*1000/C19/'BatPaC IO'!$K$53</f>
        <v>#DIV/0!</v>
      </c>
      <c r="D67" s="1376" t="e">
        <f>C64/C17/('BatPaC IO'!K53*'BatPaC IO'!L53)</f>
        <v>#DIV/0!</v>
      </c>
    </row>
    <row r="68" spans="2:5" ht="16.5">
      <c r="B68" s="149" t="s">
        <v>283</v>
      </c>
      <c r="C68" s="1377" t="e">
        <f>'BatPaC IO'!T49*C67^'BatPaC IO'!T34</f>
        <v>#DIV/0!</v>
      </c>
      <c r="D68" s="1378" t="e">
        <f>'BatPaC IO'!S49*D67^'BatPaC IO'!S34</f>
        <v>#DIV/0!</v>
      </c>
    </row>
    <row r="69" spans="2:5">
      <c r="B69" t="s">
        <v>1612</v>
      </c>
    </row>
    <row r="70" spans="2:5" ht="42">
      <c r="B70" s="1282"/>
      <c r="C70" s="1319" t="s">
        <v>1591</v>
      </c>
      <c r="D70" s="1319" t="s">
        <v>1592</v>
      </c>
      <c r="E70" s="1319" t="s">
        <v>1593</v>
      </c>
    </row>
    <row r="71" spans="2:5" ht="32.15" customHeight="1">
      <c r="B71" s="1282" t="s">
        <v>1745</v>
      </c>
      <c r="C71" s="1379">
        <f>C24*C30</f>
        <v>25</v>
      </c>
      <c r="D71" s="1380">
        <f>C25*C31</f>
        <v>100</v>
      </c>
      <c r="E71" s="1381">
        <f>C26*C32</f>
        <v>100</v>
      </c>
    </row>
    <row r="72" spans="2:5">
      <c r="B72" t="s">
        <v>1880</v>
      </c>
    </row>
    <row r="73" spans="2:5">
      <c r="B73" s="1282" t="s">
        <v>1879</v>
      </c>
      <c r="C73" s="1282" t="s">
        <v>1609</v>
      </c>
      <c r="D73" s="1282" t="s">
        <v>1610</v>
      </c>
    </row>
    <row r="74" spans="2:5">
      <c r="B74" s="167" t="s">
        <v>286</v>
      </c>
      <c r="C74" s="206">
        <v>0</v>
      </c>
      <c r="D74" s="206">
        <v>0</v>
      </c>
    </row>
    <row r="75" spans="2:5">
      <c r="B75" s="147" t="s">
        <v>287</v>
      </c>
      <c r="C75" s="207" t="e">
        <f>(C71+D71)/C19</f>
        <v>#DIV/0!</v>
      </c>
      <c r="D75" s="207" t="e">
        <f>E71/C19</f>
        <v>#DIV/0!</v>
      </c>
    </row>
    <row r="76" spans="2:5">
      <c r="B76" s="147" t="s">
        <v>131</v>
      </c>
      <c r="C76" s="207" t="e">
        <f>C84*'BatPaC IO'!$K$59+'BatPaC IO'!$L$59*C85</f>
        <v>#DIV/0!</v>
      </c>
      <c r="D76" s="207" t="e">
        <f>D84*'BatPaC IO'!$K$59+'BatPaC IO'!$L$59*D85</f>
        <v>#DIV/0!</v>
      </c>
    </row>
    <row r="77" spans="2:5">
      <c r="B77" s="147" t="s">
        <v>128</v>
      </c>
      <c r="C77" s="207" t="e">
        <f>C75*'BatPaC IO'!$F$59+'BatPaC IO'!$G$59*C76</f>
        <v>#DIV/0!</v>
      </c>
      <c r="D77" s="207" t="e">
        <f>D75*'BatPaC IO'!$F$59+'BatPaC IO'!$G$59*D76</f>
        <v>#DIV/0!</v>
      </c>
    </row>
    <row r="78" spans="2:5">
      <c r="B78" s="147" t="s">
        <v>129</v>
      </c>
      <c r="C78" s="207" t="e">
        <f>(C75+C77)*'BatPaC IO'!$H$59+'BatPaC IO'!$I$59*C76</f>
        <v>#DIV/0!</v>
      </c>
      <c r="D78" s="207" t="e">
        <f>(D75+D77)*'BatPaC IO'!$H$59+'BatPaC IO'!$I$59*D76</f>
        <v>#DIV/0!</v>
      </c>
    </row>
    <row r="79" spans="2:5">
      <c r="B79" s="149" t="s">
        <v>288</v>
      </c>
      <c r="C79" s="208" t="e">
        <f>C76*'BatPaC IO'!$J$59</f>
        <v>#DIV/0!</v>
      </c>
      <c r="D79" s="208" t="e">
        <f>D76*'BatPaC IO'!$J$59</f>
        <v>#DIV/0!</v>
      </c>
    </row>
    <row r="80" spans="2:5">
      <c r="B80" s="209" t="s">
        <v>289</v>
      </c>
      <c r="C80" s="210" t="e">
        <f>C74+C75+C77</f>
        <v>#DIV/0!</v>
      </c>
      <c r="D80" s="210" t="e">
        <f>D74+D75+D77</f>
        <v>#DIV/0!</v>
      </c>
    </row>
    <row r="81" spans="2:4">
      <c r="B81" s="209" t="s">
        <v>290</v>
      </c>
      <c r="C81" s="207" t="e">
        <f>SUM(C82:C85)</f>
        <v>#DIV/0!</v>
      </c>
      <c r="D81" s="207" t="e">
        <f>SUM(D82:D85)</f>
        <v>#DIV/0!</v>
      </c>
    </row>
    <row r="82" spans="2:4">
      <c r="B82" s="211" t="s">
        <v>125</v>
      </c>
      <c r="C82" s="207" t="e">
        <f>C74*'BatPaC IO'!$B$59+'BatPaC IO'!$C$59*(C75+C77)</f>
        <v>#DIV/0!</v>
      </c>
      <c r="D82" s="207" t="e">
        <f>D74*'BatPaC IO'!$B$59+'BatPaC IO'!$C$59*(D75+D77)</f>
        <v>#DIV/0!</v>
      </c>
    </row>
    <row r="83" spans="2:4">
      <c r="B83" s="211" t="s">
        <v>291</v>
      </c>
      <c r="C83" s="207" t="e">
        <f>C77*'BatPaC IO'!$D$59</f>
        <v>#DIV/0!</v>
      </c>
      <c r="D83" s="207" t="e">
        <f>D77*'BatPaC IO'!$D$59</f>
        <v>#DIV/0!</v>
      </c>
    </row>
    <row r="84" spans="2:4">
      <c r="B84" s="211" t="s">
        <v>292</v>
      </c>
      <c r="C84" s="207">
        <v>0</v>
      </c>
      <c r="D84" s="207">
        <v>0</v>
      </c>
    </row>
    <row r="85" spans="2:4">
      <c r="B85" s="212" t="s">
        <v>293</v>
      </c>
      <c r="C85" s="208" t="e">
        <f>C68*'BatPaC IO'!$A$59/(SUM(C11:G11)*1000)</f>
        <v>#DIV/0!</v>
      </c>
      <c r="D85" s="208" t="e">
        <f>D68*'BatPaC IO'!$A$59/(SUM(C11:G11)*1000)</f>
        <v>#DIV/0!</v>
      </c>
    </row>
    <row r="86" spans="2:4">
      <c r="B86" s="215" t="s">
        <v>1615</v>
      </c>
      <c r="C86" s="216" t="e">
        <f>SUM(C74:C79)</f>
        <v>#DIV/0!</v>
      </c>
      <c r="D86" s="216" t="e">
        <f>SUM(D74:D79)</f>
        <v>#DIV/0!</v>
      </c>
    </row>
    <row r="87" spans="2:4">
      <c r="B87" s="215" t="s">
        <v>1616</v>
      </c>
      <c r="C87" s="216" t="e">
        <f>C86*C19/C20</f>
        <v>#DIV/0!</v>
      </c>
      <c r="D87" s="216" t="e">
        <f>D86*C19/C20</f>
        <v>#DIV/0!</v>
      </c>
    </row>
    <row r="89" spans="2:4">
      <c r="B89" s="133" t="s">
        <v>1613</v>
      </c>
    </row>
    <row r="90" spans="2:4">
      <c r="B90" s="1282"/>
      <c r="C90" s="1282" t="s">
        <v>1609</v>
      </c>
      <c r="D90" s="1282" t="s">
        <v>1610</v>
      </c>
    </row>
    <row r="91" spans="2:4">
      <c r="B91" s="1282" t="s">
        <v>1614</v>
      </c>
      <c r="C91" s="1347" t="e">
        <f>SUMPRODUCT(C37:C42,C54:C59)/C19</f>
        <v>#DIV/0!</v>
      </c>
      <c r="D91" s="1347" t="e">
        <f>SUMPRODUCT(C45:C50,C54:C59)/C19</f>
        <v>#DIV/0!</v>
      </c>
    </row>
    <row r="92" spans="2:4">
      <c r="B92" s="1282" t="s">
        <v>1617</v>
      </c>
      <c r="C92" s="1347" t="e">
        <f>C91*C19/C20</f>
        <v>#DIV/0!</v>
      </c>
      <c r="D92" s="1347" t="e">
        <f>D91*C19/C20</f>
        <v>#DIV/0!</v>
      </c>
    </row>
  </sheetData>
  <phoneticPr fontId="145" type="noConversion"/>
  <pageMargins left="0.7" right="0.7" top="0.75" bottom="0.75" header="0.3" footer="0.3"/>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82D3C5-3B5F-8948-AEA6-5BF87308D2F1}">
  <sheetPr codeName="Sheet17">
    <tabColor rgb="FFFFFF00"/>
  </sheetPr>
  <dimension ref="B1:BV2676"/>
  <sheetViews>
    <sheetView topLeftCell="P1" zoomScaleNormal="100" workbookViewId="0">
      <pane ySplit="5" topLeftCell="A104" activePane="bottomLeft" state="frozen"/>
      <selection pane="bottomLeft" activeCell="AA65" sqref="AA65"/>
    </sheetView>
  </sheetViews>
  <sheetFormatPr defaultColWidth="8.83203125" defaultRowHeight="14"/>
  <cols>
    <col min="1" max="1" width="10.4140625" style="111" customWidth="1"/>
    <col min="2" max="2" width="36.4140625" style="111" customWidth="1"/>
    <col min="3" max="3" width="31.83203125" style="111" customWidth="1"/>
    <col min="4" max="4" width="16.25" style="111" customWidth="1"/>
    <col min="5" max="5" width="13.25" style="111" customWidth="1"/>
    <col min="6" max="6" width="17.83203125" style="111" customWidth="1"/>
    <col min="7" max="7" width="20.25" style="111" customWidth="1"/>
    <col min="8" max="8" width="13.25" style="111" customWidth="1"/>
    <col min="9" max="9" width="12.4140625" style="111" customWidth="1"/>
    <col min="10" max="10" width="17.75" style="111" customWidth="1"/>
    <col min="11" max="11" width="20.1640625" style="111" customWidth="1"/>
    <col min="12" max="12" width="11.75" style="111" customWidth="1"/>
    <col min="13" max="13" width="12.75" style="111" customWidth="1"/>
    <col min="14" max="14" width="18.75" style="111" customWidth="1"/>
    <col min="15" max="15" width="20.75" style="111" customWidth="1"/>
    <col min="16" max="16" width="8.83203125" style="111"/>
    <col min="17" max="17" width="12.75" style="111" customWidth="1"/>
    <col min="18" max="18" width="19.25" style="111" customWidth="1"/>
    <col min="19" max="19" width="20.25" style="111" customWidth="1"/>
    <col min="20" max="20" width="8.83203125" style="111"/>
    <col min="21" max="21" width="12.75" style="111" customWidth="1"/>
    <col min="22" max="26" width="8.83203125" style="111"/>
    <col min="27" max="27" width="18.4140625" style="111" customWidth="1"/>
    <col min="28" max="28" width="49.4140625" style="111" customWidth="1"/>
    <col min="29" max="29" width="45" style="111" customWidth="1"/>
    <col min="30" max="30" width="20.1640625" style="111" customWidth="1"/>
    <col min="31" max="31" width="28.4140625" style="111" customWidth="1"/>
    <col min="32" max="32" width="31" style="111" customWidth="1"/>
    <col min="33" max="33" width="31.25" style="111" customWidth="1"/>
    <col min="34" max="34" width="12.83203125" style="111" customWidth="1"/>
    <col min="35" max="35" width="13.25" style="111" customWidth="1"/>
    <col min="36" max="36" width="11.83203125" style="110" customWidth="1"/>
    <col min="37" max="37" width="11.75" style="110" customWidth="1"/>
    <col min="38" max="38" width="13.75" style="110" customWidth="1"/>
    <col min="39" max="39" width="10.75" style="110" customWidth="1"/>
    <col min="40" max="52" width="8.83203125" style="111"/>
    <col min="53" max="53" width="23.83203125" style="111" customWidth="1"/>
    <col min="54" max="54" width="43.75" style="111" customWidth="1"/>
    <col min="55" max="55" width="40.1640625" style="111" customWidth="1"/>
    <col min="56" max="56" width="18.4140625" style="111" customWidth="1"/>
    <col min="57" max="57" width="22.4140625" style="111" customWidth="1"/>
    <col min="58" max="58" width="30.83203125" style="111" customWidth="1"/>
    <col min="59" max="60" width="8.83203125" style="111"/>
    <col min="61" max="61" width="18.4140625" style="111" customWidth="1"/>
    <col min="62" max="63" width="8.83203125" style="111"/>
    <col min="64" max="64" width="11.75" style="111" customWidth="1"/>
    <col min="65" max="65" width="12.75" style="111" customWidth="1"/>
    <col min="66" max="78" width="8.83203125" style="111"/>
    <col min="79" max="79" width="17.25" style="111" customWidth="1"/>
    <col min="80" max="80" width="38.75" style="111" customWidth="1"/>
    <col min="81" max="81" width="28.1640625" style="111" customWidth="1"/>
    <col min="82" max="82" width="19.25" style="111" customWidth="1"/>
    <col min="83" max="83" width="13.4140625" style="111" customWidth="1"/>
    <col min="84" max="84" width="9.4140625" style="111" bestFit="1" customWidth="1"/>
    <col min="85" max="16384" width="8.83203125" style="111"/>
  </cols>
  <sheetData>
    <row r="1" spans="2:74">
      <c r="B1"/>
      <c r="AO1" s="111" t="s">
        <v>487</v>
      </c>
    </row>
    <row r="2" spans="2:74">
      <c r="B2"/>
    </row>
    <row r="3" spans="2:74">
      <c r="B3"/>
    </row>
    <row r="5" spans="2:74" ht="19.5" thickBot="1">
      <c r="B5" s="142" t="s">
        <v>357</v>
      </c>
      <c r="C5" s="142"/>
      <c r="D5" s="142"/>
      <c r="E5" s="142"/>
      <c r="F5" s="142"/>
      <c r="G5" s="142"/>
      <c r="H5" s="142"/>
      <c r="I5" s="142"/>
      <c r="J5" s="142"/>
      <c r="K5" s="142"/>
      <c r="L5" s="142"/>
      <c r="M5" s="142"/>
      <c r="N5" s="142"/>
      <c r="O5" s="142"/>
      <c r="P5" s="142"/>
      <c r="Q5" s="142"/>
      <c r="R5" s="142"/>
      <c r="S5" s="142"/>
      <c r="T5" s="142"/>
      <c r="U5" s="142"/>
      <c r="AB5" s="1780" t="s">
        <v>1772</v>
      </c>
      <c r="AC5" s="1780"/>
      <c r="AD5" s="1780"/>
      <c r="AE5" s="1780"/>
      <c r="AF5" s="142"/>
      <c r="AG5" s="142"/>
      <c r="AH5" s="142"/>
      <c r="AI5" s="142"/>
      <c r="AJ5" s="244"/>
      <c r="AK5" s="244"/>
      <c r="AL5" s="244"/>
      <c r="AM5" s="244"/>
      <c r="AN5" s="142"/>
      <c r="AO5" s="142"/>
      <c r="AP5" s="142"/>
      <c r="AQ5" s="142"/>
      <c r="AR5" s="142"/>
      <c r="AS5" s="142"/>
      <c r="AT5" s="142"/>
      <c r="AU5" s="142"/>
      <c r="AV5" s="142"/>
      <c r="BB5" s="1564" t="s">
        <v>1798</v>
      </c>
      <c r="BC5" s="1564"/>
      <c r="BD5" s="1564"/>
      <c r="BE5" s="1564"/>
      <c r="BF5" s="1564"/>
      <c r="BG5" s="1564"/>
      <c r="BH5" s="142"/>
      <c r="BI5" s="142"/>
      <c r="BJ5" s="142"/>
      <c r="BK5" s="142"/>
      <c r="BL5" s="142"/>
      <c r="BM5" s="142"/>
      <c r="BN5" s="142"/>
      <c r="BO5" s="142"/>
      <c r="BP5" s="142"/>
      <c r="BQ5" s="142"/>
      <c r="BR5" s="142"/>
      <c r="BS5" s="142"/>
      <c r="BT5" s="142"/>
      <c r="BU5" s="142"/>
      <c r="BV5" s="142"/>
    </row>
    <row r="6" spans="2:74" ht="14.5" thickTop="1">
      <c r="B6" s="133" t="s">
        <v>160</v>
      </c>
      <c r="AB6" s="133" t="s">
        <v>160</v>
      </c>
      <c r="BB6" s="133" t="s">
        <v>160</v>
      </c>
    </row>
    <row r="7" spans="2:74">
      <c r="B7" s="133" t="s">
        <v>152</v>
      </c>
      <c r="D7" s="111" t="s">
        <v>585</v>
      </c>
      <c r="AB7" s="133" t="s">
        <v>1773</v>
      </c>
      <c r="BB7" s="133" t="s">
        <v>1773</v>
      </c>
    </row>
    <row r="8" spans="2:74" ht="14.5">
      <c r="B8" s="1469" t="s">
        <v>1901</v>
      </c>
      <c r="C8" s="1518"/>
      <c r="D8" s="1519">
        <f>SUM(D9:D13)</f>
        <v>0</v>
      </c>
      <c r="AB8" s="247"/>
      <c r="AC8" s="144" t="s">
        <v>360</v>
      </c>
      <c r="AD8" s="144" t="s">
        <v>361</v>
      </c>
      <c r="AE8" s="146" t="s">
        <v>52</v>
      </c>
      <c r="BB8" s="1315" t="s">
        <v>1873</v>
      </c>
      <c r="BC8" s="113" t="s">
        <v>1874</v>
      </c>
    </row>
    <row r="9" spans="2:74" ht="14.5">
      <c r="B9" s="1106" t="str">
        <f>IF(Input!D28&lt;&gt;"Select Type",Input!C28,"")</f>
        <v>NMC(622)</v>
      </c>
      <c r="C9" s="1104" t="str">
        <f>IF(Input!D28&lt;&gt;"Select Type",Input!D28,"")</f>
        <v>Black mass</v>
      </c>
      <c r="D9" s="1520">
        <f>IF(AND(Input!D28&lt;&gt;"Select Type",Input!D28&lt;&gt;"Black mass"),Input!F28,0)</f>
        <v>0</v>
      </c>
      <c r="E9" s="111" t="str">
        <f>Input!H28</f>
        <v>Black mass is sent directly to CM recovery plant</v>
      </c>
      <c r="AB9" s="147" t="s">
        <v>596</v>
      </c>
      <c r="AC9" s="618">
        <f t="shared" ref="AC9:AC14" si="0">IF(AE9&gt;0,AE9,AD9)</f>
        <v>24</v>
      </c>
      <c r="AD9" s="111">
        <v>24</v>
      </c>
      <c r="AE9" s="249"/>
      <c r="BB9" s="247"/>
      <c r="BC9" s="144" t="s">
        <v>360</v>
      </c>
      <c r="BD9" s="144" t="s">
        <v>361</v>
      </c>
      <c r="BE9" s="146" t="s">
        <v>52</v>
      </c>
    </row>
    <row r="10" spans="2:74" ht="14.5">
      <c r="B10" s="1106" t="str">
        <f>IF(Input!D29&lt;&gt;"Select Type",Input!C29,"")</f>
        <v/>
      </c>
      <c r="C10" s="1104" t="str">
        <f>IF(Input!D29&lt;&gt;"Select Type",Input!D29,"")</f>
        <v/>
      </c>
      <c r="D10" s="1520">
        <f>IF(AND(Input!D29&lt;&gt;"Select Type",Input!D29&lt;&gt;"Black mass"),Input!F29,0)</f>
        <v>0</v>
      </c>
      <c r="E10" s="111" t="str">
        <f>Input!H29</f>
        <v/>
      </c>
      <c r="AB10" s="147" t="s">
        <v>1877</v>
      </c>
      <c r="AC10" s="618">
        <f t="shared" si="0"/>
        <v>20</v>
      </c>
      <c r="AD10" s="111">
        <v>20</v>
      </c>
      <c r="AE10" s="231"/>
      <c r="BB10" s="147" t="s">
        <v>596</v>
      </c>
      <c r="BC10" s="618">
        <f t="shared" ref="BC10:BC15" si="1">IF(BE10&gt;0,BE10,BD10)</f>
        <v>24</v>
      </c>
      <c r="BD10" s="111">
        <v>24</v>
      </c>
      <c r="BE10" s="249"/>
    </row>
    <row r="11" spans="2:74" ht="14.5">
      <c r="B11" s="1106" t="str">
        <f>IF(Input!D30&lt;&gt;"Select Type",Input!C30,"")</f>
        <v/>
      </c>
      <c r="C11" s="1104" t="str">
        <f>IF(Input!D30&lt;&gt;"Select Type",Input!D30,"")</f>
        <v/>
      </c>
      <c r="D11" s="1520">
        <f>IF(AND(Input!D30&lt;&gt;"Select Type",Input!D30&lt;&gt;"Black mass"),Input!F30,0)</f>
        <v>0</v>
      </c>
      <c r="E11" s="111" t="str">
        <f>Input!H30</f>
        <v/>
      </c>
      <c r="AB11" s="147" t="s">
        <v>492</v>
      </c>
      <c r="AC11" s="618">
        <f t="shared" si="0"/>
        <v>320</v>
      </c>
      <c r="AD11" s="111">
        <v>320</v>
      </c>
      <c r="AE11" s="231"/>
      <c r="BB11" s="147" t="s">
        <v>1877</v>
      </c>
      <c r="BC11" s="618">
        <f t="shared" si="1"/>
        <v>20</v>
      </c>
      <c r="BD11" s="111">
        <v>20</v>
      </c>
      <c r="BE11" s="231"/>
    </row>
    <row r="12" spans="2:74" ht="14.5">
      <c r="B12" s="1106" t="str">
        <f>IF(Input!D31&lt;&gt;"Select Type",Input!C31,"")</f>
        <v/>
      </c>
      <c r="C12" s="1104" t="str">
        <f>IF(Input!D31&lt;&gt;"Select Type",Input!D31,"")</f>
        <v/>
      </c>
      <c r="D12" s="1520">
        <f>IF(AND(Input!D31&lt;&gt;"Select Type",Input!D31&lt;&gt;"Black mass"),Input!F31,0)</f>
        <v>0</v>
      </c>
      <c r="E12" s="1547" t="str">
        <f>Input!H31</f>
        <v/>
      </c>
      <c r="AB12" s="147" t="s">
        <v>593</v>
      </c>
      <c r="AC12" s="618">
        <f t="shared" si="0"/>
        <v>10</v>
      </c>
      <c r="AD12" s="111">
        <v>10</v>
      </c>
      <c r="AE12" s="231"/>
      <c r="BB12" s="147" t="s">
        <v>492</v>
      </c>
      <c r="BC12" s="618">
        <f t="shared" si="1"/>
        <v>320</v>
      </c>
      <c r="BD12" s="111">
        <v>320</v>
      </c>
      <c r="BE12" s="231"/>
    </row>
    <row r="13" spans="2:74" ht="14.5">
      <c r="B13" s="1106" t="str">
        <f>IF(Input!D32&lt;&gt;"Select Type",Input!C32,"")</f>
        <v/>
      </c>
      <c r="C13" s="1104" t="str">
        <f>IF(Input!D32&lt;&gt;"Select Type",Input!D32,"")</f>
        <v/>
      </c>
      <c r="D13" s="1520">
        <f>IF(AND(Input!D32&lt;&gt;"Select Type",Input!D32&lt;&gt;"Black mass"),Input!F32,0)</f>
        <v>0</v>
      </c>
      <c r="E13" s="111" t="str">
        <f>Input!H32</f>
        <v/>
      </c>
      <c r="AB13" s="147" t="s">
        <v>594</v>
      </c>
      <c r="AC13" s="619">
        <f t="shared" si="0"/>
        <v>0</v>
      </c>
      <c r="AD13" s="252">
        <f>ROUNDUP(AD14*1.5,-3)</f>
        <v>0</v>
      </c>
      <c r="AE13" s="1592"/>
      <c r="BB13" s="147" t="s">
        <v>593</v>
      </c>
      <c r="BC13" s="618">
        <f t="shared" si="1"/>
        <v>10</v>
      </c>
      <c r="BD13" s="111">
        <v>10</v>
      </c>
      <c r="BE13" s="231"/>
    </row>
    <row r="14" spans="2:74" ht="14.5">
      <c r="B14" s="1108" t="str">
        <f>Input!C33</f>
        <v>Geographic location</v>
      </c>
      <c r="C14" s="1517"/>
      <c r="D14" s="1109" t="str">
        <f>IF(Input!$E$33="User-defined", 'Geographic Par.'!$J$60, Input!$E$33)</f>
        <v>China</v>
      </c>
      <c r="AB14" s="1337" t="s">
        <v>595</v>
      </c>
      <c r="AC14" s="1565">
        <f t="shared" si="0"/>
        <v>0</v>
      </c>
      <c r="AD14" s="1566">
        <f>D8</f>
        <v>0</v>
      </c>
      <c r="AE14" s="1593"/>
      <c r="BB14" s="147" t="s">
        <v>594</v>
      </c>
      <c r="BC14" s="619">
        <f t="shared" si="1"/>
        <v>0</v>
      </c>
      <c r="BD14" s="252">
        <f>ROUNDUP(BD15*1.5,-3)</f>
        <v>0</v>
      </c>
      <c r="BE14" s="1592"/>
    </row>
    <row r="15" spans="2:74">
      <c r="B15"/>
      <c r="C15"/>
      <c r="D15"/>
      <c r="AB15"/>
      <c r="AC15"/>
      <c r="AD15"/>
      <c r="BB15" s="1337" t="s">
        <v>595</v>
      </c>
      <c r="BC15" s="1565">
        <f t="shared" si="1"/>
        <v>0</v>
      </c>
      <c r="BD15" s="1566">
        <f>D8</f>
        <v>0</v>
      </c>
      <c r="BE15" s="1593"/>
    </row>
    <row r="16" spans="2:74">
      <c r="B16" s="133" t="s">
        <v>1718</v>
      </c>
      <c r="AB16" s="133" t="s">
        <v>1778</v>
      </c>
      <c r="AD16"/>
      <c r="BB16"/>
      <c r="BC16"/>
      <c r="BD16"/>
    </row>
    <row r="17" spans="2:57">
      <c r="B17" s="1536" t="s">
        <v>1727</v>
      </c>
      <c r="E17" s="1548"/>
      <c r="AB17" s="1574" t="str">
        <f t="shared" ref="AB17:AC22" si="2">B100</f>
        <v>Li in cathode and electrolyte</v>
      </c>
      <c r="AC17" s="1571">
        <f t="shared" si="2"/>
        <v>0</v>
      </c>
      <c r="BB17" s="133" t="s">
        <v>1778</v>
      </c>
      <c r="BD17"/>
    </row>
    <row r="18" spans="2:57" ht="14.5" thickBot="1">
      <c r="B18" s="1555" t="s">
        <v>1749</v>
      </c>
      <c r="C18" s="111" t="s">
        <v>1719</v>
      </c>
      <c r="D18" s="1537">
        <f>IFERROR(D9/SUM(D9:D13),0)</f>
        <v>0</v>
      </c>
      <c r="F18" s="1555" t="s">
        <v>1750</v>
      </c>
      <c r="G18" s="111" t="s">
        <v>1719</v>
      </c>
      <c r="H18" s="1537">
        <f>IFERROR(D10/SUM($D9:$D13),0)</f>
        <v>0</v>
      </c>
      <c r="J18" s="1555" t="s">
        <v>1751</v>
      </c>
      <c r="K18" s="111" t="s">
        <v>1719</v>
      </c>
      <c r="L18" s="1537">
        <f>IFERROR(D11/SUM($D9:$D13),0)</f>
        <v>0</v>
      </c>
      <c r="N18" s="1555" t="s">
        <v>1752</v>
      </c>
      <c r="O18" s="111" t="s">
        <v>1719</v>
      </c>
      <c r="P18" s="1537">
        <f>IFERROR(D12/SUM($D9:$D13),0)</f>
        <v>0</v>
      </c>
      <c r="R18" s="1555" t="s">
        <v>1753</v>
      </c>
      <c r="S18" s="111" t="s">
        <v>1719</v>
      </c>
      <c r="T18" s="1537">
        <f>IFERROR(D13/SUM($D9:$D13),0)</f>
        <v>0</v>
      </c>
      <c r="AB18" s="1117" t="str">
        <f t="shared" si="2"/>
        <v>Co in cathode</v>
      </c>
      <c r="AC18" s="1572">
        <f t="shared" si="2"/>
        <v>0</v>
      </c>
      <c r="BB18" s="1574" t="str">
        <f t="shared" ref="BB18:BC23" si="3">B100</f>
        <v>Li in cathode and electrolyte</v>
      </c>
      <c r="BC18" s="1571">
        <f t="shared" si="3"/>
        <v>0</v>
      </c>
    </row>
    <row r="19" spans="2:57">
      <c r="B19" s="1554" t="str">
        <f>C9</f>
        <v>Black mass</v>
      </c>
      <c r="C19" s="1545"/>
      <c r="D19" s="1545"/>
      <c r="E19" s="1546"/>
      <c r="F19" s="1554" t="str">
        <f>C10</f>
        <v/>
      </c>
      <c r="G19" s="1545"/>
      <c r="H19" s="1545"/>
      <c r="I19" s="1546"/>
      <c r="J19" s="1554" t="str">
        <f>C11</f>
        <v/>
      </c>
      <c r="K19" s="1545"/>
      <c r="L19" s="1545"/>
      <c r="M19" s="1546"/>
      <c r="N19" s="1554" t="str">
        <f>C12</f>
        <v/>
      </c>
      <c r="O19" s="1545"/>
      <c r="P19" s="1545"/>
      <c r="Q19" s="1546"/>
      <c r="R19" s="1554" t="str">
        <f>C13</f>
        <v/>
      </c>
      <c r="S19" s="1545"/>
      <c r="T19" s="1545"/>
      <c r="U19" s="1546"/>
      <c r="AB19" s="1117" t="str">
        <f t="shared" si="2"/>
        <v>Ni in cathode</v>
      </c>
      <c r="AC19" s="1572">
        <f t="shared" si="2"/>
        <v>0</v>
      </c>
      <c r="BB19" s="1117" t="str">
        <f t="shared" si="3"/>
        <v>Co in cathode</v>
      </c>
      <c r="BC19" s="1572">
        <f t="shared" si="3"/>
        <v>0</v>
      </c>
    </row>
    <row r="20" spans="2:57">
      <c r="B20" s="652"/>
      <c r="C20" s="1400" t="s">
        <v>51</v>
      </c>
      <c r="D20" s="1400" t="s">
        <v>63</v>
      </c>
      <c r="E20" s="850" t="s">
        <v>52</v>
      </c>
      <c r="F20" s="652"/>
      <c r="G20" s="1400" t="s">
        <v>51</v>
      </c>
      <c r="H20" s="1400" t="s">
        <v>63</v>
      </c>
      <c r="I20" s="850" t="s">
        <v>52</v>
      </c>
      <c r="J20" s="652"/>
      <c r="K20" s="1400" t="s">
        <v>51</v>
      </c>
      <c r="L20" s="1400" t="s">
        <v>63</v>
      </c>
      <c r="M20" s="850" t="s">
        <v>52</v>
      </c>
      <c r="N20" s="652"/>
      <c r="O20" s="1400" t="s">
        <v>51</v>
      </c>
      <c r="P20" s="1400" t="s">
        <v>63</v>
      </c>
      <c r="Q20" s="850" t="s">
        <v>52</v>
      </c>
      <c r="R20" s="652"/>
      <c r="S20" s="1400" t="s">
        <v>51</v>
      </c>
      <c r="T20" s="1400" t="s">
        <v>63</v>
      </c>
      <c r="U20" s="850" t="s">
        <v>52</v>
      </c>
      <c r="AB20" s="1117" t="str">
        <f t="shared" si="2"/>
        <v>Mn in cathode</v>
      </c>
      <c r="AC20" s="1572">
        <f t="shared" si="2"/>
        <v>0</v>
      </c>
      <c r="BB20" s="1117" t="str">
        <f t="shared" si="3"/>
        <v>Ni in cathode</v>
      </c>
      <c r="BC20" s="1572">
        <f t="shared" si="3"/>
        <v>0</v>
      </c>
    </row>
    <row r="21" spans="2:57">
      <c r="B21" s="1538" t="str">
        <f>B9</f>
        <v>NMC(622)</v>
      </c>
      <c r="C21" s="609">
        <f>IF(ISNUMBER(E21),E21,D21)</f>
        <v>0.60399999999999998</v>
      </c>
      <c r="D21" s="250">
        <f t="shared" ref="D21:D38" si="4">IF(C$9="End-of-life battery: pack",HLOOKUP(B$9,$C$201:$J$219,ROW(B21)-ROW(B$20)+1,FALSE),IF(C$9="End-of-life battery: module",HLOOKUP(B$9,$C$222:$J$240,ROW(B21)-ROW(B$20)+1,FALSE),IF(OR(C$9="End-of-life battery: cell",C$9="Manufacturing scrap: rejected cells"),HLOOKUP(B$9,$C$243:$J$261,ROW(B21)-ROW(B$20)+1,FALSE),IF(C$9="Manufacturing scrap: electrode",HLOOKUP(B$9,$C$264:$J$282,ROW(B21)-ROW(B$20)+1,FALSE),IF(C$9="Black mass",HLOOKUP(B$9,$C$285:$J$303,ROW(B21)-ROW(B$20)+1,FALSE),0)))))</f>
        <v>0.6036715153686516</v>
      </c>
      <c r="E21" s="1539">
        <v>0.60399999999999998</v>
      </c>
      <c r="F21" s="1538" t="str">
        <f>B10</f>
        <v/>
      </c>
      <c r="G21" s="609">
        <f>IF(ISNUMBER(I21),I21,H21)</f>
        <v>0</v>
      </c>
      <c r="H21" s="250">
        <f t="shared" ref="H21:H38" si="5">IF(C$10="End-of-life battery: pack",HLOOKUP(B$10,$C$201:$J$219,ROW(F21)-ROW(F$20)+1,FALSE),IF(C$10="End-of-life battery: module",HLOOKUP(B$10,$C$222:$J$240,ROW(F21)-ROW(F$20)+1,FALSE),IF(OR(C$10="End-of-life battery: cell",C$10="Manufacturing scrap: rejected cells"),HLOOKUP(B$10,$C$243:$J$261,ROW(F21)-ROW(F$20)+1,FALSE),IF(C$10="Manufacturing scrap: electrode",HLOOKUP(B$10,$C$264:$J$282,ROW(F21)-ROW(F$20)+1,FALSE),IF(C$10="Black mass",HLOOKUP(B$10,$C$285:$J$303,ROW(F21)-ROW(F$20)+1,FALSE),0)))))</f>
        <v>0</v>
      </c>
      <c r="I21" s="1539"/>
      <c r="J21" s="1538" t="str">
        <f>B11</f>
        <v/>
      </c>
      <c r="K21" s="609">
        <f>IF(ISNUMBER(M21),M21,L21)</f>
        <v>0</v>
      </c>
      <c r="L21" s="250">
        <f t="shared" ref="L21:L38" si="6">IF(C$11="End-of-life battery: pack",HLOOKUP(B$11,$C$201:$J$219,ROW(J21)-ROW(J$20)+1,FALSE),IF(C$11="End-of-life battery: module",HLOOKUP(B$11,$C$222:$J$240,ROW(J21)-ROW(J$20)+1,FALSE),IF(OR(C$11="End-of-life battery: cell",C$11="Manufacturing scrap: rejected cells"),HLOOKUP(B$11,$C$243:$J$261,ROW(J21)-ROW(J$20)+1,FALSE),IF(C$11="Manufacturing scrap: electrode",HLOOKUP(B$11,$C$264:$J$282,ROW(J21)-ROW(J$20)+1,FALSE),IF(C$11="Black mass",HLOOKUP(B$11,$C$285:$J$303,ROW(J21)-ROW(J$20)+1,FALSE),0)))))</f>
        <v>0</v>
      </c>
      <c r="M21" s="1539"/>
      <c r="N21" s="1538" t="str">
        <f>B12</f>
        <v/>
      </c>
      <c r="O21" s="609">
        <f>IF(ISNUMBER(Q21),Q21,P21)</f>
        <v>0</v>
      </c>
      <c r="P21" s="250">
        <f t="shared" ref="P21:P38" si="7">IF(C$12="End-of-life battery: pack",HLOOKUP(B$12,$C$201:$J$219,ROW(N21)-ROW(N$20)+1,FALSE),IF(C$12="End-of-life battery: module",HLOOKUP(B$12,$C$222:$J$240,ROW(N21)-ROW(N$20)+1,FALSE),IF(OR(C$12="End-of-life battery: cell",C$12="Manufacturing scrap: rejected cells"),HLOOKUP(B$12,$C$243:$J$261,ROW(N21)-ROW(N$20)+1,FALSE),IF(C$12="Manufacturing scrap: electrode",HLOOKUP(B$12,$C$264:$J$282,ROW(N21)-ROW(N$20)+1,FALSE),IF(C$12="Black mass",HLOOKUP(B$12,$C$285:$J$303,ROW(N21)-ROW(N$20)+1,FALSE),0)))))</f>
        <v>0</v>
      </c>
      <c r="Q21" s="1539"/>
      <c r="R21" s="1538" t="str">
        <f>B13</f>
        <v/>
      </c>
      <c r="S21" s="609">
        <f>IF(ISNUMBER(U21),U21,T21)</f>
        <v>0</v>
      </c>
      <c r="T21" s="250">
        <f t="shared" ref="T21:T38" si="8">IF(C$13="End-of-life battery: pack",HLOOKUP(B$13,$C$201:$J$219,ROW(R21)-ROW(R$20)+1,FALSE),IF(C$13="End-of-life battery: module",HLOOKUP(B$13,$C$222:$J$240,ROW(R21)-ROW(R$20)+1,FALSE),IF(OR(C$13="End-of-life battery: cell",C$13="Manufacturing scrap: rejected cells"),HLOOKUP(B$13,$C$243:$J$261,ROW(R21)-ROW(R$20)+1,FALSE),IF(C$13="Manufacturing scrap: electrode",HLOOKUP(B$13,$C$264:$J$282,ROW(R21)-ROW(R$20)+1,FALSE),IF(C$13="Black mass",HLOOKUP(B$13,$C$285:$J$303,ROW(R21)-ROW(R$20)+1,FALSE),0)))))</f>
        <v>0</v>
      </c>
      <c r="U21" s="1539"/>
      <c r="AB21" s="1117" t="str">
        <f t="shared" si="2"/>
        <v>F in PVDF and LiPF6</v>
      </c>
      <c r="AC21" s="1572">
        <f>C104</f>
        <v>0</v>
      </c>
      <c r="BB21" s="1117" t="str">
        <f t="shared" si="3"/>
        <v>Mn in cathode</v>
      </c>
      <c r="BC21" s="1572">
        <f t="shared" si="3"/>
        <v>0</v>
      </c>
    </row>
    <row r="22" spans="2:57">
      <c r="B22" s="1538" t="s">
        <v>54</v>
      </c>
      <c r="C22" s="609">
        <f>IF(E22&gt;0,E22,D22)</f>
        <v>0.36560607706993681</v>
      </c>
      <c r="D22" s="250">
        <f t="shared" si="4"/>
        <v>0.36560607706993681</v>
      </c>
      <c r="E22" s="1540"/>
      <c r="F22" s="1538" t="s">
        <v>54</v>
      </c>
      <c r="G22" s="609">
        <f>IF(I22&gt;0,I22,H22)</f>
        <v>0</v>
      </c>
      <c r="H22" s="250">
        <f t="shared" si="5"/>
        <v>0</v>
      </c>
      <c r="I22" s="1540"/>
      <c r="J22" s="1538" t="s">
        <v>54</v>
      </c>
      <c r="K22" s="609">
        <f>IF(M22&gt;0,M22,L22)</f>
        <v>0</v>
      </c>
      <c r="L22" s="250">
        <f t="shared" si="6"/>
        <v>0</v>
      </c>
      <c r="M22" s="1540"/>
      <c r="N22" s="1538" t="s">
        <v>54</v>
      </c>
      <c r="O22" s="609">
        <f>IF(Q22&gt;0,Q22,P22)</f>
        <v>0</v>
      </c>
      <c r="P22" s="250">
        <f t="shared" si="7"/>
        <v>0</v>
      </c>
      <c r="Q22" s="1540"/>
      <c r="R22" s="1538" t="s">
        <v>54</v>
      </c>
      <c r="S22" s="609">
        <f>IF(U22&gt;0,U22,T22)</f>
        <v>0</v>
      </c>
      <c r="T22" s="250">
        <f t="shared" si="8"/>
        <v>0</v>
      </c>
      <c r="U22" s="1540"/>
      <c r="AB22" s="1117" t="str">
        <f t="shared" si="2"/>
        <v>P in LiPF6</v>
      </c>
      <c r="AC22" s="1572">
        <f t="shared" si="2"/>
        <v>0</v>
      </c>
      <c r="BB22" s="1117" t="str">
        <f t="shared" si="3"/>
        <v>F in PVDF and LiPF6</v>
      </c>
      <c r="BC22" s="1572">
        <f t="shared" si="3"/>
        <v>0</v>
      </c>
    </row>
    <row r="23" spans="2:57">
      <c r="B23" s="1538" t="s">
        <v>55</v>
      </c>
      <c r="C23" s="609">
        <f>IF(E23&gt;0,E23,D23)</f>
        <v>1.2576489903513574E-2</v>
      </c>
      <c r="D23" s="250">
        <f t="shared" si="4"/>
        <v>1.2576489903513574E-2</v>
      </c>
      <c r="E23" s="1540"/>
      <c r="F23" s="1538" t="s">
        <v>55</v>
      </c>
      <c r="G23" s="609">
        <f>IF(I23&gt;0,I23,H23)</f>
        <v>0</v>
      </c>
      <c r="H23" s="250">
        <f t="shared" si="5"/>
        <v>0</v>
      </c>
      <c r="I23" s="1540"/>
      <c r="J23" s="1538" t="s">
        <v>55</v>
      </c>
      <c r="K23" s="609">
        <f>IF(M23&gt;0,M23,L23)</f>
        <v>0</v>
      </c>
      <c r="L23" s="250">
        <f t="shared" si="6"/>
        <v>0</v>
      </c>
      <c r="M23" s="1540"/>
      <c r="N23" s="1538" t="s">
        <v>55</v>
      </c>
      <c r="O23" s="609">
        <f>IF(Q23&gt;0,Q23,P23)</f>
        <v>0</v>
      </c>
      <c r="P23" s="250">
        <f t="shared" si="7"/>
        <v>0</v>
      </c>
      <c r="Q23" s="1540"/>
      <c r="R23" s="1538" t="s">
        <v>55</v>
      </c>
      <c r="S23" s="609">
        <f>IF(U23&gt;0,U23,T23)</f>
        <v>0</v>
      </c>
      <c r="T23" s="250">
        <f t="shared" si="8"/>
        <v>0</v>
      </c>
      <c r="U23" s="1540"/>
      <c r="AB23" s="1117" t="s">
        <v>1780</v>
      </c>
      <c r="AC23" s="1572">
        <f>SUM(C41:C48)</f>
        <v>0</v>
      </c>
      <c r="BB23" s="1117" t="str">
        <f t="shared" si="3"/>
        <v>P in LiPF6</v>
      </c>
      <c r="BC23" s="1572">
        <f t="shared" si="3"/>
        <v>0</v>
      </c>
    </row>
    <row r="24" spans="2:57">
      <c r="B24" s="1538" t="s">
        <v>56</v>
      </c>
      <c r="C24" s="609">
        <f t="shared" ref="C24:C38" si="9">IF(E24&gt;0,E24,D24)</f>
        <v>6.6192052123755668E-4</v>
      </c>
      <c r="D24" s="250">
        <f t="shared" si="4"/>
        <v>6.6192052123755668E-4</v>
      </c>
      <c r="E24" s="1540"/>
      <c r="F24" s="1538" t="s">
        <v>56</v>
      </c>
      <c r="G24" s="609">
        <f t="shared" ref="G24:G38" si="10">IF(I24&gt;0,I24,H24)</f>
        <v>0</v>
      </c>
      <c r="H24" s="250">
        <f t="shared" si="5"/>
        <v>0</v>
      </c>
      <c r="I24" s="1540"/>
      <c r="J24" s="1538" t="s">
        <v>56</v>
      </c>
      <c r="K24" s="609">
        <f t="shared" ref="K24:K38" si="11">IF(M24&gt;0,M24,L24)</f>
        <v>0</v>
      </c>
      <c r="L24" s="250">
        <f t="shared" si="6"/>
        <v>0</v>
      </c>
      <c r="M24" s="1540"/>
      <c r="N24" s="1538" t="s">
        <v>56</v>
      </c>
      <c r="O24" s="609">
        <f t="shared" ref="O24:O38" si="12">IF(Q24&gt;0,Q24,P24)</f>
        <v>0</v>
      </c>
      <c r="P24" s="250">
        <f t="shared" si="7"/>
        <v>0</v>
      </c>
      <c r="Q24" s="1540"/>
      <c r="R24" s="1538" t="s">
        <v>56</v>
      </c>
      <c r="S24" s="609">
        <f t="shared" ref="S24:S38" si="13">IF(U24&gt;0,U24,T24)</f>
        <v>0</v>
      </c>
      <c r="T24" s="250">
        <f t="shared" si="8"/>
        <v>0</v>
      </c>
      <c r="U24" s="1540"/>
      <c r="AB24" s="1117" t="str">
        <f>B49</f>
        <v>Graphite</v>
      </c>
      <c r="AC24" s="1572">
        <f>C49</f>
        <v>0</v>
      </c>
      <c r="BB24" s="1117" t="s">
        <v>1780</v>
      </c>
      <c r="BC24" s="1572">
        <f>SUM(C41:C48)</f>
        <v>0</v>
      </c>
    </row>
    <row r="25" spans="2:57">
      <c r="B25" s="1538" t="s">
        <v>1622</v>
      </c>
      <c r="C25" s="609">
        <f t="shared" si="9"/>
        <v>3.9270255324375591E-4</v>
      </c>
      <c r="D25" s="250">
        <f t="shared" si="4"/>
        <v>3.9270255324375591E-4</v>
      </c>
      <c r="E25" s="1540"/>
      <c r="F25" s="1538" t="s">
        <v>1622</v>
      </c>
      <c r="G25" s="609">
        <f t="shared" si="10"/>
        <v>0</v>
      </c>
      <c r="H25" s="250">
        <f t="shared" si="5"/>
        <v>0</v>
      </c>
      <c r="I25" s="1540"/>
      <c r="J25" s="1538" t="s">
        <v>1622</v>
      </c>
      <c r="K25" s="609">
        <f t="shared" si="11"/>
        <v>0</v>
      </c>
      <c r="L25" s="250">
        <f t="shared" si="6"/>
        <v>0</v>
      </c>
      <c r="M25" s="1540"/>
      <c r="N25" s="1538" t="s">
        <v>1622</v>
      </c>
      <c r="O25" s="609">
        <f t="shared" si="12"/>
        <v>0</v>
      </c>
      <c r="P25" s="250">
        <f t="shared" si="7"/>
        <v>0</v>
      </c>
      <c r="Q25" s="1540"/>
      <c r="R25" s="1538" t="s">
        <v>1622</v>
      </c>
      <c r="S25" s="609">
        <f t="shared" si="13"/>
        <v>0</v>
      </c>
      <c r="T25" s="250">
        <f t="shared" si="8"/>
        <v>0</v>
      </c>
      <c r="U25" s="1540"/>
      <c r="AB25" s="1117" t="str">
        <f t="shared" ref="AB25:AB40" si="14">B50</f>
        <v>Carbon black</v>
      </c>
      <c r="AC25" s="1572">
        <f t="shared" ref="AC25:AC40" si="15">C50</f>
        <v>0</v>
      </c>
      <c r="BB25" s="1117" t="str">
        <f t="shared" ref="BB25:BB41" si="16">B49</f>
        <v>Graphite</v>
      </c>
      <c r="BC25" s="1572">
        <f t="shared" ref="BC25:BC41" si="17">C49</f>
        <v>0</v>
      </c>
    </row>
    <row r="26" spans="2:57">
      <c r="B26" s="1538" t="s">
        <v>41</v>
      </c>
      <c r="C26" s="609">
        <f t="shared" si="9"/>
        <v>1.0357692356299445E-2</v>
      </c>
      <c r="D26" s="250">
        <f t="shared" si="4"/>
        <v>1.0357692356299445E-2</v>
      </c>
      <c r="E26" s="1540"/>
      <c r="F26" s="1538" t="s">
        <v>41</v>
      </c>
      <c r="G26" s="609">
        <f t="shared" si="10"/>
        <v>0</v>
      </c>
      <c r="H26" s="250">
        <f t="shared" si="5"/>
        <v>0</v>
      </c>
      <c r="I26" s="1540"/>
      <c r="J26" s="1538" t="s">
        <v>41</v>
      </c>
      <c r="K26" s="609">
        <f t="shared" si="11"/>
        <v>0</v>
      </c>
      <c r="L26" s="250">
        <f t="shared" si="6"/>
        <v>0</v>
      </c>
      <c r="M26" s="1540"/>
      <c r="N26" s="1538" t="s">
        <v>41</v>
      </c>
      <c r="O26" s="609">
        <f t="shared" si="12"/>
        <v>0</v>
      </c>
      <c r="P26" s="250">
        <f t="shared" si="7"/>
        <v>0</v>
      </c>
      <c r="Q26" s="1540"/>
      <c r="R26" s="1538" t="s">
        <v>41</v>
      </c>
      <c r="S26" s="609">
        <f t="shared" si="13"/>
        <v>0</v>
      </c>
      <c r="T26" s="250">
        <f t="shared" si="8"/>
        <v>0</v>
      </c>
      <c r="U26" s="1540"/>
      <c r="AB26" s="1117" t="str">
        <f t="shared" si="14"/>
        <v>Binder: PVDF</v>
      </c>
      <c r="AC26" s="1572">
        <f t="shared" si="15"/>
        <v>0</v>
      </c>
      <c r="AD26"/>
      <c r="AE26"/>
      <c r="BB26" s="1117" t="str">
        <f t="shared" si="16"/>
        <v>Carbon black</v>
      </c>
      <c r="BC26" s="1572">
        <f t="shared" si="17"/>
        <v>0</v>
      </c>
    </row>
    <row r="27" spans="2:57">
      <c r="B27" s="1538" t="s">
        <v>398</v>
      </c>
      <c r="C27" s="609">
        <f t="shared" si="9"/>
        <v>6.7336022271171888E-3</v>
      </c>
      <c r="D27" s="250">
        <f t="shared" si="4"/>
        <v>6.7336022271171888E-3</v>
      </c>
      <c r="E27" s="1540"/>
      <c r="F27" s="1538" t="s">
        <v>398</v>
      </c>
      <c r="G27" s="609">
        <f t="shared" si="10"/>
        <v>0</v>
      </c>
      <c r="H27" s="250">
        <f t="shared" si="5"/>
        <v>0</v>
      </c>
      <c r="I27" s="1540"/>
      <c r="J27" s="1538" t="s">
        <v>398</v>
      </c>
      <c r="K27" s="609">
        <f t="shared" si="11"/>
        <v>0</v>
      </c>
      <c r="L27" s="250">
        <f t="shared" si="6"/>
        <v>0</v>
      </c>
      <c r="M27" s="1540"/>
      <c r="N27" s="1538" t="s">
        <v>398</v>
      </c>
      <c r="O27" s="609">
        <f t="shared" si="12"/>
        <v>0</v>
      </c>
      <c r="P27" s="250">
        <f t="shared" si="7"/>
        <v>0</v>
      </c>
      <c r="Q27" s="1540"/>
      <c r="R27" s="1538" t="s">
        <v>398</v>
      </c>
      <c r="S27" s="609">
        <f t="shared" si="13"/>
        <v>0</v>
      </c>
      <c r="T27" s="250">
        <f t="shared" si="8"/>
        <v>0</v>
      </c>
      <c r="U27" s="1540"/>
      <c r="AB27" s="1117" t="str">
        <f t="shared" si="14"/>
        <v>Binder: anode</v>
      </c>
      <c r="AC27" s="1572">
        <f t="shared" si="15"/>
        <v>0</v>
      </c>
      <c r="BB27" s="1117" t="str">
        <f t="shared" si="16"/>
        <v>Binder: PVDF</v>
      </c>
      <c r="BC27" s="1572">
        <f t="shared" si="17"/>
        <v>0</v>
      </c>
      <c r="BD27"/>
      <c r="BE27"/>
    </row>
    <row r="28" spans="2:57">
      <c r="B28" s="1538" t="s">
        <v>57</v>
      </c>
      <c r="C28" s="609">
        <f t="shared" si="9"/>
        <v>0</v>
      </c>
      <c r="D28" s="250">
        <f t="shared" si="4"/>
        <v>0</v>
      </c>
      <c r="E28" s="1540"/>
      <c r="F28" s="1538" t="s">
        <v>57</v>
      </c>
      <c r="G28" s="609">
        <f t="shared" si="10"/>
        <v>0</v>
      </c>
      <c r="H28" s="250">
        <f t="shared" si="5"/>
        <v>0</v>
      </c>
      <c r="I28" s="1540"/>
      <c r="J28" s="1538" t="s">
        <v>57</v>
      </c>
      <c r="K28" s="609">
        <f t="shared" si="11"/>
        <v>0</v>
      </c>
      <c r="L28" s="250">
        <f t="shared" si="6"/>
        <v>0</v>
      </c>
      <c r="M28" s="1540"/>
      <c r="N28" s="1538" t="s">
        <v>57</v>
      </c>
      <c r="O28" s="609">
        <f t="shared" si="12"/>
        <v>0</v>
      </c>
      <c r="P28" s="250">
        <f t="shared" si="7"/>
        <v>0</v>
      </c>
      <c r="Q28" s="1540"/>
      <c r="R28" s="1538" t="s">
        <v>57</v>
      </c>
      <c r="S28" s="609">
        <f t="shared" si="13"/>
        <v>0</v>
      </c>
      <c r="T28" s="250">
        <f t="shared" si="8"/>
        <v>0</v>
      </c>
      <c r="U28" s="1540"/>
      <c r="AB28" s="1117" t="str">
        <f t="shared" si="14"/>
        <v>Copper</v>
      </c>
      <c r="AC28" s="1572">
        <f t="shared" si="15"/>
        <v>0</v>
      </c>
      <c r="BB28" s="1117" t="str">
        <f t="shared" si="16"/>
        <v>Binder: anode</v>
      </c>
      <c r="BC28" s="1572">
        <f t="shared" si="17"/>
        <v>0</v>
      </c>
    </row>
    <row r="29" spans="2:57">
      <c r="B29" s="1538" t="s">
        <v>58</v>
      </c>
      <c r="C29" s="610">
        <f t="shared" si="9"/>
        <v>0</v>
      </c>
      <c r="D29" s="250">
        <f t="shared" si="4"/>
        <v>0</v>
      </c>
      <c r="E29" s="1540"/>
      <c r="F29" s="1538" t="s">
        <v>58</v>
      </c>
      <c r="G29" s="610">
        <f t="shared" si="10"/>
        <v>0</v>
      </c>
      <c r="H29" s="250">
        <f t="shared" si="5"/>
        <v>0</v>
      </c>
      <c r="I29" s="1540"/>
      <c r="J29" s="1538" t="s">
        <v>58</v>
      </c>
      <c r="K29" s="610">
        <f t="shared" si="11"/>
        <v>0</v>
      </c>
      <c r="L29" s="250">
        <f t="shared" si="6"/>
        <v>0</v>
      </c>
      <c r="M29" s="1540"/>
      <c r="N29" s="1538" t="s">
        <v>58</v>
      </c>
      <c r="O29" s="610">
        <f t="shared" si="12"/>
        <v>0</v>
      </c>
      <c r="P29" s="250">
        <f t="shared" si="7"/>
        <v>0</v>
      </c>
      <c r="Q29" s="1540"/>
      <c r="R29" s="1538" t="s">
        <v>58</v>
      </c>
      <c r="S29" s="610">
        <f t="shared" si="13"/>
        <v>0</v>
      </c>
      <c r="T29" s="250">
        <f t="shared" si="8"/>
        <v>0</v>
      </c>
      <c r="U29" s="1540"/>
      <c r="AB29" s="1117" t="str">
        <f t="shared" si="14"/>
        <v>Aluminum</v>
      </c>
      <c r="AC29" s="1572">
        <f t="shared" si="15"/>
        <v>0</v>
      </c>
      <c r="BB29" s="1117" t="str">
        <f t="shared" si="16"/>
        <v>Copper</v>
      </c>
      <c r="BC29" s="1572">
        <f t="shared" si="17"/>
        <v>0</v>
      </c>
    </row>
    <row r="30" spans="2:57">
      <c r="B30" s="1538" t="s">
        <v>59</v>
      </c>
      <c r="C30" s="610">
        <f t="shared" si="9"/>
        <v>0</v>
      </c>
      <c r="D30" s="250">
        <f t="shared" si="4"/>
        <v>0</v>
      </c>
      <c r="E30" s="1540"/>
      <c r="F30" s="1538" t="s">
        <v>59</v>
      </c>
      <c r="G30" s="610">
        <f t="shared" si="10"/>
        <v>0</v>
      </c>
      <c r="H30" s="250">
        <f t="shared" si="5"/>
        <v>0</v>
      </c>
      <c r="I30" s="1540"/>
      <c r="J30" s="1538" t="s">
        <v>59</v>
      </c>
      <c r="K30" s="610">
        <f t="shared" si="11"/>
        <v>0</v>
      </c>
      <c r="L30" s="250">
        <f t="shared" si="6"/>
        <v>0</v>
      </c>
      <c r="M30" s="1540"/>
      <c r="N30" s="1538" t="s">
        <v>59</v>
      </c>
      <c r="O30" s="610">
        <f t="shared" si="12"/>
        <v>0</v>
      </c>
      <c r="P30" s="250">
        <f t="shared" si="7"/>
        <v>0</v>
      </c>
      <c r="Q30" s="1540"/>
      <c r="R30" s="1538" t="s">
        <v>59</v>
      </c>
      <c r="S30" s="610">
        <f t="shared" si="13"/>
        <v>0</v>
      </c>
      <c r="T30" s="250">
        <f t="shared" si="8"/>
        <v>0</v>
      </c>
      <c r="U30" s="1540"/>
      <c r="AB30" s="1117" t="str">
        <f t="shared" si="14"/>
        <v>Electrolyte: LiPF6</v>
      </c>
      <c r="AC30" s="1572">
        <f t="shared" si="15"/>
        <v>0</v>
      </c>
      <c r="BB30" s="1117" t="str">
        <f t="shared" si="16"/>
        <v>Aluminum</v>
      </c>
      <c r="BC30" s="1572">
        <f t="shared" si="17"/>
        <v>0</v>
      </c>
    </row>
    <row r="31" spans="2:57">
      <c r="B31" s="1538" t="s">
        <v>60</v>
      </c>
      <c r="C31" s="610">
        <f t="shared" si="9"/>
        <v>0</v>
      </c>
      <c r="D31" s="250">
        <f t="shared" si="4"/>
        <v>0</v>
      </c>
      <c r="E31" s="1540"/>
      <c r="F31" s="1538" t="s">
        <v>60</v>
      </c>
      <c r="G31" s="610">
        <f t="shared" si="10"/>
        <v>0</v>
      </c>
      <c r="H31" s="250">
        <f t="shared" si="5"/>
        <v>0</v>
      </c>
      <c r="I31" s="1540"/>
      <c r="J31" s="1538" t="s">
        <v>60</v>
      </c>
      <c r="K31" s="610">
        <f t="shared" si="11"/>
        <v>0</v>
      </c>
      <c r="L31" s="250">
        <f t="shared" si="6"/>
        <v>0</v>
      </c>
      <c r="M31" s="1540"/>
      <c r="N31" s="1538" t="s">
        <v>60</v>
      </c>
      <c r="O31" s="610">
        <f t="shared" si="12"/>
        <v>0</v>
      </c>
      <c r="P31" s="250">
        <f t="shared" si="7"/>
        <v>0</v>
      </c>
      <c r="Q31" s="1540"/>
      <c r="R31" s="1538" t="s">
        <v>60</v>
      </c>
      <c r="S31" s="610">
        <f t="shared" si="13"/>
        <v>0</v>
      </c>
      <c r="T31" s="250">
        <f t="shared" si="8"/>
        <v>0</v>
      </c>
      <c r="U31" s="1540"/>
      <c r="AB31" s="1117" t="str">
        <f t="shared" si="14"/>
        <v>Electrolyte: EC</v>
      </c>
      <c r="AC31" s="1572">
        <f t="shared" si="15"/>
        <v>0</v>
      </c>
      <c r="BB31" s="1117" t="str">
        <f t="shared" si="16"/>
        <v>Electrolyte: LiPF6</v>
      </c>
      <c r="BC31" s="1572">
        <f t="shared" si="17"/>
        <v>0</v>
      </c>
    </row>
    <row r="32" spans="2:57">
      <c r="B32" s="1538" t="s">
        <v>61</v>
      </c>
      <c r="C32" s="610">
        <f t="shared" si="9"/>
        <v>0</v>
      </c>
      <c r="D32" s="250">
        <f t="shared" si="4"/>
        <v>0</v>
      </c>
      <c r="E32" s="1540"/>
      <c r="F32" s="1538" t="s">
        <v>61</v>
      </c>
      <c r="G32" s="610">
        <f t="shared" si="10"/>
        <v>0</v>
      </c>
      <c r="H32" s="250">
        <f t="shared" si="5"/>
        <v>0</v>
      </c>
      <c r="I32" s="1540"/>
      <c r="J32" s="1538" t="s">
        <v>61</v>
      </c>
      <c r="K32" s="610">
        <f t="shared" si="11"/>
        <v>0</v>
      </c>
      <c r="L32" s="250">
        <f t="shared" si="6"/>
        <v>0</v>
      </c>
      <c r="M32" s="1540"/>
      <c r="N32" s="1538" t="s">
        <v>61</v>
      </c>
      <c r="O32" s="610">
        <f t="shared" si="12"/>
        <v>0</v>
      </c>
      <c r="P32" s="250">
        <f t="shared" si="7"/>
        <v>0</v>
      </c>
      <c r="Q32" s="1540"/>
      <c r="R32" s="1538" t="s">
        <v>61</v>
      </c>
      <c r="S32" s="610">
        <f t="shared" si="13"/>
        <v>0</v>
      </c>
      <c r="T32" s="250">
        <f t="shared" si="8"/>
        <v>0</v>
      </c>
      <c r="U32" s="1540"/>
      <c r="AB32" s="1117" t="str">
        <f t="shared" si="14"/>
        <v>Electrolyte: DMC</v>
      </c>
      <c r="AC32" s="1572">
        <f t="shared" si="15"/>
        <v>0</v>
      </c>
      <c r="BB32" s="1117" t="str">
        <f t="shared" si="16"/>
        <v>Electrolyte: EC</v>
      </c>
      <c r="BC32" s="1572">
        <f t="shared" si="17"/>
        <v>0</v>
      </c>
    </row>
    <row r="33" spans="2:55">
      <c r="B33" s="1538" t="s">
        <v>62</v>
      </c>
      <c r="C33" s="610">
        <f t="shared" si="9"/>
        <v>0</v>
      </c>
      <c r="D33" s="250">
        <f t="shared" si="4"/>
        <v>0</v>
      </c>
      <c r="E33" s="1540"/>
      <c r="F33" s="1538" t="s">
        <v>62</v>
      </c>
      <c r="G33" s="610">
        <f t="shared" si="10"/>
        <v>0</v>
      </c>
      <c r="H33" s="250">
        <f t="shared" si="5"/>
        <v>0</v>
      </c>
      <c r="I33" s="1540"/>
      <c r="J33" s="1538" t="s">
        <v>62</v>
      </c>
      <c r="K33" s="610">
        <f t="shared" si="11"/>
        <v>0</v>
      </c>
      <c r="L33" s="250">
        <f t="shared" si="6"/>
        <v>0</v>
      </c>
      <c r="M33" s="1540"/>
      <c r="N33" s="1538" t="s">
        <v>62</v>
      </c>
      <c r="O33" s="610">
        <f t="shared" si="12"/>
        <v>0</v>
      </c>
      <c r="P33" s="250">
        <f t="shared" si="7"/>
        <v>0</v>
      </c>
      <c r="Q33" s="1540"/>
      <c r="R33" s="1538" t="s">
        <v>62</v>
      </c>
      <c r="S33" s="610">
        <f t="shared" si="13"/>
        <v>0</v>
      </c>
      <c r="T33" s="250">
        <f t="shared" si="8"/>
        <v>0</v>
      </c>
      <c r="U33" s="1540"/>
      <c r="AB33" s="1117" t="str">
        <f t="shared" si="14"/>
        <v>Plastic: PP</v>
      </c>
      <c r="AC33" s="1572">
        <f t="shared" si="15"/>
        <v>0</v>
      </c>
      <c r="BB33" s="1117" t="str">
        <f t="shared" si="16"/>
        <v>Electrolyte: DMC</v>
      </c>
      <c r="BC33" s="1572">
        <f t="shared" si="17"/>
        <v>0</v>
      </c>
    </row>
    <row r="34" spans="2:55">
      <c r="B34" s="1538" t="s">
        <v>439</v>
      </c>
      <c r="C34" s="610">
        <f t="shared" si="9"/>
        <v>0</v>
      </c>
      <c r="D34" s="250">
        <f t="shared" si="4"/>
        <v>0</v>
      </c>
      <c r="E34" s="1540"/>
      <c r="F34" s="1538" t="s">
        <v>439</v>
      </c>
      <c r="G34" s="610">
        <f t="shared" si="10"/>
        <v>0</v>
      </c>
      <c r="H34" s="250">
        <f t="shared" si="5"/>
        <v>0</v>
      </c>
      <c r="I34" s="1540"/>
      <c r="J34" s="1538" t="s">
        <v>439</v>
      </c>
      <c r="K34" s="610">
        <f t="shared" si="11"/>
        <v>0</v>
      </c>
      <c r="L34" s="250">
        <f t="shared" si="6"/>
        <v>0</v>
      </c>
      <c r="M34" s="1540"/>
      <c r="N34" s="1538" t="s">
        <v>439</v>
      </c>
      <c r="O34" s="610">
        <f t="shared" si="12"/>
        <v>0</v>
      </c>
      <c r="P34" s="250">
        <f t="shared" si="7"/>
        <v>0</v>
      </c>
      <c r="Q34" s="1540"/>
      <c r="R34" s="1538" t="s">
        <v>439</v>
      </c>
      <c r="S34" s="610">
        <f t="shared" si="13"/>
        <v>0</v>
      </c>
      <c r="T34" s="250">
        <f t="shared" si="8"/>
        <v>0</v>
      </c>
      <c r="U34" s="1540"/>
      <c r="AB34" s="1117" t="str">
        <f t="shared" si="14"/>
        <v>Plastic: PE</v>
      </c>
      <c r="AC34" s="1572">
        <f t="shared" si="15"/>
        <v>0</v>
      </c>
      <c r="BB34" s="1117" t="str">
        <f t="shared" si="16"/>
        <v>Plastic: PP</v>
      </c>
      <c r="BC34" s="1572">
        <f t="shared" si="17"/>
        <v>0</v>
      </c>
    </row>
    <row r="35" spans="2:55">
      <c r="B35" s="1538" t="s">
        <v>1691</v>
      </c>
      <c r="C35" s="610">
        <f t="shared" si="9"/>
        <v>0</v>
      </c>
      <c r="D35" s="250">
        <f t="shared" si="4"/>
        <v>0</v>
      </c>
      <c r="E35" s="1540"/>
      <c r="F35" s="1538" t="s">
        <v>1691</v>
      </c>
      <c r="G35" s="610">
        <f t="shared" si="10"/>
        <v>0</v>
      </c>
      <c r="H35" s="250">
        <f t="shared" si="5"/>
        <v>0</v>
      </c>
      <c r="I35" s="1540"/>
      <c r="J35" s="1538" t="s">
        <v>1691</v>
      </c>
      <c r="K35" s="610">
        <f t="shared" si="11"/>
        <v>0</v>
      </c>
      <c r="L35" s="250">
        <f t="shared" si="6"/>
        <v>0</v>
      </c>
      <c r="M35" s="1540"/>
      <c r="N35" s="1538" t="s">
        <v>1691</v>
      </c>
      <c r="O35" s="610">
        <f t="shared" si="12"/>
        <v>0</v>
      </c>
      <c r="P35" s="250">
        <f t="shared" si="7"/>
        <v>0</v>
      </c>
      <c r="Q35" s="1540"/>
      <c r="R35" s="1538" t="s">
        <v>1691</v>
      </c>
      <c r="S35" s="610">
        <f t="shared" si="13"/>
        <v>0</v>
      </c>
      <c r="T35" s="250">
        <f t="shared" si="8"/>
        <v>0</v>
      </c>
      <c r="U35" s="1540"/>
      <c r="AB35" s="1117" t="str">
        <f t="shared" si="14"/>
        <v>Plastic: PET</v>
      </c>
      <c r="AC35" s="1572">
        <f t="shared" si="15"/>
        <v>0</v>
      </c>
      <c r="BB35" s="1117" t="str">
        <f t="shared" si="16"/>
        <v>Plastic: PE</v>
      </c>
      <c r="BC35" s="1572">
        <f t="shared" si="17"/>
        <v>0</v>
      </c>
    </row>
    <row r="36" spans="2:55">
      <c r="B36" s="1538" t="s">
        <v>1721</v>
      </c>
      <c r="C36" s="610">
        <f t="shared" si="9"/>
        <v>0</v>
      </c>
      <c r="D36" s="250">
        <f t="shared" si="4"/>
        <v>0</v>
      </c>
      <c r="E36" s="1540"/>
      <c r="F36" s="1538" t="s">
        <v>1721</v>
      </c>
      <c r="G36" s="610">
        <f t="shared" si="10"/>
        <v>0</v>
      </c>
      <c r="H36" s="250">
        <f t="shared" si="5"/>
        <v>0</v>
      </c>
      <c r="I36" s="1540"/>
      <c r="J36" s="1538" t="s">
        <v>1721</v>
      </c>
      <c r="K36" s="610">
        <f t="shared" si="11"/>
        <v>0</v>
      </c>
      <c r="L36" s="250">
        <f t="shared" si="6"/>
        <v>0</v>
      </c>
      <c r="M36" s="1540"/>
      <c r="N36" s="1538" t="s">
        <v>1721</v>
      </c>
      <c r="O36" s="610">
        <f t="shared" si="12"/>
        <v>0</v>
      </c>
      <c r="P36" s="250">
        <f t="shared" si="7"/>
        <v>0</v>
      </c>
      <c r="Q36" s="1540"/>
      <c r="R36" s="1538" t="s">
        <v>1721</v>
      </c>
      <c r="S36" s="610">
        <f t="shared" si="13"/>
        <v>0</v>
      </c>
      <c r="T36" s="250">
        <f t="shared" si="8"/>
        <v>0</v>
      </c>
      <c r="U36" s="1540"/>
      <c r="AB36" s="1117" t="str">
        <f t="shared" si="14"/>
        <v>Steel</v>
      </c>
      <c r="AC36" s="1572">
        <f t="shared" si="15"/>
        <v>0</v>
      </c>
      <c r="BB36" s="1117" t="str">
        <f t="shared" si="16"/>
        <v>Plastic: PET</v>
      </c>
      <c r="BC36" s="1572">
        <f t="shared" si="17"/>
        <v>0</v>
      </c>
    </row>
    <row r="37" spans="2:55">
      <c r="B37" s="1538" t="s">
        <v>1569</v>
      </c>
      <c r="C37" s="610">
        <f t="shared" si="9"/>
        <v>0</v>
      </c>
      <c r="D37" s="250">
        <f t="shared" si="4"/>
        <v>0</v>
      </c>
      <c r="E37" s="1540"/>
      <c r="F37" s="1538" t="s">
        <v>1569</v>
      </c>
      <c r="G37" s="610">
        <f t="shared" si="10"/>
        <v>0</v>
      </c>
      <c r="H37" s="250">
        <f t="shared" si="5"/>
        <v>0</v>
      </c>
      <c r="I37" s="1540"/>
      <c r="J37" s="1538" t="s">
        <v>1569</v>
      </c>
      <c r="K37" s="610">
        <f t="shared" si="11"/>
        <v>0</v>
      </c>
      <c r="L37" s="250">
        <f t="shared" si="6"/>
        <v>0</v>
      </c>
      <c r="M37" s="1540"/>
      <c r="N37" s="1538" t="s">
        <v>1569</v>
      </c>
      <c r="O37" s="610">
        <f t="shared" si="12"/>
        <v>0</v>
      </c>
      <c r="P37" s="250">
        <f t="shared" si="7"/>
        <v>0</v>
      </c>
      <c r="Q37" s="1540"/>
      <c r="R37" s="1538" t="s">
        <v>1569</v>
      </c>
      <c r="S37" s="610">
        <f t="shared" si="13"/>
        <v>0</v>
      </c>
      <c r="T37" s="250">
        <f t="shared" si="8"/>
        <v>0</v>
      </c>
      <c r="U37" s="1540"/>
      <c r="AB37" s="1117" t="str">
        <f t="shared" si="14"/>
        <v>Iron</v>
      </c>
      <c r="AC37" s="1572">
        <f t="shared" si="15"/>
        <v>0</v>
      </c>
      <c r="BB37" s="1117" t="str">
        <f t="shared" si="16"/>
        <v>Steel</v>
      </c>
      <c r="BC37" s="1572">
        <f t="shared" si="17"/>
        <v>0</v>
      </c>
    </row>
    <row r="38" spans="2:55" ht="14.5" thickBot="1">
      <c r="B38" s="1541" t="s">
        <v>1567</v>
      </c>
      <c r="C38" s="1542">
        <f t="shared" si="9"/>
        <v>0</v>
      </c>
      <c r="D38" s="1543">
        <f t="shared" si="4"/>
        <v>0</v>
      </c>
      <c r="E38" s="1544"/>
      <c r="F38" s="1541" t="s">
        <v>1567</v>
      </c>
      <c r="G38" s="1542">
        <f t="shared" si="10"/>
        <v>0</v>
      </c>
      <c r="H38" s="1543">
        <f t="shared" si="5"/>
        <v>0</v>
      </c>
      <c r="I38" s="1544"/>
      <c r="J38" s="1541" t="s">
        <v>1567</v>
      </c>
      <c r="K38" s="1542">
        <f t="shared" si="11"/>
        <v>0</v>
      </c>
      <c r="L38" s="1543">
        <f t="shared" si="6"/>
        <v>0</v>
      </c>
      <c r="M38" s="1544"/>
      <c r="N38" s="1541" t="s">
        <v>1567</v>
      </c>
      <c r="O38" s="1542">
        <f t="shared" si="12"/>
        <v>0</v>
      </c>
      <c r="P38" s="1543">
        <f t="shared" si="7"/>
        <v>0</v>
      </c>
      <c r="Q38" s="1544"/>
      <c r="R38" s="1541" t="s">
        <v>1567</v>
      </c>
      <c r="S38" s="1542">
        <f t="shared" si="13"/>
        <v>0</v>
      </c>
      <c r="T38" s="1543">
        <f t="shared" si="8"/>
        <v>0</v>
      </c>
      <c r="U38" s="1544"/>
      <c r="AB38" s="1117" t="str">
        <f t="shared" si="14"/>
        <v>Electronics</v>
      </c>
      <c r="AC38" s="1572">
        <f t="shared" si="15"/>
        <v>0</v>
      </c>
      <c r="BB38" s="1117" t="str">
        <f t="shared" si="16"/>
        <v>Iron</v>
      </c>
      <c r="BC38" s="1572">
        <f t="shared" si="17"/>
        <v>0</v>
      </c>
    </row>
    <row r="39" spans="2:55">
      <c r="B39" t="s">
        <v>1728</v>
      </c>
      <c r="C39"/>
      <c r="D39"/>
      <c r="E39"/>
      <c r="AB39" s="1117" t="str">
        <f t="shared" si="14"/>
        <v>Coolant</v>
      </c>
      <c r="AC39" s="1572">
        <f t="shared" si="15"/>
        <v>0</v>
      </c>
      <c r="BB39" s="1117" t="str">
        <f t="shared" si="16"/>
        <v>Electronics</v>
      </c>
      <c r="BC39" s="1572">
        <f t="shared" si="17"/>
        <v>0</v>
      </c>
    </row>
    <row r="40" spans="2:55">
      <c r="B40" s="1419"/>
      <c r="C40" s="1393" t="s">
        <v>51</v>
      </c>
      <c r="D40" s="1393" t="s">
        <v>63</v>
      </c>
      <c r="E40" s="1394" t="s">
        <v>52</v>
      </c>
      <c r="AB40" s="1575" t="str">
        <f t="shared" si="14"/>
        <v>Insulation</v>
      </c>
      <c r="AC40" s="1573">
        <f t="shared" si="15"/>
        <v>0</v>
      </c>
      <c r="BB40" s="1117" t="str">
        <f t="shared" si="16"/>
        <v>Coolant</v>
      </c>
      <c r="BC40" s="1572">
        <f t="shared" si="17"/>
        <v>0</v>
      </c>
    </row>
    <row r="41" spans="2:55">
      <c r="B41" s="147" t="s">
        <v>42</v>
      </c>
      <c r="C41" s="609">
        <f>IF(ISNUMBER(E41),E41,D41)</f>
        <v>0</v>
      </c>
      <c r="D41" s="250">
        <f>IF(B$21=B41,C$21*D$18,0)+IF(F$21=B41,G$21*H$18,0)+IF(J$21=B41,K$21*L$18,0)+IF(N$21=B41,O$21*P$18,0)+IF(R$21=B41,S$21*T$18,0)</f>
        <v>0</v>
      </c>
      <c r="E41" s="155"/>
      <c r="BB41" s="1575" t="str">
        <f t="shared" si="16"/>
        <v>Insulation</v>
      </c>
      <c r="BC41" s="1573">
        <f t="shared" si="17"/>
        <v>0</v>
      </c>
    </row>
    <row r="42" spans="2:55">
      <c r="B42" s="147" t="s">
        <v>1029</v>
      </c>
      <c r="C42" s="609">
        <f t="shared" ref="C42:C48" si="18">IF(ISNUMBER(E42),E42,D42)</f>
        <v>0</v>
      </c>
      <c r="D42" s="250">
        <f t="shared" ref="D42:D48" si="19">IF(B$21=B42,C$21*D$18,0)+IF(F$21=B42,G$21*H$18,0)+IF(J$21=B42,K$21*L$18,0)+IF(N$21=B42,O$21*P$18,0)+IF(R$21=B42,S$21*T$18,0)</f>
        <v>0</v>
      </c>
      <c r="E42" s="155"/>
      <c r="AA42" s="110"/>
      <c r="AB42" s="133" t="s">
        <v>1781</v>
      </c>
    </row>
    <row r="43" spans="2:55">
      <c r="B43" s="147" t="s">
        <v>1540</v>
      </c>
      <c r="C43" s="609">
        <f t="shared" si="18"/>
        <v>0</v>
      </c>
      <c r="D43" s="250">
        <f t="shared" si="19"/>
        <v>0</v>
      </c>
      <c r="E43" s="155"/>
      <c r="J43"/>
      <c r="K43"/>
      <c r="L43"/>
      <c r="M43"/>
      <c r="AA43" s="1582" t="s">
        <v>1782</v>
      </c>
      <c r="AB43" s="193" t="s">
        <v>389</v>
      </c>
      <c r="AC43" s="143" t="s">
        <v>388</v>
      </c>
      <c r="BB43" s="133" t="s">
        <v>1781</v>
      </c>
    </row>
    <row r="44" spans="2:55" ht="14.5">
      <c r="B44" s="147" t="s">
        <v>667</v>
      </c>
      <c r="C44" s="609">
        <f t="shared" si="18"/>
        <v>0</v>
      </c>
      <c r="D44" s="250">
        <f t="shared" si="19"/>
        <v>0</v>
      </c>
      <c r="E44" s="155"/>
      <c r="J44"/>
      <c r="K44"/>
      <c r="L44"/>
      <c r="M44"/>
      <c r="AA44" s="261">
        <v>1</v>
      </c>
      <c r="AB44" s="113" t="s">
        <v>397</v>
      </c>
      <c r="AC44" s="263"/>
      <c r="AZ44"/>
      <c r="BA44" s="1582" t="s">
        <v>1782</v>
      </c>
      <c r="BB44" s="193" t="s">
        <v>389</v>
      </c>
      <c r="BC44" s="143" t="s">
        <v>388</v>
      </c>
    </row>
    <row r="45" spans="2:55" ht="14.5">
      <c r="B45" s="147" t="s">
        <v>669</v>
      </c>
      <c r="C45" s="609">
        <f t="shared" si="18"/>
        <v>0</v>
      </c>
      <c r="D45" s="250">
        <f t="shared" si="19"/>
        <v>0</v>
      </c>
      <c r="E45" s="155"/>
      <c r="J45"/>
      <c r="K45"/>
      <c r="L45"/>
      <c r="M45"/>
      <c r="AA45" s="261">
        <v>2</v>
      </c>
      <c r="AB45" s="113" t="s">
        <v>26</v>
      </c>
      <c r="AC45" s="263"/>
      <c r="AZ45"/>
      <c r="BA45" s="261">
        <v>1</v>
      </c>
      <c r="BB45" s="113" t="s">
        <v>386</v>
      </c>
      <c r="BC45" s="263"/>
    </row>
    <row r="46" spans="2:55" ht="14.5">
      <c r="B46" s="147" t="s">
        <v>73</v>
      </c>
      <c r="C46" s="609">
        <f t="shared" si="18"/>
        <v>0</v>
      </c>
      <c r="D46" s="250">
        <f t="shared" si="19"/>
        <v>0</v>
      </c>
      <c r="E46" s="155"/>
      <c r="G46"/>
      <c r="H46"/>
      <c r="J46"/>
      <c r="K46"/>
      <c r="L46"/>
      <c r="M46"/>
      <c r="Z46"/>
      <c r="AA46" s="261">
        <v>3</v>
      </c>
      <c r="AB46" s="113" t="s">
        <v>1433</v>
      </c>
      <c r="AC46" s="263"/>
      <c r="AZ46"/>
      <c r="BA46" s="261">
        <v>2</v>
      </c>
      <c r="BB46" s="113" t="s">
        <v>386</v>
      </c>
      <c r="BC46" s="263"/>
    </row>
    <row r="47" spans="2:55" ht="14.5">
      <c r="B47" s="147" t="s">
        <v>148</v>
      </c>
      <c r="C47" s="609">
        <f t="shared" si="18"/>
        <v>0</v>
      </c>
      <c r="D47" s="250">
        <f t="shared" si="19"/>
        <v>0</v>
      </c>
      <c r="E47" s="155"/>
      <c r="J47"/>
      <c r="K47"/>
      <c r="L47"/>
      <c r="M47"/>
      <c r="Z47"/>
      <c r="AA47" s="261">
        <v>4</v>
      </c>
      <c r="AB47" s="113" t="s">
        <v>1758</v>
      </c>
      <c r="AC47" s="263"/>
      <c r="AZ47"/>
      <c r="BA47" s="261">
        <v>3</v>
      </c>
      <c r="BB47" s="113" t="s">
        <v>386</v>
      </c>
      <c r="BC47" s="263"/>
    </row>
    <row r="48" spans="2:55" ht="14.5">
      <c r="B48" s="147" t="s">
        <v>149</v>
      </c>
      <c r="C48" s="609">
        <f t="shared" si="18"/>
        <v>0</v>
      </c>
      <c r="D48" s="250">
        <f t="shared" si="19"/>
        <v>0</v>
      </c>
      <c r="E48" s="155"/>
      <c r="J48"/>
      <c r="K48"/>
      <c r="L48"/>
      <c r="M48"/>
      <c r="Z48"/>
      <c r="AA48" s="261">
        <v>5</v>
      </c>
      <c r="AB48" s="113" t="s">
        <v>26</v>
      </c>
      <c r="AC48" s="263"/>
      <c r="AD48" s="262"/>
      <c r="AE48"/>
      <c r="AZ48"/>
      <c r="BA48" s="261">
        <v>4</v>
      </c>
      <c r="BB48" s="113" t="s">
        <v>386</v>
      </c>
      <c r="BC48" s="263"/>
    </row>
    <row r="49" spans="2:55" ht="14.5">
      <c r="B49" s="29" t="s">
        <v>54</v>
      </c>
      <c r="C49" s="609">
        <f>IF(E49&gt;0,E49,D49)</f>
        <v>0</v>
      </c>
      <c r="D49" s="250">
        <f>D22*D$18+H22*H$18+L22*L$18+P22*P$18+T22*T$18</f>
        <v>0</v>
      </c>
      <c r="E49" s="156"/>
      <c r="J49"/>
      <c r="K49"/>
      <c r="L49"/>
      <c r="M49"/>
      <c r="Z49"/>
      <c r="AA49" s="261">
        <v>6</v>
      </c>
      <c r="AB49" s="113" t="s">
        <v>1536</v>
      </c>
      <c r="AC49" s="263"/>
      <c r="AZ49"/>
      <c r="BA49" s="261">
        <v>5</v>
      </c>
      <c r="BB49" s="113" t="s">
        <v>386</v>
      </c>
      <c r="BC49" s="263"/>
    </row>
    <row r="50" spans="2:55" ht="14.5">
      <c r="B50" s="29" t="s">
        <v>55</v>
      </c>
      <c r="C50" s="609">
        <f>IF(E50&gt;0,E50,D50)</f>
        <v>0</v>
      </c>
      <c r="D50" s="250">
        <f t="shared" ref="D50:D65" si="20">D23*D$18+H23*H$18+L23*L$18+P23*P$18+T23*T$18</f>
        <v>0</v>
      </c>
      <c r="E50" s="156"/>
      <c r="J50"/>
      <c r="K50"/>
      <c r="L50"/>
      <c r="M50"/>
      <c r="Z50"/>
      <c r="AA50" s="261">
        <v>7</v>
      </c>
      <c r="AB50" s="113" t="s">
        <v>23</v>
      </c>
      <c r="AC50" s="270"/>
      <c r="AZ50"/>
      <c r="BA50" s="261">
        <v>6</v>
      </c>
      <c r="BB50" s="113" t="s">
        <v>386</v>
      </c>
      <c r="BC50" s="263"/>
    </row>
    <row r="51" spans="2:55" ht="14.5">
      <c r="B51" s="29" t="s">
        <v>56</v>
      </c>
      <c r="C51" s="609">
        <f t="shared" ref="C51:C65" si="21">IF(E51&gt;0,E51,D51)</f>
        <v>0</v>
      </c>
      <c r="D51" s="250">
        <f t="shared" si="20"/>
        <v>0</v>
      </c>
      <c r="E51" s="156"/>
      <c r="J51"/>
      <c r="K51"/>
      <c r="L51"/>
      <c r="M51"/>
      <c r="Z51"/>
      <c r="AA51" s="261">
        <v>8</v>
      </c>
      <c r="AB51" s="113" t="s">
        <v>26</v>
      </c>
      <c r="AC51" s="263"/>
      <c r="AG51" s="266"/>
      <c r="AZ51"/>
      <c r="BA51" s="261">
        <v>7</v>
      </c>
      <c r="BB51" s="113" t="s">
        <v>386</v>
      </c>
      <c r="BC51" s="263"/>
    </row>
    <row r="52" spans="2:55" ht="14.5">
      <c r="B52" s="29" t="s">
        <v>1622</v>
      </c>
      <c r="C52" s="609">
        <f t="shared" si="21"/>
        <v>0</v>
      </c>
      <c r="D52" s="250">
        <f t="shared" si="20"/>
        <v>0</v>
      </c>
      <c r="E52" s="156"/>
      <c r="J52"/>
      <c r="K52"/>
      <c r="L52"/>
      <c r="M52"/>
      <c r="Z52"/>
      <c r="AA52" s="261">
        <v>9</v>
      </c>
      <c r="AB52" s="113" t="s">
        <v>1505</v>
      </c>
      <c r="AC52" s="271"/>
      <c r="AZ52"/>
      <c r="BA52" s="261">
        <v>8</v>
      </c>
      <c r="BB52" s="113" t="s">
        <v>386</v>
      </c>
      <c r="BC52" s="270"/>
    </row>
    <row r="53" spans="2:55" ht="14.5">
      <c r="B53" s="29" t="s">
        <v>41</v>
      </c>
      <c r="C53" s="609">
        <f t="shared" si="21"/>
        <v>0</v>
      </c>
      <c r="D53" s="250">
        <f t="shared" si="20"/>
        <v>0</v>
      </c>
      <c r="E53" s="156"/>
      <c r="J53"/>
      <c r="K53"/>
      <c r="L53"/>
      <c r="M53"/>
      <c r="Z53"/>
      <c r="AA53" s="261">
        <v>10</v>
      </c>
      <c r="AB53" s="113" t="s">
        <v>26</v>
      </c>
      <c r="AC53" s="263"/>
      <c r="AZ53"/>
      <c r="BA53" s="261">
        <v>9</v>
      </c>
      <c r="BB53" s="113" t="s">
        <v>386</v>
      </c>
      <c r="BC53" s="270"/>
    </row>
    <row r="54" spans="2:55" ht="14.5">
      <c r="B54" s="29" t="s">
        <v>398</v>
      </c>
      <c r="C54" s="609">
        <f t="shared" si="21"/>
        <v>0</v>
      </c>
      <c r="D54" s="250">
        <f t="shared" si="20"/>
        <v>0</v>
      </c>
      <c r="E54" s="156"/>
      <c r="J54"/>
      <c r="K54"/>
      <c r="L54"/>
      <c r="M54"/>
      <c r="Z54"/>
      <c r="AA54" s="261">
        <v>11</v>
      </c>
      <c r="AB54" s="113" t="s">
        <v>1762</v>
      </c>
      <c r="AC54" s="270"/>
      <c r="AZ54"/>
      <c r="BA54" s="261">
        <v>10</v>
      </c>
      <c r="BB54" s="113" t="s">
        <v>386</v>
      </c>
      <c r="BC54" s="263"/>
    </row>
    <row r="55" spans="2:55" ht="14.5">
      <c r="B55" s="29" t="s">
        <v>57</v>
      </c>
      <c r="C55" s="609">
        <f t="shared" si="21"/>
        <v>0</v>
      </c>
      <c r="D55" s="250">
        <f t="shared" si="20"/>
        <v>0</v>
      </c>
      <c r="E55" s="156"/>
      <c r="J55"/>
      <c r="K55"/>
      <c r="L55"/>
      <c r="M55"/>
      <c r="Z55"/>
      <c r="AA55" s="261">
        <v>12</v>
      </c>
      <c r="AB55" s="113" t="s">
        <v>1510</v>
      </c>
      <c r="AC55" s="270"/>
      <c r="AZ55"/>
      <c r="BA55" s="261">
        <v>11</v>
      </c>
      <c r="BB55" s="113" t="s">
        <v>386</v>
      </c>
      <c r="BC55" s="270"/>
    </row>
    <row r="56" spans="2:55" ht="14.5">
      <c r="B56" s="29" t="s">
        <v>58</v>
      </c>
      <c r="C56" s="610">
        <f t="shared" si="21"/>
        <v>0</v>
      </c>
      <c r="D56" s="250">
        <f t="shared" si="20"/>
        <v>0</v>
      </c>
      <c r="E56" s="156"/>
      <c r="J56"/>
      <c r="K56"/>
      <c r="L56"/>
      <c r="M56"/>
      <c r="Z56"/>
      <c r="AA56" s="261">
        <v>13</v>
      </c>
      <c r="AB56" s="113" t="s">
        <v>435</v>
      </c>
      <c r="AC56" s="1589" t="s">
        <v>660</v>
      </c>
      <c r="AZ56"/>
      <c r="BA56" s="261">
        <v>12</v>
      </c>
      <c r="BB56" s="113" t="s">
        <v>386</v>
      </c>
      <c r="BC56" s="270"/>
    </row>
    <row r="57" spans="2:55" ht="14.5">
      <c r="B57" s="29" t="s">
        <v>59</v>
      </c>
      <c r="C57" s="610">
        <f t="shared" si="21"/>
        <v>0</v>
      </c>
      <c r="D57" s="250">
        <f t="shared" si="20"/>
        <v>0</v>
      </c>
      <c r="E57" s="156"/>
      <c r="J57"/>
      <c r="K57"/>
      <c r="L57"/>
      <c r="M57"/>
      <c r="Z57"/>
      <c r="AA57" s="261">
        <v>14</v>
      </c>
      <c r="AB57" s="113" t="s">
        <v>386</v>
      </c>
      <c r="AC57" s="270"/>
      <c r="AZ57"/>
      <c r="BA57" s="261">
        <v>13</v>
      </c>
      <c r="BB57" s="113" t="s">
        <v>386</v>
      </c>
      <c r="BC57" s="270"/>
    </row>
    <row r="58" spans="2:55" ht="14.5">
      <c r="B58" s="29" t="s">
        <v>60</v>
      </c>
      <c r="C58" s="610">
        <f t="shared" si="21"/>
        <v>0</v>
      </c>
      <c r="D58" s="250">
        <f t="shared" si="20"/>
        <v>0</v>
      </c>
      <c r="E58" s="156"/>
      <c r="J58"/>
      <c r="K58"/>
      <c r="L58"/>
      <c r="M58"/>
      <c r="Z58"/>
      <c r="AA58" s="261">
        <v>15</v>
      </c>
      <c r="AB58" s="113" t="s">
        <v>386</v>
      </c>
      <c r="AC58" s="263"/>
      <c r="AZ58"/>
      <c r="BA58" s="261">
        <v>14</v>
      </c>
      <c r="BB58" s="113" t="s">
        <v>386</v>
      </c>
      <c r="BC58" s="270"/>
    </row>
    <row r="59" spans="2:55" ht="14.5">
      <c r="B59" s="29" t="s">
        <v>61</v>
      </c>
      <c r="C59" s="610">
        <f t="shared" si="21"/>
        <v>0</v>
      </c>
      <c r="D59" s="250">
        <f t="shared" si="20"/>
        <v>0</v>
      </c>
      <c r="E59" s="156"/>
      <c r="J59"/>
      <c r="K59"/>
      <c r="L59"/>
      <c r="M59"/>
      <c r="Z59"/>
      <c r="AA59" s="261">
        <v>16</v>
      </c>
      <c r="AB59" s="113" t="s">
        <v>386</v>
      </c>
      <c r="AC59" s="270"/>
      <c r="AZ59"/>
      <c r="BA59" s="261">
        <v>15</v>
      </c>
      <c r="BB59" s="113" t="s">
        <v>386</v>
      </c>
      <c r="BC59" s="263"/>
    </row>
    <row r="60" spans="2:55" ht="14.5">
      <c r="B60" s="29" t="s">
        <v>62</v>
      </c>
      <c r="C60" s="610">
        <f t="shared" si="21"/>
        <v>0</v>
      </c>
      <c r="D60" s="250">
        <f t="shared" si="20"/>
        <v>0</v>
      </c>
      <c r="E60" s="156"/>
      <c r="J60"/>
      <c r="K60"/>
      <c r="L60"/>
      <c r="M60"/>
      <c r="Z60"/>
      <c r="AA60" s="261">
        <v>17</v>
      </c>
      <c r="AB60" s="113" t="s">
        <v>386</v>
      </c>
      <c r="AC60" s="270"/>
      <c r="AZ60"/>
      <c r="BA60" s="261">
        <v>16</v>
      </c>
      <c r="BB60" s="113" t="s">
        <v>386</v>
      </c>
      <c r="BC60" s="263"/>
    </row>
    <row r="61" spans="2:55" ht="14.5">
      <c r="B61" s="29" t="s">
        <v>439</v>
      </c>
      <c r="C61" s="610">
        <f t="shared" si="21"/>
        <v>0</v>
      </c>
      <c r="D61" s="250">
        <f t="shared" si="20"/>
        <v>0</v>
      </c>
      <c r="E61" s="156"/>
      <c r="J61"/>
      <c r="K61"/>
      <c r="L61"/>
      <c r="M61"/>
      <c r="Z61"/>
      <c r="AA61" s="261">
        <v>18</v>
      </c>
      <c r="AB61" s="113" t="s">
        <v>386</v>
      </c>
      <c r="AC61" s="270"/>
      <c r="AZ61"/>
      <c r="BA61" s="261">
        <v>17</v>
      </c>
      <c r="BB61" s="113" t="s">
        <v>386</v>
      </c>
      <c r="BC61" s="263"/>
    </row>
    <row r="62" spans="2:55" ht="14.5">
      <c r="B62" s="29" t="s">
        <v>1691</v>
      </c>
      <c r="C62" s="610">
        <f t="shared" si="21"/>
        <v>0</v>
      </c>
      <c r="D62" s="250">
        <f t="shared" si="20"/>
        <v>0</v>
      </c>
      <c r="E62" s="156"/>
      <c r="J62"/>
      <c r="K62"/>
      <c r="L62"/>
      <c r="M62"/>
      <c r="Z62"/>
      <c r="AA62" s="261">
        <v>19</v>
      </c>
      <c r="AB62" s="113" t="s">
        <v>386</v>
      </c>
      <c r="AC62" s="270"/>
      <c r="AZ62"/>
      <c r="BA62" s="261">
        <v>18</v>
      </c>
      <c r="BB62" s="113" t="s">
        <v>386</v>
      </c>
      <c r="BC62" s="263"/>
    </row>
    <row r="63" spans="2:55" ht="14.5">
      <c r="B63" s="29" t="s">
        <v>1721</v>
      </c>
      <c r="C63" s="610">
        <f t="shared" si="21"/>
        <v>0</v>
      </c>
      <c r="D63" s="250">
        <f t="shared" si="20"/>
        <v>0</v>
      </c>
      <c r="E63" s="156"/>
      <c r="Z63"/>
      <c r="AA63" s="261">
        <v>20</v>
      </c>
      <c r="AB63" s="1576" t="s">
        <v>386</v>
      </c>
      <c r="AC63" s="1577"/>
      <c r="AG63" s="115"/>
      <c r="AZ63"/>
      <c r="BA63" s="261">
        <v>19</v>
      </c>
      <c r="BB63" s="113" t="s">
        <v>386</v>
      </c>
      <c r="BC63" s="263"/>
    </row>
    <row r="64" spans="2:55" ht="14.5">
      <c r="B64" s="29" t="s">
        <v>1569</v>
      </c>
      <c r="C64" s="610">
        <f t="shared" si="21"/>
        <v>0</v>
      </c>
      <c r="D64" s="250">
        <f t="shared" si="20"/>
        <v>0</v>
      </c>
      <c r="E64" s="156"/>
      <c r="BA64" s="261">
        <v>20</v>
      </c>
      <c r="BB64" s="113" t="s">
        <v>386</v>
      </c>
      <c r="BC64" s="1596"/>
    </row>
    <row r="65" spans="2:57">
      <c r="B65" s="1478" t="s">
        <v>1567</v>
      </c>
      <c r="C65" s="611">
        <f t="shared" si="21"/>
        <v>0</v>
      </c>
      <c r="D65" s="255">
        <f t="shared" si="20"/>
        <v>0</v>
      </c>
      <c r="E65" s="158"/>
      <c r="J65"/>
      <c r="K65"/>
      <c r="L65"/>
      <c r="M65"/>
      <c r="N65"/>
      <c r="AB65" s="133" t="s">
        <v>1783</v>
      </c>
      <c r="AC65"/>
      <c r="AD65"/>
      <c r="AE65"/>
      <c r="BA65"/>
      <c r="BE65"/>
    </row>
    <row r="66" spans="2:57">
      <c r="B66"/>
      <c r="C66" s="41"/>
      <c r="D66"/>
      <c r="E66"/>
      <c r="G66"/>
      <c r="H66"/>
      <c r="J66"/>
      <c r="K66"/>
      <c r="L66"/>
      <c r="M66"/>
      <c r="N66"/>
      <c r="AB66" s="279" t="s">
        <v>306</v>
      </c>
      <c r="AC66" s="1693" t="s">
        <v>404</v>
      </c>
      <c r="AD66" s="1694"/>
      <c r="AE66" s="1695"/>
      <c r="BA66"/>
      <c r="BB66" s="133" t="s">
        <v>1783</v>
      </c>
      <c r="BD66"/>
      <c r="BE66"/>
    </row>
    <row r="67" spans="2:57">
      <c r="B67" s="133" t="s">
        <v>1764</v>
      </c>
      <c r="G67"/>
      <c r="H67"/>
      <c r="J67"/>
      <c r="K67"/>
      <c r="L67"/>
      <c r="M67"/>
      <c r="N67"/>
      <c r="AB67" s="280"/>
      <c r="AC67" s="144" t="s">
        <v>51</v>
      </c>
      <c r="AD67" s="144" t="s">
        <v>63</v>
      </c>
      <c r="AE67" s="146" t="s">
        <v>52</v>
      </c>
      <c r="BA67"/>
      <c r="BB67" s="279" t="s">
        <v>306</v>
      </c>
      <c r="BC67" s="283" t="s">
        <v>404</v>
      </c>
      <c r="BD67"/>
      <c r="BE67"/>
    </row>
    <row r="68" spans="2:57">
      <c r="B68" s="143"/>
      <c r="C68" s="144" t="s">
        <v>51</v>
      </c>
      <c r="D68" s="144" t="s">
        <v>63</v>
      </c>
      <c r="E68" s="146" t="s">
        <v>52</v>
      </c>
      <c r="J68"/>
      <c r="K68"/>
      <c r="L68"/>
      <c r="M68"/>
      <c r="N68"/>
      <c r="AA68"/>
      <c r="AB68" s="113" t="s">
        <v>1769</v>
      </c>
      <c r="AC68" s="620">
        <f>IF(ISNUMBER(AE68),AE68,AD68)</f>
        <v>0.05</v>
      </c>
      <c r="AD68" s="281">
        <v>0.05</v>
      </c>
      <c r="AE68" s="282"/>
      <c r="BA68"/>
      <c r="BB68" s="113" t="s">
        <v>403</v>
      </c>
      <c r="BC68" s="1277"/>
      <c r="BD68"/>
      <c r="BE68"/>
    </row>
    <row r="69" spans="2:57">
      <c r="B69" s="167" t="s">
        <v>398</v>
      </c>
      <c r="C69" s="613">
        <f t="shared" ref="C69:C74" si="22">IF(E69&gt;0,E69,D69)</f>
        <v>1.1174777856</v>
      </c>
      <c r="D69" s="256">
        <v>1.1174777856</v>
      </c>
      <c r="E69" s="259">
        <f>IF(ISBLANK(Materials!D84),0, Materials!D84)</f>
        <v>0</v>
      </c>
      <c r="J69"/>
      <c r="K69"/>
      <c r="L69"/>
      <c r="M69"/>
      <c r="N69"/>
      <c r="AA69"/>
      <c r="AB69" s="113" t="s">
        <v>400</v>
      </c>
      <c r="AC69" s="620">
        <f>IF(ISNUMBER(AE69),AE69,AD69)</f>
        <v>0</v>
      </c>
      <c r="AD69" s="281">
        <f>AC21/38*56+AC22/62*168</f>
        <v>0</v>
      </c>
      <c r="AE69" s="284">
        <v>0</v>
      </c>
      <c r="BA69"/>
      <c r="BB69" s="113" t="s">
        <v>403</v>
      </c>
      <c r="BC69" s="1278"/>
      <c r="BD69"/>
      <c r="BE69"/>
    </row>
    <row r="70" spans="2:57">
      <c r="B70" s="147" t="s">
        <v>41</v>
      </c>
      <c r="C70" s="613">
        <f t="shared" si="22"/>
        <v>7.1116191035999989</v>
      </c>
      <c r="D70" s="258">
        <v>7.1116191035999989</v>
      </c>
      <c r="E70" s="259">
        <f>IF(ISBLANK(Materials!D85),0, Materials!D85)</f>
        <v>0</v>
      </c>
      <c r="J70"/>
      <c r="K70"/>
      <c r="L70"/>
      <c r="M70"/>
      <c r="N70"/>
      <c r="AA70"/>
      <c r="AB70" s="113" t="s">
        <v>403</v>
      </c>
      <c r="AC70" s="620">
        <f>IF(ISNUMBER(AE70),AE70,AD70)</f>
        <v>0</v>
      </c>
      <c r="AD70" s="281">
        <f>IFERROR(VLOOKUP(AB70,$B$120:$D$121,2,FALSE),0)*AC$32</f>
        <v>0</v>
      </c>
      <c r="AE70" s="284">
        <v>0</v>
      </c>
      <c r="BA70"/>
      <c r="BB70" s="113" t="s">
        <v>403</v>
      </c>
      <c r="BC70" s="1278"/>
      <c r="BD70"/>
      <c r="BE70"/>
    </row>
    <row r="71" spans="2:57">
      <c r="B71" s="147" t="s">
        <v>439</v>
      </c>
      <c r="C71" s="613">
        <f t="shared" si="22"/>
        <v>0.32719999999999999</v>
      </c>
      <c r="D71" s="258">
        <v>0.32719999999999999</v>
      </c>
      <c r="E71" s="259">
        <f>IF(ISBLANK(Materials!D86),0, Materials!D86)</f>
        <v>0</v>
      </c>
      <c r="J71"/>
      <c r="K71"/>
      <c r="L71"/>
      <c r="M71"/>
      <c r="N71"/>
      <c r="AA71"/>
      <c r="AB71" s="113" t="s">
        <v>403</v>
      </c>
      <c r="AC71" s="620">
        <f>IF(ISNUMBER(AE71),AE71,AD71)</f>
        <v>0</v>
      </c>
      <c r="AD71" s="281">
        <f>IFERROR(VLOOKUP(AB71,$B$120:$D$121,2,FALSE),0)*AC$32</f>
        <v>0</v>
      </c>
      <c r="AE71" s="284">
        <v>0</v>
      </c>
      <c r="BA71"/>
      <c r="BB71" s="113" t="s">
        <v>403</v>
      </c>
      <c r="BC71" s="1278"/>
      <c r="BD71"/>
      <c r="BE71"/>
    </row>
    <row r="72" spans="2:57">
      <c r="B72" s="147" t="s">
        <v>298</v>
      </c>
      <c r="C72" s="613">
        <f t="shared" si="22"/>
        <v>0.2</v>
      </c>
      <c r="D72" s="258">
        <v>0.2</v>
      </c>
      <c r="E72" s="259">
        <f>IF(ISBLANK(Materials!D87),0, Materials!D87)</f>
        <v>0</v>
      </c>
      <c r="J72"/>
      <c r="K72"/>
      <c r="L72"/>
      <c r="M72"/>
      <c r="N72"/>
      <c r="AA72"/>
      <c r="AB72" s="113" t="s">
        <v>403</v>
      </c>
      <c r="AC72" s="1569">
        <f>IF(ISNUMBER(AE72),AE72,AD72)</f>
        <v>0</v>
      </c>
      <c r="AD72" s="1570">
        <f>IFERROR(VLOOKUP(AB72,$B$120:$D$121,2,FALSE),0)*AC$32</f>
        <v>0</v>
      </c>
      <c r="AE72" s="285">
        <v>0</v>
      </c>
      <c r="BA72"/>
      <c r="BB72" s="113" t="s">
        <v>403</v>
      </c>
      <c r="BC72" s="1279"/>
      <c r="BD72"/>
      <c r="BE72"/>
    </row>
    <row r="73" spans="2:57" ht="14.5">
      <c r="B73" s="147" t="s">
        <v>1906</v>
      </c>
      <c r="C73" s="613">
        <f t="shared" si="22"/>
        <v>0.15</v>
      </c>
      <c r="D73" s="258">
        <v>0.15</v>
      </c>
      <c r="E73" s="259"/>
      <c r="AA73"/>
      <c r="AB73" s="289" t="s">
        <v>434</v>
      </c>
      <c r="AE73" s="236"/>
      <c r="BA73"/>
      <c r="BB73" s="289" t="s">
        <v>434</v>
      </c>
      <c r="BD73"/>
      <c r="BE73"/>
    </row>
    <row r="74" spans="2:57">
      <c r="B74" s="1337" t="s">
        <v>1713</v>
      </c>
      <c r="C74" s="1557">
        <f t="shared" si="22"/>
        <v>0</v>
      </c>
      <c r="D74" s="1556">
        <f>(C139*Materials!B4+C140*Materials!B5)*0.7</f>
        <v>0</v>
      </c>
      <c r="E74" s="1005"/>
      <c r="J74"/>
      <c r="K74"/>
      <c r="L74"/>
      <c r="M74"/>
      <c r="N74"/>
      <c r="AA74"/>
      <c r="AB74" s="291"/>
      <c r="AC74" s="292"/>
      <c r="AD74" s="293" t="str">
        <f>IF(ISTEXT(AB74), "Click to specify material properties", "")</f>
        <v/>
      </c>
      <c r="AE74" s="236"/>
      <c r="BA74"/>
      <c r="BB74" s="291"/>
      <c r="BC74" s="297"/>
      <c r="BD74" s="298" t="str">
        <f>IF(ISTEXT(BB74), "Click to specify material properties", "")</f>
        <v/>
      </c>
      <c r="BE74"/>
    </row>
    <row r="75" spans="2:57">
      <c r="B75"/>
      <c r="C75"/>
      <c r="D75"/>
      <c r="E75"/>
      <c r="J75"/>
      <c r="K75"/>
      <c r="L75"/>
      <c r="M75"/>
      <c r="N75"/>
      <c r="AA75"/>
      <c r="AB75" s="294"/>
      <c r="AC75" s="295"/>
      <c r="AD75" s="296" t="str">
        <f>IF(ISTEXT(AB75), "Click to specify material properties", "")</f>
        <v/>
      </c>
      <c r="AE75" s="169"/>
      <c r="BA75"/>
      <c r="BB75" s="294"/>
      <c r="BC75" s="299"/>
      <c r="BD75" s="298" t="str">
        <f>IF(ISTEXT(BB75), "Click to specify material properties", "")</f>
        <v/>
      </c>
      <c r="BE75"/>
    </row>
    <row r="76" spans="2:57">
      <c r="B76" s="133" t="s">
        <v>1767</v>
      </c>
      <c r="AA76"/>
      <c r="AB76"/>
      <c r="AC76"/>
      <c r="BA76"/>
      <c r="BB76"/>
      <c r="BC76"/>
      <c r="BD76"/>
      <c r="BE76"/>
    </row>
    <row r="77" spans="2:57">
      <c r="B77" s="143"/>
      <c r="C77" s="144" t="s">
        <v>51</v>
      </c>
      <c r="D77" s="144" t="s">
        <v>63</v>
      </c>
      <c r="E77" s="146" t="s">
        <v>52</v>
      </c>
      <c r="J77"/>
      <c r="K77"/>
      <c r="L77"/>
      <c r="M77"/>
      <c r="AA77"/>
      <c r="AB77" s="133" t="s">
        <v>1786</v>
      </c>
      <c r="BA77"/>
      <c r="BB77" s="133" t="s">
        <v>1786</v>
      </c>
      <c r="BE77"/>
    </row>
    <row r="78" spans="2:57">
      <c r="B78" s="167" t="s">
        <v>485</v>
      </c>
      <c r="C78" s="613">
        <f>IF(ISNUMBER(E78),E78,D78)</f>
        <v>10</v>
      </c>
      <c r="D78" s="256">
        <f>'Geographic Par.'!C37</f>
        <v>10</v>
      </c>
      <c r="E78" s="257"/>
      <c r="J78"/>
      <c r="K78"/>
      <c r="L78"/>
      <c r="M78"/>
      <c r="AA78"/>
      <c r="AB78" s="167"/>
      <c r="AC78" s="145" t="s">
        <v>51</v>
      </c>
      <c r="AD78" s="144" t="s">
        <v>63</v>
      </c>
      <c r="AE78" s="146" t="s">
        <v>52</v>
      </c>
      <c r="BA78"/>
      <c r="BB78" s="167"/>
      <c r="BC78" s="143" t="s">
        <v>404</v>
      </c>
      <c r="BE78"/>
    </row>
    <row r="79" spans="2:57">
      <c r="B79" s="267" t="s">
        <v>665</v>
      </c>
      <c r="C79" s="1557">
        <f>IF(ISNUMBER(E79),E79,D79)</f>
        <v>3.0000000000000001E-3</v>
      </c>
      <c r="D79" s="1240">
        <f>'Geographic Par.'!C36</f>
        <v>3.0000000000000001E-3</v>
      </c>
      <c r="E79" s="269"/>
      <c r="J79"/>
      <c r="K79"/>
      <c r="L79"/>
      <c r="M79"/>
      <c r="AB79" s="167" t="s">
        <v>324</v>
      </c>
      <c r="AC79" s="620">
        <f>IF(ISNUMBER(AE79),AE79,AD79)</f>
        <v>0.6</v>
      </c>
      <c r="AD79" s="119">
        <v>0.6</v>
      </c>
      <c r="AE79" s="301"/>
      <c r="BA79"/>
      <c r="BB79" s="167" t="s">
        <v>324</v>
      </c>
      <c r="BC79" s="297"/>
      <c r="BE79"/>
    </row>
    <row r="80" spans="2:57">
      <c r="D80"/>
      <c r="J80"/>
      <c r="K80"/>
      <c r="L80"/>
      <c r="M80"/>
      <c r="AB80" s="147" t="s">
        <v>243</v>
      </c>
      <c r="AC80" s="620">
        <f>IF(ISNUMBER(AE80),AE80,AD80)</f>
        <v>2</v>
      </c>
      <c r="AD80" s="1219">
        <v>2</v>
      </c>
      <c r="AE80" s="148"/>
      <c r="AF80"/>
      <c r="BA80"/>
      <c r="BB80" s="147" t="s">
        <v>243</v>
      </c>
      <c r="BC80" s="1278"/>
      <c r="BD80"/>
      <c r="BE80"/>
    </row>
    <row r="81" spans="2:57">
      <c r="B81" s="133" t="s">
        <v>1768</v>
      </c>
      <c r="J81"/>
      <c r="K81"/>
      <c r="L81"/>
      <c r="M81"/>
      <c r="AB81" s="149" t="s">
        <v>363</v>
      </c>
      <c r="AC81" s="1505">
        <f>IF(ISNUMBER(AE81),AE81,AD81)</f>
        <v>0.2</v>
      </c>
      <c r="AD81" s="1220">
        <v>0.2</v>
      </c>
      <c r="AE81" s="151"/>
      <c r="BB81" s="149" t="s">
        <v>363</v>
      </c>
      <c r="BC81" s="1279"/>
    </row>
    <row r="82" spans="2:57">
      <c r="B82" s="143"/>
      <c r="C82" s="144" t="s">
        <v>51</v>
      </c>
      <c r="D82" s="144" t="s">
        <v>63</v>
      </c>
      <c r="E82" s="146" t="s">
        <v>52</v>
      </c>
      <c r="J82"/>
      <c r="K82"/>
      <c r="L82"/>
      <c r="M82"/>
    </row>
    <row r="83" spans="2:57">
      <c r="B83" s="167" t="s">
        <v>592</v>
      </c>
      <c r="C83" s="613">
        <f>IF(ISNUMBER(E83),E83,D83)</f>
        <v>12</v>
      </c>
      <c r="D83" s="272">
        <f>'Geographic Par.'!C34</f>
        <v>12</v>
      </c>
      <c r="E83" s="257">
        <v>12</v>
      </c>
      <c r="J83"/>
      <c r="K83"/>
      <c r="L83"/>
      <c r="M83"/>
      <c r="AB83" s="133" t="s">
        <v>1787</v>
      </c>
      <c r="BB83" s="133" t="s">
        <v>1787</v>
      </c>
    </row>
    <row r="84" spans="2:57">
      <c r="B84" s="147" t="s">
        <v>590</v>
      </c>
      <c r="C84" s="613">
        <f>IF(ISNUMBER(E84),E84,D84)</f>
        <v>8.8387096774193555E-2</v>
      </c>
      <c r="D84" s="272">
        <f>'Geographic Par.'!C33</f>
        <v>8.8387096774193555E-2</v>
      </c>
      <c r="E84" s="260"/>
      <c r="J84"/>
      <c r="K84"/>
      <c r="L84"/>
      <c r="M84"/>
      <c r="AB84" s="143"/>
      <c r="AC84" s="144" t="s">
        <v>51</v>
      </c>
      <c r="AD84" s="144" t="s">
        <v>63</v>
      </c>
      <c r="AE84" s="146" t="s">
        <v>52</v>
      </c>
      <c r="BB84" s="143"/>
      <c r="BC84" s="303" t="s">
        <v>404</v>
      </c>
    </row>
    <row r="85" spans="2:57">
      <c r="B85" s="267" t="s">
        <v>591</v>
      </c>
      <c r="C85" s="1557">
        <f>IF(ISNUMBER(E85),E85,D85)</f>
        <v>2E-3</v>
      </c>
      <c r="D85" s="1240">
        <f>'Geographic Par.'!C35</f>
        <v>2E-3</v>
      </c>
      <c r="E85" s="269"/>
      <c r="J85"/>
      <c r="K85"/>
      <c r="L85"/>
      <c r="M85"/>
      <c r="AB85" s="143" t="s">
        <v>374</v>
      </c>
      <c r="AC85" s="1506">
        <f>IF(ISNUMBER(AE85),AE85,AD85)</f>
        <v>0.1</v>
      </c>
      <c r="AD85" s="1584">
        <v>0.1</v>
      </c>
      <c r="AE85" s="302"/>
      <c r="BB85" s="143" t="s">
        <v>374</v>
      </c>
      <c r="BC85" s="304"/>
    </row>
    <row r="86" spans="2:57">
      <c r="B86"/>
      <c r="C86"/>
      <c r="D86"/>
      <c r="E86"/>
      <c r="J86"/>
      <c r="K86"/>
      <c r="L86"/>
      <c r="M86"/>
    </row>
    <row r="87" spans="2:57">
      <c r="B87" s="133" t="s">
        <v>1792</v>
      </c>
      <c r="D87" s="1280" t="s">
        <v>1539</v>
      </c>
      <c r="J87"/>
      <c r="K87"/>
      <c r="L87"/>
      <c r="M87"/>
      <c r="AB87" s="133" t="s">
        <v>1788</v>
      </c>
      <c r="BB87" s="133" t="s">
        <v>1788</v>
      </c>
    </row>
    <row r="88" spans="2:57">
      <c r="B88" s="143"/>
      <c r="C88" s="144" t="s">
        <v>51</v>
      </c>
      <c r="D88" s="144" t="s">
        <v>63</v>
      </c>
      <c r="E88" s="146" t="s">
        <v>52</v>
      </c>
      <c r="J88"/>
      <c r="K88"/>
      <c r="L88"/>
      <c r="M88"/>
      <c r="AB88" s="167" t="s">
        <v>352</v>
      </c>
      <c r="AC88" s="113" t="s">
        <v>21</v>
      </c>
      <c r="BB88" s="167" t="s">
        <v>352</v>
      </c>
      <c r="BC88" s="113" t="s">
        <v>353</v>
      </c>
    </row>
    <row r="89" spans="2:57">
      <c r="B89" s="1182" t="s">
        <v>238</v>
      </c>
      <c r="C89" s="1256">
        <f>IF(E89&gt;0,E89,D89)</f>
        <v>26.9</v>
      </c>
      <c r="D89" s="272">
        <f>C94*D18+D94*H18+E94*L18+F94*P18+G94*T18</f>
        <v>0</v>
      </c>
      <c r="E89" s="257">
        <v>26.9</v>
      </c>
      <c r="J89"/>
      <c r="K89"/>
      <c r="L89"/>
      <c r="M89"/>
      <c r="AB89" s="147" t="s">
        <v>54</v>
      </c>
      <c r="AC89" s="113" t="s">
        <v>21</v>
      </c>
      <c r="BB89" s="147" t="s">
        <v>54</v>
      </c>
      <c r="BC89" s="113" t="s">
        <v>353</v>
      </c>
    </row>
    <row r="90" spans="2:57">
      <c r="B90" s="147" t="s">
        <v>400</v>
      </c>
      <c r="C90" s="1256">
        <f>IF(E90&gt;0,E90,D90)</f>
        <v>0.13166</v>
      </c>
      <c r="D90" s="275">
        <v>0.13166</v>
      </c>
      <c r="E90" s="260">
        <f>IF(ISBLANK(Materials!D18),0,Materials!D18)</f>
        <v>0</v>
      </c>
      <c r="J90"/>
      <c r="K90"/>
      <c r="L90"/>
      <c r="M90"/>
      <c r="AB90" s="147" t="s">
        <v>41</v>
      </c>
      <c r="AC90" s="113" t="s">
        <v>21</v>
      </c>
      <c r="BB90" s="147" t="s">
        <v>41</v>
      </c>
      <c r="BC90" s="113" t="s">
        <v>353</v>
      </c>
    </row>
    <row r="91" spans="2:57">
      <c r="B91" s="1337" t="s">
        <v>1769</v>
      </c>
      <c r="C91" s="1257">
        <f>IF(E91&gt;0,E91,D91)</f>
        <v>0.2975336446534036</v>
      </c>
      <c r="D91" s="1563">
        <v>0.2975336446534036</v>
      </c>
      <c r="E91" s="269">
        <f>IF(ISBLANK(Materials!D22),0,Materials!D22)</f>
        <v>0</v>
      </c>
      <c r="J91"/>
      <c r="K91"/>
      <c r="L91"/>
      <c r="M91"/>
      <c r="AB91" s="147" t="s">
        <v>398</v>
      </c>
      <c r="AC91" s="113" t="s">
        <v>21</v>
      </c>
      <c r="BB91" s="147" t="s">
        <v>398</v>
      </c>
      <c r="BC91" s="113" t="s">
        <v>353</v>
      </c>
    </row>
    <row r="92" spans="2:57">
      <c r="B92" s="111" t="s">
        <v>1775</v>
      </c>
      <c r="K92"/>
      <c r="L92"/>
      <c r="M92"/>
      <c r="AB92" s="147" t="s">
        <v>439</v>
      </c>
      <c r="AC92" s="113" t="s">
        <v>21</v>
      </c>
      <c r="BB92" s="147" t="s">
        <v>439</v>
      </c>
      <c r="BC92" s="113" t="s">
        <v>353</v>
      </c>
    </row>
    <row r="93" spans="2:57">
      <c r="B93" s="974" t="s">
        <v>1770</v>
      </c>
      <c r="C93" s="1558" t="s">
        <v>1982</v>
      </c>
      <c r="D93" s="1559" t="s">
        <v>1741</v>
      </c>
      <c r="E93" s="1559" t="s">
        <v>1742</v>
      </c>
      <c r="F93" s="1559" t="s">
        <v>1743</v>
      </c>
      <c r="G93" s="1560" t="s">
        <v>1744</v>
      </c>
      <c r="H93"/>
      <c r="I93"/>
      <c r="J93"/>
      <c r="K93"/>
      <c r="L93"/>
      <c r="M93"/>
      <c r="AB93" s="147" t="s">
        <v>298</v>
      </c>
      <c r="AC93" s="113" t="s">
        <v>355</v>
      </c>
      <c r="BB93" s="147" t="s">
        <v>298</v>
      </c>
      <c r="BC93" s="113" t="s">
        <v>353</v>
      </c>
    </row>
    <row r="94" spans="2:57">
      <c r="B94" s="1182" t="s">
        <v>51</v>
      </c>
      <c r="C94" s="614">
        <f>IF(ISBLANK(C96),C95,C96)</f>
        <v>5.18</v>
      </c>
      <c r="D94" s="1256">
        <f>IF(ISBLANK(D96),D95,D96)</f>
        <v>0</v>
      </c>
      <c r="E94" s="1256">
        <f>IF(ISBLANK(E96),E95,E96)</f>
        <v>0</v>
      </c>
      <c r="F94" s="1256">
        <f>IF(ISBLANK(F96),F95,F96)</f>
        <v>0</v>
      </c>
      <c r="G94" s="1561">
        <f>IF(ISBLANK(G96),G95,G96)</f>
        <v>0</v>
      </c>
      <c r="H94"/>
      <c r="I94"/>
      <c r="J94"/>
      <c r="K94"/>
      <c r="L94"/>
      <c r="M94"/>
      <c r="AB94" s="147" t="s">
        <v>70</v>
      </c>
      <c r="AC94" s="113" t="s">
        <v>355</v>
      </c>
      <c r="BB94" s="147" t="s">
        <v>70</v>
      </c>
      <c r="BC94" s="113" t="s">
        <v>353</v>
      </c>
    </row>
    <row r="95" spans="2:57">
      <c r="B95" s="147" t="s">
        <v>63</v>
      </c>
      <c r="C95" s="1562">
        <f>IF(B21="",0,IF(B21="LFP",-2,VLOOKUP(B21,$E$117:$O$125,3,FALSE)/VLOOKUP(B21,$E$117:$O$125,11,FALSE)*C21*Materials!$B$4*IF(D18&lt;&gt;0,0.3,0.7)+VLOOKUP(B21,$E$117:$O$125,4,FALSE)/VLOOKUP(B21,$E$117:$O$125,11,FALSE)*C21*Materials!$B$5*IF(D18&lt;&gt;0,0.3,0.7)))</f>
        <v>5.1776454306040485</v>
      </c>
      <c r="D95" s="1556">
        <f>IF(F21="",0,IF(F21="LFP",-2,VLOOKUP(F21,$E$117:$O$125,3,FALSE)/VLOOKUP(F21,$E$117:$O$125,11,FALSE)*G21*Materials!$B$4*IF(H18&lt;&gt;0,0.3,0.7)+VLOOKUP(F21,$E$117:$O$125,4,FALSE)/VLOOKUP(F21,$E$117:$O$125,11,FALSE)*G21*Materials!$B$5*IF(H18&lt;&gt;0,0.3,0.7)))</f>
        <v>0</v>
      </c>
      <c r="E95" s="1556">
        <f>IF(J21="",0,IF(J21="LFP",-2,VLOOKUP(J21,$E$117:$O$125,3,FALSE)/VLOOKUP(J21,$E$117:$O$125,11,FALSE)*K21*Materials!$B$4*IF(L18&lt;&gt;0,0.3,0.7)+VLOOKUP(J21,$E$117:$O$125,4,FALSE)/VLOOKUP(J21,$E$117:$O$125,11,FALSE)*K21*Materials!$B$5*IF(L18&lt;&gt;0,0.3,0.7)))</f>
        <v>0</v>
      </c>
      <c r="F95" s="1556">
        <f>IF(N21="",0,IF(N21="LFP",-2,VLOOKUP(N21,$E$117:$O$125,3,FALSE)/VLOOKUP(N21,$E$117:$O$125,11,FALSE)*O21*Materials!$B$4*IF(P18&lt;&gt;0,0.3,0.7)+VLOOKUP(N21,$E$117:$O$125,4,FALSE)/VLOOKUP(N21,$E$117:$O$125,11,FALSE)*O21*Materials!$B$5*IF(P18&lt;&gt;0,0.3,0.7)))</f>
        <v>0</v>
      </c>
      <c r="G95" s="1258">
        <f>IF(R21="",0,IF(R21="LFP",-2,VLOOKUP(R21,$E$117:$O$125,3,FALSE)/VLOOKUP(R21,$E$117:$O$125,11,FALSE)*S21*Materials!$B$4*IF(T18&lt;&gt;0,0.3,0.7)+VLOOKUP(R21,$E$117:$O$125,4,FALSE)/VLOOKUP(R21,$E$117:$O$125,11,FALSE)*S21*Materials!$B$5*IF(T18&lt;&gt;0,0.3,0.7)))</f>
        <v>0</v>
      </c>
      <c r="H95"/>
      <c r="I95"/>
      <c r="J95"/>
      <c r="K95"/>
      <c r="L95"/>
      <c r="M95"/>
      <c r="AB95" s="147" t="s">
        <v>55</v>
      </c>
      <c r="AC95" s="113" t="s">
        <v>21</v>
      </c>
      <c r="BB95" s="147" t="s">
        <v>55</v>
      </c>
      <c r="BC95" s="113" t="s">
        <v>353</v>
      </c>
      <c r="BD95"/>
      <c r="BE95"/>
    </row>
    <row r="96" spans="2:57">
      <c r="B96" s="1183" t="s">
        <v>52</v>
      </c>
      <c r="C96" s="1663">
        <v>5.18</v>
      </c>
      <c r="D96" s="1664"/>
      <c r="E96" s="1664"/>
      <c r="F96" s="1664"/>
      <c r="G96" s="1664"/>
      <c r="H96"/>
      <c r="I96"/>
      <c r="J96"/>
      <c r="K96"/>
      <c r="L96"/>
      <c r="M96"/>
      <c r="AB96" s="147" t="s">
        <v>56</v>
      </c>
      <c r="AC96" s="113" t="s">
        <v>355</v>
      </c>
      <c r="BB96" s="147" t="s">
        <v>56</v>
      </c>
      <c r="BC96" s="113" t="s">
        <v>353</v>
      </c>
      <c r="BD96"/>
      <c r="BE96"/>
    </row>
    <row r="97" spans="2:55">
      <c r="B97"/>
      <c r="C97"/>
      <c r="D97"/>
      <c r="E97"/>
      <c r="J97"/>
      <c r="K97"/>
      <c r="L97"/>
      <c r="M97"/>
      <c r="AB97" s="149" t="s">
        <v>1622</v>
      </c>
      <c r="AC97" s="113" t="s">
        <v>355</v>
      </c>
      <c r="BB97" s="149" t="s">
        <v>1622</v>
      </c>
      <c r="BC97" s="113" t="s">
        <v>353</v>
      </c>
    </row>
    <row r="98" spans="2:55">
      <c r="B98" s="133" t="s">
        <v>1965</v>
      </c>
      <c r="D98"/>
      <c r="E98"/>
      <c r="J98"/>
      <c r="K98"/>
      <c r="L98"/>
      <c r="M98"/>
    </row>
    <row r="99" spans="2:55">
      <c r="B99" s="133" t="s">
        <v>1774</v>
      </c>
      <c r="D99"/>
      <c r="E99"/>
      <c r="J99"/>
      <c r="K99"/>
      <c r="L99"/>
      <c r="M99"/>
      <c r="AB99" s="133" t="s">
        <v>1789</v>
      </c>
      <c r="AG99"/>
    </row>
    <row r="100" spans="2:55">
      <c r="B100" s="193" t="s">
        <v>1401</v>
      </c>
      <c r="C100" s="219">
        <f>F117/O117*C41+F118/O118*C42+F119/O119*C43+F120/O120*C44+F121/O121*C45+F123/O123*C46+F124/O124*C47+F125/O125*C48+F122/O122*C55</f>
        <v>0</v>
      </c>
      <c r="D100"/>
      <c r="E100" s="120"/>
      <c r="F100" s="120" t="s">
        <v>74</v>
      </c>
      <c r="G100" s="120" t="s">
        <v>77</v>
      </c>
      <c r="H100" s="120" t="s">
        <v>75</v>
      </c>
      <c r="I100" s="120" t="s">
        <v>76</v>
      </c>
      <c r="J100" s="120" t="s">
        <v>78</v>
      </c>
      <c r="K100" s="120" t="s">
        <v>302</v>
      </c>
      <c r="L100" s="120" t="s">
        <v>303</v>
      </c>
      <c r="M100" s="120" t="s">
        <v>296</v>
      </c>
      <c r="N100" s="120" t="s">
        <v>297</v>
      </c>
      <c r="O100" s="120" t="s">
        <v>372</v>
      </c>
      <c r="P100" s="120" t="s">
        <v>1626</v>
      </c>
      <c r="AB100" s="167"/>
      <c r="AC100" s="1693" t="s">
        <v>446</v>
      </c>
      <c r="AD100" s="1694"/>
      <c r="AE100" s="1695"/>
      <c r="BB100" s="133" t="s">
        <v>1799</v>
      </c>
    </row>
    <row r="101" spans="2:55">
      <c r="B101" s="29" t="s">
        <v>1402</v>
      </c>
      <c r="C101" s="220">
        <f>G117/O117*C41+G118/O118*C42+G119/O119*C43+G120/O120*C44+G121/O121*C45+G123/O123*C46</f>
        <v>0</v>
      </c>
      <c r="D101"/>
      <c r="E101" s="120" t="s">
        <v>300</v>
      </c>
      <c r="F101" s="120">
        <v>6.94</v>
      </c>
      <c r="G101" s="120">
        <v>58.933</v>
      </c>
      <c r="H101" s="120">
        <v>58.692999999999998</v>
      </c>
      <c r="I101" s="120">
        <v>54.938000000000002</v>
      </c>
      <c r="J101" s="120">
        <v>15.999000000000001</v>
      </c>
      <c r="K101" s="120">
        <v>30.974</v>
      </c>
      <c r="L101" s="120">
        <v>18.998000000000001</v>
      </c>
      <c r="M101" s="120">
        <v>26.981999999999999</v>
      </c>
      <c r="N101" s="120">
        <v>55.844999999999999</v>
      </c>
      <c r="O101" s="120">
        <v>12.010999999999999</v>
      </c>
      <c r="P101" s="120">
        <v>1.008</v>
      </c>
      <c r="AB101" s="147"/>
      <c r="AC101" s="145" t="s">
        <v>51</v>
      </c>
      <c r="AD101" s="144" t="s">
        <v>63</v>
      </c>
      <c r="AE101" s="146" t="s">
        <v>52</v>
      </c>
      <c r="BB101" s="167" t="s">
        <v>306</v>
      </c>
      <c r="BC101" s="306" t="s">
        <v>446</v>
      </c>
    </row>
    <row r="102" spans="2:55">
      <c r="B102" s="29" t="s">
        <v>1403</v>
      </c>
      <c r="C102" s="220">
        <f>H118/O118*C42+H119/O119*C43+H120/O120*C44+H121/O121*C45+H123/O123*C46</f>
        <v>0</v>
      </c>
      <c r="D102"/>
      <c r="E102" s="120"/>
      <c r="F102" s="120"/>
      <c r="G102" s="120"/>
      <c r="H102" s="120"/>
      <c r="I102" s="120"/>
      <c r="J102" s="120"/>
      <c r="K102" s="120"/>
      <c r="L102" s="120"/>
      <c r="M102" s="120"/>
      <c r="N102" s="120"/>
      <c r="AB102" s="1508" t="s">
        <v>1713</v>
      </c>
      <c r="AC102" s="1583">
        <f>IF(ISNUMBER(AE102),AE102,AD102)</f>
        <v>1</v>
      </c>
      <c r="AD102" s="656">
        <f>(AC23+AC24+AC25)*0.95+(AC26+AC27+AC28+AC29)*0.05</f>
        <v>0</v>
      </c>
      <c r="AE102" s="658">
        <v>1</v>
      </c>
      <c r="BB102" s="305" t="s">
        <v>444</v>
      </c>
      <c r="BC102" s="307"/>
    </row>
    <row r="103" spans="2:55">
      <c r="B103" s="159" t="s">
        <v>1404</v>
      </c>
      <c r="C103" s="220">
        <f>I118/O118*C42+I119/O119*C43+I120/O120*C44+I121/O121*C45+I124/O124*C47</f>
        <v>0</v>
      </c>
      <c r="D103"/>
      <c r="E103" s="120"/>
      <c r="F103" s="120" t="s">
        <v>305</v>
      </c>
      <c r="G103" s="120"/>
      <c r="H103" s="120"/>
      <c r="I103" s="120"/>
      <c r="J103" s="120"/>
      <c r="K103" s="120"/>
      <c r="L103" s="120"/>
      <c r="M103" s="120"/>
      <c r="N103" s="120"/>
      <c r="AB103" s="1508" t="s">
        <v>398</v>
      </c>
      <c r="AC103" s="1583">
        <f t="shared" ref="AC103:AC112" si="23">IF(ISNUMBER(AE103),AE103,AD103)</f>
        <v>0</v>
      </c>
      <c r="AD103" s="656">
        <f>AC29*0.9</f>
        <v>0</v>
      </c>
      <c r="AE103" s="659">
        <v>0</v>
      </c>
      <c r="BB103" s="305" t="s">
        <v>444</v>
      </c>
      <c r="BC103" s="308"/>
    </row>
    <row r="104" spans="2:55">
      <c r="B104" s="159" t="s">
        <v>1627</v>
      </c>
      <c r="C104" s="220">
        <f>L122/O122*C55+J128/K128*C51</f>
        <v>0</v>
      </c>
      <c r="E104" s="120"/>
      <c r="F104" s="120" t="s">
        <v>74</v>
      </c>
      <c r="G104" s="120" t="s">
        <v>77</v>
      </c>
      <c r="H104" s="120" t="s">
        <v>75</v>
      </c>
      <c r="I104" s="120" t="s">
        <v>76</v>
      </c>
      <c r="J104" s="120" t="s">
        <v>78</v>
      </c>
      <c r="K104" s="120" t="s">
        <v>302</v>
      </c>
      <c r="L104" s="120" t="s">
        <v>303</v>
      </c>
      <c r="M104" s="120" t="s">
        <v>296</v>
      </c>
      <c r="N104" s="120" t="s">
        <v>297</v>
      </c>
      <c r="AB104" s="1508" t="s">
        <v>41</v>
      </c>
      <c r="AC104" s="1583">
        <f t="shared" si="23"/>
        <v>0</v>
      </c>
      <c r="AD104" s="656">
        <f>AC28*0.9</f>
        <v>0</v>
      </c>
      <c r="AE104" s="659">
        <v>0</v>
      </c>
      <c r="BB104" s="305" t="s">
        <v>444</v>
      </c>
      <c r="BC104" s="308"/>
    </row>
    <row r="105" spans="2:55">
      <c r="B105" s="159" t="s">
        <v>1771</v>
      </c>
      <c r="C105" s="220">
        <f>K122/O122*C55</f>
        <v>0</v>
      </c>
      <c r="E105" s="120" t="s">
        <v>42</v>
      </c>
      <c r="F105" s="120">
        <v>1</v>
      </c>
      <c r="G105" s="120">
        <v>1</v>
      </c>
      <c r="H105" s="120"/>
      <c r="I105" s="120"/>
      <c r="J105" s="120">
        <v>2</v>
      </c>
      <c r="K105" s="120"/>
      <c r="L105" s="120"/>
      <c r="M105" s="120"/>
      <c r="N105" s="120"/>
      <c r="AB105" s="1508" t="s">
        <v>439</v>
      </c>
      <c r="AC105" s="1583">
        <f t="shared" si="23"/>
        <v>0</v>
      </c>
      <c r="AD105" s="656">
        <f>AC36*0.9</f>
        <v>0</v>
      </c>
      <c r="AE105" s="659">
        <v>0</v>
      </c>
      <c r="BB105" s="305" t="s">
        <v>444</v>
      </c>
      <c r="BC105" s="308"/>
    </row>
    <row r="106" spans="2:55">
      <c r="B106" s="159" t="s">
        <v>41</v>
      </c>
      <c r="C106" s="220">
        <f>C53</f>
        <v>0</v>
      </c>
      <c r="E106" s="120" t="s">
        <v>1029</v>
      </c>
      <c r="F106" s="120">
        <v>1</v>
      </c>
      <c r="G106" s="223">
        <f>1/3</f>
        <v>0.33333333333333331</v>
      </c>
      <c r="H106" s="223">
        <f>1/3</f>
        <v>0.33333333333333331</v>
      </c>
      <c r="I106" s="223">
        <f>1/3</f>
        <v>0.33333333333333331</v>
      </c>
      <c r="J106" s="120">
        <v>2</v>
      </c>
      <c r="K106" s="120"/>
      <c r="L106" s="120"/>
      <c r="M106" s="120"/>
      <c r="N106" s="120"/>
      <c r="AB106" s="1508" t="s">
        <v>444</v>
      </c>
      <c r="AC106" s="1583">
        <f t="shared" si="23"/>
        <v>0</v>
      </c>
      <c r="AD106" s="656"/>
      <c r="AE106" s="659"/>
      <c r="BB106" s="305" t="s">
        <v>444</v>
      </c>
      <c r="BC106" s="308"/>
    </row>
    <row r="107" spans="2:55">
      <c r="B107" s="159" t="s">
        <v>398</v>
      </c>
      <c r="C107" s="220">
        <f>C54</f>
        <v>0</v>
      </c>
      <c r="E107" s="120" t="s">
        <v>1540</v>
      </c>
      <c r="F107" s="120">
        <v>1</v>
      </c>
      <c r="G107" s="223">
        <v>0.2</v>
      </c>
      <c r="H107" s="223">
        <v>0.5</v>
      </c>
      <c r="I107" s="223">
        <v>0.3</v>
      </c>
      <c r="J107" s="120">
        <v>2</v>
      </c>
      <c r="K107" s="120"/>
      <c r="L107" s="120"/>
      <c r="M107" s="120"/>
      <c r="N107" s="120"/>
      <c r="AB107" s="1508" t="s">
        <v>444</v>
      </c>
      <c r="AC107" s="1583">
        <f t="shared" si="23"/>
        <v>0</v>
      </c>
      <c r="AD107" s="656"/>
      <c r="AE107" s="659"/>
      <c r="BB107" s="305" t="s">
        <v>444</v>
      </c>
      <c r="BC107" s="308"/>
    </row>
    <row r="108" spans="2:55">
      <c r="B108" s="159" t="s">
        <v>54</v>
      </c>
      <c r="C108" s="220">
        <f>C49</f>
        <v>0</v>
      </c>
      <c r="E108" s="120" t="s">
        <v>667</v>
      </c>
      <c r="F108" s="120">
        <v>1</v>
      </c>
      <c r="G108" s="223">
        <v>0.2</v>
      </c>
      <c r="H108" s="223">
        <v>0.6</v>
      </c>
      <c r="I108" s="223">
        <v>0.2</v>
      </c>
      <c r="J108" s="120">
        <v>2</v>
      </c>
      <c r="K108" s="120"/>
      <c r="L108" s="120"/>
      <c r="M108" s="120"/>
      <c r="N108" s="120"/>
      <c r="AB108" s="1508" t="s">
        <v>444</v>
      </c>
      <c r="AC108" s="1583">
        <f t="shared" si="23"/>
        <v>0</v>
      </c>
      <c r="AD108" s="656"/>
      <c r="AE108" s="659"/>
      <c r="BB108" s="305" t="s">
        <v>444</v>
      </c>
      <c r="BC108" s="308"/>
    </row>
    <row r="109" spans="2:55">
      <c r="B109" s="159" t="s">
        <v>55</v>
      </c>
      <c r="C109" s="220">
        <f>C50</f>
        <v>0</v>
      </c>
      <c r="E109" s="120" t="s">
        <v>669</v>
      </c>
      <c r="F109" s="120">
        <v>1</v>
      </c>
      <c r="G109" s="223">
        <v>0.1</v>
      </c>
      <c r="H109" s="223">
        <v>0.8</v>
      </c>
      <c r="I109" s="223">
        <v>0.1</v>
      </c>
      <c r="J109" s="120">
        <v>2</v>
      </c>
      <c r="K109" s="120"/>
      <c r="L109" s="120"/>
      <c r="M109" s="120"/>
      <c r="N109" s="120"/>
      <c r="AB109" s="1508" t="s">
        <v>444</v>
      </c>
      <c r="AC109" s="1583">
        <f t="shared" si="23"/>
        <v>0</v>
      </c>
      <c r="AD109" s="656"/>
      <c r="AE109" s="659"/>
      <c r="BB109" s="305" t="s">
        <v>444</v>
      </c>
      <c r="BC109" s="308"/>
    </row>
    <row r="110" spans="2:55">
      <c r="B110" s="159" t="s">
        <v>66</v>
      </c>
      <c r="C110" s="220">
        <f>C51</f>
        <v>0</v>
      </c>
      <c r="E110" s="120" t="s">
        <v>301</v>
      </c>
      <c r="F110" s="120">
        <v>1</v>
      </c>
      <c r="G110" s="120"/>
      <c r="H110" s="120"/>
      <c r="I110" s="120"/>
      <c r="J110" s="120"/>
      <c r="K110" s="120">
        <v>1</v>
      </c>
      <c r="L110" s="120">
        <v>6</v>
      </c>
      <c r="M110" s="120"/>
      <c r="N110" s="120"/>
      <c r="AB110" s="654" t="s">
        <v>547</v>
      </c>
      <c r="AC110" s="1583">
        <f t="shared" si="23"/>
        <v>0</v>
      </c>
      <c r="AD110" s="656">
        <f>(IF(AC$89="Burn for energy", AC$24, 0)+IF(AC$93="Burn for energy", AC33+AC34+AC35, 0)+IF(AC$94="Burn for energy", AC30, 0)+IF(AC$95="Burn for energy", AC$25, 0)+IF(AC$96="Burn for energy", AC$26, 0)+IF(AC$97="Burn for energy", AC$27, 0))*0.02</f>
        <v>0</v>
      </c>
      <c r="AE110" s="659">
        <v>0</v>
      </c>
      <c r="BB110" s="305" t="s">
        <v>444</v>
      </c>
      <c r="BC110" s="308"/>
    </row>
    <row r="111" spans="2:55">
      <c r="B111" s="159" t="s">
        <v>298</v>
      </c>
      <c r="C111" s="220">
        <f>SUM(C58:C60)</f>
        <v>0</v>
      </c>
      <c r="E111" s="120" t="s">
        <v>73</v>
      </c>
      <c r="F111" s="120">
        <v>1</v>
      </c>
      <c r="G111" s="120">
        <v>0.15</v>
      </c>
      <c r="H111" s="120">
        <v>0.8</v>
      </c>
      <c r="I111" s="120"/>
      <c r="J111" s="120">
        <v>2</v>
      </c>
      <c r="K111" s="120"/>
      <c r="L111" s="120"/>
      <c r="M111" s="120">
        <v>0.05</v>
      </c>
      <c r="N111" s="120"/>
      <c r="AB111" s="654" t="s">
        <v>489</v>
      </c>
      <c r="AC111" s="1583">
        <f t="shared" si="23"/>
        <v>0</v>
      </c>
      <c r="AD111" s="656">
        <f>1+SUM(AC$69:AC$72)+AC$74+AC$75-SUM(AC$102:AC$110)-(IF(AC$89="Burn for energy", AC$24, 0)+IF(AC$93="Burn for energy", AC33+AC34+AC35, 0)+IF(AC$94="Burn for energy", AC30, 0)+IF(AC$95="Burn for energy", AC$25, 0)+IF(AC$96="Burn for energy", AC$26, 0)+IF(AC$97="Burn for energy", AC$27, 0))*0.98</f>
        <v>0</v>
      </c>
      <c r="AE111" s="659">
        <v>0</v>
      </c>
      <c r="BB111" s="305" t="s">
        <v>489</v>
      </c>
      <c r="BC111" s="308"/>
    </row>
    <row r="112" spans="2:55">
      <c r="B112" s="159" t="s">
        <v>299</v>
      </c>
      <c r="C112" s="220">
        <f>C56+C57</f>
        <v>0</v>
      </c>
      <c r="E112" s="120" t="s">
        <v>148</v>
      </c>
      <c r="F112" s="120">
        <v>1</v>
      </c>
      <c r="G112" s="120"/>
      <c r="H112" s="120"/>
      <c r="I112" s="120">
        <v>2</v>
      </c>
      <c r="J112" s="120">
        <v>4</v>
      </c>
      <c r="K112" s="120"/>
      <c r="L112" s="120"/>
      <c r="M112" s="120"/>
      <c r="N112" s="120"/>
      <c r="AB112" s="655" t="s">
        <v>683</v>
      </c>
      <c r="AC112" s="1585">
        <f t="shared" si="23"/>
        <v>0.37854100000000002</v>
      </c>
      <c r="AD112" s="657">
        <f>AD85*3.78541</f>
        <v>0.37854100000000002</v>
      </c>
      <c r="AE112" s="660"/>
      <c r="BB112" s="305" t="s">
        <v>488</v>
      </c>
      <c r="BC112" s="308"/>
    </row>
    <row r="113" spans="2:55">
      <c r="B113" s="159" t="s">
        <v>1620</v>
      </c>
      <c r="C113" s="220">
        <f>C52</f>
        <v>0</v>
      </c>
      <c r="E113" s="120" t="s">
        <v>149</v>
      </c>
      <c r="F113" s="120">
        <v>1</v>
      </c>
      <c r="G113" s="120"/>
      <c r="H113" s="120"/>
      <c r="I113" s="120"/>
      <c r="J113" s="120">
        <v>4</v>
      </c>
      <c r="K113" s="120">
        <v>1</v>
      </c>
      <c r="L113" s="120"/>
      <c r="M113" s="120"/>
      <c r="N113" s="120">
        <v>1</v>
      </c>
    </row>
    <row r="114" spans="2:55">
      <c r="B114" s="159" t="s">
        <v>301</v>
      </c>
      <c r="C114" s="220">
        <f>C55</f>
        <v>0</v>
      </c>
      <c r="D114"/>
      <c r="P114"/>
      <c r="AB114" s="133" t="s">
        <v>1791</v>
      </c>
    </row>
    <row r="115" spans="2:55">
      <c r="B115" s="159" t="s">
        <v>439</v>
      </c>
      <c r="C115" s="220">
        <f>C61</f>
        <v>0</v>
      </c>
      <c r="D115"/>
      <c r="E115" s="120"/>
      <c r="F115" s="120" t="s">
        <v>304</v>
      </c>
      <c r="G115" s="120"/>
      <c r="H115" s="120"/>
      <c r="I115" s="120"/>
      <c r="J115" s="120"/>
      <c r="K115" s="120"/>
      <c r="L115" s="120"/>
      <c r="M115" s="120"/>
      <c r="N115" s="120"/>
      <c r="O115" s="120"/>
      <c r="P115"/>
      <c r="AB115" s="167"/>
      <c r="AC115" s="1693" t="s">
        <v>1800</v>
      </c>
      <c r="AD115" s="1694"/>
      <c r="AE115" s="1695"/>
      <c r="BB115" s="133" t="s">
        <v>1791</v>
      </c>
      <c r="BC115"/>
    </row>
    <row r="116" spans="2:55">
      <c r="B116" s="159" t="s">
        <v>1691</v>
      </c>
      <c r="C116" s="220">
        <f>C62</f>
        <v>0</v>
      </c>
      <c r="D116"/>
      <c r="E116" s="120"/>
      <c r="F116" s="120" t="s">
        <v>74</v>
      </c>
      <c r="G116" s="120" t="s">
        <v>77</v>
      </c>
      <c r="H116" s="120" t="s">
        <v>75</v>
      </c>
      <c r="I116" s="120" t="s">
        <v>76</v>
      </c>
      <c r="J116" s="120" t="s">
        <v>78</v>
      </c>
      <c r="K116" s="120" t="s">
        <v>302</v>
      </c>
      <c r="L116" s="120" t="s">
        <v>303</v>
      </c>
      <c r="M116" s="120" t="s">
        <v>296</v>
      </c>
      <c r="N116" s="120" t="s">
        <v>297</v>
      </c>
      <c r="O116" s="120" t="s">
        <v>193</v>
      </c>
      <c r="P116"/>
      <c r="AB116" s="147"/>
      <c r="AC116" s="145" t="s">
        <v>51</v>
      </c>
      <c r="AD116" s="144" t="s">
        <v>63</v>
      </c>
      <c r="AE116" s="146" t="s">
        <v>52</v>
      </c>
      <c r="BB116" s="143"/>
      <c r="BC116" s="303" t="s">
        <v>404</v>
      </c>
    </row>
    <row r="117" spans="2:55">
      <c r="B117" s="159" t="s">
        <v>1721</v>
      </c>
      <c r="C117" s="220">
        <f>C63</f>
        <v>0</v>
      </c>
      <c r="D117"/>
      <c r="E117" s="120" t="s">
        <v>42</v>
      </c>
      <c r="F117" s="223">
        <f t="shared" ref="F117:N117" si="24">F105*F$101</f>
        <v>6.94</v>
      </c>
      <c r="G117" s="223">
        <f t="shared" si="24"/>
        <v>58.933</v>
      </c>
      <c r="H117" s="223">
        <f t="shared" si="24"/>
        <v>0</v>
      </c>
      <c r="I117" s="223">
        <f t="shared" si="24"/>
        <v>0</v>
      </c>
      <c r="J117" s="223">
        <f t="shared" si="24"/>
        <v>31.998000000000001</v>
      </c>
      <c r="K117" s="223">
        <f t="shared" si="24"/>
        <v>0</v>
      </c>
      <c r="L117" s="223">
        <f t="shared" si="24"/>
        <v>0</v>
      </c>
      <c r="M117" s="223">
        <f t="shared" si="24"/>
        <v>0</v>
      </c>
      <c r="N117" s="223">
        <f t="shared" si="24"/>
        <v>0</v>
      </c>
      <c r="O117" s="223">
        <f>SUM(F117:N117)</f>
        <v>97.871000000000009</v>
      </c>
      <c r="P117"/>
      <c r="AB117" s="1441" t="s">
        <v>42</v>
      </c>
      <c r="AC117" s="609">
        <f t="shared" ref="AC117:AC134" si="25">IF(ISNUMBER(AE117),AE117,AD117)</f>
        <v>0</v>
      </c>
      <c r="AD117" s="153">
        <f t="shared" ref="AD117:AD126" si="26">IFERROR(C41*0.95/AC$102,0)</f>
        <v>0</v>
      </c>
      <c r="AE117" s="1586"/>
      <c r="BB117" s="1441" t="s">
        <v>42</v>
      </c>
      <c r="BC117" s="1597"/>
    </row>
    <row r="118" spans="2:55">
      <c r="B118" s="159" t="s">
        <v>1569</v>
      </c>
      <c r="C118" s="220">
        <f>C64</f>
        <v>0</v>
      </c>
      <c r="E118" s="120" t="s">
        <v>1029</v>
      </c>
      <c r="F118" s="223">
        <f t="shared" ref="F118:N118" si="27">F106*F$101</f>
        <v>6.94</v>
      </c>
      <c r="G118" s="223">
        <f t="shared" si="27"/>
        <v>19.644333333333332</v>
      </c>
      <c r="H118" s="223">
        <f t="shared" si="27"/>
        <v>19.56433333333333</v>
      </c>
      <c r="I118" s="223">
        <f t="shared" si="27"/>
        <v>18.312666666666665</v>
      </c>
      <c r="J118" s="223">
        <f t="shared" si="27"/>
        <v>31.998000000000001</v>
      </c>
      <c r="K118" s="223">
        <f t="shared" si="27"/>
        <v>0</v>
      </c>
      <c r="L118" s="223">
        <f t="shared" si="27"/>
        <v>0</v>
      </c>
      <c r="M118" s="223">
        <f t="shared" si="27"/>
        <v>0</v>
      </c>
      <c r="N118" s="223">
        <f t="shared" si="27"/>
        <v>0</v>
      </c>
      <c r="O118" s="223">
        <f>SUM(F118:N118)</f>
        <v>96.459333333333333</v>
      </c>
      <c r="P118"/>
      <c r="AB118" s="29" t="s">
        <v>1029</v>
      </c>
      <c r="AC118" s="609">
        <f t="shared" si="25"/>
        <v>0</v>
      </c>
      <c r="AD118" s="153">
        <f t="shared" si="26"/>
        <v>0</v>
      </c>
      <c r="AE118" s="1586"/>
      <c r="BB118" s="29" t="s">
        <v>1029</v>
      </c>
      <c r="BC118" s="1597"/>
    </row>
    <row r="119" spans="2:55">
      <c r="B119" s="1122" t="s">
        <v>1567</v>
      </c>
      <c r="C119" s="222">
        <f>C65</f>
        <v>0</v>
      </c>
      <c r="D119"/>
      <c r="E119" s="120" t="s">
        <v>1540</v>
      </c>
      <c r="F119" s="223">
        <f t="shared" ref="F119:N119" si="28">F107*F$101</f>
        <v>6.94</v>
      </c>
      <c r="G119" s="223">
        <f t="shared" si="28"/>
        <v>11.7866</v>
      </c>
      <c r="H119" s="223">
        <f t="shared" si="28"/>
        <v>29.346499999999999</v>
      </c>
      <c r="I119" s="223">
        <f t="shared" si="28"/>
        <v>16.481400000000001</v>
      </c>
      <c r="J119" s="223">
        <f t="shared" si="28"/>
        <v>31.998000000000001</v>
      </c>
      <c r="K119" s="223">
        <f t="shared" si="28"/>
        <v>0</v>
      </c>
      <c r="L119" s="223">
        <f t="shared" si="28"/>
        <v>0</v>
      </c>
      <c r="M119" s="223">
        <f t="shared" si="28"/>
        <v>0</v>
      </c>
      <c r="N119" s="223">
        <f t="shared" si="28"/>
        <v>0</v>
      </c>
      <c r="O119" s="223">
        <f>SUM(F119:N119)</f>
        <v>96.552499999999995</v>
      </c>
      <c r="P119"/>
      <c r="AB119" s="29" t="s">
        <v>1540</v>
      </c>
      <c r="AC119" s="609">
        <f t="shared" si="25"/>
        <v>0</v>
      </c>
      <c r="AD119" s="153">
        <f t="shared" si="26"/>
        <v>0</v>
      </c>
      <c r="AE119" s="1586"/>
      <c r="BB119" s="29" t="s">
        <v>1540</v>
      </c>
      <c r="BC119" s="1597"/>
    </row>
    <row r="120" spans="2:55">
      <c r="B120"/>
      <c r="C120" s="740"/>
      <c r="D120"/>
      <c r="E120" s="120" t="s">
        <v>667</v>
      </c>
      <c r="F120" s="223">
        <f t="shared" ref="F120:N120" si="29">F108*F$101</f>
        <v>6.94</v>
      </c>
      <c r="G120" s="223">
        <f t="shared" si="29"/>
        <v>11.7866</v>
      </c>
      <c r="H120" s="223">
        <f t="shared" si="29"/>
        <v>35.215799999999994</v>
      </c>
      <c r="I120" s="223">
        <f t="shared" si="29"/>
        <v>10.9876</v>
      </c>
      <c r="J120" s="223">
        <f t="shared" si="29"/>
        <v>31.998000000000001</v>
      </c>
      <c r="K120" s="223">
        <f t="shared" si="29"/>
        <v>0</v>
      </c>
      <c r="L120" s="223">
        <f t="shared" si="29"/>
        <v>0</v>
      </c>
      <c r="M120" s="223">
        <f t="shared" si="29"/>
        <v>0</v>
      </c>
      <c r="N120" s="223">
        <f t="shared" si="29"/>
        <v>0</v>
      </c>
      <c r="O120" s="223">
        <f t="shared" ref="O120:O125" si="30">SUM(F120:N120)</f>
        <v>96.927999999999997</v>
      </c>
      <c r="P120"/>
      <c r="AB120" s="147" t="s">
        <v>667</v>
      </c>
      <c r="AC120" s="609">
        <f t="shared" si="25"/>
        <v>1</v>
      </c>
      <c r="AD120" s="153">
        <f t="shared" si="26"/>
        <v>0</v>
      </c>
      <c r="AE120" s="1586">
        <v>1</v>
      </c>
      <c r="BB120" s="147" t="s">
        <v>667</v>
      </c>
      <c r="BC120" s="1597"/>
    </row>
    <row r="121" spans="2:55" ht="15" customHeight="1">
      <c r="B121" s="133" t="s">
        <v>1776</v>
      </c>
      <c r="C121"/>
      <c r="D121"/>
      <c r="E121" s="120" t="s">
        <v>669</v>
      </c>
      <c r="F121" s="223">
        <f t="shared" ref="F121:N121" si="31">F109*F$101</f>
        <v>6.94</v>
      </c>
      <c r="G121" s="223">
        <f t="shared" si="31"/>
        <v>5.8933</v>
      </c>
      <c r="H121" s="223">
        <f t="shared" si="31"/>
        <v>46.9544</v>
      </c>
      <c r="I121" s="223">
        <f t="shared" si="31"/>
        <v>5.4938000000000002</v>
      </c>
      <c r="J121" s="223">
        <f t="shared" si="31"/>
        <v>31.998000000000001</v>
      </c>
      <c r="K121" s="223">
        <f t="shared" si="31"/>
        <v>0</v>
      </c>
      <c r="L121" s="223">
        <f t="shared" si="31"/>
        <v>0</v>
      </c>
      <c r="M121" s="223">
        <f t="shared" si="31"/>
        <v>0</v>
      </c>
      <c r="N121" s="223">
        <f t="shared" si="31"/>
        <v>0</v>
      </c>
      <c r="O121" s="223">
        <f t="shared" si="30"/>
        <v>97.279499999999999</v>
      </c>
      <c r="P121"/>
      <c r="AB121" s="147" t="s">
        <v>669</v>
      </c>
      <c r="AC121" s="609">
        <f t="shared" si="25"/>
        <v>0</v>
      </c>
      <c r="AD121" s="153">
        <f t="shared" si="26"/>
        <v>0</v>
      </c>
      <c r="AE121" s="1586"/>
      <c r="BB121" s="147" t="s">
        <v>669</v>
      </c>
      <c r="BC121" s="1597"/>
    </row>
    <row r="122" spans="2:55" ht="15" customHeight="1">
      <c r="B122" s="193" t="s">
        <v>42</v>
      </c>
      <c r="C122" s="1567">
        <f t="shared" ref="C122:C131" si="32">IFERROR((C41*0.95)/(SUM(C$41:C$50)*0.95+SUM(C$51:C$54)*0.05),0)</f>
        <v>0</v>
      </c>
      <c r="E122" s="120" t="s">
        <v>301</v>
      </c>
      <c r="F122" s="223">
        <f t="shared" ref="F122:N122" si="33">F110*F$101</f>
        <v>6.94</v>
      </c>
      <c r="G122" s="223">
        <f t="shared" si="33"/>
        <v>0</v>
      </c>
      <c r="H122" s="223">
        <f t="shared" si="33"/>
        <v>0</v>
      </c>
      <c r="I122" s="223">
        <f t="shared" si="33"/>
        <v>0</v>
      </c>
      <c r="J122" s="223">
        <f t="shared" si="33"/>
        <v>0</v>
      </c>
      <c r="K122" s="223">
        <f t="shared" si="33"/>
        <v>30.974</v>
      </c>
      <c r="L122" s="223">
        <f t="shared" si="33"/>
        <v>113.988</v>
      </c>
      <c r="M122" s="223">
        <f t="shared" si="33"/>
        <v>0</v>
      </c>
      <c r="N122" s="223">
        <f t="shared" si="33"/>
        <v>0</v>
      </c>
      <c r="O122" s="223">
        <f t="shared" si="30"/>
        <v>151.90199999999999</v>
      </c>
      <c r="P122"/>
      <c r="AB122" s="147" t="s">
        <v>73</v>
      </c>
      <c r="AC122" s="609">
        <f t="shared" si="25"/>
        <v>0</v>
      </c>
      <c r="AD122" s="153">
        <f t="shared" si="26"/>
        <v>0</v>
      </c>
      <c r="AE122" s="1586"/>
      <c r="BB122" s="147" t="s">
        <v>73</v>
      </c>
      <c r="BC122" s="1597"/>
    </row>
    <row r="123" spans="2:55" ht="15" customHeight="1">
      <c r="B123" s="29" t="s">
        <v>1029</v>
      </c>
      <c r="C123" s="1567">
        <f t="shared" si="32"/>
        <v>0</v>
      </c>
      <c r="E123" s="120" t="s">
        <v>73</v>
      </c>
      <c r="F123" s="223">
        <f t="shared" ref="F123:N123" si="34">F111*F$101</f>
        <v>6.94</v>
      </c>
      <c r="G123" s="223">
        <f t="shared" si="34"/>
        <v>8.83995</v>
      </c>
      <c r="H123" s="223">
        <f t="shared" si="34"/>
        <v>46.9544</v>
      </c>
      <c r="I123" s="223">
        <f t="shared" si="34"/>
        <v>0</v>
      </c>
      <c r="J123" s="223">
        <f t="shared" si="34"/>
        <v>31.998000000000001</v>
      </c>
      <c r="K123" s="223">
        <f t="shared" si="34"/>
        <v>0</v>
      </c>
      <c r="L123" s="223">
        <f t="shared" si="34"/>
        <v>0</v>
      </c>
      <c r="M123" s="223">
        <f t="shared" si="34"/>
        <v>1.3491</v>
      </c>
      <c r="N123" s="223">
        <f t="shared" si="34"/>
        <v>0</v>
      </c>
      <c r="O123" s="223">
        <f t="shared" si="30"/>
        <v>96.08144999999999</v>
      </c>
      <c r="P123"/>
      <c r="AB123" s="147" t="s">
        <v>148</v>
      </c>
      <c r="AC123" s="609">
        <f t="shared" si="25"/>
        <v>0</v>
      </c>
      <c r="AD123" s="153">
        <f t="shared" si="26"/>
        <v>0</v>
      </c>
      <c r="AE123" s="1586"/>
      <c r="BB123" s="147" t="s">
        <v>148</v>
      </c>
      <c r="BC123" s="1597"/>
    </row>
    <row r="124" spans="2:55" ht="15" customHeight="1">
      <c r="B124" s="29" t="s">
        <v>1540</v>
      </c>
      <c r="C124" s="1567">
        <f t="shared" si="32"/>
        <v>0</v>
      </c>
      <c r="E124" s="120" t="s">
        <v>148</v>
      </c>
      <c r="F124" s="223">
        <f t="shared" ref="F124:N124" si="35">F112*F$101</f>
        <v>6.94</v>
      </c>
      <c r="G124" s="223">
        <f t="shared" si="35"/>
        <v>0</v>
      </c>
      <c r="H124" s="223">
        <f t="shared" si="35"/>
        <v>0</v>
      </c>
      <c r="I124" s="223">
        <f t="shared" si="35"/>
        <v>109.876</v>
      </c>
      <c r="J124" s="223">
        <f t="shared" si="35"/>
        <v>63.996000000000002</v>
      </c>
      <c r="K124" s="223">
        <f t="shared" si="35"/>
        <v>0</v>
      </c>
      <c r="L124" s="223">
        <f t="shared" si="35"/>
        <v>0</v>
      </c>
      <c r="M124" s="223">
        <f t="shared" si="35"/>
        <v>0</v>
      </c>
      <c r="N124" s="223">
        <f t="shared" si="35"/>
        <v>0</v>
      </c>
      <c r="O124" s="223">
        <f t="shared" si="30"/>
        <v>180.81200000000001</v>
      </c>
      <c r="P124"/>
      <c r="AB124" s="147" t="s">
        <v>149</v>
      </c>
      <c r="AC124" s="609">
        <f t="shared" si="25"/>
        <v>0</v>
      </c>
      <c r="AD124" s="153">
        <f t="shared" si="26"/>
        <v>0</v>
      </c>
      <c r="AE124" s="1586"/>
      <c r="BB124" s="147" t="s">
        <v>149</v>
      </c>
      <c r="BC124" s="1597"/>
    </row>
    <row r="125" spans="2:55" ht="16" customHeight="1">
      <c r="B125" s="159" t="s">
        <v>667</v>
      </c>
      <c r="C125" s="1567">
        <f t="shared" si="32"/>
        <v>0</v>
      </c>
      <c r="E125" s="120" t="s">
        <v>149</v>
      </c>
      <c r="F125" s="223">
        <f t="shared" ref="F125:N125" si="36">F113*F$101</f>
        <v>6.94</v>
      </c>
      <c r="G125" s="223">
        <f t="shared" si="36"/>
        <v>0</v>
      </c>
      <c r="H125" s="223">
        <f t="shared" si="36"/>
        <v>0</v>
      </c>
      <c r="I125" s="223">
        <f t="shared" si="36"/>
        <v>0</v>
      </c>
      <c r="J125" s="223">
        <f t="shared" si="36"/>
        <v>63.996000000000002</v>
      </c>
      <c r="K125" s="223">
        <f t="shared" si="36"/>
        <v>30.974</v>
      </c>
      <c r="L125" s="223">
        <f t="shared" si="36"/>
        <v>0</v>
      </c>
      <c r="M125" s="223">
        <f t="shared" si="36"/>
        <v>0</v>
      </c>
      <c r="N125" s="223">
        <f t="shared" si="36"/>
        <v>55.844999999999999</v>
      </c>
      <c r="O125" s="223">
        <f t="shared" si="30"/>
        <v>157.755</v>
      </c>
      <c r="P125"/>
      <c r="AB125" s="147" t="s">
        <v>54</v>
      </c>
      <c r="AC125" s="609">
        <f t="shared" si="25"/>
        <v>0</v>
      </c>
      <c r="AD125" s="153">
        <f t="shared" si="26"/>
        <v>0</v>
      </c>
      <c r="AE125" s="1586"/>
      <c r="BB125" s="147" t="s">
        <v>54</v>
      </c>
      <c r="BC125" s="1597"/>
    </row>
    <row r="126" spans="2:55">
      <c r="B126" s="159" t="s">
        <v>669</v>
      </c>
      <c r="C126" s="1567">
        <f t="shared" si="32"/>
        <v>0</v>
      </c>
      <c r="E126"/>
      <c r="F126"/>
      <c r="G126"/>
      <c r="H126"/>
      <c r="I126"/>
      <c r="J126"/>
      <c r="K126"/>
      <c r="L126"/>
      <c r="M126"/>
      <c r="N126"/>
      <c r="O126" s="111">
        <v>11</v>
      </c>
      <c r="AB126" s="147" t="s">
        <v>55</v>
      </c>
      <c r="AC126" s="609">
        <f t="shared" si="25"/>
        <v>0</v>
      </c>
      <c r="AD126" s="153">
        <f t="shared" si="26"/>
        <v>0</v>
      </c>
      <c r="AE126" s="1586"/>
      <c r="BB126" s="147" t="s">
        <v>55</v>
      </c>
      <c r="BC126" s="1597"/>
    </row>
    <row r="127" spans="2:55">
      <c r="B127" s="159" t="s">
        <v>73</v>
      </c>
      <c r="C127" s="1567">
        <f t="shared" si="32"/>
        <v>0</v>
      </c>
      <c r="J127" s="120" t="s">
        <v>1625</v>
      </c>
      <c r="K127" s="120" t="s">
        <v>1624</v>
      </c>
      <c r="AB127" s="147" t="s">
        <v>56</v>
      </c>
      <c r="AC127" s="609">
        <f t="shared" si="25"/>
        <v>0</v>
      </c>
      <c r="AD127" s="153">
        <f>IFERROR(C51*0.05/AC$102,0)</f>
        <v>0</v>
      </c>
      <c r="AE127" s="1586"/>
      <c r="BB127" s="147" t="s">
        <v>56</v>
      </c>
      <c r="BC127" s="1597"/>
    </row>
    <row r="128" spans="2:55">
      <c r="B128" s="159" t="s">
        <v>148</v>
      </c>
      <c r="C128" s="1567">
        <f t="shared" si="32"/>
        <v>0</v>
      </c>
      <c r="J128" s="120">
        <f>L101*2</f>
        <v>37.996000000000002</v>
      </c>
      <c r="K128" s="120">
        <f>(L101+O101+P101)*2</f>
        <v>64.034000000000006</v>
      </c>
      <c r="AB128" s="147" t="s">
        <v>1622</v>
      </c>
      <c r="AC128" s="609">
        <f t="shared" si="25"/>
        <v>0</v>
      </c>
      <c r="AD128" s="153">
        <f>IFERROR(C52*0.05/AC$102,0)</f>
        <v>0</v>
      </c>
      <c r="AE128" s="1586"/>
      <c r="BB128" s="147" t="s">
        <v>1622</v>
      </c>
      <c r="BC128" s="1597"/>
    </row>
    <row r="129" spans="2:57">
      <c r="B129" s="159" t="s">
        <v>149</v>
      </c>
      <c r="C129" s="1567">
        <f t="shared" si="32"/>
        <v>0</v>
      </c>
      <c r="F129"/>
      <c r="AB129" s="147" t="s">
        <v>41</v>
      </c>
      <c r="AC129" s="609">
        <f t="shared" si="25"/>
        <v>0</v>
      </c>
      <c r="AD129" s="153">
        <f>IFERROR(C53*0.05/AC$102,0)</f>
        <v>0</v>
      </c>
      <c r="AE129" s="1586"/>
      <c r="BB129" s="147" t="s">
        <v>41</v>
      </c>
      <c r="BC129" s="1597"/>
    </row>
    <row r="130" spans="2:57">
      <c r="B130" s="159" t="s">
        <v>54</v>
      </c>
      <c r="C130" s="1567">
        <f t="shared" si="32"/>
        <v>0</v>
      </c>
      <c r="F130"/>
      <c r="AB130" s="147" t="s">
        <v>398</v>
      </c>
      <c r="AC130" s="609">
        <f t="shared" si="25"/>
        <v>0</v>
      </c>
      <c r="AD130" s="153">
        <f>IFERROR(C54*0.05/AC$102,0)</f>
        <v>0</v>
      </c>
      <c r="AE130" s="1586"/>
      <c r="BB130" s="147" t="s">
        <v>398</v>
      </c>
      <c r="BC130" s="1597"/>
    </row>
    <row r="131" spans="2:57">
      <c r="B131" s="159" t="s">
        <v>55</v>
      </c>
      <c r="C131" s="1567">
        <f t="shared" si="32"/>
        <v>0</v>
      </c>
      <c r="F131"/>
      <c r="AB131" s="147" t="s">
        <v>439</v>
      </c>
      <c r="AC131" s="609">
        <f t="shared" si="25"/>
        <v>0</v>
      </c>
      <c r="AD131" s="153">
        <v>0</v>
      </c>
      <c r="AE131" s="1586"/>
      <c r="BB131" s="147" t="s">
        <v>439</v>
      </c>
      <c r="BC131" s="1597"/>
    </row>
    <row r="132" spans="2:57">
      <c r="B132" s="159" t="s">
        <v>56</v>
      </c>
      <c r="C132" s="1567">
        <f>IFERROR((C51*0.05)/(SUM(C$41:C$50)*0.95+SUM(C$51:C$54)*0.05),0)</f>
        <v>0</v>
      </c>
      <c r="F132"/>
      <c r="AB132" s="147" t="s">
        <v>57</v>
      </c>
      <c r="AC132" s="609">
        <f t="shared" si="25"/>
        <v>0</v>
      </c>
      <c r="AD132" s="153">
        <v>0</v>
      </c>
      <c r="AE132" s="1586"/>
      <c r="BB132" s="147" t="s">
        <v>57</v>
      </c>
      <c r="BC132" s="1597"/>
    </row>
    <row r="133" spans="2:57">
      <c r="B133" s="159" t="s">
        <v>1622</v>
      </c>
      <c r="C133" s="1567">
        <f>IFERROR((C52*0.05)/(SUM(C$41:C$50)*0.95+SUM(C$51:C$54)*0.05),0)</f>
        <v>0</v>
      </c>
      <c r="F133"/>
      <c r="AB133" s="147" t="s">
        <v>1906</v>
      </c>
      <c r="AC133" s="609">
        <f t="shared" si="25"/>
        <v>0</v>
      </c>
      <c r="AD133" s="153">
        <v>0</v>
      </c>
      <c r="AE133" s="1631"/>
      <c r="BB133" s="147" t="s">
        <v>1906</v>
      </c>
      <c r="BC133" s="1632"/>
    </row>
    <row r="134" spans="2:57">
      <c r="B134" s="159" t="s">
        <v>41</v>
      </c>
      <c r="C134" s="1567">
        <f>IFERROR((C53*0.05)/(SUM(C$41:C$50)*0.95+SUM(C$51:C$54)*0.05),0)</f>
        <v>0</v>
      </c>
      <c r="F134"/>
      <c r="AB134" s="1337" t="s">
        <v>298</v>
      </c>
      <c r="AC134" s="1587">
        <f t="shared" si="25"/>
        <v>0</v>
      </c>
      <c r="AD134" s="1445">
        <v>0</v>
      </c>
      <c r="AE134" s="1588"/>
      <c r="BB134" s="1337" t="s">
        <v>298</v>
      </c>
      <c r="BC134" s="1598"/>
    </row>
    <row r="135" spans="2:57">
      <c r="B135" s="1122" t="s">
        <v>398</v>
      </c>
      <c r="C135" s="1568">
        <f>IFERROR((C54*0.05)/(SUM(C$41:C$50)*0.95+SUM(C$51:C$54)*0.05),0)</f>
        <v>0</v>
      </c>
      <c r="F135"/>
      <c r="AJ135" s="110" t="s">
        <v>298</v>
      </c>
      <c r="AM135" s="110" t="s">
        <v>70</v>
      </c>
      <c r="AN135" s="110"/>
      <c r="AO135" s="110"/>
    </row>
    <row r="136" spans="2:57">
      <c r="C136" s="154"/>
      <c r="F136"/>
      <c r="AB136" s="133" t="s">
        <v>159</v>
      </c>
      <c r="AG136" s="120"/>
      <c r="AH136" s="120" t="s">
        <v>54</v>
      </c>
      <c r="AI136" s="120" t="s">
        <v>55</v>
      </c>
      <c r="AJ136" s="120" t="s">
        <v>366</v>
      </c>
      <c r="AK136" s="120" t="s">
        <v>367</v>
      </c>
      <c r="AL136" s="310" t="s">
        <v>368</v>
      </c>
      <c r="AM136" s="310" t="s">
        <v>369</v>
      </c>
      <c r="AN136" s="310" t="s">
        <v>370</v>
      </c>
      <c r="AO136" s="310" t="s">
        <v>66</v>
      </c>
      <c r="AP136" s="310" t="s">
        <v>1779</v>
      </c>
      <c r="BB136" s="133" t="s">
        <v>364</v>
      </c>
    </row>
    <row r="137" spans="2:57">
      <c r="B137" s="133" t="s">
        <v>1777</v>
      </c>
      <c r="F137"/>
      <c r="AB137" s="133" t="s">
        <v>1847</v>
      </c>
      <c r="AG137" s="120" t="s">
        <v>365</v>
      </c>
      <c r="AH137" s="1238">
        <v>1</v>
      </c>
      <c r="AI137" s="1238">
        <v>1</v>
      </c>
      <c r="AJ137" s="1238">
        <v>0.63</v>
      </c>
      <c r="AK137" s="1238">
        <v>0.86</v>
      </c>
      <c r="AL137" s="1239">
        <v>0.92</v>
      </c>
      <c r="AM137" s="1239">
        <v>0.41</v>
      </c>
      <c r="AN137" s="1239">
        <v>0.4</v>
      </c>
      <c r="AO137" s="1239">
        <f>24/64</f>
        <v>0.375</v>
      </c>
      <c r="AP137" s="1239">
        <f>24/59</f>
        <v>0.40677966101694918</v>
      </c>
      <c r="BB137" s="133" t="s">
        <v>1878</v>
      </c>
    </row>
    <row r="138" spans="2:57">
      <c r="B138" s="193" t="s">
        <v>74</v>
      </c>
      <c r="C138" s="219">
        <f>F117/O117*C122+F118/O118*C123+F119/O119*C124+F120/O120*C125+F121/O121*C126+F123/O123*C127+F124/O124*C128+F125/O125*C129</f>
        <v>0</v>
      </c>
      <c r="F138"/>
      <c r="AB138" s="111" t="s">
        <v>375</v>
      </c>
      <c r="AJ138"/>
      <c r="AK138"/>
      <c r="AL138"/>
      <c r="AM138"/>
      <c r="AN138"/>
      <c r="AO138" s="110"/>
      <c r="BB138" s="111" t="s">
        <v>375</v>
      </c>
    </row>
    <row r="139" spans="2:57">
      <c r="B139" s="29" t="s">
        <v>77</v>
      </c>
      <c r="C139" s="220">
        <f>G117/O117*C122+G118/O118*C123+G119/O119*C124+G120/O120*C125+G121/O121*C126+G123/O123*C127+G124/O124*C128+G125/O125*C129</f>
        <v>0</v>
      </c>
      <c r="F139"/>
      <c r="AB139" s="143"/>
      <c r="AC139" s="144" t="s">
        <v>440</v>
      </c>
      <c r="AD139" s="144" t="s">
        <v>441</v>
      </c>
      <c r="AE139" s="146" t="s">
        <v>442</v>
      </c>
      <c r="BB139" s="143"/>
      <c r="BC139" s="144" t="s">
        <v>440</v>
      </c>
      <c r="BD139" s="144" t="s">
        <v>441</v>
      </c>
      <c r="BE139" s="146" t="s">
        <v>442</v>
      </c>
    </row>
    <row r="140" spans="2:57">
      <c r="B140" s="29" t="s">
        <v>75</v>
      </c>
      <c r="C140" s="220">
        <f>H117/O117*C122+H118/O118*C123+H119/O119*C124+H120/O120*C125+H121/O121*C126+H123/O123*C127+H124/O124*C128+H125/O125*C129</f>
        <v>0</v>
      </c>
      <c r="F140"/>
      <c r="AB140" s="167" t="s">
        <v>11</v>
      </c>
      <c r="AC140" s="178">
        <v>0</v>
      </c>
      <c r="AE140" s="311">
        <f t="shared" ref="AE140:AE150" si="37">AC140+AD140</f>
        <v>0</v>
      </c>
      <c r="AG140" s="120"/>
      <c r="AH140" s="120" t="s">
        <v>372</v>
      </c>
      <c r="AI140" s="120" t="s">
        <v>17</v>
      </c>
      <c r="AJ140" s="120" t="s">
        <v>371</v>
      </c>
      <c r="AK140" s="120" t="s">
        <v>383</v>
      </c>
      <c r="AL140" s="120" t="s">
        <v>422</v>
      </c>
      <c r="AM140" s="120" t="s">
        <v>552</v>
      </c>
      <c r="BB140" s="167" t="s">
        <v>11</v>
      </c>
      <c r="BC140" s="178">
        <v>0</v>
      </c>
      <c r="BE140" s="311">
        <f t="shared" ref="BE140:BE150" si="38">BC140+BD140</f>
        <v>0</v>
      </c>
    </row>
    <row r="141" spans="2:57">
      <c r="B141" s="1122" t="s">
        <v>76</v>
      </c>
      <c r="C141" s="222">
        <f>I117/O117*C122+I118/O118*C123+I119/O119*C124+I120/O120*C125+I121/O121*C126+I123/O123*C127+I124/O124*C128+I125/O125*C129</f>
        <v>0</v>
      </c>
      <c r="AB141" s="147" t="s">
        <v>231</v>
      </c>
      <c r="AC141" s="178">
        <v>0</v>
      </c>
      <c r="AE141" s="179">
        <f t="shared" si="37"/>
        <v>0</v>
      </c>
      <c r="AG141" s="120" t="s">
        <v>373</v>
      </c>
      <c r="AH141" s="120">
        <v>12</v>
      </c>
      <c r="AI141" s="120">
        <v>44</v>
      </c>
      <c r="AJ141" s="120">
        <v>74</v>
      </c>
      <c r="AK141" s="120">
        <v>100</v>
      </c>
      <c r="AL141" s="120">
        <v>106</v>
      </c>
      <c r="AM141" s="120">
        <v>56</v>
      </c>
      <c r="BB141" s="147" t="s">
        <v>231</v>
      </c>
      <c r="BC141" s="178">
        <v>0</v>
      </c>
      <c r="BE141" s="179">
        <f t="shared" si="38"/>
        <v>0</v>
      </c>
    </row>
    <row r="142" spans="2:57">
      <c r="AB142" s="147" t="s">
        <v>232</v>
      </c>
      <c r="AC142" s="178">
        <v>0</v>
      </c>
      <c r="AE142" s="179">
        <f t="shared" si="37"/>
        <v>0</v>
      </c>
      <c r="BB142" s="147" t="s">
        <v>232</v>
      </c>
      <c r="BC142" s="178">
        <v>0</v>
      </c>
      <c r="BE142" s="179">
        <f t="shared" si="38"/>
        <v>0</v>
      </c>
    </row>
    <row r="143" spans="2:57">
      <c r="AB143" s="147" t="s">
        <v>12</v>
      </c>
      <c r="AC143" s="178">
        <v>0</v>
      </c>
      <c r="AE143" s="179">
        <f t="shared" si="37"/>
        <v>0</v>
      </c>
      <c r="BB143" s="147" t="s">
        <v>12</v>
      </c>
      <c r="BC143" s="178">
        <v>0</v>
      </c>
      <c r="BE143" s="179">
        <f t="shared" si="38"/>
        <v>0</v>
      </c>
    </row>
    <row r="144" spans="2:57">
      <c r="AB144" s="147" t="s">
        <v>13</v>
      </c>
      <c r="AC144" s="178">
        <v>0</v>
      </c>
      <c r="AE144" s="179">
        <f t="shared" si="37"/>
        <v>0</v>
      </c>
      <c r="AG144" s="120" t="s">
        <v>74</v>
      </c>
      <c r="AH144" s="120" t="s">
        <v>670</v>
      </c>
      <c r="AI144" s="120"/>
      <c r="AJ144" s="310" t="s">
        <v>77</v>
      </c>
      <c r="AK144" s="310" t="s">
        <v>445</v>
      </c>
      <c r="BB144" s="147" t="s">
        <v>13</v>
      </c>
      <c r="BC144" s="178">
        <v>0</v>
      </c>
      <c r="BE144" s="179">
        <f t="shared" si="38"/>
        <v>0</v>
      </c>
    </row>
    <row r="145" spans="28:58">
      <c r="AB145" s="147" t="s">
        <v>20</v>
      </c>
      <c r="AC145" s="178">
        <v>0</v>
      </c>
      <c r="AE145" s="179">
        <f t="shared" si="37"/>
        <v>0</v>
      </c>
      <c r="AG145" s="120">
        <v>7</v>
      </c>
      <c r="AH145" s="120">
        <v>37</v>
      </c>
      <c r="AI145" s="120"/>
      <c r="AJ145" s="310">
        <v>59</v>
      </c>
      <c r="AK145" s="310">
        <v>98</v>
      </c>
      <c r="BB145" s="147" t="s">
        <v>20</v>
      </c>
      <c r="BC145" s="178">
        <v>0</v>
      </c>
      <c r="BE145" s="179">
        <f t="shared" si="38"/>
        <v>0</v>
      </c>
    </row>
    <row r="146" spans="28:58">
      <c r="AB146" s="147" t="s">
        <v>14</v>
      </c>
      <c r="AC146" s="178">
        <v>0</v>
      </c>
      <c r="AE146" s="179">
        <f t="shared" si="37"/>
        <v>0</v>
      </c>
      <c r="BB146" s="147" t="s">
        <v>14</v>
      </c>
      <c r="BC146" s="178">
        <v>0</v>
      </c>
      <c r="BE146" s="179">
        <f t="shared" si="38"/>
        <v>0</v>
      </c>
    </row>
    <row r="147" spans="28:58">
      <c r="AB147" s="147" t="s">
        <v>15</v>
      </c>
      <c r="AC147" s="178">
        <v>0</v>
      </c>
      <c r="AE147" s="179">
        <f t="shared" si="37"/>
        <v>0</v>
      </c>
      <c r="BB147" s="147" t="s">
        <v>15</v>
      </c>
      <c r="BC147" s="178">
        <v>0</v>
      </c>
      <c r="BE147" s="179">
        <f t="shared" si="38"/>
        <v>0</v>
      </c>
    </row>
    <row r="148" spans="28:58">
      <c r="AB148" s="147" t="s">
        <v>16</v>
      </c>
      <c r="AC148" s="178">
        <v>0</v>
      </c>
      <c r="AE148" s="179">
        <f t="shared" si="37"/>
        <v>0</v>
      </c>
      <c r="BB148" s="147" t="s">
        <v>16</v>
      </c>
      <c r="BC148" s="178">
        <v>0</v>
      </c>
      <c r="BE148" s="179">
        <f t="shared" si="38"/>
        <v>0</v>
      </c>
    </row>
    <row r="149" spans="28:58">
      <c r="AB149" s="147" t="s">
        <v>19</v>
      </c>
      <c r="AC149" s="178">
        <v>0</v>
      </c>
      <c r="AE149" s="179">
        <f t="shared" si="37"/>
        <v>0</v>
      </c>
      <c r="BB149" s="147" t="s">
        <v>19</v>
      </c>
      <c r="BC149" s="178">
        <v>0</v>
      </c>
      <c r="BE149" s="179">
        <f t="shared" si="38"/>
        <v>0</v>
      </c>
    </row>
    <row r="150" spans="28:58">
      <c r="AB150" s="149" t="s">
        <v>17</v>
      </c>
      <c r="AC150" s="312">
        <f>(IF(AC89="Burn for energy", AC24*$AH$137, 0)+IF(AC93="Burn for energy", AC33*$AK$137+AC34*$AL$137+AC35*$AJ$137, 0)+IF(AC94="Burn for energy", AC31*$AM$137+AC32*$AN$137, 0)+IF(AC95="Burn for energy", AC25*$AI$137, 0)+IF(AC96="Burn for energy", AC26*$AO$137, 0)+IF(AC97="Burn for energy", AC27*$AP$137, 0))*1000/$AH$141*$AI$141</f>
        <v>0</v>
      </c>
      <c r="AD150" s="188">
        <v>0</v>
      </c>
      <c r="AE150" s="313">
        <f t="shared" si="37"/>
        <v>0</v>
      </c>
      <c r="BB150" s="149" t="s">
        <v>17</v>
      </c>
      <c r="BC150" s="312">
        <f>(IF(BC89="Burn for energy", BC25*$AH$137, 0)+IF(BC93="Burn for energy", BC34*$AK$137+BC35*$AL$137+BC36*$AJ$137, 0)+IF(BC94="Burn for energy", BC32*$AM$137+BC33*$AN$137, 0)+IF(BC95="Burn for energy", BC26*$AI$137, 0)+IF(BC96="Burn for energy", BC27*$AO$137, 0)+IF(BC97="Burn for energy", BC28*$AP$137, 0))*1000/$AH$141*$AI$141</f>
        <v>0</v>
      </c>
      <c r="BD150" s="188">
        <v>0</v>
      </c>
      <c r="BE150" s="313">
        <f t="shared" si="38"/>
        <v>0</v>
      </c>
    </row>
    <row r="152" spans="28:58">
      <c r="AB152" s="111" t="s">
        <v>1848</v>
      </c>
      <c r="BB152" s="111" t="s">
        <v>1848</v>
      </c>
    </row>
    <row r="153" spans="28:58">
      <c r="AB153" s="145"/>
      <c r="AC153" s="144" t="s">
        <v>376</v>
      </c>
      <c r="AD153" s="144" t="s">
        <v>377</v>
      </c>
      <c r="AE153" s="144" t="s">
        <v>5</v>
      </c>
      <c r="AF153" s="146" t="s">
        <v>193</v>
      </c>
      <c r="AH153" s="120" t="s">
        <v>270</v>
      </c>
      <c r="AI153" s="120"/>
      <c r="BB153" s="145"/>
      <c r="BC153" s="144" t="s">
        <v>376</v>
      </c>
      <c r="BD153" s="144" t="s">
        <v>377</v>
      </c>
      <c r="BE153" s="144" t="s">
        <v>5</v>
      </c>
      <c r="BF153" s="146" t="s">
        <v>193</v>
      </c>
    </row>
    <row r="154" spans="28:58">
      <c r="AB154" s="147" t="s">
        <v>346</v>
      </c>
      <c r="AC154" s="193"/>
      <c r="AD154" s="235"/>
      <c r="AE154" s="235"/>
      <c r="AF154" s="236"/>
      <c r="AH154" s="120" t="s">
        <v>271</v>
      </c>
      <c r="AI154" s="120">
        <v>1.1000000000000001E-3</v>
      </c>
      <c r="BB154" s="147" t="s">
        <v>346</v>
      </c>
      <c r="BC154" s="193"/>
      <c r="BD154" s="235"/>
      <c r="BE154" s="235"/>
      <c r="BF154" s="236"/>
    </row>
    <row r="155" spans="28:58">
      <c r="AB155" s="147" t="s">
        <v>173</v>
      </c>
      <c r="AC155" s="237">
        <f>(IFERROR(HLOOKUP(AB$68, 'GREET IO'!$B$77:$BK$98, ROW(AB155)-ROW(AB$153)+1, FALSE), 0)*AC$68+IFERROR(HLOOKUP(AB$69, 'GREET IO'!$B$77:$BK$98, ROW(AB155)-ROW(AB$153)+1, FALSE), 0)*AC$69+IFERROR(HLOOKUP(AB$70, 'GREET IO'!$B$77:$BK$98, ROW(AB155)-ROW(AB$153)+1, FALSE), 0)*AC$70+IFERROR(HLOOKUP(AB$71, 'GREET IO'!$B$77:$BK$98, ROW(AB155)-ROW(AB$153)+1, FALSE), 0)*AC$71+IFERROR(HLOOKUP(AB$72, 'GREET IO'!$B$77:$BK$98, ROW(AB155)-ROW(AB$153)+1, FALSE), 0)*AC$72+IF(ISTEXT(AB$74), 1, 0)*AC$74*Materials!$C113+IF(ISTEXT(AB$75), 1, 0)*AC$75*Materials!$D113)*$AI$154</f>
        <v>0</v>
      </c>
      <c r="AD155" s="178">
        <f>AC$79/$AI$155*('GREET IO'!$B146+1)+AC$80/$AI$155*('GREET IO'!$B22/1000000+1)+AC$81/$AI$155*IF($D$14=Input!$AD$34,"blank",IF($D$14=Input!$AD$35,'Geographic Par.'!$E70, IF($D$14=Input!$AD$36, 'Geographic Par.'!$F70, IF($D$14=Input!$AD$37, 'Geographic Par.'!$H70, IF($D$14=Input!$AD$38,'Geographic Par.'!$G70,'Geographic Par.'!$J70)))))/1000000</f>
        <v>3.2468013248182193E-3</v>
      </c>
      <c r="AE155" s="316"/>
      <c r="AF155" s="179">
        <f t="shared" ref="AF155:AF160" si="39">SUM(AC155:AE155)</f>
        <v>3.2468013248182193E-3</v>
      </c>
      <c r="AH155" s="120" t="s">
        <v>1292</v>
      </c>
      <c r="AI155" s="120">
        <v>1055</v>
      </c>
      <c r="BB155" s="147" t="s">
        <v>173</v>
      </c>
      <c r="BC155" s="237">
        <f>(IFERROR(HLOOKUP(BB$68, 'GREET IO'!$B$77:$BK$98, ROW(BB155)-ROW(BB$153)+1, FALSE), 0)*BC$68+IFERROR(HLOOKUP(BB$69, 'GREET IO'!$B$77:$BK$98, ROW(BB155)-ROW(BB$153)+1, FALSE), 0)*BC$69+IFERROR(HLOOKUP(BB$70, 'GREET IO'!$B$77:$BK$98, ROW(BB155)-ROW(BB$153)+1, FALSE), 0)*BC$70+IFERROR(HLOOKUP(BB$71, 'GREET IO'!$B$77:$BK$98, ROW(BB155)-ROW(BB$153)+1, FALSE), 0)*BC$71+IFERROR(HLOOKUP(BB$72, 'GREET IO'!$B$77:$BK$98, ROW(BB155)-ROW(BB$153)+1, FALSE), 0)*BC$72+IF(ISTEXT(BB$74), 1, 0)*BC$74*Materials!$E113+IF(ISTEXT(BB$75), 1, 0)*BC$75*Materials!$F113)*$AI$154</f>
        <v>0</v>
      </c>
      <c r="BD155" s="178">
        <f>BC$79/$AI$155*('GREET IO'!$B146+1)+BC$80/$AI$155*('GREET IO'!$B22/1000000+1)+BC$81/$AI$155*IF($D$14=Input!$AD$34,"blank",IF($D$14=Input!$AD$35,'Geographic Par.'!$E70, IF($D$14=Input!$AD$36, 'Geographic Par.'!$F70, IF($D$14=Input!$AD$37, 'Geographic Par.'!$H70, IF($D$14=Input!$AD$38,'Geographic Par.'!$G70,'Geographic Par.'!$J70)))))/1000000</f>
        <v>0</v>
      </c>
      <c r="BE155" s="316"/>
      <c r="BF155" s="179">
        <f t="shared" ref="BF155:BF160" si="40">SUM(BC155:BE155)</f>
        <v>0</v>
      </c>
    </row>
    <row r="156" spans="28:58">
      <c r="AB156" s="147" t="s">
        <v>174</v>
      </c>
      <c r="AC156" s="237">
        <f>(IFERROR(HLOOKUP(AB$68, 'GREET IO'!$B$77:$BK$98, ROW(AB156)-ROW(AB$153)+1, FALSE), 0)*AC$68+IFERROR(HLOOKUP(AB$69, 'GREET IO'!$B$77:$BK$98, ROW(AB156)-ROW(AB$153)+1, FALSE), 0)*AC$69+IFERROR(HLOOKUP(AB$70, 'GREET IO'!$B$77:$BK$98, ROW(AB156)-ROW(AB$153)+1, FALSE), 0)*AC$70+IFERROR(HLOOKUP(AB$71, 'GREET IO'!$B$77:$BK$98, ROW(AB156)-ROW(AB$153)+1, FALSE), 0)*AC$71+IFERROR(HLOOKUP(AB$72, 'GREET IO'!$B$77:$BK$98, ROW(AB156)-ROW(AB$153)+1, FALSE), 0)*AC$72+IF(ISTEXT(AB$74), 1, 0)*AC$74*Materials!$C114+IF(ISTEXT(AB$75), 1, 0)*AC$75*Materials!$D114)*$AI$154</f>
        <v>0</v>
      </c>
      <c r="AD156" s="178">
        <f>AC$79/$AI$155*('GREET IO'!$B147+1)+AC$80/$AI$155*('GREET IO'!$B23/1000000+1)+AC$81/$AI$155*IF($D$14=Input!$AD$34,"blank",IF($D$14=Input!$AD$35,'Geographic Par.'!$E71, IF($D$14=Input!$AD$36, 'Geographic Par.'!$F71, IF($D$14=Input!$AD$37, 'Geographic Par.'!$H71, IF($D$14=Input!$AD$38,'Geographic Par.'!$G71,'Geographic Par.'!$J71)))))/1000000</f>
        <v>3.1567559393790609E-3</v>
      </c>
      <c r="AE156" s="316"/>
      <c r="AF156" s="179">
        <f t="shared" si="39"/>
        <v>3.1567559393790609E-3</v>
      </c>
      <c r="BB156" s="147" t="s">
        <v>174</v>
      </c>
      <c r="BC156" s="237">
        <f>(IFERROR(HLOOKUP(BB$68, 'GREET IO'!$B$77:$BK$98, ROW(BB156)-ROW(BB$153)+1, FALSE), 0)*BC$68+IFERROR(HLOOKUP(BB$69, 'GREET IO'!$B$77:$BK$98, ROW(BB156)-ROW(BB$153)+1, FALSE), 0)*BC$69+IFERROR(HLOOKUP(BB$70, 'GREET IO'!$B$77:$BK$98, ROW(BB156)-ROW(BB$153)+1, FALSE), 0)*BC$70+IFERROR(HLOOKUP(BB$71, 'GREET IO'!$B$77:$BK$98, ROW(BB156)-ROW(BB$153)+1, FALSE), 0)*BC$71+IFERROR(HLOOKUP(BB$72, 'GREET IO'!$B$77:$BK$98, ROW(BB156)-ROW(BB$153)+1, FALSE), 0)*BC$72+IF(ISTEXT(BB$74), 1, 0)*BC$74*Materials!$E114+IF(ISTEXT(BB$75), 1, 0)*BC$75*Materials!$F114)*$AI$154</f>
        <v>0</v>
      </c>
      <c r="BD156" s="178">
        <f>BC$79/$AI$155*('GREET IO'!$B147+1)+BC$80/$AI$155*('GREET IO'!$B23/1000000+1)+BC$81/$AI$155*IF($D$14=Input!$AD$34,"blank",IF($D$14=Input!$AD$35,'Geographic Par.'!$E71, IF($D$14=Input!$AD$36, 'Geographic Par.'!$F71, IF($D$14=Input!$AD$37, 'Geographic Par.'!$H71, IF($D$14=Input!$AD$38,'Geographic Par.'!$G71,'Geographic Par.'!$J71)))))/1000000</f>
        <v>0</v>
      </c>
      <c r="BE156" s="316"/>
      <c r="BF156" s="179">
        <f t="shared" si="40"/>
        <v>0</v>
      </c>
    </row>
    <row r="157" spans="28:58">
      <c r="AB157" s="147" t="s">
        <v>175</v>
      </c>
      <c r="AC157" s="237">
        <f>(IFERROR(HLOOKUP(AB$68, 'GREET IO'!$B$77:$BK$98, ROW(AB157)-ROW(AB$153)+1, FALSE), 0)*AC$68+IFERROR(HLOOKUP(AB$69, 'GREET IO'!$B$77:$BK$98, ROW(AB157)-ROW(AB$153)+1, FALSE), 0)*AC$69+IFERROR(HLOOKUP(AB$70, 'GREET IO'!$B$77:$BK$98, ROW(AB157)-ROW(AB$153)+1, FALSE), 0)*AC$70+IFERROR(HLOOKUP(AB$71, 'GREET IO'!$B$77:$BK$98, ROW(AB157)-ROW(AB$153)+1, FALSE), 0)*AC$71+IFERROR(HLOOKUP(AB$72, 'GREET IO'!$B$77:$BK$98, ROW(AB157)-ROW(AB$153)+1, FALSE), 0)*AC$72+IF(ISTEXT(AB$74), 1, 0)*AC$74*Materials!$C115+IF(ISTEXT(AB$75), 1, 0)*AC$75*Materials!$D115)*$AI$154</f>
        <v>0</v>
      </c>
      <c r="AD157" s="178">
        <f>AC$79/$AI$155*('GREET IO'!$B148+1)+AC$80/$AI$155*('GREET IO'!$B24/1000000+1)+AC$81/$AI$155*IF($D$14=Input!$AD$34,"blank",IF($D$14=Input!$AD$35,'Geographic Par.'!$E72, IF($D$14=Input!$AD$36, 'Geographic Par.'!$F72, IF($D$14=Input!$AD$37, 'Geographic Par.'!$H72, IF($D$14=Input!$AD$38,'Geographic Par.'!$G72,'Geographic Par.'!$J72)))))/1000000</f>
        <v>2.8257035566521347E-3</v>
      </c>
      <c r="AE157" s="316"/>
      <c r="AF157" s="179">
        <f t="shared" si="39"/>
        <v>2.8257035566521347E-3</v>
      </c>
      <c r="BB157" s="147" t="s">
        <v>175</v>
      </c>
      <c r="BC157" s="237">
        <f>(IFERROR(HLOOKUP(BB$68, 'GREET IO'!$B$77:$BK$98, ROW(BB157)-ROW(BB$153)+1, FALSE), 0)*BC$68+IFERROR(HLOOKUP(BB$69, 'GREET IO'!$B$77:$BK$98, ROW(BB157)-ROW(BB$153)+1, FALSE), 0)*BC$69+IFERROR(HLOOKUP(BB$70, 'GREET IO'!$B$77:$BK$98, ROW(BB157)-ROW(BB$153)+1, FALSE), 0)*BC$70+IFERROR(HLOOKUP(BB$71, 'GREET IO'!$B$77:$BK$98, ROW(BB157)-ROW(BB$153)+1, FALSE), 0)*BC$71+IFERROR(HLOOKUP(BB$72, 'GREET IO'!$B$77:$BK$98, ROW(BB157)-ROW(BB$153)+1, FALSE), 0)*BC$72+IF(ISTEXT(BB$74), 1, 0)*BC$74*Materials!$E115+IF(ISTEXT(BB$75), 1, 0)*BC$75*Materials!$F115)*$AI$154</f>
        <v>0</v>
      </c>
      <c r="BD157" s="178">
        <f>BC$79/$AI$155*('GREET IO'!$B148+1)+BC$80/$AI$155*('GREET IO'!$B24/1000000+1)+BC$81/$AI$155*IF($D$14=Input!$AD$34,"blank",IF($D$14=Input!$AD$35,'Geographic Par.'!$E72, IF($D$14=Input!$AD$36, 'Geographic Par.'!$F72, IF($D$14=Input!$AD$37, 'Geographic Par.'!$H72, IF($D$14=Input!$AD$38,'Geographic Par.'!$G72,'Geographic Par.'!$J72)))))/1000000</f>
        <v>0</v>
      </c>
      <c r="BE157" s="316"/>
      <c r="BF157" s="179">
        <f t="shared" si="40"/>
        <v>0</v>
      </c>
    </row>
    <row r="158" spans="28:58">
      <c r="AB158" s="147" t="s">
        <v>176</v>
      </c>
      <c r="AC158" s="237">
        <f>(IFERROR(HLOOKUP(AB$68, 'GREET IO'!$B$77:$BK$98, ROW(AB158)-ROW(AB$153)+1, FALSE), 0)*AC$68+IFERROR(HLOOKUP(AB$69, 'GREET IO'!$B$77:$BK$98, ROW(AB158)-ROW(AB$153)+1, FALSE), 0)*AC$69+IFERROR(HLOOKUP(AB$70, 'GREET IO'!$B$77:$BK$98, ROW(AB158)-ROW(AB$153)+1, FALSE), 0)*AC$70+IFERROR(HLOOKUP(AB$71, 'GREET IO'!$B$77:$BK$98, ROW(AB158)-ROW(AB$153)+1, FALSE), 0)*AC$71+IFERROR(HLOOKUP(AB$72, 'GREET IO'!$B$77:$BK$98, ROW(AB158)-ROW(AB$153)+1, FALSE), 0)*AC$72+IF(ISTEXT(AB$74), 1, 0)*AC$74*Materials!$C116+IF(ISTEXT(AB$75), 1, 0)*AC$75*Materials!$D116)*$AI$154</f>
        <v>0</v>
      </c>
      <c r="AD158" s="178">
        <f>AC$79/$AI$155*('GREET IO'!$B149+1)+AC$80/$AI$155*('GREET IO'!$B25/1000000+1)+AC$81/$AI$155*IF($D$14=Input!$AD$34,"blank",IF($D$14=Input!$AD$35,'Geographic Par.'!$E73, IF($D$14=Input!$AD$36, 'Geographic Par.'!$F73, IF($D$14=Input!$AD$37, 'Geographic Par.'!$H73, IF($D$14=Input!$AD$38,'Geographic Par.'!$G73,'Geographic Par.'!$J73)))))/1000000</f>
        <v>2.7623361164865147E-3</v>
      </c>
      <c r="AE158" s="316"/>
      <c r="AF158" s="179">
        <f t="shared" si="39"/>
        <v>2.7623361164865147E-3</v>
      </c>
      <c r="BB158" s="147" t="s">
        <v>176</v>
      </c>
      <c r="BC158" s="237">
        <f>(IFERROR(HLOOKUP(BB$68, 'GREET IO'!$B$77:$BK$98, ROW(BB158)-ROW(BB$153)+1, FALSE), 0)*BC$68+IFERROR(HLOOKUP(BB$69, 'GREET IO'!$B$77:$BK$98, ROW(BB158)-ROW(BB$153)+1, FALSE), 0)*BC$69+IFERROR(HLOOKUP(BB$70, 'GREET IO'!$B$77:$BK$98, ROW(BB158)-ROW(BB$153)+1, FALSE), 0)*BC$70+IFERROR(HLOOKUP(BB$71, 'GREET IO'!$B$77:$BK$98, ROW(BB158)-ROW(BB$153)+1, FALSE), 0)*BC$71+IFERROR(HLOOKUP(BB$72, 'GREET IO'!$B$77:$BK$98, ROW(BB158)-ROW(BB$153)+1, FALSE), 0)*BC$72+IF(ISTEXT(BB$74), 1, 0)*BC$74*Materials!$E116+IF(ISTEXT(BB$75), 1, 0)*BC$75*Materials!$F116)*$AI$154</f>
        <v>0</v>
      </c>
      <c r="BD158" s="178">
        <f>BC$79/$AI$155*('GREET IO'!$B149+1)+BC$80/$AI$155*('GREET IO'!$B25/1000000+1)+BC$81/$AI$155*IF($D$14=Input!$AD$34,"blank",IF($D$14=Input!$AD$35,'Geographic Par.'!$E73, IF($D$14=Input!$AD$36, 'Geographic Par.'!$F73, IF($D$14=Input!$AD$37, 'Geographic Par.'!$H73, IF($D$14=Input!$AD$38,'Geographic Par.'!$G73,'Geographic Par.'!$J73)))))/1000000</f>
        <v>0</v>
      </c>
      <c r="BE158" s="316"/>
      <c r="BF158" s="179">
        <f t="shared" si="40"/>
        <v>0</v>
      </c>
    </row>
    <row r="159" spans="28:58">
      <c r="AB159" s="147" t="s">
        <v>177</v>
      </c>
      <c r="AC159" s="237">
        <f>(IFERROR(HLOOKUP(AB$68, 'GREET IO'!$B$77:$BK$98, ROW(AB159)-ROW(AB$153)+1, FALSE), 0)*AC$68+IFERROR(HLOOKUP(AB$69, 'GREET IO'!$B$77:$BK$98, ROW(AB159)-ROW(AB$153)+1, FALSE), 0)*AC$69+IFERROR(HLOOKUP(AB$70, 'GREET IO'!$B$77:$BK$98, ROW(AB159)-ROW(AB$153)+1, FALSE), 0)*AC$70+IFERROR(HLOOKUP(AB$71, 'GREET IO'!$B$77:$BK$98, ROW(AB159)-ROW(AB$153)+1, FALSE), 0)*AC$71+IFERROR(HLOOKUP(AB$72, 'GREET IO'!$B$77:$BK$98, ROW(AB159)-ROW(AB$153)+1, FALSE), 0)*AC$72+IF(ISTEXT(AB$74), 1, 0)*AC$74*Materials!$C117+IF(ISTEXT(AB$75), 1, 0)*AC$75*Materials!$D117)*$AI$154</f>
        <v>0</v>
      </c>
      <c r="AD159" s="178">
        <f>AC$79/$AI$155*('GREET IO'!$B150+1)+AC$80/$AI$155*('GREET IO'!$B26/1000000+1)+AC$81/$AI$155*IF($D$14=Input!$AD$34,"blank",IF($D$14=Input!$AD$35,'Geographic Par.'!$E74, IF($D$14=Input!$AD$36, 'Geographic Par.'!$F74, IF($D$14=Input!$AD$37, 'Geographic Par.'!$H74, IF($D$14=Input!$AD$38,'Geographic Par.'!$G74,'Geographic Par.'!$J74)))))/1000000</f>
        <v>2.4976262188470466E-3</v>
      </c>
      <c r="AE159" s="317"/>
      <c r="AF159" s="181">
        <f t="shared" si="39"/>
        <v>2.4976262188470466E-3</v>
      </c>
      <c r="BB159" s="147" t="s">
        <v>177</v>
      </c>
      <c r="BC159" s="237">
        <f>(IFERROR(HLOOKUP(BB$68, 'GREET IO'!$B$77:$BK$98, ROW(BB159)-ROW(BB$153)+1, FALSE), 0)*BC$68+IFERROR(HLOOKUP(BB$69, 'GREET IO'!$B$77:$BK$98, ROW(BB159)-ROW(BB$153)+1, FALSE), 0)*BC$69+IFERROR(HLOOKUP(BB$70, 'GREET IO'!$B$77:$BK$98, ROW(BB159)-ROW(BB$153)+1, FALSE), 0)*BC$70+IFERROR(HLOOKUP(BB$71, 'GREET IO'!$B$77:$BK$98, ROW(BB159)-ROW(BB$153)+1, FALSE), 0)*BC$71+IFERROR(HLOOKUP(BB$72, 'GREET IO'!$B$77:$BK$98, ROW(BB159)-ROW(BB$153)+1, FALSE), 0)*BC$72+IF(ISTEXT(BB$74), 1, 0)*BC$74*Materials!$E117+IF(ISTEXT(BB$75), 1, 0)*BC$75*Materials!$F117)*$AI$154</f>
        <v>0</v>
      </c>
      <c r="BD159" s="178">
        <f>BC$79/$AI$155*('GREET IO'!$B150+1)+BC$80/$AI$155*('GREET IO'!$B26/1000000+1)+BC$81/$AI$155*IF($D$14=Input!$AD$34,"blank",IF($D$14=Input!$AD$35,'Geographic Par.'!$E74, IF($D$14=Input!$AD$36, 'Geographic Par.'!$F74, IF($D$14=Input!$AD$37, 'Geographic Par.'!$H74, IF($D$14=Input!$AD$38,'Geographic Par.'!$G74,'Geographic Par.'!$J74)))))/1000000</f>
        <v>0</v>
      </c>
      <c r="BE159" s="317"/>
      <c r="BF159" s="181">
        <f t="shared" si="40"/>
        <v>0</v>
      </c>
    </row>
    <row r="160" spans="28:58">
      <c r="AB160" s="143" t="s">
        <v>344</v>
      </c>
      <c r="AC160" s="1497">
        <f>(IFERROR(HLOOKUP(AB$68, 'GREET IO'!$B$77:$BK$98, ROW(AB160)-ROW(AB$153)+1, FALSE), 0)*AC$68+IFERROR(HLOOKUP(AB$69, 'GREET IO'!$B$77:$BK$98, ROW(AB160)-ROW(AB$153)+1, FALSE), 0)*AC$69+IFERROR(HLOOKUP(AB$70, 'GREET IO'!$B$77:$BK$98, ROW(AB160)-ROW(AB$153)+1, FALSE), 0)*AC$70+IFERROR(HLOOKUP(AB$71, 'GREET IO'!$B$77:$BK$98, ROW(AB160)-ROW(AB$153)+1, FALSE), 0)*AC$71+IFERROR(HLOOKUP(AB$72, 'GREET IO'!$B$77:$BK$98, ROW(AB160)-ROW(AB$153)+1, FALSE), 0)*AC$72+IF(ISTEXT(AB$74), 1, 0)*AC$74*Materials!$C118+IF(ISTEXT(AB$75), 1, 0)*AC$75*Materials!$D118)*$AI$154</f>
        <v>0</v>
      </c>
      <c r="AD160" s="1590">
        <f>AC$79/$AI$155*('GREET IO'!$B151+1)+AC$80/$AI$155*('GREET IO'!$B27/1000000+1)+AC$81/$AI$155*IF($D$14=Input!$AD$34,"blank",IF($D$14=Input!$AD$35,'Geographic Par.'!$E75, IF($D$14=Input!$AD$36, 'Geographic Par.'!$F75, IF($D$14=Input!$AD$37, 'Geographic Par.'!$H75, IF($D$14=Input!$AD$38,'Geographic Par.'!$G75,'Geographic Par.'!$J75)))))/1000000</f>
        <v>1.565179884259257E-2</v>
      </c>
      <c r="AE160" s="183">
        <f>AC85</f>
        <v>0.1</v>
      </c>
      <c r="AF160" s="184">
        <f t="shared" si="39"/>
        <v>0.11565179884259258</v>
      </c>
      <c r="BB160" s="143" t="s">
        <v>344</v>
      </c>
      <c r="BC160" s="183">
        <f>(IFERROR(HLOOKUP(BB$68, 'GREET IO'!$B$77:$BK$98, ROW(BB160)-ROW(BB$153)+1, FALSE), 0)*BC$68+IFERROR(HLOOKUP(BB$69, 'GREET IO'!$B$77:$BK$98, ROW(BB160)-ROW(BB$153)+1, FALSE), 0)*BC$69+IFERROR(HLOOKUP(BB$70, 'GREET IO'!$B$77:$BK$98, ROW(BB160)-ROW(BB$153)+1, FALSE), 0)*BC$70+IFERROR(HLOOKUP(BB$71, 'GREET IO'!$B$77:$BK$98, ROW(BB160)-ROW(BB$153)+1, FALSE), 0)*BC$71+IFERROR(HLOOKUP(BB$72, 'GREET IO'!$B$77:$BK$98, ROW(BB160)-ROW(BB$153)+1, FALSE), 0)*BC$72+IF(ISTEXT(BB$74), 1, 0)*BC$74*Materials!$E118+IF(ISTEXT(BB$75), 1, 0)*BC$75*Materials!$F118)*$AI$154</f>
        <v>0</v>
      </c>
      <c r="BD160" s="1590">
        <f>BC$79/$AI$155*('GREET IO'!$B151+1)+BC$80/$AI$155*('GREET IO'!$B27/1000000+1)+BC$81/$AI$155*IF($D$14=Input!$AD$34,"blank",IF($D$14=Input!$AD$35,'Geographic Par.'!$E75, IF($D$14=Input!$AD$36, 'Geographic Par.'!$F75, IF($D$14=Input!$AD$37, 'Geographic Par.'!$H75, IF($D$14=Input!$AD$38,'Geographic Par.'!$G75,'Geographic Par.'!$J75)))))/1000000</f>
        <v>0</v>
      </c>
      <c r="BE160" s="318">
        <f>BC85</f>
        <v>0</v>
      </c>
      <c r="BF160" s="319">
        <f t="shared" si="40"/>
        <v>0</v>
      </c>
    </row>
    <row r="161" spans="28:65">
      <c r="AB161" s="143" t="s">
        <v>345</v>
      </c>
      <c r="AC161" s="144"/>
      <c r="AD161" s="144"/>
      <c r="AE161" s="144"/>
      <c r="AF161" s="146"/>
      <c r="BB161" s="143" t="s">
        <v>345</v>
      </c>
      <c r="BC161" s="144"/>
      <c r="BD161" s="144"/>
      <c r="BE161" s="144"/>
      <c r="BF161" s="169"/>
    </row>
    <row r="162" spans="28:65">
      <c r="AB162" s="147" t="s">
        <v>180</v>
      </c>
      <c r="AC162" s="237">
        <f>(IFERROR(HLOOKUP(AB$68, 'GREET IO'!$B$77:$BK$98, ROW(AB162)-ROW(AB$153)+1, FALSE), 0)*AC$68+IFERROR(HLOOKUP(AB$69, 'GREET IO'!$B$77:$BK$98, ROW(AB162)-ROW(AB$153)+1, FALSE), 0)*AC$69+IFERROR(HLOOKUP(AB$70, 'GREET IO'!$B$77:$BK$98, ROW(AB162)-ROW(AB$153)+1, FALSE), 0)*AC$70+IFERROR(HLOOKUP(AB$71, 'GREET IO'!$B$77:$BK$98, ROW(AB162)-ROW(AB$153)+1, FALSE), 0)*AC$71+IFERROR(HLOOKUP(AB$72, 'GREET IO'!$B$77:$BK$98, ROW(AB162)-ROW(AB$153)+1, FALSE), 0)*AC$72+IF(ISTEXT(AB$74), 1, 0)*AC$74*Materials!$C120+IF(ISTEXT(AB$75), 1, 0)*AC$75*Materials!$D120)*$AI$154</f>
        <v>0</v>
      </c>
      <c r="AD162" s="242">
        <f>AC$79/$AI$155*('GREET IO'!$B153+'GREET IO'!$T4)+AC$80/$AI$155*('GREET IO'!$B28+'GREET IO'!$B4)+AC$81/$AI$155*IF($D$14=Input!$AD$34,"", IF($D$14=Input!$AD$35, 'Geographic Par.'!$E76, IF($D$14=Input!$AD$36, 'Geographic Par.'!$F76, IF($D$144=Input!$AD$37, 'Geographic Par.'!$H76, IF($D$14=Input!$AD$38,'Geographic Par.'!$G76,'Geographic Par.'!$J76)))))</f>
        <v>6.0422776390617508E-2</v>
      </c>
      <c r="AE162" s="242">
        <f t="shared" ref="AE162:AE171" si="41">AE140</f>
        <v>0</v>
      </c>
      <c r="AF162" s="243">
        <f t="shared" ref="AF162:AF174" si="42">SUM(AC162:AE162)</f>
        <v>6.0422776390617508E-2</v>
      </c>
      <c r="BB162" s="147" t="s">
        <v>180</v>
      </c>
      <c r="BC162" s="237">
        <f>(IFERROR(HLOOKUP(BB$68, 'GREET IO'!$B$77:$BK$98, ROW(BB162)-ROW(BB$153)+1, FALSE), 0)*BC$68+IFERROR(HLOOKUP(BB$69, 'GREET IO'!$B$77:$BK$98, ROW(BB162)-ROW(BB$153)+1, FALSE), 0)*BC$69+IFERROR(HLOOKUP(BB$70, 'GREET IO'!$B$77:$BK$98, ROW(BB162)-ROW(BB$153)+1, FALSE), 0)*BC$70+IFERROR(HLOOKUP(BB$71, 'GREET IO'!$B$77:$BK$98, ROW(BB162)-ROW(BB$153)+1, FALSE), 0)*BC$71+IFERROR(HLOOKUP(BB$72, 'GREET IO'!$B$77:$BK$98, ROW(BB162)-ROW(BB$153)+1, FALSE), 0)*BC$72+IF(ISTEXT(BB$74), 1, 0)*BC$74*Materials!$E120+IF(ISTEXT(BB$75), 1, 0)*BC$75*Materials!$F120)*$AI$154</f>
        <v>0</v>
      </c>
      <c r="BD162" s="242">
        <f>BC$79/$AI$155*('GREET IO'!$B153+'GREET IO'!$T4)+BC$80/$AI$155*('GREET IO'!$B28+'GREET IO'!$B4)+BC$81/$AI$155*IF($D$14=Input!$AD$34,"", IF($D$14=Input!$AD$35, 'Geographic Par.'!$E76, IF($D$14=Input!$AD$36, 'Geographic Par.'!$F76, IF($D$144=Input!$AD$37, 'Geographic Par.'!$H76, IF($D$14=Input!$AD$38,'Geographic Par.'!$G76,'Geographic Par.'!$J76)))))</f>
        <v>0</v>
      </c>
      <c r="BE162" s="242">
        <f t="shared" ref="BE162:BE171" si="43">BE140</f>
        <v>0</v>
      </c>
      <c r="BF162" s="243">
        <f t="shared" ref="BF162:BF174" si="44">SUM(BC162:BE162)</f>
        <v>0</v>
      </c>
    </row>
    <row r="163" spans="28:65">
      <c r="AB163" s="147" t="s">
        <v>181</v>
      </c>
      <c r="AC163" s="237">
        <f>(IFERROR(HLOOKUP(AB$68, 'GREET IO'!$B$77:$BK$98, ROW(AB163)-ROW(AB$153)+1, FALSE), 0)*AC$68+IFERROR(HLOOKUP(AB$69, 'GREET IO'!$B$77:$BK$98, ROW(AB163)-ROW(AB$153)+1, FALSE), 0)*AC$69+IFERROR(HLOOKUP(AB$70, 'GREET IO'!$B$77:$BK$98, ROW(AB163)-ROW(AB$153)+1, FALSE), 0)*AC$70+IFERROR(HLOOKUP(AB$71, 'GREET IO'!$B$77:$BK$98, ROW(AB163)-ROW(AB$153)+1, FALSE), 0)*AC$71+IFERROR(HLOOKUP(AB$72, 'GREET IO'!$B$77:$BK$98, ROW(AB163)-ROW(AB$153)+1, FALSE), 0)*AC$72+IF(ISTEXT(AB$74), 1, 0)*AC$74*Materials!$C121+IF(ISTEXT(AB$75), 1, 0)*AC$75*Materials!$D121)*$AI$154</f>
        <v>0</v>
      </c>
      <c r="AD163" s="242">
        <f>AC$79/$AI$155*('GREET IO'!$B154+'GREET IO'!$T5)+AC$80/$AI$155*('GREET IO'!$B29+'GREET IO'!$B5)+AC$81/$AI$155*IF($D$14=Input!$AD$34,"", IF($D$14=Input!$AD$35, 'Geographic Par.'!$E77, IF($D$14=Input!$AD$36, 'Geographic Par.'!$F77, IF($D$144=Input!$AD$37, 'Geographic Par.'!$H77, IF($D$14=Input!$AD$38,'Geographic Par.'!$G77,'Geographic Par.'!$J77)))))</f>
        <v>0.25167796813673615</v>
      </c>
      <c r="AE163" s="178">
        <f t="shared" si="41"/>
        <v>0</v>
      </c>
      <c r="AF163" s="179">
        <f t="shared" si="42"/>
        <v>0.25167796813673615</v>
      </c>
      <c r="BB163" s="147" t="s">
        <v>181</v>
      </c>
      <c r="BC163" s="237">
        <f>(IFERROR(HLOOKUP(BB$68, 'GREET IO'!$B$77:$BK$98, ROW(BB163)-ROW(BB$153)+1, FALSE), 0)*BC$68+IFERROR(HLOOKUP(BB$69, 'GREET IO'!$B$77:$BK$98, ROW(BB163)-ROW(BB$153)+1, FALSE), 0)*BC$69+IFERROR(HLOOKUP(BB$70, 'GREET IO'!$B$77:$BK$98, ROW(BB163)-ROW(BB$153)+1, FALSE), 0)*BC$70+IFERROR(HLOOKUP(BB$71, 'GREET IO'!$B$77:$BK$98, ROW(BB163)-ROW(BB$153)+1, FALSE), 0)*BC$71+IFERROR(HLOOKUP(BB$72, 'GREET IO'!$B$77:$BK$98, ROW(BB163)-ROW(BB$153)+1, FALSE), 0)*BC$72+IF(ISTEXT(BB$74), 1, 0)*BC$74*Materials!$E121+IF(ISTEXT(BB$75), 1, 0)*BC$75*Materials!$F121)*$AI$154</f>
        <v>0</v>
      </c>
      <c r="BD163" s="242">
        <f>BC$79/$AI$155*('GREET IO'!$B154+'GREET IO'!$T5)+BC$80/$AI$155*('GREET IO'!$B29+'GREET IO'!$B5)+BC$81/$AI$155*IF($D$14=Input!$AD$34,"", IF($D$14=Input!$AD$35, 'Geographic Par.'!$E77, IF($D$14=Input!$AD$36, 'Geographic Par.'!$F77, IF($D$144=Input!$AD$37, 'Geographic Par.'!$H77, IF($D$14=Input!$AD$38,'Geographic Par.'!$G77,'Geographic Par.'!$J77)))))</f>
        <v>0</v>
      </c>
      <c r="BE163" s="178">
        <f t="shared" si="43"/>
        <v>0</v>
      </c>
      <c r="BF163" s="243">
        <f t="shared" si="44"/>
        <v>0</v>
      </c>
    </row>
    <row r="164" spans="28:65">
      <c r="AB164" s="147" t="s">
        <v>182</v>
      </c>
      <c r="AC164" s="237">
        <f>(IFERROR(HLOOKUP(AB$68, 'GREET IO'!$B$77:$BK$98, ROW(AB164)-ROW(AB$153)+1, FALSE), 0)*AC$68+IFERROR(HLOOKUP(AB$69, 'GREET IO'!$B$77:$BK$98, ROW(AB164)-ROW(AB$153)+1, FALSE), 0)*AC$69+IFERROR(HLOOKUP(AB$70, 'GREET IO'!$B$77:$BK$98, ROW(AB164)-ROW(AB$153)+1, FALSE), 0)*AC$70+IFERROR(HLOOKUP(AB$71, 'GREET IO'!$B$77:$BK$98, ROW(AB164)-ROW(AB$153)+1, FALSE), 0)*AC$71+IFERROR(HLOOKUP(AB$72, 'GREET IO'!$B$77:$BK$98, ROW(AB164)-ROW(AB$153)+1, FALSE), 0)*AC$72+IF(ISTEXT(AB$74), 1, 0)*AC$74*Materials!$C122+IF(ISTEXT(AB$75), 1, 0)*AC$75*Materials!$D122)*$AI$154</f>
        <v>0</v>
      </c>
      <c r="AD164" s="242">
        <f>AC$79/$AI$155*('GREET IO'!$B155+'GREET IO'!$T6)+AC$80/$AI$155*('GREET IO'!$B30+'GREET IO'!$B6)+AC$81/$AI$155*IF($D$14=Input!$AD$34,"", IF($D$14=Input!$AD$35, 'Geographic Par.'!$E78, IF($D$14=Input!$AD$36, 'Geographic Par.'!$F78, IF($D$144=Input!$AD$37, 'Geographic Par.'!$H78, IF($D$14=Input!$AD$38,'Geographic Par.'!$G78,'Geographic Par.'!$J78)))))</f>
        <v>0.548488247366824</v>
      </c>
      <c r="AE164" s="178">
        <f t="shared" si="41"/>
        <v>0</v>
      </c>
      <c r="AF164" s="179">
        <f t="shared" si="42"/>
        <v>0.548488247366824</v>
      </c>
      <c r="BB164" s="147" t="s">
        <v>182</v>
      </c>
      <c r="BC164" s="237">
        <f>(IFERROR(HLOOKUP(BB$68, 'GREET IO'!$B$77:$BK$98, ROW(BB164)-ROW(BB$153)+1, FALSE), 0)*BC$68+IFERROR(HLOOKUP(BB$69, 'GREET IO'!$B$77:$BK$98, ROW(BB164)-ROW(BB$153)+1, FALSE), 0)*BC$69+IFERROR(HLOOKUP(BB$70, 'GREET IO'!$B$77:$BK$98, ROW(BB164)-ROW(BB$153)+1, FALSE), 0)*BC$70+IFERROR(HLOOKUP(BB$71, 'GREET IO'!$B$77:$BK$98, ROW(BB164)-ROW(BB$153)+1, FALSE), 0)*BC$71+IFERROR(HLOOKUP(BB$72, 'GREET IO'!$B$77:$BK$98, ROW(BB164)-ROW(BB$153)+1, FALSE), 0)*BC$72+IF(ISTEXT(BB$74), 1, 0)*BC$74*Materials!$E122+IF(ISTEXT(BB$75), 1, 0)*BC$75*Materials!$F122)*$AI$154</f>
        <v>0</v>
      </c>
      <c r="BD164" s="242">
        <f>BC$79/$AI$155*('GREET IO'!$B155+'GREET IO'!$T6)+BC$80/$AI$155*('GREET IO'!$B30+'GREET IO'!$B6)+BC$81/$AI$155*IF($D$14=Input!$AD$34,"", IF($D$14=Input!$AD$35, 'Geographic Par.'!$E78, IF($D$14=Input!$AD$36, 'Geographic Par.'!$F78, IF($D$144=Input!$AD$37, 'Geographic Par.'!$H78, IF($D$14=Input!$AD$38,'Geographic Par.'!$G78,'Geographic Par.'!$J78)))))</f>
        <v>0</v>
      </c>
      <c r="BE164" s="178">
        <f t="shared" si="43"/>
        <v>0</v>
      </c>
      <c r="BF164" s="243">
        <f t="shared" si="44"/>
        <v>0</v>
      </c>
    </row>
    <row r="165" spans="28:65">
      <c r="AB165" s="147" t="s">
        <v>183</v>
      </c>
      <c r="AC165" s="237">
        <f>(IFERROR(HLOOKUP(AB$68, 'GREET IO'!$B$77:$BK$98, ROW(AB165)-ROW(AB$153)+1, FALSE), 0)*AC$68+IFERROR(HLOOKUP(AB$69, 'GREET IO'!$B$77:$BK$98, ROW(AB165)-ROW(AB$153)+1, FALSE), 0)*AC$69+IFERROR(HLOOKUP(AB$70, 'GREET IO'!$B$77:$BK$98, ROW(AB165)-ROW(AB$153)+1, FALSE), 0)*AC$70+IFERROR(HLOOKUP(AB$71, 'GREET IO'!$B$77:$BK$98, ROW(AB165)-ROW(AB$153)+1, FALSE), 0)*AC$71+IFERROR(HLOOKUP(AB$72, 'GREET IO'!$B$77:$BK$98, ROW(AB165)-ROW(AB$153)+1, FALSE), 0)*AC$72+IF(ISTEXT(AB$74), 1, 0)*AC$74*Materials!$C123+IF(ISTEXT(AB$75), 1, 0)*AC$75*Materials!$D123)*$AI$154</f>
        <v>0</v>
      </c>
      <c r="AD165" s="242">
        <f>AC$79/$AI$155*('GREET IO'!$B156+'GREET IO'!$T7)+AC$80/$AI$155*('GREET IO'!$B31+'GREET IO'!$B7)+AC$81/$AI$155*IF($D$14=Input!$AD$34,"", IF($D$14=Input!$AD$35, 'Geographic Par.'!$E79, IF($D$14=Input!$AD$36, 'Geographic Par.'!$F79, IF($D$144=Input!$AD$37, 'Geographic Par.'!$H79, IF($D$14=Input!$AD$38,'Geographic Par.'!$G79,'Geographic Par.'!$J79)))))</f>
        <v>3.0232010667048885E-2</v>
      </c>
      <c r="AE165" s="178">
        <f t="shared" si="41"/>
        <v>0</v>
      </c>
      <c r="AF165" s="179">
        <f t="shared" si="42"/>
        <v>3.0232010667048885E-2</v>
      </c>
      <c r="BB165" s="147" t="s">
        <v>183</v>
      </c>
      <c r="BC165" s="237">
        <f>(IFERROR(HLOOKUP(BB$68, 'GREET IO'!$B$77:$BK$98, ROW(BB165)-ROW(BB$153)+1, FALSE), 0)*BC$68+IFERROR(HLOOKUP(BB$69, 'GREET IO'!$B$77:$BK$98, ROW(BB165)-ROW(BB$153)+1, FALSE), 0)*BC$69+IFERROR(HLOOKUP(BB$70, 'GREET IO'!$B$77:$BK$98, ROW(BB165)-ROW(BB$153)+1, FALSE), 0)*BC$70+IFERROR(HLOOKUP(BB$71, 'GREET IO'!$B$77:$BK$98, ROW(BB165)-ROW(BB$153)+1, FALSE), 0)*BC$71+IFERROR(HLOOKUP(BB$72, 'GREET IO'!$B$77:$BK$98, ROW(BB165)-ROW(BB$153)+1, FALSE), 0)*BC$72+IF(ISTEXT(BB$74), 1, 0)*BC$74*Materials!$E123+IF(ISTEXT(BB$75), 1, 0)*BC$75*Materials!$F123)*$AI$154</f>
        <v>0</v>
      </c>
      <c r="BD165" s="242">
        <f>BC$79/$AI$155*('GREET IO'!$B156+'GREET IO'!$T7)+BC$80/$AI$155*('GREET IO'!$B31+'GREET IO'!$B7)+BC$81/$AI$155*IF($D$14=Input!$AD$34,"", IF($D$14=Input!$AD$35, 'Geographic Par.'!$E79, IF($D$14=Input!$AD$36, 'Geographic Par.'!$F79, IF($D$144=Input!$AD$37, 'Geographic Par.'!$H79, IF($D$14=Input!$AD$38,'Geographic Par.'!$G79,'Geographic Par.'!$J79)))))</f>
        <v>0</v>
      </c>
      <c r="BE165" s="178">
        <f t="shared" si="43"/>
        <v>0</v>
      </c>
      <c r="BF165" s="243">
        <f t="shared" si="44"/>
        <v>0</v>
      </c>
    </row>
    <row r="166" spans="28:65">
      <c r="AB166" s="147" t="s">
        <v>184</v>
      </c>
      <c r="AC166" s="237">
        <f>(IFERROR(HLOOKUP(AB$68, 'GREET IO'!$B$77:$BK$98, ROW(AB166)-ROW(AB$153)+1, FALSE), 0)*AC$68+IFERROR(HLOOKUP(AB$69, 'GREET IO'!$B$77:$BK$98, ROW(AB166)-ROW(AB$153)+1, FALSE), 0)*AC$69+IFERROR(HLOOKUP(AB$70, 'GREET IO'!$B$77:$BK$98, ROW(AB166)-ROW(AB$153)+1, FALSE), 0)*AC$70+IFERROR(HLOOKUP(AB$71, 'GREET IO'!$B$77:$BK$98, ROW(AB166)-ROW(AB$153)+1, FALSE), 0)*AC$71+IFERROR(HLOOKUP(AB$72, 'GREET IO'!$B$77:$BK$98, ROW(AB166)-ROW(AB$153)+1, FALSE), 0)*AC$72+IF(ISTEXT(AB$74), 1, 0)*AC$74*Materials!$C124+IF(ISTEXT(AB$75), 1, 0)*AC$75*Materials!$D124)*$AI$154</f>
        <v>0</v>
      </c>
      <c r="AD166" s="242">
        <f>AC$79/$AI$155*('GREET IO'!$B157+'GREET IO'!$T8)+AC$80/$AI$155*('GREET IO'!$B32+'GREET IO'!$B8)+AC$81/$AI$155*IF($D$14=Input!$AD$34,"", IF($D$14=Input!$AD$35, 'Geographic Par.'!$E80, IF($D$14=Input!$AD$36, 'Geographic Par.'!$F80, IF($D$144=Input!$AD$37, 'Geographic Par.'!$H80, IF($D$14=Input!$AD$38,'Geographic Par.'!$G80,'Geographic Par.'!$J80)))))</f>
        <v>2.6378433766910354E-2</v>
      </c>
      <c r="AE166" s="178">
        <f t="shared" si="41"/>
        <v>0</v>
      </c>
      <c r="AF166" s="179">
        <f t="shared" si="42"/>
        <v>2.6378433766910354E-2</v>
      </c>
      <c r="BB166" s="147" t="s">
        <v>184</v>
      </c>
      <c r="BC166" s="237">
        <f>(IFERROR(HLOOKUP(BB$68, 'GREET IO'!$B$77:$BK$98, ROW(BB166)-ROW(BB$153)+1, FALSE), 0)*BC$68+IFERROR(HLOOKUP(BB$69, 'GREET IO'!$B$77:$BK$98, ROW(BB166)-ROW(BB$153)+1, FALSE), 0)*BC$69+IFERROR(HLOOKUP(BB$70, 'GREET IO'!$B$77:$BK$98, ROW(BB166)-ROW(BB$153)+1, FALSE), 0)*BC$70+IFERROR(HLOOKUP(BB$71, 'GREET IO'!$B$77:$BK$98, ROW(BB166)-ROW(BB$153)+1, FALSE), 0)*BC$71+IFERROR(HLOOKUP(BB$72, 'GREET IO'!$B$77:$BK$98, ROW(BB166)-ROW(BB$153)+1, FALSE), 0)*BC$72+IF(ISTEXT(BB$74), 1, 0)*BC$74*Materials!$E124+IF(ISTEXT(BB$75), 1, 0)*BC$75*Materials!$F124)*$AI$154</f>
        <v>0</v>
      </c>
      <c r="BD166" s="242">
        <f>BC$79/$AI$155*('GREET IO'!$B157+'GREET IO'!$T8)+BC$80/$AI$155*('GREET IO'!$B32+'GREET IO'!$B8)+BC$81/$AI$155*IF($D$14=Input!$AD$34,"", IF($D$14=Input!$AD$35, 'Geographic Par.'!$E80, IF($D$14=Input!$AD$36, 'Geographic Par.'!$F80, IF($D$144=Input!$AD$37, 'Geographic Par.'!$H80, IF($D$14=Input!$AD$38,'Geographic Par.'!$G80,'Geographic Par.'!$J80)))))</f>
        <v>0</v>
      </c>
      <c r="BE166" s="178">
        <f t="shared" si="43"/>
        <v>0</v>
      </c>
      <c r="BF166" s="243">
        <f t="shared" si="44"/>
        <v>0</v>
      </c>
    </row>
    <row r="167" spans="28:65">
      <c r="AB167" s="147" t="s">
        <v>185</v>
      </c>
      <c r="AC167" s="237">
        <f>(IFERROR(HLOOKUP(AB$68, 'GREET IO'!$B$77:$BK$98, ROW(AB167)-ROW(AB$153)+1, FALSE), 0)*AC$68+IFERROR(HLOOKUP(AB$69, 'GREET IO'!$B$77:$BK$98, ROW(AB167)-ROW(AB$153)+1, FALSE), 0)*AC$69+IFERROR(HLOOKUP(AB$70, 'GREET IO'!$B$77:$BK$98, ROW(AB167)-ROW(AB$153)+1, FALSE), 0)*AC$70+IFERROR(HLOOKUP(AB$71, 'GREET IO'!$B$77:$BK$98, ROW(AB167)-ROW(AB$153)+1, FALSE), 0)*AC$71+IFERROR(HLOOKUP(AB$72, 'GREET IO'!$B$77:$BK$98, ROW(AB167)-ROW(AB$153)+1, FALSE), 0)*AC$72+IF(ISTEXT(AB$74), 1, 0)*AC$74*Materials!$C125+IF(ISTEXT(AB$75), 1, 0)*AC$75*Materials!$D125)*$AI$154</f>
        <v>0</v>
      </c>
      <c r="AD167" s="242">
        <f>AC$79/$AI$155*('GREET IO'!$B158+'GREET IO'!$T9)+AC$80/$AI$155*('GREET IO'!$B33+'GREET IO'!$B9)+AC$81/$AI$155*IF($D$14=Input!$AD$34,"", IF($D$14=Input!$AD$35, 'Geographic Par.'!$E81, IF($D$14=Input!$AD$36, 'Geographic Par.'!$F81, IF($D$144=Input!$AD$37, 'Geographic Par.'!$H81, IF($D$14=Input!$AD$38,'Geographic Par.'!$G81,'Geographic Par.'!$J81)))))</f>
        <v>6.1969277151862449E-2</v>
      </c>
      <c r="AE167" s="178">
        <f t="shared" si="41"/>
        <v>0</v>
      </c>
      <c r="AF167" s="179">
        <f t="shared" si="42"/>
        <v>6.1969277151862449E-2</v>
      </c>
      <c r="BB167" s="147" t="s">
        <v>185</v>
      </c>
      <c r="BC167" s="237">
        <f>(IFERROR(HLOOKUP(BB$68, 'GREET IO'!$B$77:$BK$98, ROW(BB167)-ROW(BB$153)+1, FALSE), 0)*BC$68+IFERROR(HLOOKUP(BB$69, 'GREET IO'!$B$77:$BK$98, ROW(BB167)-ROW(BB$153)+1, FALSE), 0)*BC$69+IFERROR(HLOOKUP(BB$70, 'GREET IO'!$B$77:$BK$98, ROW(BB167)-ROW(BB$153)+1, FALSE), 0)*BC$70+IFERROR(HLOOKUP(BB$71, 'GREET IO'!$B$77:$BK$98, ROW(BB167)-ROW(BB$153)+1, FALSE), 0)*BC$71+IFERROR(HLOOKUP(BB$72, 'GREET IO'!$B$77:$BK$98, ROW(BB167)-ROW(BB$153)+1, FALSE), 0)*BC$72+IF(ISTEXT(BB$74), 1, 0)*BC$74*Materials!$E125+IF(ISTEXT(BB$75), 1, 0)*BC$75*Materials!$F125)*$AI$154</f>
        <v>0</v>
      </c>
      <c r="BD167" s="242">
        <f>BC$79/$AI$155*('GREET IO'!$B158+'GREET IO'!$T9)+BC$80/$AI$155*('GREET IO'!$B33+'GREET IO'!$B9)+BC$81/$AI$155*IF($D$14=Input!$AD$34,"", IF($D$14=Input!$AD$35, 'Geographic Par.'!$E81, IF($D$14=Input!$AD$36, 'Geographic Par.'!$F81, IF($D$144=Input!$AD$37, 'Geographic Par.'!$H81, IF($D$14=Input!$AD$38,'Geographic Par.'!$G81,'Geographic Par.'!$J81)))))</f>
        <v>0</v>
      </c>
      <c r="BE167" s="178">
        <f t="shared" si="43"/>
        <v>0</v>
      </c>
      <c r="BF167" s="243">
        <f t="shared" si="44"/>
        <v>0</v>
      </c>
    </row>
    <row r="168" spans="28:65">
      <c r="AB168" s="147" t="s">
        <v>186</v>
      </c>
      <c r="AC168" s="237">
        <f>(IFERROR(HLOOKUP(AB$68, 'GREET IO'!$B$77:$BK$98, ROW(AB168)-ROW(AB$153)+1, FALSE), 0)*AC$68+IFERROR(HLOOKUP(AB$69, 'GREET IO'!$B$77:$BK$98, ROW(AB168)-ROW(AB$153)+1, FALSE), 0)*AC$69+IFERROR(HLOOKUP(AB$70, 'GREET IO'!$B$77:$BK$98, ROW(AB168)-ROW(AB$153)+1, FALSE), 0)*AC$70+IFERROR(HLOOKUP(AB$71, 'GREET IO'!$B$77:$BK$98, ROW(AB168)-ROW(AB$153)+1, FALSE), 0)*AC$71+IFERROR(HLOOKUP(AB$72, 'GREET IO'!$B$77:$BK$98, ROW(AB168)-ROW(AB$153)+1, FALSE), 0)*AC$72+IF(ISTEXT(AB$74), 1, 0)*AC$74*Materials!$C126+IF(ISTEXT(AB$75), 1, 0)*AC$75*Materials!$D126)*$AI$154</f>
        <v>0</v>
      </c>
      <c r="AD168" s="242">
        <f>AC$79/$AI$155*('GREET IO'!$B159+'GREET IO'!$T10)+AC$80/$AI$155*('GREET IO'!$B34+'GREET IO'!$B10)+AC$81/$AI$155*IF($D$14=Input!$AD$34,"", IF($D$14=Input!$AD$35, 'Geographic Par.'!$E82, IF($D$14=Input!$AD$36, 'Geographic Par.'!$F82, IF($D$144=Input!$AD$37, 'Geographic Par.'!$H82, IF($D$14=Input!$AD$38,'Geographic Par.'!$G82,'Geographic Par.'!$J82)))))</f>
        <v>1.3553867778739721E-2</v>
      </c>
      <c r="AE168" s="178">
        <f t="shared" si="41"/>
        <v>0</v>
      </c>
      <c r="AF168" s="179">
        <f t="shared" si="42"/>
        <v>1.3553867778739721E-2</v>
      </c>
      <c r="BB168" s="147" t="s">
        <v>186</v>
      </c>
      <c r="BC168" s="237">
        <f>(IFERROR(HLOOKUP(BB$68, 'GREET IO'!$B$77:$BK$98, ROW(BB168)-ROW(BB$153)+1, FALSE), 0)*BC$68+IFERROR(HLOOKUP(BB$69, 'GREET IO'!$B$77:$BK$98, ROW(BB168)-ROW(BB$153)+1, FALSE), 0)*BC$69+IFERROR(HLOOKUP(BB$70, 'GREET IO'!$B$77:$BK$98, ROW(BB168)-ROW(BB$153)+1, FALSE), 0)*BC$70+IFERROR(HLOOKUP(BB$71, 'GREET IO'!$B$77:$BK$98, ROW(BB168)-ROW(BB$153)+1, FALSE), 0)*BC$71+IFERROR(HLOOKUP(BB$72, 'GREET IO'!$B$77:$BK$98, ROW(BB168)-ROW(BB$153)+1, FALSE), 0)*BC$72+IF(ISTEXT(BB$74), 1, 0)*BC$74*Materials!$E126+IF(ISTEXT(BB$75), 1, 0)*BC$75*Materials!$F126)*$AI$154</f>
        <v>0</v>
      </c>
      <c r="BD168" s="242">
        <f>BC$79/$AI$155*('GREET IO'!$B159+'GREET IO'!$T10)+BC$80/$AI$155*('GREET IO'!$B34+'GREET IO'!$B10)+BC$81/$AI$155*IF($D$14=Input!$AD$34,"", IF($D$14=Input!$AD$35, 'Geographic Par.'!$E82, IF($D$14=Input!$AD$36, 'Geographic Par.'!$F82, IF($D$144=Input!$AD$37, 'Geographic Par.'!$H82, IF($D$14=Input!$AD$38,'Geographic Par.'!$G82,'Geographic Par.'!$J82)))))</f>
        <v>0</v>
      </c>
      <c r="BE168" s="178">
        <f t="shared" si="43"/>
        <v>0</v>
      </c>
      <c r="BF168" s="243">
        <f t="shared" si="44"/>
        <v>0</v>
      </c>
    </row>
    <row r="169" spans="28:65">
      <c r="AB169" s="147" t="s">
        <v>187</v>
      </c>
      <c r="AC169" s="237">
        <f>(IFERROR(HLOOKUP(AB$68, 'GREET IO'!$B$77:$BK$98, ROW(AB169)-ROW(AB$153)+1, FALSE), 0)*AC$68+IFERROR(HLOOKUP(AB$69, 'GREET IO'!$B$77:$BK$98, ROW(AB169)-ROW(AB$153)+1, FALSE), 0)*AC$69+IFERROR(HLOOKUP(AB$70, 'GREET IO'!$B$77:$BK$98, ROW(AB169)-ROW(AB$153)+1, FALSE), 0)*AC$70+IFERROR(HLOOKUP(AB$71, 'GREET IO'!$B$77:$BK$98, ROW(AB169)-ROW(AB$153)+1, FALSE), 0)*AC$71+IFERROR(HLOOKUP(AB$72, 'GREET IO'!$B$77:$BK$98, ROW(AB169)-ROW(AB$153)+1, FALSE), 0)*AC$72+IF(ISTEXT(AB$74), 1, 0)*AC$74*Materials!$C127+IF(ISTEXT(AB$75), 1, 0)*AC$75*Materials!$D127)*$AI$154</f>
        <v>0</v>
      </c>
      <c r="AD169" s="242">
        <f>AC$79/$AI$155*('GREET IO'!$B160+'GREET IO'!$T11)+AC$80/$AI$155*('GREET IO'!$B35+'GREET IO'!$B11)+AC$81/$AI$155*IF($D$14=Input!$AD$34,"", IF($D$14=Input!$AD$35, 'Geographic Par.'!$E83, IF($D$14=Input!$AD$36, 'Geographic Par.'!$F83, IF($D$144=Input!$AD$37, 'Geographic Par.'!$H83, IF($D$14=Input!$AD$38,'Geographic Par.'!$G83,'Geographic Par.'!$J83)))))</f>
        <v>6.8856836229640103E-3</v>
      </c>
      <c r="AE169" s="178">
        <f t="shared" si="41"/>
        <v>0</v>
      </c>
      <c r="AF169" s="179">
        <f t="shared" si="42"/>
        <v>6.8856836229640103E-3</v>
      </c>
      <c r="BB169" s="147" t="s">
        <v>187</v>
      </c>
      <c r="BC169" s="237">
        <f>(IFERROR(HLOOKUP(BB$68, 'GREET IO'!$B$77:$BK$98, ROW(BB169)-ROW(BB$153)+1, FALSE), 0)*BC$68+IFERROR(HLOOKUP(BB$69, 'GREET IO'!$B$77:$BK$98, ROW(BB169)-ROW(BB$153)+1, FALSE), 0)*BC$69+IFERROR(HLOOKUP(BB$70, 'GREET IO'!$B$77:$BK$98, ROW(BB169)-ROW(BB$153)+1, FALSE), 0)*BC$70+IFERROR(HLOOKUP(BB$71, 'GREET IO'!$B$77:$BK$98, ROW(BB169)-ROW(BB$153)+1, FALSE), 0)*BC$71+IFERROR(HLOOKUP(BB$72, 'GREET IO'!$B$77:$BK$98, ROW(BB169)-ROW(BB$153)+1, FALSE), 0)*BC$72+IF(ISTEXT(BB$74), 1, 0)*BC$74*Materials!$E127+IF(ISTEXT(BB$75), 1, 0)*BC$75*Materials!$F127)*$AI$154</f>
        <v>0</v>
      </c>
      <c r="BD169" s="242">
        <f>BC$79/$AI$155*('GREET IO'!$B160+'GREET IO'!$T11)+BC$80/$AI$155*('GREET IO'!$B35+'GREET IO'!$B11)+BC$81/$AI$155*IF($D$14=Input!$AD$34,"", IF($D$14=Input!$AD$35, 'Geographic Par.'!$E83, IF($D$14=Input!$AD$36, 'Geographic Par.'!$F83, IF($D$144=Input!$AD$37, 'Geographic Par.'!$H83, IF($D$14=Input!$AD$38,'Geographic Par.'!$G83,'Geographic Par.'!$J83)))))</f>
        <v>0</v>
      </c>
      <c r="BE169" s="178">
        <f t="shared" si="43"/>
        <v>0</v>
      </c>
      <c r="BF169" s="243">
        <f t="shared" si="44"/>
        <v>0</v>
      </c>
    </row>
    <row r="170" spans="28:65">
      <c r="AB170" s="147" t="s">
        <v>188</v>
      </c>
      <c r="AC170" s="237">
        <f>(IFERROR(HLOOKUP(AB$68, 'GREET IO'!$B$77:$BK$98, ROW(AB170)-ROW(AB$153)+1, FALSE), 0)*AC$68+IFERROR(HLOOKUP(AB$69, 'GREET IO'!$B$77:$BK$98, ROW(AB170)-ROW(AB$153)+1, FALSE), 0)*AC$69+IFERROR(HLOOKUP(AB$70, 'GREET IO'!$B$77:$BK$98, ROW(AB170)-ROW(AB$153)+1, FALSE), 0)*AC$70+IFERROR(HLOOKUP(AB$71, 'GREET IO'!$B$77:$BK$98, ROW(AB170)-ROW(AB$153)+1, FALSE), 0)*AC$71+IFERROR(HLOOKUP(AB$72, 'GREET IO'!$B$77:$BK$98, ROW(AB170)-ROW(AB$153)+1, FALSE), 0)*AC$72+IF(ISTEXT(AB$74), 1, 0)*AC$74*Materials!$C128+IF(ISTEXT(AB$75), 1, 0)*AC$75*Materials!$D128)*$AI$154</f>
        <v>0</v>
      </c>
      <c r="AD170" s="242">
        <f>AC$79/$AI$155*('GREET IO'!$B161+'GREET IO'!$T12)+AC$80/$AI$155*('GREET IO'!$B36+'GREET IO'!$B12)+AC$81/$AI$155*IF($D$14=Input!$AD$34,"", IF($D$14=Input!$AD$35, 'Geographic Par.'!$E84, IF($D$14=Input!$AD$36, 'Geographic Par.'!$F84, IF($D$144=Input!$AD$37, 'Geographic Par.'!$H84, IF($D$14=Input!$AD$38,'Geographic Par.'!$G84,'Geographic Par.'!$J84)))))</f>
        <v>0.550640490249799</v>
      </c>
      <c r="AE170" s="178">
        <f t="shared" si="41"/>
        <v>0</v>
      </c>
      <c r="AF170" s="179">
        <f t="shared" si="42"/>
        <v>0.550640490249799</v>
      </c>
      <c r="BB170" s="147" t="s">
        <v>188</v>
      </c>
      <c r="BC170" s="237">
        <f>(IFERROR(HLOOKUP(BB$68, 'GREET IO'!$B$77:$BK$98, ROW(BB170)-ROW(BB$153)+1, FALSE), 0)*BC$68+IFERROR(HLOOKUP(BB$69, 'GREET IO'!$B$77:$BK$98, ROW(BB170)-ROW(BB$153)+1, FALSE), 0)*BC$69+IFERROR(HLOOKUP(BB$70, 'GREET IO'!$B$77:$BK$98, ROW(BB170)-ROW(BB$153)+1, FALSE), 0)*BC$70+IFERROR(HLOOKUP(BB$71, 'GREET IO'!$B$77:$BK$98, ROW(BB170)-ROW(BB$153)+1, FALSE), 0)*BC$71+IFERROR(HLOOKUP(BB$72, 'GREET IO'!$B$77:$BK$98, ROW(BB170)-ROW(BB$153)+1, FALSE), 0)*BC$72+IF(ISTEXT(BB$74), 1, 0)*BC$74*Materials!$E128+IF(ISTEXT(BB$75), 1, 0)*BC$75*Materials!$F128)*$AI$154</f>
        <v>0</v>
      </c>
      <c r="BD170" s="242">
        <f>BC$79/$AI$155*('GREET IO'!$B161+'GREET IO'!$T12)+BC$80/$AI$155*('GREET IO'!$B36+'GREET IO'!$B12)+BC$81/$AI$155*IF($D$14=Input!$AD$34,"", IF($D$14=Input!$AD$35, 'Geographic Par.'!$E84, IF($D$14=Input!$AD$36, 'Geographic Par.'!$F84, IF($D$144=Input!$AD$37, 'Geographic Par.'!$H84, IF($D$14=Input!$AD$38,'Geographic Par.'!$G84,'Geographic Par.'!$J84)))))</f>
        <v>0</v>
      </c>
      <c r="BE170" s="178">
        <f t="shared" si="43"/>
        <v>0</v>
      </c>
      <c r="BF170" s="243">
        <f t="shared" si="44"/>
        <v>0</v>
      </c>
    </row>
    <row r="171" spans="28:65">
      <c r="AB171" s="147" t="s">
        <v>189</v>
      </c>
      <c r="AC171" s="237">
        <f>(IFERROR(HLOOKUP(AB$68, 'GREET IO'!$B$77:$BK$98, ROW(AB171)-ROW(AB$153)+1, FALSE), 0)*AC$68+IFERROR(HLOOKUP(AB$69, 'GREET IO'!$B$77:$BK$98, ROW(AB171)-ROW(AB$153)+1, FALSE), 0)*AC$69+IFERROR(HLOOKUP(AB$70, 'GREET IO'!$B$77:$BK$98, ROW(AB171)-ROW(AB$153)+1, FALSE), 0)*AC$70+IFERROR(HLOOKUP(AB$71, 'GREET IO'!$B$77:$BK$98, ROW(AB171)-ROW(AB$153)+1, FALSE), 0)*AC$71+IFERROR(HLOOKUP(AB$72, 'GREET IO'!$B$77:$BK$98, ROW(AB171)-ROW(AB$153)+1, FALSE), 0)*AC$72+IF(ISTEXT(AB$74), 1, 0)*AC$74*Materials!$C129+IF(ISTEXT(AB$75), 1, 0)*AC$75*Materials!$D129)*$AI$154</f>
        <v>0</v>
      </c>
      <c r="AD171" s="242">
        <f>AC$79/$AI$155*('GREET IO'!$B162+'GREET IO'!$T13)+AC$80/$AI$155*('GREET IO'!$B37+'GREET IO'!$B13)+AC$81/$AI$155*IF($D$14=Input!$AD$34,"", IF($D$14=Input!$AD$35, 'Geographic Par.'!$E85, IF($D$14=Input!$AD$36, 'Geographic Par.'!$F85, IF($D$144=Input!$AD$37, 'Geographic Par.'!$H85, IF($D$14=Input!$AD$38,'Geographic Par.'!$G85,'Geographic Par.'!$J85)))))</f>
        <v>6.3059796179824193E-3</v>
      </c>
      <c r="AE171" s="178">
        <f t="shared" si="41"/>
        <v>0</v>
      </c>
      <c r="AF171" s="179">
        <f t="shared" si="42"/>
        <v>6.3059796179824193E-3</v>
      </c>
      <c r="BB171" s="147" t="s">
        <v>189</v>
      </c>
      <c r="BC171" s="237">
        <f>(IFERROR(HLOOKUP(BB$68, 'GREET IO'!$B$77:$BK$98, ROW(BB171)-ROW(BB$153)+1, FALSE), 0)*BC$68+IFERROR(HLOOKUP(BB$69, 'GREET IO'!$B$77:$BK$98, ROW(BB171)-ROW(BB$153)+1, FALSE), 0)*BC$69+IFERROR(HLOOKUP(BB$70, 'GREET IO'!$B$77:$BK$98, ROW(BB171)-ROW(BB$153)+1, FALSE), 0)*BC$70+IFERROR(HLOOKUP(BB$71, 'GREET IO'!$B$77:$BK$98, ROW(BB171)-ROW(BB$153)+1, FALSE), 0)*BC$71+IFERROR(HLOOKUP(BB$72, 'GREET IO'!$B$77:$BK$98, ROW(BB171)-ROW(BB$153)+1, FALSE), 0)*BC$72+IF(ISTEXT(BB$74), 1, 0)*BC$74*Materials!$E129+IF(ISTEXT(BB$75), 1, 0)*BC$75*Materials!$F129)*$AI$154</f>
        <v>0</v>
      </c>
      <c r="BD171" s="242">
        <f>BC$79/$AI$155*('GREET IO'!$B162+'GREET IO'!$T13)+BC$80/$AI$155*('GREET IO'!$B37+'GREET IO'!$B13)+BC$81/$AI$155*IF($D$14=Input!$AD$34,"", IF($D$14=Input!$AD$35, 'Geographic Par.'!$E85, IF($D$14=Input!$AD$36, 'Geographic Par.'!$F85, IF($D$144=Input!$AD$37, 'Geographic Par.'!$H85, IF($D$14=Input!$AD$38,'Geographic Par.'!$G85,'Geographic Par.'!$J85)))))</f>
        <v>0</v>
      </c>
      <c r="BE171" s="178">
        <f t="shared" si="43"/>
        <v>0</v>
      </c>
      <c r="BF171" s="243">
        <f t="shared" si="44"/>
        <v>0</v>
      </c>
    </row>
    <row r="172" spans="28:65">
      <c r="AB172" s="147" t="s">
        <v>190</v>
      </c>
      <c r="AC172" s="185">
        <f>(IFERROR(HLOOKUP(AB$68, 'GREET IO'!$B$77:$BK$98, ROW(AB172)-ROW(AB$153)+1, FALSE), 0)*AC$68+IFERROR(HLOOKUP(AB$69, 'GREET IO'!$B$77:$BK$98, ROW(AB172)-ROW(AB$153)+1, FALSE), 0)*AC$69+IFERROR(HLOOKUP(AB$70, 'GREET IO'!$B$77:$BK$98, ROW(AB172)-ROW(AB$153)+1, FALSE), 0)*AC$70+IFERROR(HLOOKUP(AB$71, 'GREET IO'!$B$77:$BK$98, ROW(AB172)-ROW(AB$153)+1, FALSE), 0)*AC$71+IFERROR(HLOOKUP(AB$72, 'GREET IO'!$B$77:$BK$98, ROW(AB172)-ROW(AB$153)+1, FALSE), 0)*AC$72+IF(ISTEXT(AB$74), 1, 0)*AC$74*Materials!$C130+IF(ISTEXT(AB$75), 1, 0)*AC$75*Materials!$D130)*$AI$154</f>
        <v>0</v>
      </c>
      <c r="AD172" s="185">
        <f>AC$79/$AI$155*('GREET IO'!$B163+'GREET IO'!$T14)+AC$80/$AI$155*('GREET IO'!$B38+'GREET IO'!$B14)+AC$81/$AI$155*IF($D$14=Input!$AD$34,"", IF($D$14=Input!$AD$35, 'Geographic Par.'!$E86, IF($D$14=Input!$AD$36, 'Geographic Par.'!$F86, IF($D$144=Input!$AD$37, 'Geographic Par.'!$H86, IF($D$14=Input!$AD$38,'Geographic Par.'!$G86,'Geographic Par.'!$J86)))))</f>
        <v>213.58235130198941</v>
      </c>
      <c r="AE172" s="185">
        <f>AE150</f>
        <v>0</v>
      </c>
      <c r="AF172" s="338">
        <f t="shared" si="42"/>
        <v>213.58235130198941</v>
      </c>
      <c r="BB172" s="147" t="s">
        <v>190</v>
      </c>
      <c r="BC172" s="321">
        <f>(IFERROR(HLOOKUP(BB$68, 'GREET IO'!$B$77:$BK$98, ROW(BB172)-ROW(BB$153)+1, FALSE), 0)*BC$68+IFERROR(HLOOKUP(BB$69, 'GREET IO'!$B$77:$BK$98, ROW(BB172)-ROW(BB$153)+1, FALSE), 0)*BC$69+IFERROR(HLOOKUP(BB$70, 'GREET IO'!$B$77:$BK$98, ROW(BB172)-ROW(BB$153)+1, FALSE), 0)*BC$70+IFERROR(HLOOKUP(BB$71, 'GREET IO'!$B$77:$BK$98, ROW(BB172)-ROW(BB$153)+1, FALSE), 0)*BC$71+IFERROR(HLOOKUP(BB$72, 'GREET IO'!$B$77:$BK$98, ROW(BB172)-ROW(BB$153)+1, FALSE), 0)*BC$72+IF(ISTEXT(BB$74), 1, 0)*BC$74*Materials!$E130+IF(ISTEXT(BB$75), 1, 0)*BC$75*Materials!$F130)*$AI$154</f>
        <v>0</v>
      </c>
      <c r="BD172" s="185">
        <f>BC$79/$AI$155*('GREET IO'!$B163+'GREET IO'!$T14)+BC$80/$AI$155*('GREET IO'!$B38+'GREET IO'!$B14)+BC$81/$AI$155*IF($D$14=Input!$AD$34,"", IF($D$14=Input!$AD$35, 'Geographic Par.'!$E86, IF($D$14=Input!$AD$36, 'Geographic Par.'!$F86, IF($D$144=Input!$AD$37, 'Geographic Par.'!$H86, IF($D$14=Input!$AD$38,'Geographic Par.'!$G86,'Geographic Par.'!$J86)))))</f>
        <v>0</v>
      </c>
      <c r="BE172" s="185">
        <f>BE150</f>
        <v>0</v>
      </c>
      <c r="BF172" s="322">
        <f t="shared" si="44"/>
        <v>0</v>
      </c>
    </row>
    <row r="173" spans="28:65">
      <c r="AB173" s="147" t="s">
        <v>198</v>
      </c>
      <c r="AC173" s="185">
        <f>(IFERROR(HLOOKUP(AB$68, 'GREET IO'!$B$77:$BK$98, ROW(AB173)-ROW(AB$153)+1, FALSE), 0)*AC$68+IFERROR(HLOOKUP(AB$69, 'GREET IO'!$B$77:$BK$98, ROW(AB173)-ROW(AB$153)+1, FALSE), 0)*AC$69+IFERROR(HLOOKUP(AB$70, 'GREET IO'!$B$77:$BK$98, ROW(AB173)-ROW(AB$153)+1, FALSE), 0)*AC$70+IFERROR(HLOOKUP(AB$71, 'GREET IO'!$B$77:$BK$98, ROW(AB173)-ROW(AB$153)+1, FALSE), 0)*AC$71+IFERROR(HLOOKUP(AB$72, 'GREET IO'!$B$77:$BK$98, ROW(AB173)-ROW(AB$153)+1, FALSE), 0)*AC$72+IF(ISTEXT(AB$74), 1, 0)*AC$74*Materials!$C131+IF(ISTEXT(AB$75), 1, 0)*AC$75*Materials!$D131)*$AI$154</f>
        <v>0</v>
      </c>
      <c r="AD173" s="185">
        <f>AD172+AD162*'GREET IO'!$B$118/'GREET IO'!$B$120+AD163*'GREET IO'!$B$119/'GREET IO'!$B$120</f>
        <v>214.16616290500264</v>
      </c>
      <c r="AE173" s="185">
        <f>AE172+AE162*'GREET IO'!$B$118/'GREET IO'!$B$120+AE163*'GREET IO'!$B$119/'GREET IO'!$B$120</f>
        <v>0</v>
      </c>
      <c r="AF173" s="338">
        <f t="shared" si="42"/>
        <v>214.16616290500264</v>
      </c>
      <c r="BB173" s="147" t="s">
        <v>198</v>
      </c>
      <c r="BC173" s="185">
        <f>(IFERROR(HLOOKUP(BB$68, 'GREET IO'!$B$77:$BK$98, ROW(BB173)-ROW(BB$153)+1, FALSE), 0)*BC$68+IFERROR(HLOOKUP(BB$69, 'GREET IO'!$B$77:$BK$98, ROW(BB173)-ROW(BB$153)+1, FALSE), 0)*BC$69+IFERROR(HLOOKUP(BB$70, 'GREET IO'!$B$77:$BK$98, ROW(BB173)-ROW(BB$153)+1, FALSE), 0)*BC$70+IFERROR(HLOOKUP(BB$71, 'GREET IO'!$B$77:$BK$98, ROW(BB173)-ROW(BB$153)+1, FALSE), 0)*BC$71+IFERROR(HLOOKUP(BB$72, 'GREET IO'!$B$77:$BK$98, ROW(BB173)-ROW(BB$153)+1, FALSE), 0)*BC$72+IF(ISTEXT(BB$74), 1, 0)*BC$74*Materials!$E131+IF(ISTEXT(BB$75), 1, 0)*BC$75*Materials!$F131)*$AI$154</f>
        <v>0</v>
      </c>
      <c r="BD173" s="185">
        <f>BD172+BD162*'GREET IO'!$B$118/'GREET IO'!$B$120+BD163*'GREET IO'!$B$119/'GREET IO'!$B$120</f>
        <v>0</v>
      </c>
      <c r="BE173" s="185">
        <f>BE172+BE162*'GREET IO'!$B$118/'GREET IO'!$B$120+BE163*'GREET IO'!$B$119/'GREET IO'!$B$120</f>
        <v>0</v>
      </c>
      <c r="BF173" s="322">
        <f t="shared" si="44"/>
        <v>0</v>
      </c>
    </row>
    <row r="174" spans="28:65">
      <c r="AB174" s="267" t="s">
        <v>199</v>
      </c>
      <c r="AC174" s="323">
        <f>(IFERROR(HLOOKUP(AB$68, 'GREET IO'!$B$77:$BK$98, ROW(AB174)-ROW(AB$153)+1, FALSE), 0)*AC$68+IFERROR(HLOOKUP(AB$69, 'GREET IO'!$B$77:$BK$98, ROW(AB174)-ROW(AB$153)+1, FALSE), 0)*AC$69+IFERROR(HLOOKUP(AB$70, 'GREET IO'!$B$77:$BK$98, ROW(AB174)-ROW(AB$153)+1, FALSE), 0)*AC$70+IFERROR(HLOOKUP(AB$71, 'GREET IO'!$B$77:$BK$98, ROW(AB174)-ROW(AB$153)+1, FALSE), 0)*AC$71+IFERROR(HLOOKUP(AB$72, 'GREET IO'!$B$77:$BK$98, ROW(AB174)-ROW(AB$153)+1, FALSE), 0)*AC$72+IF(ISTEXT(AB$74), 1, 0)*AC$74*Materials!$C132+IF(ISTEXT(AB$75), 1, 0)*AC$75*Materials!$D132)*$AI$154</f>
        <v>0</v>
      </c>
      <c r="AD174" s="323">
        <f>AD173+SUMPRODUCT(AD170:AD171,'GREET IO'!$B$114:$B$115)</f>
        <v>232.29678195015583</v>
      </c>
      <c r="AE174" s="323">
        <f>AE173+SUMPRODUCT(AE170:AE171,'GREET IO'!$B$114:$B$115)</f>
        <v>0</v>
      </c>
      <c r="AF174" s="313">
        <f t="shared" si="42"/>
        <v>232.29678195015583</v>
      </c>
      <c r="BB174" s="267" t="s">
        <v>199</v>
      </c>
      <c r="BC174" s="323">
        <f>(IFERROR(HLOOKUP(BB$68, 'GREET IO'!$B$77:$BK$98, ROW(BB174)-ROW(BB$153)+1, FALSE), 0)*BC$68+IFERROR(HLOOKUP(BB$69, 'GREET IO'!$B$77:$BK$98, ROW(BB174)-ROW(BB$153)+1, FALSE), 0)*BC$69+IFERROR(HLOOKUP(BB$70, 'GREET IO'!$B$77:$BK$98, ROW(BB174)-ROW(BB$153)+1, FALSE), 0)*BC$70+IFERROR(HLOOKUP(BB$71, 'GREET IO'!$B$77:$BK$98, ROW(BB174)-ROW(BB$153)+1, FALSE), 0)*BC$71+IFERROR(HLOOKUP(BB$72, 'GREET IO'!$B$77:$BK$98, ROW(BB174)-ROW(BB$153)+1, FALSE), 0)*BC$72+IF(ISTEXT(BB$74), 1, 0)*BC$74*Materials!$E132+IF(ISTEXT(BB$75), 1, 0)*BC$75*Materials!$F132)*$AI$154</f>
        <v>0</v>
      </c>
      <c r="BD174" s="323">
        <f>BD173+SUMPRODUCT(BD170:BD171,'GREET IO'!$B$114:$B$115)</f>
        <v>0</v>
      </c>
      <c r="BE174" s="323">
        <f>BE173+SUMPRODUCT(BE170:BE171,'GREET IO'!$B$114:$B$115)</f>
        <v>0</v>
      </c>
      <c r="BF174" s="313">
        <f t="shared" si="44"/>
        <v>0</v>
      </c>
    </row>
    <row r="176" spans="28:65">
      <c r="AB176" s="111" t="s">
        <v>663</v>
      </c>
      <c r="AC176" s="1600" t="s">
        <v>1801</v>
      </c>
      <c r="BB176" s="111" t="s">
        <v>663</v>
      </c>
      <c r="BC176" s="1600" t="s">
        <v>1801</v>
      </c>
      <c r="BJ176" s="110"/>
      <c r="BK176" s="110"/>
      <c r="BL176" s="110"/>
      <c r="BM176" s="110"/>
    </row>
    <row r="177" spans="2:65">
      <c r="AB177" s="324"/>
      <c r="AC177" s="332" t="str">
        <f>IF(AB102="Select Output"," ",AB102)</f>
        <v>Black mass</v>
      </c>
      <c r="AD177" s="332" t="str">
        <f>IF(AB103="Select Output"," ",AB103)</f>
        <v>Aluminum</v>
      </c>
      <c r="AE177" s="332" t="str">
        <f>IF(AB104="Select Output"," ",AB104)</f>
        <v>Copper</v>
      </c>
      <c r="AF177" s="332" t="str">
        <f>IF(AB105="Select Output"," ",AB105)</f>
        <v>Steel</v>
      </c>
      <c r="AG177" s="332" t="str">
        <f>IF(AB106="Select Output"," ",AB106)</f>
        <v xml:space="preserve"> </v>
      </c>
      <c r="AH177" s="332" t="str">
        <f>IF(AB107="Select Output"," ",AB107)</f>
        <v xml:space="preserve"> </v>
      </c>
      <c r="AI177" s="332" t="str">
        <f>IF(AB108="Select Output"," ",AB108)</f>
        <v xml:space="preserve"> </v>
      </c>
      <c r="AJ177" s="1368" t="str">
        <f>IF(AB109="Select Output"," ",AB109)</f>
        <v xml:space="preserve"> </v>
      </c>
      <c r="AK177"/>
      <c r="AL177"/>
      <c r="BB177" s="324"/>
      <c r="BC177" s="325" t="str">
        <f>IF(BB102&lt;&gt;"Select Output", BB102, " ")</f>
        <v xml:space="preserve"> </v>
      </c>
      <c r="BD177" s="326" t="str">
        <f>IF(BB103&lt;&gt;"Select Output", BB103, " ")</f>
        <v xml:space="preserve"> </v>
      </c>
      <c r="BE177" s="326" t="str">
        <f>IF(BB104&lt;&gt;"Select Output", BB104, " ")</f>
        <v xml:space="preserve"> </v>
      </c>
      <c r="BF177" s="326" t="str">
        <f>IF(BB105&lt;&gt;"Select Output", BB105, " ")</f>
        <v xml:space="preserve"> </v>
      </c>
      <c r="BG177" s="326" t="str">
        <f>IF(BB106&lt;&gt;"Select Output", BB106, " ")</f>
        <v xml:space="preserve"> </v>
      </c>
      <c r="BH177" s="326" t="str">
        <f>IF(BB107&lt;&gt;"Select Output", BB107, " ")</f>
        <v xml:space="preserve"> </v>
      </c>
      <c r="BI177" s="326" t="str">
        <f>IF(BB108&lt;&gt;"Select Output", BB108, " ")</f>
        <v xml:space="preserve"> </v>
      </c>
      <c r="BJ177" s="326" t="str">
        <f>IF(BB109&lt;&gt;"Select Output", BB109, " ")</f>
        <v xml:space="preserve"> </v>
      </c>
      <c r="BK177" s="1673" t="str">
        <f>IF(BB110&lt;&gt;"Select Output", BB110, " ")</f>
        <v xml:space="preserve"> </v>
      </c>
      <c r="BL177"/>
      <c r="BM177"/>
    </row>
    <row r="178" spans="2:65">
      <c r="D178" s="180"/>
      <c r="AB178" s="147" t="s">
        <v>448</v>
      </c>
      <c r="AC178" s="344">
        <f>AC102/SUM(AC102:AC109)</f>
        <v>1</v>
      </c>
      <c r="AD178" s="345">
        <f>AC103/SUM(AC102:AC109)</f>
        <v>0</v>
      </c>
      <c r="AE178" s="345">
        <f>AC104/SUM(AC102:AC109)</f>
        <v>0</v>
      </c>
      <c r="AF178" s="345">
        <f>AC105/SUM(AC102:AC109)</f>
        <v>0</v>
      </c>
      <c r="AG178" s="345">
        <f>AC106/SUM(AC102:AC109)</f>
        <v>0</v>
      </c>
      <c r="AH178" s="345">
        <f>AC107/SUM(AC102:AC109)</f>
        <v>0</v>
      </c>
      <c r="AI178" s="345">
        <f>AC108/SUM(AC102:AC109)</f>
        <v>0</v>
      </c>
      <c r="AJ178" s="347">
        <f>AC109/SUM(AC102:AC109)</f>
        <v>0</v>
      </c>
      <c r="AK178"/>
      <c r="AL178"/>
      <c r="BB178" s="147" t="s">
        <v>448</v>
      </c>
      <c r="BC178" s="327" t="e">
        <f>BC102/SUM(BC$102:BC$115)</f>
        <v>#DIV/0!</v>
      </c>
      <c r="BD178" s="327" t="e">
        <f>BC103/SUM(BC$102:BC$115)</f>
        <v>#DIV/0!</v>
      </c>
      <c r="BE178" s="327" t="e">
        <f>BC104/SUM(BC$102:BC$115)</f>
        <v>#DIV/0!</v>
      </c>
      <c r="BF178" s="327" t="e">
        <f>BC105/SUM(BC$102:BC$115)</f>
        <v>#DIV/0!</v>
      </c>
      <c r="BG178" s="327" t="e">
        <f>BC106/SUM(BC$102:BC$115)</f>
        <v>#DIV/0!</v>
      </c>
      <c r="BH178" s="327" t="e">
        <f>BC107/SUM(BC$102:BC$115)</f>
        <v>#DIV/0!</v>
      </c>
      <c r="BI178" s="327" t="e">
        <f>BC108/SUM(BC$102:BC$115)</f>
        <v>#DIV/0!</v>
      </c>
      <c r="BJ178" s="328" t="e">
        <f>BC109/SUM(BC$102:BC$115)</f>
        <v>#DIV/0!</v>
      </c>
      <c r="BK178" s="1652" t="e">
        <f>BC110/SUM(BC$102:BC$115)</f>
        <v>#DIV/0!</v>
      </c>
      <c r="BL178"/>
      <c r="BM178"/>
    </row>
    <row r="179" spans="2:65">
      <c r="D179"/>
      <c r="E179"/>
      <c r="AB179" s="278" t="s">
        <v>449</v>
      </c>
      <c r="AC179" s="329" t="e">
        <f>AC184/$AL184</f>
        <v>#DIV/0!</v>
      </c>
      <c r="AD179" s="329" t="e">
        <f t="shared" ref="AD179:AJ179" si="45">AD184/$AL184</f>
        <v>#DIV/0!</v>
      </c>
      <c r="AE179" s="329" t="e">
        <f t="shared" si="45"/>
        <v>#DIV/0!</v>
      </c>
      <c r="AF179" s="329" t="e">
        <f t="shared" si="45"/>
        <v>#DIV/0!</v>
      </c>
      <c r="AG179" s="329" t="e">
        <f t="shared" si="45"/>
        <v>#DIV/0!</v>
      </c>
      <c r="AH179" s="329" t="e">
        <f t="shared" si="45"/>
        <v>#DIV/0!</v>
      </c>
      <c r="AI179" s="329" t="e">
        <f t="shared" si="45"/>
        <v>#DIV/0!</v>
      </c>
      <c r="AJ179" s="329" t="e">
        <f t="shared" si="45"/>
        <v>#DIV/0!</v>
      </c>
      <c r="AK179"/>
      <c r="AL179"/>
      <c r="BB179" s="278" t="s">
        <v>449</v>
      </c>
      <c r="BC179" s="329" t="e">
        <f>BC184/$BM184</f>
        <v>#DIV/0!</v>
      </c>
      <c r="BD179" s="329" t="e">
        <f t="shared" ref="BD179:BK179" si="46">BD184/$BM184</f>
        <v>#DIV/0!</v>
      </c>
      <c r="BE179" s="329" t="e">
        <f t="shared" si="46"/>
        <v>#DIV/0!</v>
      </c>
      <c r="BF179" s="329" t="e">
        <f t="shared" si="46"/>
        <v>#DIV/0!</v>
      </c>
      <c r="BG179" s="329" t="e">
        <f t="shared" si="46"/>
        <v>#DIV/0!</v>
      </c>
      <c r="BH179" s="329" t="e">
        <f t="shared" si="46"/>
        <v>#DIV/0!</v>
      </c>
      <c r="BI179" s="329" t="e">
        <f t="shared" si="46"/>
        <v>#DIV/0!</v>
      </c>
      <c r="BJ179" s="329" t="e">
        <f t="shared" si="46"/>
        <v>#DIV/0!</v>
      </c>
      <c r="BK179" s="1674" t="e">
        <f t="shared" si="46"/>
        <v>#DIV/0!</v>
      </c>
      <c r="BL179"/>
      <c r="BM179"/>
    </row>
    <row r="180" spans="2:65">
      <c r="BJ180" s="110"/>
      <c r="BK180" s="110"/>
      <c r="BL180" s="110"/>
      <c r="BM180" s="110"/>
    </row>
    <row r="181" spans="2:65">
      <c r="B181"/>
      <c r="C181"/>
      <c r="AB181" s="133" t="s">
        <v>1849</v>
      </c>
      <c r="BB181" s="133" t="s">
        <v>1849</v>
      </c>
      <c r="BJ181" s="110"/>
      <c r="BK181" s="110"/>
      <c r="BL181" s="110"/>
      <c r="BM181" s="110"/>
    </row>
    <row r="182" spans="2:65">
      <c r="B182"/>
      <c r="C182"/>
      <c r="D182"/>
      <c r="AB182" s="111" t="s">
        <v>1851</v>
      </c>
      <c r="BB182" s="111" t="s">
        <v>664</v>
      </c>
      <c r="BJ182" s="110"/>
      <c r="BK182" s="110"/>
      <c r="BL182" s="110"/>
      <c r="BM182" s="110"/>
    </row>
    <row r="183" spans="2:65" ht="32.15" customHeight="1">
      <c r="B183"/>
      <c r="C183"/>
      <c r="AB183" s="324"/>
      <c r="AC183" s="332" t="str">
        <f>AC177</f>
        <v>Black mass</v>
      </c>
      <c r="AD183" s="332" t="str">
        <f t="shared" ref="AD183:AJ183" si="47">AD177</f>
        <v>Aluminum</v>
      </c>
      <c r="AE183" s="332" t="str">
        <f t="shared" si="47"/>
        <v>Copper</v>
      </c>
      <c r="AF183" s="332" t="str">
        <f t="shared" si="47"/>
        <v>Steel</v>
      </c>
      <c r="AG183" s="332" t="str">
        <f t="shared" si="47"/>
        <v xml:space="preserve"> </v>
      </c>
      <c r="AH183" s="332" t="str">
        <f t="shared" si="47"/>
        <v xml:space="preserve"> </v>
      </c>
      <c r="AI183" s="332" t="str">
        <f t="shared" si="47"/>
        <v xml:space="preserve"> </v>
      </c>
      <c r="AJ183" s="332" t="str">
        <f t="shared" si="47"/>
        <v xml:space="preserve"> </v>
      </c>
      <c r="AK183" s="1657" t="s">
        <v>1947</v>
      </c>
      <c r="AL183" s="1657" t="s">
        <v>1952</v>
      </c>
      <c r="BB183" s="324"/>
      <c r="BC183" s="332" t="str">
        <f t="shared" ref="BC183:BK183" si="48">BC177</f>
        <v xml:space="preserve"> </v>
      </c>
      <c r="BD183" s="332" t="str">
        <f t="shared" si="48"/>
        <v xml:space="preserve"> </v>
      </c>
      <c r="BE183" s="332" t="str">
        <f t="shared" si="48"/>
        <v xml:space="preserve"> </v>
      </c>
      <c r="BF183" s="332" t="str">
        <f t="shared" si="48"/>
        <v xml:space="preserve"> </v>
      </c>
      <c r="BG183" s="332" t="str">
        <f t="shared" si="48"/>
        <v xml:space="preserve"> </v>
      </c>
      <c r="BH183" s="332" t="str">
        <f t="shared" si="48"/>
        <v xml:space="preserve"> </v>
      </c>
      <c r="BI183" s="332" t="str">
        <f t="shared" si="48"/>
        <v xml:space="preserve"> </v>
      </c>
      <c r="BJ183" s="332" t="str">
        <f t="shared" si="48"/>
        <v xml:space="preserve"> </v>
      </c>
      <c r="BK183" s="332" t="str">
        <f t="shared" si="48"/>
        <v xml:space="preserve"> </v>
      </c>
      <c r="BL183" s="1657" t="s">
        <v>1947</v>
      </c>
      <c r="BM183" s="1657" t="s">
        <v>1952</v>
      </c>
    </row>
    <row r="184" spans="2:65">
      <c r="B184"/>
      <c r="C184"/>
      <c r="AB184" s="253" t="s">
        <v>1850</v>
      </c>
      <c r="AC184" s="334">
        <f>AC102*IFERROR(VLOOKUP(AB102,$B$69:$C$74,2,FALSE),0)</f>
        <v>0</v>
      </c>
      <c r="AD184" s="335">
        <f>AC103*IFERROR(VLOOKUP(AB103,$B$69:$C$74,2,FALSE),0)</f>
        <v>0</v>
      </c>
      <c r="AE184" s="335">
        <f>AC104*IFERROR(VLOOKUP(AB104,$B$69:$C$74,2,FALSE),0)</f>
        <v>0</v>
      </c>
      <c r="AF184" s="335">
        <f>AC105*IFERROR(VLOOKUP(AB105,$B$69:$C$74,2,FALSE),0)</f>
        <v>0</v>
      </c>
      <c r="AG184" s="335">
        <f>AC106*IFERROR(VLOOKUP(AB106,$B$69:$C$74,2,FALSE),0)</f>
        <v>0</v>
      </c>
      <c r="AH184" s="335">
        <f>AC107*IFERROR(VLOOKUP(AB107,$B$69:$C$74,2,FALSE),0)</f>
        <v>0</v>
      </c>
      <c r="AI184" s="335">
        <f>AC108*IFERROR(VLOOKUP(AB108,$B$69:$C$74,2,FALSE),0)</f>
        <v>0</v>
      </c>
      <c r="AJ184" s="336">
        <f>AC109*IFERROR(VLOOKUP(AB109,$B$69:$C$74,2,FALSE),0)</f>
        <v>0</v>
      </c>
      <c r="AK184" s="337">
        <f>SUM(AC184:AJ184)-IFERROR(HLOOKUP("Black mass",AC183:AJ184,2,FALSE),0)</f>
        <v>0</v>
      </c>
      <c r="AL184" s="337">
        <f>SUM(AC184:AJ184)</f>
        <v>0</v>
      </c>
      <c r="AN184" s="266"/>
      <c r="BB184" s="253" t="s">
        <v>1850</v>
      </c>
      <c r="BC184" s="334">
        <f>BC102*IFERROR(VLOOKUP(BB102,$B$69:$C$74,2,FALSE),0)</f>
        <v>0</v>
      </c>
      <c r="BD184" s="335">
        <f>BC103*IFERROR(VLOOKUP(BB103,$B$69:$C$74,2,FALSE),0)</f>
        <v>0</v>
      </c>
      <c r="BE184" s="335">
        <f>BC104*IFERROR(VLOOKUP(BB104,$B$69:$C$74,2,FALSE),0)</f>
        <v>0</v>
      </c>
      <c r="BF184" s="335">
        <f>BC105*IFERROR(VLOOKUP(BB105,$B$69:$C$74,2,FALSE),0)</f>
        <v>0</v>
      </c>
      <c r="BG184" s="335">
        <f>BC106*IFERROR(VLOOKUP(BB106,$B$69:$C$74,2,FALSE),0)</f>
        <v>0</v>
      </c>
      <c r="BH184" s="335">
        <f>BC107*IFERROR(VLOOKUP(BB107,$B$69:$C$74,2,FALSE),0)</f>
        <v>0</v>
      </c>
      <c r="BI184" s="335">
        <f>BC108*IFERROR(VLOOKUP(BB108,$B$69:$C$74,2,FALSE),0)</f>
        <v>0</v>
      </c>
      <c r="BJ184" s="336">
        <f>BC109*IFERROR(VLOOKUP(BB109,$B$69:$C$74,2,FALSE),0)</f>
        <v>0</v>
      </c>
      <c r="BK184" s="336">
        <f>BC110*IFERROR(VLOOKUP(BB110,$B$69:$C$74,2,FALSE),0)</f>
        <v>0</v>
      </c>
      <c r="BL184" s="337">
        <f>SUM(BC184:BK184)-IFERROR(HLOOKUP("Black mass",BC183:BK184,2,FALSE),0)</f>
        <v>0</v>
      </c>
      <c r="BM184" s="337">
        <f>SUM(BC184:BK184)</f>
        <v>0</v>
      </c>
    </row>
    <row r="185" spans="2:65">
      <c r="B185"/>
      <c r="C185"/>
    </row>
    <row r="186" spans="2:65">
      <c r="B186"/>
      <c r="C186"/>
      <c r="AB186" s="111" t="s">
        <v>1916</v>
      </c>
      <c r="BB186" s="111" t="s">
        <v>1916</v>
      </c>
    </row>
    <row r="187" spans="2:65">
      <c r="B187"/>
      <c r="C187"/>
      <c r="AB187" s="1602" t="s">
        <v>1530</v>
      </c>
      <c r="AC187" s="1603">
        <f ca="1">AC188+AC189</f>
        <v>78980.609418282547</v>
      </c>
      <c r="AE187"/>
      <c r="AF187"/>
      <c r="AG187"/>
      <c r="BB187" s="1602" t="s">
        <v>1530</v>
      </c>
      <c r="BC187" s="1603">
        <f ca="1">BC188+BC189</f>
        <v>0</v>
      </c>
    </row>
    <row r="188" spans="2:65">
      <c r="B188"/>
      <c r="C188"/>
      <c r="AB188" s="340" t="s">
        <v>1526</v>
      </c>
      <c r="AC188" s="348">
        <f>AD420</f>
        <v>0</v>
      </c>
      <c r="AE188"/>
      <c r="AF188"/>
      <c r="AG188"/>
      <c r="BB188" s="340" t="s">
        <v>1526</v>
      </c>
      <c r="BC188" s="348">
        <f ca="1">BD419</f>
        <v>0</v>
      </c>
    </row>
    <row r="189" spans="2:65">
      <c r="B189"/>
      <c r="C189"/>
      <c r="AB189" s="340" t="s">
        <v>1529</v>
      </c>
      <c r="AC189" s="348">
        <f ca="1">AD438</f>
        <v>78980.609418282547</v>
      </c>
      <c r="AE189"/>
      <c r="AF189"/>
      <c r="AG189"/>
      <c r="BB189" s="340" t="s">
        <v>1529</v>
      </c>
      <c r="BC189" s="348">
        <f ca="1">BD439</f>
        <v>0</v>
      </c>
    </row>
    <row r="190" spans="2:65">
      <c r="B190"/>
      <c r="C190"/>
      <c r="AB190" s="343" t="s">
        <v>1869</v>
      </c>
      <c r="AC190" s="348">
        <f>AD443</f>
        <v>0</v>
      </c>
      <c r="AE190"/>
      <c r="AF190"/>
      <c r="AG190"/>
      <c r="BB190" s="343" t="s">
        <v>1869</v>
      </c>
      <c r="BC190" s="348">
        <f>BD442</f>
        <v>0</v>
      </c>
    </row>
    <row r="191" spans="2:65">
      <c r="AB191" s="343" t="s">
        <v>1870</v>
      </c>
      <c r="AC191" s="348">
        <f ca="1">AD449</f>
        <v>586713.09853581327</v>
      </c>
      <c r="AE191"/>
      <c r="AF191"/>
      <c r="AG191"/>
      <c r="BB191" s="343" t="s">
        <v>1870</v>
      </c>
      <c r="BC191" s="348">
        <f ca="1">BD448</f>
        <v>0</v>
      </c>
    </row>
    <row r="192" spans="2:65">
      <c r="B192"/>
      <c r="C192"/>
      <c r="D192"/>
      <c r="AB192" s="343" t="s">
        <v>1871</v>
      </c>
      <c r="AC192" s="348">
        <f ca="1">AC190+AC191</f>
        <v>586713.09853581327</v>
      </c>
      <c r="AE192"/>
      <c r="AF192"/>
      <c r="AG192"/>
      <c r="BB192" s="343" t="s">
        <v>1871</v>
      </c>
      <c r="BC192" s="348">
        <f ca="1">BC190+BC191</f>
        <v>0</v>
      </c>
    </row>
    <row r="193" spans="2:57">
      <c r="B193"/>
      <c r="C193"/>
      <c r="D193"/>
      <c r="AB193" s="343" t="s">
        <v>1872</v>
      </c>
      <c r="AC193" s="348">
        <f>AD467</f>
        <v>0</v>
      </c>
      <c r="AE193"/>
      <c r="AF193"/>
      <c r="AG193"/>
      <c r="BB193" s="343" t="s">
        <v>1872</v>
      </c>
      <c r="BC193" s="348">
        <f ca="1">BD466</f>
        <v>0</v>
      </c>
      <c r="BE193"/>
    </row>
    <row r="194" spans="2:57">
      <c r="B194"/>
      <c r="C194"/>
      <c r="D194"/>
      <c r="AB194" s="343" t="s">
        <v>1816</v>
      </c>
      <c r="AC194" s="1252">
        <f>$C$89</f>
        <v>26.9</v>
      </c>
      <c r="AE194"/>
      <c r="AF194"/>
      <c r="AG194"/>
      <c r="BB194" s="343" t="s">
        <v>1816</v>
      </c>
      <c r="BC194" s="1252">
        <f>$C$89</f>
        <v>26.9</v>
      </c>
      <c r="BE194"/>
    </row>
    <row r="195" spans="2:57">
      <c r="B195"/>
      <c r="C195"/>
      <c r="D195"/>
      <c r="AB195" s="349" t="s">
        <v>1926</v>
      </c>
      <c r="AC195" s="1253">
        <f ca="1">IFERROR((AC192+AC193)/AC14/1000+IF(AC194&lt;0,AC194,0),0)</f>
        <v>0</v>
      </c>
      <c r="AD195"/>
      <c r="AE195"/>
      <c r="AF195"/>
      <c r="AG195"/>
      <c r="BB195" s="349" t="s">
        <v>1926</v>
      </c>
      <c r="BC195" s="1253">
        <f ca="1">IFERROR((BC192+BC193)/BC15/1000+IF(BC194&lt;0,BC194,0),0)</f>
        <v>0</v>
      </c>
      <c r="BD195"/>
      <c r="BE195"/>
    </row>
    <row r="196" spans="2:57">
      <c r="B196"/>
      <c r="C196"/>
      <c r="D196"/>
      <c r="AF196"/>
      <c r="AG196"/>
    </row>
    <row r="197" spans="2:57">
      <c r="B197"/>
      <c r="C197"/>
      <c r="D197"/>
    </row>
    <row r="198" spans="2:57">
      <c r="B198"/>
      <c r="C198"/>
      <c r="D198"/>
    </row>
    <row r="199" spans="2:57">
      <c r="B199"/>
      <c r="C199"/>
      <c r="D199"/>
    </row>
    <row r="200" spans="2:57">
      <c r="B200" t="s">
        <v>1720</v>
      </c>
      <c r="C200"/>
      <c r="D200"/>
    </row>
    <row r="201" spans="2:57">
      <c r="B201" s="1282"/>
      <c r="C201" s="1533" t="s">
        <v>1029</v>
      </c>
      <c r="D201" s="1533" t="s">
        <v>1540</v>
      </c>
      <c r="E201" s="1393" t="s">
        <v>667</v>
      </c>
      <c r="F201" s="1393" t="s">
        <v>669</v>
      </c>
      <c r="G201" s="1393" t="s">
        <v>42</v>
      </c>
      <c r="H201" s="1393" t="s">
        <v>73</v>
      </c>
      <c r="I201" s="1393" t="s">
        <v>148</v>
      </c>
      <c r="J201" s="1394" t="s">
        <v>149</v>
      </c>
    </row>
    <row r="202" spans="2:57">
      <c r="B202" s="29" t="s">
        <v>53</v>
      </c>
      <c r="C202" s="41">
        <v>0.29493615330151701</v>
      </c>
      <c r="D202" s="41">
        <v>0.28128505138437904</v>
      </c>
      <c r="E202" s="154">
        <v>0.27773172591601875</v>
      </c>
      <c r="F202" s="154">
        <v>0.26124276828424836</v>
      </c>
      <c r="G202" s="1534">
        <v>0.33922342345587259</v>
      </c>
      <c r="H202" s="154">
        <v>0.27168957120199733</v>
      </c>
      <c r="I202" s="154">
        <v>0.33922342345587259</v>
      </c>
      <c r="J202" s="1529">
        <v>0.29828507535986071</v>
      </c>
    </row>
    <row r="203" spans="2:57">
      <c r="B203" s="29" t="s">
        <v>54</v>
      </c>
      <c r="C203" s="41">
        <v>0.16005816261387876</v>
      </c>
      <c r="D203" s="41">
        <v>0.16690178962401955</v>
      </c>
      <c r="E203" s="154">
        <v>0.16820473420550502</v>
      </c>
      <c r="F203" s="154">
        <v>0.17721224770220959</v>
      </c>
      <c r="G203" s="1534">
        <v>0.12700142936187392</v>
      </c>
      <c r="H203" s="154">
        <v>0.17417459601736024</v>
      </c>
      <c r="I203" s="154">
        <v>0.12700142936187392</v>
      </c>
      <c r="J203" s="1529">
        <v>0.14729062158331208</v>
      </c>
    </row>
    <row r="204" spans="2:57">
      <c r="B204" s="29" t="s">
        <v>55</v>
      </c>
      <c r="C204" s="41">
        <v>6.1445031937816053E-3</v>
      </c>
      <c r="D204" s="41">
        <v>5.8601052371745621E-3</v>
      </c>
      <c r="E204" s="154">
        <v>5.7860776232503902E-3</v>
      </c>
      <c r="F204" s="154">
        <v>5.4425576725885072E-3</v>
      </c>
      <c r="G204" s="1534">
        <v>7.0671546553306794E-3</v>
      </c>
      <c r="H204" s="154">
        <v>5.6601994000416104E-3</v>
      </c>
      <c r="I204" s="154">
        <v>7.0671546553306794E-3</v>
      </c>
      <c r="J204" s="1529">
        <v>6.2142724033304323E-3</v>
      </c>
    </row>
    <row r="205" spans="2:57">
      <c r="B205" s="29" t="s">
        <v>56</v>
      </c>
      <c r="C205" s="41">
        <v>6.1445031937816053E-3</v>
      </c>
      <c r="D205" s="41">
        <v>5.8601052371745621E-3</v>
      </c>
      <c r="E205" s="154">
        <v>5.7860776232503902E-3</v>
      </c>
      <c r="F205" s="154">
        <v>5.4425576725885072E-3</v>
      </c>
      <c r="G205" s="1534">
        <v>7.0671546553306794E-3</v>
      </c>
      <c r="H205" s="154">
        <v>5.6601994000416104E-3</v>
      </c>
      <c r="I205" s="154">
        <v>7.0671546553306794E-3</v>
      </c>
      <c r="J205" s="1529">
        <v>6.2142724033304323E-3</v>
      </c>
    </row>
    <row r="206" spans="2:57">
      <c r="B206" s="29" t="s">
        <v>1622</v>
      </c>
      <c r="C206" s="41">
        <v>3.2664931145689542E-3</v>
      </c>
      <c r="D206" s="41">
        <v>3.4061589719187658E-3</v>
      </c>
      <c r="E206" s="154">
        <v>3.4327496776633678E-3</v>
      </c>
      <c r="F206" s="154">
        <v>3.6165764837185629E-3</v>
      </c>
      <c r="G206" s="1534">
        <v>2.5918659053443863E-3</v>
      </c>
      <c r="H206" s="154">
        <v>3.5545835921910233E-3</v>
      </c>
      <c r="I206" s="154">
        <v>2.5918659053443863E-3</v>
      </c>
      <c r="J206" s="1529">
        <v>3.0059310527206541E-3</v>
      </c>
    </row>
    <row r="207" spans="2:57">
      <c r="B207" s="29" t="s">
        <v>41</v>
      </c>
      <c r="C207" s="41">
        <v>7.3276806695449212E-2</v>
      </c>
      <c r="D207" s="41">
        <v>7.2707919676538404E-2</v>
      </c>
      <c r="E207" s="154">
        <v>7.2642060515485066E-2</v>
      </c>
      <c r="F207" s="154">
        <v>7.2027449134941468E-2</v>
      </c>
      <c r="G207" s="1534">
        <v>7.8489828618662966E-2</v>
      </c>
      <c r="H207" s="154">
        <v>7.1701697012238094E-2</v>
      </c>
      <c r="I207" s="154">
        <v>7.8489828618662966E-2</v>
      </c>
      <c r="J207" s="1529">
        <v>8.2491476106453521E-2</v>
      </c>
    </row>
    <row r="208" spans="2:57">
      <c r="B208" s="29" t="s">
        <v>398</v>
      </c>
      <c r="C208" s="41">
        <v>0.11789390262461054</v>
      </c>
      <c r="D208" s="41">
        <v>0.11911046170623674</v>
      </c>
      <c r="E208" s="154">
        <v>0.11947395788122792</v>
      </c>
      <c r="F208" s="154">
        <v>0.12088900521761513</v>
      </c>
      <c r="G208" s="1534">
        <v>0.11658059751315807</v>
      </c>
      <c r="H208" s="154">
        <v>0.1194007867741457</v>
      </c>
      <c r="I208" s="154">
        <v>0.11658059751315807</v>
      </c>
      <c r="J208" s="1529">
        <v>0.12135649809585648</v>
      </c>
    </row>
    <row r="209" spans="2:33">
      <c r="B209" s="29" t="s">
        <v>57</v>
      </c>
      <c r="C209" s="41">
        <v>1.0714389084686587E-2</v>
      </c>
      <c r="D209" s="41">
        <v>1.065447097762318E-2</v>
      </c>
      <c r="E209" s="154">
        <v>1.0624267086063285E-2</v>
      </c>
      <c r="F209" s="154">
        <v>1.0574283619874416E-2</v>
      </c>
      <c r="G209" s="1534">
        <v>1.117556199154467E-2</v>
      </c>
      <c r="H209" s="154">
        <v>1.0555832198816931E-2</v>
      </c>
      <c r="I209" s="154">
        <v>1.117556199154467E-2</v>
      </c>
      <c r="J209" s="1529">
        <v>1.2232906613651728E-2</v>
      </c>
    </row>
    <row r="210" spans="2:33">
      <c r="B210" s="29" t="s">
        <v>58</v>
      </c>
      <c r="C210" s="41">
        <v>3.305013227248714E-2</v>
      </c>
      <c r="D210" s="41">
        <v>3.2865305928370794E-2</v>
      </c>
      <c r="E210" s="154">
        <v>3.277213751687217E-2</v>
      </c>
      <c r="F210" s="154">
        <v>3.2617956055295362E-2</v>
      </c>
      <c r="G210" s="1534">
        <v>3.4472688934530628E-2</v>
      </c>
      <c r="H210" s="154">
        <v>3.2561039893137619E-2</v>
      </c>
      <c r="I210" s="154">
        <v>3.4472688934530628E-2</v>
      </c>
      <c r="J210" s="1529">
        <v>3.77342262319008E-2</v>
      </c>
    </row>
    <row r="211" spans="2:33">
      <c r="B211" s="29" t="s">
        <v>59</v>
      </c>
      <c r="C211" s="41">
        <v>2.6770356950462711E-2</v>
      </c>
      <c r="D211" s="41">
        <v>2.6620649010868091E-2</v>
      </c>
      <c r="E211" s="154">
        <v>2.6545183302841203E-2</v>
      </c>
      <c r="F211" s="154">
        <v>2.6420297486121153E-2</v>
      </c>
      <c r="G211" s="1534">
        <v>2.7922617077931696E-2</v>
      </c>
      <c r="H211" s="154">
        <v>2.6374195825630012E-2</v>
      </c>
      <c r="I211" s="154">
        <v>2.7922617077931696E-2</v>
      </c>
      <c r="J211" s="1529">
        <v>3.0564437598890128E-2</v>
      </c>
    </row>
    <row r="212" spans="2:33">
      <c r="B212" s="29" t="s">
        <v>60</v>
      </c>
      <c r="C212" s="41">
        <v>1.3674369807724029E-2</v>
      </c>
      <c r="D212" s="41">
        <v>1.3652388018063542E-2</v>
      </c>
      <c r="E212" s="154">
        <v>1.3656547740838342E-2</v>
      </c>
      <c r="F212" s="154">
        <v>1.3602385356152952E-2</v>
      </c>
      <c r="G212" s="1534">
        <v>1.4319257579078558E-2</v>
      </c>
      <c r="H212" s="154">
        <v>1.34959497426807E-2</v>
      </c>
      <c r="I212" s="154">
        <v>1.4319257579078558E-2</v>
      </c>
      <c r="J212" s="1529">
        <v>1.4972088672616582E-2</v>
      </c>
    </row>
    <row r="213" spans="2:33">
      <c r="B213" s="29" t="s">
        <v>61</v>
      </c>
      <c r="C213" s="41">
        <v>1.1606540011527429E-3</v>
      </c>
      <c r="D213" s="41">
        <v>1.1083603786773205E-3</v>
      </c>
      <c r="E213" s="154">
        <v>1.0948822775317399E-3</v>
      </c>
      <c r="F213" s="154">
        <v>1.0311869746123629E-3</v>
      </c>
      <c r="G213" s="1534">
        <v>1.4480966309545573E-3</v>
      </c>
      <c r="H213" s="154">
        <v>1.0452300636914701E-3</v>
      </c>
      <c r="I213" s="154">
        <v>1.4480966309545573E-3</v>
      </c>
      <c r="J213" s="1529">
        <v>1.5321408719185328E-3</v>
      </c>
      <c r="AE213"/>
      <c r="AF213"/>
      <c r="AG213"/>
    </row>
    <row r="214" spans="2:33">
      <c r="B214" s="29" t="s">
        <v>62</v>
      </c>
      <c r="C214" s="41">
        <v>1.6678594043201675E-3</v>
      </c>
      <c r="D214" s="41">
        <v>1.6689967891615075E-3</v>
      </c>
      <c r="E214" s="154">
        <v>1.6627146284998336E-3</v>
      </c>
      <c r="F214" s="154">
        <v>1.6819480170424707E-3</v>
      </c>
      <c r="G214" s="1534">
        <v>1.6576774057311559E-3</v>
      </c>
      <c r="H214" s="154">
        <v>1.6801138686765415E-3</v>
      </c>
      <c r="I214" s="154">
        <v>1.6576774057311559E-3</v>
      </c>
      <c r="J214" s="1529">
        <v>1.7608361357869748E-3</v>
      </c>
      <c r="AE214"/>
      <c r="AF214"/>
      <c r="AG214"/>
    </row>
    <row r="215" spans="2:33">
      <c r="B215" s="29" t="s">
        <v>439</v>
      </c>
      <c r="C215" s="41">
        <v>0.18751282130042296</v>
      </c>
      <c r="D215" s="41">
        <v>0.19253989888827511</v>
      </c>
      <c r="E215" s="154">
        <v>0.19425455248778678</v>
      </c>
      <c r="F215" s="154">
        <v>0.19940328426343751</v>
      </c>
      <c r="G215" s="1534">
        <v>0.17385231367469225</v>
      </c>
      <c r="H215" s="154">
        <v>0.19513053522711515</v>
      </c>
      <c r="I215" s="154">
        <v>0.17385231367469225</v>
      </c>
      <c r="J215" s="1529">
        <v>0.17875939108301261</v>
      </c>
      <c r="AE215"/>
      <c r="AF215"/>
      <c r="AG215"/>
    </row>
    <row r="216" spans="2:33">
      <c r="B216" s="29" t="s">
        <v>1691</v>
      </c>
      <c r="C216" s="41">
        <v>2.9740413989158221E-2</v>
      </c>
      <c r="D216" s="41">
        <v>3.0887457321434802E-2</v>
      </c>
      <c r="E216" s="154">
        <v>3.1233040059524396E-2</v>
      </c>
      <c r="F216" s="154">
        <v>3.2585800894184426E-2</v>
      </c>
      <c r="G216" s="1534">
        <v>2.6033269663998666E-2</v>
      </c>
      <c r="H216" s="154">
        <v>3.1752981692924405E-2</v>
      </c>
      <c r="I216" s="154">
        <v>2.6033269663998666E-2</v>
      </c>
      <c r="J216" s="1529">
        <v>2.5889617633548665E-2</v>
      </c>
      <c r="AE216"/>
      <c r="AF216"/>
      <c r="AG216"/>
    </row>
    <row r="217" spans="2:33">
      <c r="B217" s="29" t="s">
        <v>1721</v>
      </c>
      <c r="C217" s="41">
        <v>8.3571555954333448E-3</v>
      </c>
      <c r="D217" s="41">
        <v>8.6756817342965847E-3</v>
      </c>
      <c r="E217" s="154">
        <v>8.7399488399585376E-3</v>
      </c>
      <c r="F217" s="154">
        <v>9.2059692863559386E-3</v>
      </c>
      <c r="G217" s="1534">
        <v>7.1164874749333178E-3</v>
      </c>
      <c r="H217" s="154">
        <v>9.0212515510531416E-3</v>
      </c>
      <c r="I217" s="154">
        <v>7.1164874749333178E-3</v>
      </c>
      <c r="J217" s="1529">
        <v>6.9364622562022851E-3</v>
      </c>
      <c r="AE217"/>
      <c r="AF217"/>
      <c r="AG217"/>
    </row>
    <row r="218" spans="2:33">
      <c r="B218" s="29" t="s">
        <v>1569</v>
      </c>
      <c r="C218" s="41">
        <v>2.1717556695001652E-2</v>
      </c>
      <c r="D218" s="41">
        <v>2.217645242126496E-2</v>
      </c>
      <c r="E218" s="154">
        <v>2.2305341066292634E-2</v>
      </c>
      <c r="F218" s="154">
        <v>2.2835965723108715E-2</v>
      </c>
      <c r="G218" s="1534">
        <v>2.0367800498360813E-2</v>
      </c>
      <c r="H218" s="154">
        <v>2.2460208807769156E-2</v>
      </c>
      <c r="I218" s="154">
        <v>2.0367800498360813E-2</v>
      </c>
      <c r="J218" s="1529">
        <v>2.103002149831653E-2</v>
      </c>
      <c r="AE218"/>
      <c r="AF218"/>
      <c r="AG218"/>
    </row>
    <row r="219" spans="2:33">
      <c r="B219" s="1478" t="s">
        <v>1567</v>
      </c>
      <c r="C219" s="1530">
        <v>3.9137661615632896E-3</v>
      </c>
      <c r="D219" s="1530">
        <v>4.018746694522235E-3</v>
      </c>
      <c r="E219" s="1531">
        <v>4.054001551389917E-3</v>
      </c>
      <c r="F219" s="1531">
        <v>4.1677601559047157E-3</v>
      </c>
      <c r="G219" s="1535">
        <v>3.6127749026704675E-3</v>
      </c>
      <c r="H219" s="1531">
        <v>4.0810277304893089E-3</v>
      </c>
      <c r="I219" s="1531">
        <v>3.6127749026704675E-3</v>
      </c>
      <c r="J219" s="1532">
        <v>3.7297243992908411E-3</v>
      </c>
      <c r="AE219"/>
      <c r="AF219"/>
      <c r="AG219"/>
    </row>
    <row r="220" spans="2:33">
      <c r="B220"/>
      <c r="C220"/>
      <c r="D220"/>
      <c r="AE220"/>
      <c r="AF220"/>
      <c r="AG220"/>
    </row>
    <row r="221" spans="2:33">
      <c r="B221" t="s">
        <v>1722</v>
      </c>
      <c r="C221"/>
      <c r="D221"/>
      <c r="AE221"/>
      <c r="AF221"/>
      <c r="AG221"/>
    </row>
    <row r="222" spans="2:33">
      <c r="B222" s="1282"/>
      <c r="C222" s="1533" t="s">
        <v>1029</v>
      </c>
      <c r="D222" s="1533" t="s">
        <v>1540</v>
      </c>
      <c r="E222" s="1393" t="s">
        <v>667</v>
      </c>
      <c r="F222" s="1393" t="s">
        <v>669</v>
      </c>
      <c r="G222" s="1393" t="s">
        <v>42</v>
      </c>
      <c r="H222" s="1393" t="s">
        <v>73</v>
      </c>
      <c r="I222" s="1393" t="s">
        <v>148</v>
      </c>
      <c r="J222" s="1394" t="s">
        <v>149</v>
      </c>
      <c r="AE222"/>
      <c r="AF222"/>
      <c r="AG222"/>
    </row>
    <row r="223" spans="2:33">
      <c r="B223" s="29" t="s">
        <v>53</v>
      </c>
      <c r="C223" s="41">
        <v>0.41525330128985366</v>
      </c>
      <c r="D223" s="41">
        <v>0.40072599969362283</v>
      </c>
      <c r="E223" s="154">
        <v>0.39721358796702838</v>
      </c>
      <c r="F223" s="154">
        <v>0.37851229118023311</v>
      </c>
      <c r="G223" s="1534">
        <v>0.46182321791105302</v>
      </c>
      <c r="H223" s="154">
        <v>0.38984952990640731</v>
      </c>
      <c r="I223" s="154">
        <v>0.46182321791105302</v>
      </c>
      <c r="J223" s="1529">
        <v>0.40981589652070982</v>
      </c>
      <c r="AE223"/>
      <c r="AF223"/>
      <c r="AG223"/>
    </row>
    <row r="224" spans="2:33">
      <c r="B224" s="29" t="s">
        <v>54</v>
      </c>
      <c r="C224" s="41">
        <v>0.22535277442183799</v>
      </c>
      <c r="D224" s="41">
        <v>0.23777263017914574</v>
      </c>
      <c r="E224" s="154">
        <v>0.24056742443249765</v>
      </c>
      <c r="F224" s="154">
        <v>0.25676122766383486</v>
      </c>
      <c r="G224" s="1534">
        <v>0.17290141167045203</v>
      </c>
      <c r="H224" s="154">
        <v>0.24992451524214823</v>
      </c>
      <c r="I224" s="154">
        <v>0.17290141167045203</v>
      </c>
      <c r="J224" s="1529">
        <v>0.20236358812265398</v>
      </c>
      <c r="AE224"/>
      <c r="AF224"/>
      <c r="AG224"/>
    </row>
    <row r="225" spans="2:33">
      <c r="B225" s="29" t="s">
        <v>55</v>
      </c>
      <c r="C225" s="41">
        <v>8.6511104435386191E-3</v>
      </c>
      <c r="D225" s="41">
        <v>8.3484583269504749E-3</v>
      </c>
      <c r="E225" s="154">
        <v>8.275283082646424E-3</v>
      </c>
      <c r="F225" s="154">
        <v>7.8856727329215236E-3</v>
      </c>
      <c r="G225" s="1534">
        <v>9.6213170398136046E-3</v>
      </c>
      <c r="H225" s="154">
        <v>8.1218652063834856E-3</v>
      </c>
      <c r="I225" s="154">
        <v>9.6213170398136046E-3</v>
      </c>
      <c r="J225" s="1529">
        <v>8.5378311775147885E-3</v>
      </c>
      <c r="AE225"/>
      <c r="AF225"/>
      <c r="AG225"/>
    </row>
    <row r="226" spans="2:33">
      <c r="B226" s="29" t="s">
        <v>56</v>
      </c>
      <c r="C226" s="41">
        <v>8.6511104435386191E-3</v>
      </c>
      <c r="D226" s="41">
        <v>8.3484583269504749E-3</v>
      </c>
      <c r="E226" s="154">
        <v>8.275283082646424E-3</v>
      </c>
      <c r="F226" s="154">
        <v>7.8856727329215236E-3</v>
      </c>
      <c r="G226" s="1534">
        <v>9.6213170398136046E-3</v>
      </c>
      <c r="H226" s="154">
        <v>8.1218652063834856E-3</v>
      </c>
      <c r="I226" s="154">
        <v>9.6213170398136046E-3</v>
      </c>
      <c r="J226" s="1529">
        <v>8.5378311775147885E-3</v>
      </c>
      <c r="AE226"/>
      <c r="AF226"/>
      <c r="AG226"/>
    </row>
    <row r="227" spans="2:33">
      <c r="B227" s="29" t="s">
        <v>1622</v>
      </c>
      <c r="C227" s="41">
        <v>4.5990362126905708E-3</v>
      </c>
      <c r="D227" s="41">
        <v>4.8525026567172603E-3</v>
      </c>
      <c r="E227" s="154">
        <v>4.9095392741326056E-3</v>
      </c>
      <c r="F227" s="154">
        <v>5.2400250543639766E-3</v>
      </c>
      <c r="G227" s="1534">
        <v>3.5286002381725188E-3</v>
      </c>
      <c r="H227" s="154">
        <v>5.1005003110642464E-3</v>
      </c>
      <c r="I227" s="154">
        <v>3.5286002381725188E-3</v>
      </c>
      <c r="J227" s="1529">
        <v>4.129869145360285E-3</v>
      </c>
      <c r="AE227"/>
      <c r="AF227"/>
      <c r="AG227"/>
    </row>
    <row r="228" spans="2:33">
      <c r="B228" s="29" t="s">
        <v>41</v>
      </c>
      <c r="C228" s="41">
        <v>9.4599036376264073E-2</v>
      </c>
      <c r="D228" s="41">
        <v>9.4667515959467263E-2</v>
      </c>
      <c r="E228" s="154">
        <v>9.4867844913506416E-2</v>
      </c>
      <c r="F228" s="154">
        <v>9.4724160419475401E-2</v>
      </c>
      <c r="G228" s="1534">
        <v>9.9975872455819029E-2</v>
      </c>
      <c r="H228" s="154">
        <v>9.3429654803803941E-2</v>
      </c>
      <c r="I228" s="154">
        <v>9.9975872455819029E-2</v>
      </c>
      <c r="J228" s="1529">
        <v>0.10528594023233968</v>
      </c>
      <c r="AE228"/>
      <c r="AF228"/>
      <c r="AG228"/>
    </row>
    <row r="229" spans="2:33">
      <c r="B229" s="29" t="s">
        <v>398</v>
      </c>
      <c r="C229" s="41">
        <v>7.5584616524479592E-2</v>
      </c>
      <c r="D229" s="41">
        <v>7.5505523706335453E-2</v>
      </c>
      <c r="E229" s="154">
        <v>7.5377026539489619E-2</v>
      </c>
      <c r="F229" s="154">
        <v>7.5614142787844479E-2</v>
      </c>
      <c r="G229" s="1534">
        <v>7.8418302856694586E-2</v>
      </c>
      <c r="H229" s="154">
        <v>7.5034017152761701E-2</v>
      </c>
      <c r="I229" s="154">
        <v>7.8418302856694586E-2</v>
      </c>
      <c r="J229" s="1529">
        <v>8.3807460102447759E-2</v>
      </c>
      <c r="AE229"/>
      <c r="AF229"/>
      <c r="AG229"/>
    </row>
    <row r="230" spans="2:33">
      <c r="B230" s="29" t="s">
        <v>57</v>
      </c>
      <c r="C230" s="41">
        <v>1.5085249430820439E-2</v>
      </c>
      <c r="D230" s="41">
        <v>1.5178636449757121E-2</v>
      </c>
      <c r="E230" s="154">
        <v>1.519489080642983E-2</v>
      </c>
      <c r="F230" s="154">
        <v>1.5320984182013069E-2</v>
      </c>
      <c r="G230" s="1534">
        <v>1.5214556672767601E-2</v>
      </c>
      <c r="H230" s="154">
        <v>1.5146647706326998E-2</v>
      </c>
      <c r="I230" s="154">
        <v>1.5214556672767601E-2</v>
      </c>
      <c r="J230" s="1529">
        <v>1.6806873709251696E-2</v>
      </c>
      <c r="AE230"/>
      <c r="AF230"/>
      <c r="AG230"/>
    </row>
    <row r="231" spans="2:33">
      <c r="B231" s="29" t="s">
        <v>58</v>
      </c>
      <c r="C231" s="41">
        <v>4.6532703368468417E-2</v>
      </c>
      <c r="D231" s="41">
        <v>4.6820769566549812E-2</v>
      </c>
      <c r="E231" s="154">
        <v>4.6870908555697137E-2</v>
      </c>
      <c r="F231" s="154">
        <v>4.7259862392334123E-2</v>
      </c>
      <c r="G231" s="1534">
        <v>4.6931570855579946E-2</v>
      </c>
      <c r="H231" s="154">
        <v>4.6722095513065304E-2</v>
      </c>
      <c r="I231" s="154">
        <v>4.6931570855579946E-2</v>
      </c>
      <c r="J231" s="1529">
        <v>5.1843310410637687E-2</v>
      </c>
      <c r="AE231"/>
      <c r="AF231"/>
      <c r="AG231"/>
    </row>
    <row r="232" spans="2:33">
      <c r="B232" s="29" t="s">
        <v>59</v>
      </c>
      <c r="C232" s="41">
        <v>3.7691137474838161E-2</v>
      </c>
      <c r="D232" s="41">
        <v>3.7924468914616441E-2</v>
      </c>
      <c r="E232" s="154">
        <v>3.7965081116272476E-2</v>
      </c>
      <c r="F232" s="154">
        <v>3.8280130779559059E-2</v>
      </c>
      <c r="G232" s="1534">
        <v>3.8014217119962564E-2</v>
      </c>
      <c r="H232" s="154">
        <v>3.7844543678258798E-2</v>
      </c>
      <c r="I232" s="154">
        <v>3.8014217119962564E-2</v>
      </c>
      <c r="J232" s="1529">
        <v>4.1992688977579358E-2</v>
      </c>
      <c r="AE232"/>
      <c r="AF232"/>
      <c r="AG232"/>
    </row>
    <row r="233" spans="2:33">
      <c r="B233" s="29" t="s">
        <v>60</v>
      </c>
      <c r="C233" s="41">
        <v>1.9252733658293421E-2</v>
      </c>
      <c r="D233" s="41">
        <v>1.9449547033581083E-2</v>
      </c>
      <c r="E233" s="154">
        <v>1.9531676870872535E-2</v>
      </c>
      <c r="F233" s="154">
        <v>1.9708373481450145E-2</v>
      </c>
      <c r="G233" s="1534">
        <v>1.9494425078012141E-2</v>
      </c>
      <c r="H233" s="154">
        <v>1.9365445790014521E-2</v>
      </c>
      <c r="I233" s="154">
        <v>1.9494425078012141E-2</v>
      </c>
      <c r="J233" s="1529">
        <v>2.0570254595384977E-2</v>
      </c>
      <c r="AE233"/>
      <c r="AF233"/>
      <c r="AG233"/>
    </row>
    <row r="234" spans="2:33">
      <c r="B234" s="29" t="s">
        <v>61</v>
      </c>
      <c r="C234" s="41">
        <v>1.6341347109834811E-3</v>
      </c>
      <c r="D234" s="41">
        <v>1.5789990210298716E-3</v>
      </c>
      <c r="E234" s="154">
        <v>1.5659072308915872E-3</v>
      </c>
      <c r="F234" s="154">
        <v>1.4940775086682945E-3</v>
      </c>
      <c r="G234" s="1534">
        <v>1.971457746462439E-3</v>
      </c>
      <c r="H234" s="154">
        <v>1.4998089443455541E-3</v>
      </c>
      <c r="I234" s="154">
        <v>1.971457746462439E-3</v>
      </c>
      <c r="J234" s="1529">
        <v>2.1050187786425521E-3</v>
      </c>
      <c r="AE234"/>
      <c r="AF234"/>
      <c r="AG234"/>
    </row>
    <row r="235" spans="2:33">
      <c r="B235" s="29" t="s">
        <v>62</v>
      </c>
      <c r="C235" s="41">
        <v>2.3482510230722398E-3</v>
      </c>
      <c r="D235" s="41">
        <v>2.3776962320982186E-3</v>
      </c>
      <c r="E235" s="154">
        <v>2.3780244809028152E-3</v>
      </c>
      <c r="F235" s="154">
        <v>2.4369593147324704E-3</v>
      </c>
      <c r="G235" s="1534">
        <v>2.2567837620823803E-3</v>
      </c>
      <c r="H235" s="154">
        <v>2.4108087733916302E-3</v>
      </c>
      <c r="I235" s="154">
        <v>2.2567837620823803E-3</v>
      </c>
      <c r="J235" s="1529">
        <v>2.4192247592106897E-3</v>
      </c>
      <c r="AE235"/>
      <c r="AF235"/>
      <c r="AG235"/>
    </row>
    <row r="236" spans="2:33">
      <c r="B236" s="29" t="s">
        <v>439</v>
      </c>
      <c r="C236" s="41">
        <v>4.2354617634596047E-2</v>
      </c>
      <c r="D236" s="41">
        <v>4.3917097398894912E-2</v>
      </c>
      <c r="E236" s="154">
        <v>4.444708130635279E-2</v>
      </c>
      <c r="F236" s="154">
        <v>4.6144220328441538E-2</v>
      </c>
      <c r="G236" s="1534">
        <v>3.8242396165270302E-2</v>
      </c>
      <c r="H236" s="154">
        <v>4.4777162843356685E-2</v>
      </c>
      <c r="I236" s="154">
        <v>3.8242396165270302E-2</v>
      </c>
      <c r="J236" s="1529">
        <v>3.9832110450321055E-2</v>
      </c>
      <c r="AE236"/>
      <c r="AF236"/>
      <c r="AG236"/>
    </row>
    <row r="237" spans="2:33">
      <c r="B237" s="29" t="s">
        <v>1691</v>
      </c>
      <c r="C237" s="41">
        <v>0</v>
      </c>
      <c r="D237" s="41">
        <v>0</v>
      </c>
      <c r="E237" s="154">
        <v>0</v>
      </c>
      <c r="F237" s="154">
        <v>0</v>
      </c>
      <c r="G237" s="1534">
        <v>0</v>
      </c>
      <c r="H237" s="154">
        <v>0</v>
      </c>
      <c r="I237" s="154">
        <v>0</v>
      </c>
      <c r="J237" s="1529">
        <v>0</v>
      </c>
      <c r="AE237"/>
      <c r="AF237"/>
      <c r="AG237"/>
    </row>
    <row r="238" spans="2:33">
      <c r="B238" s="29" t="s">
        <v>1721</v>
      </c>
      <c r="C238" s="41">
        <v>2.4101869867244313E-3</v>
      </c>
      <c r="D238" s="41">
        <v>2.5316965342826827E-3</v>
      </c>
      <c r="E238" s="154">
        <v>2.5604403406329595E-3</v>
      </c>
      <c r="F238" s="154">
        <v>2.7321994412061487E-3</v>
      </c>
      <c r="G238" s="1534">
        <v>1.984553388043965E-3</v>
      </c>
      <c r="H238" s="154">
        <v>2.6515389222880295E-3</v>
      </c>
      <c r="I238" s="154">
        <v>1.984553388043965E-3</v>
      </c>
      <c r="J238" s="1529">
        <v>1.9521018404309396E-3</v>
      </c>
      <c r="AE238"/>
      <c r="AF238"/>
      <c r="AG238"/>
    </row>
    <row r="239" spans="2:33">
      <c r="B239" s="29" t="s">
        <v>1569</v>
      </c>
      <c r="C239" s="41">
        <v>0</v>
      </c>
      <c r="D239" s="41">
        <v>0</v>
      </c>
      <c r="E239" s="154">
        <v>0</v>
      </c>
      <c r="F239" s="154">
        <v>0</v>
      </c>
      <c r="G239" s="1534">
        <v>0</v>
      </c>
      <c r="H239" s="154">
        <v>0</v>
      </c>
      <c r="I239" s="154">
        <v>0</v>
      </c>
      <c r="J239" s="1529">
        <v>0</v>
      </c>
      <c r="AE239"/>
      <c r="AF239"/>
      <c r="AG239"/>
    </row>
    <row r="240" spans="2:33">
      <c r="B240" s="1478" t="s">
        <v>1567</v>
      </c>
      <c r="C240" s="1530">
        <v>0</v>
      </c>
      <c r="D240" s="1530">
        <v>0</v>
      </c>
      <c r="E240" s="1531">
        <v>0</v>
      </c>
      <c r="F240" s="1531">
        <v>0</v>
      </c>
      <c r="G240" s="1535">
        <v>0</v>
      </c>
      <c r="H240" s="1531">
        <v>0</v>
      </c>
      <c r="I240" s="1531">
        <v>0</v>
      </c>
      <c r="J240" s="1532">
        <v>0</v>
      </c>
      <c r="AE240"/>
      <c r="AF240"/>
      <c r="AG240"/>
    </row>
    <row r="241" spans="2:33">
      <c r="B241"/>
      <c r="C241"/>
      <c r="D241"/>
      <c r="AE241"/>
      <c r="AF241"/>
      <c r="AG241"/>
    </row>
    <row r="242" spans="2:33">
      <c r="B242" t="s">
        <v>1723</v>
      </c>
      <c r="C242"/>
      <c r="D242"/>
      <c r="AE242"/>
      <c r="AF242"/>
      <c r="AG242"/>
    </row>
    <row r="243" spans="2:33">
      <c r="B243" s="1282"/>
      <c r="C243" s="1533" t="s">
        <v>1029</v>
      </c>
      <c r="D243" s="1533" t="s">
        <v>1540</v>
      </c>
      <c r="E243" s="1393" t="s">
        <v>667</v>
      </c>
      <c r="F243" s="1393" t="s">
        <v>669</v>
      </c>
      <c r="G243" s="1393" t="s">
        <v>42</v>
      </c>
      <c r="H243" s="1393" t="s">
        <v>73</v>
      </c>
      <c r="I243" s="1393" t="s">
        <v>148</v>
      </c>
      <c r="J243" s="1394" t="s">
        <v>149</v>
      </c>
      <c r="AE243"/>
      <c r="AF243"/>
      <c r="AG243"/>
    </row>
    <row r="244" spans="2:33">
      <c r="B244" s="29" t="s">
        <v>53</v>
      </c>
      <c r="C244" s="41">
        <v>0.46570613213063516</v>
      </c>
      <c r="D244" s="41">
        <v>0.45124235972127297</v>
      </c>
      <c r="E244" s="154">
        <v>0.44781830538476713</v>
      </c>
      <c r="F244" s="154">
        <v>0.42894807785545075</v>
      </c>
      <c r="G244" s="1534">
        <v>0.51179911589853799</v>
      </c>
      <c r="H244" s="154">
        <v>0.44032335351255875</v>
      </c>
      <c r="I244" s="154">
        <v>0.51179911589853799</v>
      </c>
      <c r="J244" s="1529">
        <v>0.45650968344173598</v>
      </c>
      <c r="AE244"/>
      <c r="AF244"/>
      <c r="AG244"/>
    </row>
    <row r="245" spans="2:33">
      <c r="B245" s="29" t="s">
        <v>54</v>
      </c>
      <c r="C245" s="41">
        <v>0.25273289487383538</v>
      </c>
      <c r="D245" s="41">
        <v>0.267746746657823</v>
      </c>
      <c r="E245" s="154">
        <v>0.27121553643598306</v>
      </c>
      <c r="F245" s="154">
        <v>0.29097399910261995</v>
      </c>
      <c r="G245" s="1534">
        <v>0.1916118250416543</v>
      </c>
      <c r="H245" s="154">
        <v>0.28228224541618108</v>
      </c>
      <c r="I245" s="154">
        <v>0.1916118250416543</v>
      </c>
      <c r="J245" s="1529">
        <v>0.22542058113975133</v>
      </c>
      <c r="AE245"/>
      <c r="AF245"/>
      <c r="AG245"/>
    </row>
    <row r="246" spans="2:33">
      <c r="B246" s="29" t="s">
        <v>55</v>
      </c>
      <c r="C246" s="41">
        <v>9.7022110860548998E-3</v>
      </c>
      <c r="D246" s="41">
        <v>9.4008824941931857E-3</v>
      </c>
      <c r="E246" s="154">
        <v>9.3295480288493153E-3</v>
      </c>
      <c r="F246" s="154">
        <v>8.9364182886552245E-3</v>
      </c>
      <c r="G246" s="1534">
        <v>1.0662481581219539E-2</v>
      </c>
      <c r="H246" s="154">
        <v>9.1734031981783089E-3</v>
      </c>
      <c r="I246" s="154">
        <v>1.0662481581219539E-2</v>
      </c>
      <c r="J246" s="1529">
        <v>9.510618405036168E-3</v>
      </c>
      <c r="AE246"/>
      <c r="AF246"/>
      <c r="AG246"/>
    </row>
    <row r="247" spans="2:33">
      <c r="B247" s="29" t="s">
        <v>56</v>
      </c>
      <c r="C247" s="41">
        <v>9.7022110860548998E-3</v>
      </c>
      <c r="D247" s="41">
        <v>9.4008824941931857E-3</v>
      </c>
      <c r="E247" s="154">
        <v>9.3295480288493153E-3</v>
      </c>
      <c r="F247" s="154">
        <v>8.9364182886552245E-3</v>
      </c>
      <c r="G247" s="1534">
        <v>1.0662481581219539E-2</v>
      </c>
      <c r="H247" s="154">
        <v>9.1734031981783089E-3</v>
      </c>
      <c r="I247" s="154">
        <v>1.0662481581219539E-2</v>
      </c>
      <c r="J247" s="1529">
        <v>9.510618405036168E-3</v>
      </c>
      <c r="AE247"/>
      <c r="AF247"/>
      <c r="AG247"/>
    </row>
    <row r="248" spans="2:33">
      <c r="B248" s="29" t="s">
        <v>1622</v>
      </c>
      <c r="C248" s="41">
        <v>5.1578141810986822E-3</v>
      </c>
      <c r="D248" s="41">
        <v>5.4642193195474078E-3</v>
      </c>
      <c r="E248" s="154">
        <v>5.5350109476731231E-3</v>
      </c>
      <c r="F248" s="154">
        <v>5.9382448796453042E-3</v>
      </c>
      <c r="G248" s="1534">
        <v>3.910445409013385E-3</v>
      </c>
      <c r="H248" s="154">
        <v>5.760862151350632E-3</v>
      </c>
      <c r="I248" s="154">
        <v>3.910445409013385E-3</v>
      </c>
      <c r="J248" s="1529">
        <v>4.6004200232602306E-3</v>
      </c>
      <c r="AE248"/>
      <c r="AF248"/>
      <c r="AG248"/>
    </row>
    <row r="249" spans="2:33">
      <c r="B249" s="147" t="s">
        <v>41</v>
      </c>
      <c r="C249" s="154">
        <v>8.0696799338894593E-2</v>
      </c>
      <c r="D249" s="154">
        <v>7.9681532190201423E-2</v>
      </c>
      <c r="E249" s="154">
        <v>7.9548864797704621E-2</v>
      </c>
      <c r="F249" s="154">
        <v>7.7958160030188114E-2</v>
      </c>
      <c r="G249" s="1534">
        <v>9.0394379422820859E-2</v>
      </c>
      <c r="H249" s="154">
        <v>7.7257642322494879E-2</v>
      </c>
      <c r="I249" s="154">
        <v>9.0394379422820859E-2</v>
      </c>
      <c r="J249" s="1529">
        <v>9.6309565348594445E-2</v>
      </c>
      <c r="AE249"/>
      <c r="AF249"/>
      <c r="AG249"/>
    </row>
    <row r="250" spans="2:33">
      <c r="B250" s="147" t="s">
        <v>398</v>
      </c>
      <c r="C250" s="154">
        <v>5.1926386311136143E-2</v>
      </c>
      <c r="D250" s="154">
        <v>5.1751600485563314E-2</v>
      </c>
      <c r="E250" s="154">
        <v>5.1715227170334978E-2</v>
      </c>
      <c r="F250" s="154">
        <v>5.1518663672956405E-2</v>
      </c>
      <c r="G250" s="1534">
        <v>5.5392182031547658E-2</v>
      </c>
      <c r="H250" s="154">
        <v>5.0968645419339355E-2</v>
      </c>
      <c r="I250" s="154">
        <v>5.5392182031547658E-2</v>
      </c>
      <c r="J250" s="1529">
        <v>5.9238421301433079E-2</v>
      </c>
      <c r="AE250"/>
      <c r="AF250"/>
      <c r="AG250"/>
    </row>
    <row r="251" spans="2:33">
      <c r="B251" s="147" t="s">
        <v>57</v>
      </c>
      <c r="C251" s="154">
        <v>1.6918091061121947E-2</v>
      </c>
      <c r="D251" s="154">
        <v>1.7092087197178005E-2</v>
      </c>
      <c r="E251" s="154">
        <v>1.7130708660467103E-2</v>
      </c>
      <c r="F251" s="154">
        <v>1.7362465813822094E-2</v>
      </c>
      <c r="G251" s="1534">
        <v>1.6860989989053329E-2</v>
      </c>
      <c r="H251" s="154">
        <v>1.7107684377930026E-2</v>
      </c>
      <c r="I251" s="154">
        <v>1.6860989989053329E-2</v>
      </c>
      <c r="J251" s="1529">
        <v>1.8721822803347502E-2</v>
      </c>
    </row>
    <row r="252" spans="2:33">
      <c r="B252" s="147" t="s">
        <v>58</v>
      </c>
      <c r="C252" s="154">
        <v>5.2186376931860179E-2</v>
      </c>
      <c r="D252" s="154">
        <v>5.2723093982743947E-2</v>
      </c>
      <c r="E252" s="154">
        <v>5.284222765057818E-2</v>
      </c>
      <c r="F252" s="154">
        <v>5.3557117180250462E-2</v>
      </c>
      <c r="G252" s="1534">
        <v>5.201024015263251E-2</v>
      </c>
      <c r="H252" s="154">
        <v>5.2771205814679284E-2</v>
      </c>
      <c r="I252" s="154">
        <v>5.201024015263251E-2</v>
      </c>
      <c r="J252" s="1529">
        <v>5.7750256700781412E-2</v>
      </c>
    </row>
    <row r="253" spans="2:33">
      <c r="B253" s="147" t="s">
        <v>59</v>
      </c>
      <c r="C253" s="154">
        <v>4.2270570262748219E-2</v>
      </c>
      <c r="D253" s="154">
        <v>4.2705307011003814E-2</v>
      </c>
      <c r="E253" s="154">
        <v>4.2801804380104967E-2</v>
      </c>
      <c r="F253" s="154">
        <v>4.338085948740953E-2</v>
      </c>
      <c r="G253" s="1534">
        <v>4.2127900804933227E-2</v>
      </c>
      <c r="H253" s="154">
        <v>4.2744277230663763E-2</v>
      </c>
      <c r="I253" s="154">
        <v>4.2127900804933227E-2</v>
      </c>
      <c r="J253" s="1529">
        <v>4.6777270756878209E-2</v>
      </c>
    </row>
    <row r="254" spans="2:33">
      <c r="B254" s="147" t="s">
        <v>60</v>
      </c>
      <c r="C254" s="154">
        <v>8.5342714060308595E-3</v>
      </c>
      <c r="D254" s="154">
        <v>8.3358038905370167E-3</v>
      </c>
      <c r="E254" s="154">
        <v>8.2868328188505976E-3</v>
      </c>
      <c r="F254" s="154">
        <v>8.0347380577629694E-3</v>
      </c>
      <c r="G254" s="1534">
        <v>9.8821601847260583E-3</v>
      </c>
      <c r="H254" s="154">
        <v>8.0203519149470021E-3</v>
      </c>
      <c r="I254" s="154">
        <v>9.8821601847260583E-3</v>
      </c>
      <c r="J254" s="1529">
        <v>1.0611012852463927E-2</v>
      </c>
    </row>
    <row r="255" spans="2:33">
      <c r="B255" s="147" t="s">
        <v>61</v>
      </c>
      <c r="C255" s="154">
        <v>1.8326803261253814E-3</v>
      </c>
      <c r="D255" s="154">
        <v>1.7780509495062798E-3</v>
      </c>
      <c r="E255" s="154">
        <v>1.7654026543166294E-3</v>
      </c>
      <c r="F255" s="154">
        <v>1.6931594837039576E-3</v>
      </c>
      <c r="G255" s="1534">
        <v>2.1847977592697201E-3</v>
      </c>
      <c r="H255" s="154">
        <v>1.6939892274871024E-3</v>
      </c>
      <c r="I255" s="154">
        <v>2.1847977592697201E-3</v>
      </c>
      <c r="J255" s="1529">
        <v>2.3448613497804118E-3</v>
      </c>
    </row>
    <row r="256" spans="2:33">
      <c r="B256" s="147" t="s">
        <v>62</v>
      </c>
      <c r="C256" s="154">
        <v>2.6335610044035083E-3</v>
      </c>
      <c r="D256" s="154">
        <v>2.6774336062363913E-3</v>
      </c>
      <c r="E256" s="154">
        <v>2.6809830415211924E-3</v>
      </c>
      <c r="F256" s="154">
        <v>2.7616778588801065E-3</v>
      </c>
      <c r="G256" s="1534">
        <v>2.5010001433717326E-3</v>
      </c>
      <c r="H256" s="154">
        <v>2.7229362160117202E-3</v>
      </c>
      <c r="I256" s="154">
        <v>2.5010001433717326E-3</v>
      </c>
      <c r="J256" s="1529">
        <v>2.6948674719011823E-3</v>
      </c>
    </row>
    <row r="257" spans="2:10">
      <c r="B257" s="29" t="s">
        <v>439</v>
      </c>
      <c r="C257" s="41">
        <v>0</v>
      </c>
      <c r="D257" s="41">
        <v>0</v>
      </c>
      <c r="E257" s="154">
        <v>0</v>
      </c>
      <c r="F257" s="154">
        <v>0</v>
      </c>
      <c r="G257" s="1534">
        <v>0</v>
      </c>
      <c r="H257" s="154">
        <v>0</v>
      </c>
      <c r="I257" s="154">
        <v>0</v>
      </c>
      <c r="J257" s="1529">
        <v>0</v>
      </c>
    </row>
    <row r="258" spans="2:10">
      <c r="B258" s="29" t="s">
        <v>1691</v>
      </c>
      <c r="C258" s="41">
        <v>0</v>
      </c>
      <c r="D258" s="41">
        <v>0</v>
      </c>
      <c r="E258" s="154">
        <v>0</v>
      </c>
      <c r="F258" s="154">
        <v>0</v>
      </c>
      <c r="G258" s="1534">
        <v>0</v>
      </c>
      <c r="H258" s="154">
        <v>0</v>
      </c>
      <c r="I258" s="154">
        <v>0</v>
      </c>
      <c r="J258" s="1529">
        <v>0</v>
      </c>
    </row>
    <row r="259" spans="2:10">
      <c r="B259" s="29" t="s">
        <v>1721</v>
      </c>
      <c r="C259" s="41">
        <v>0</v>
      </c>
      <c r="D259" s="41">
        <v>0</v>
      </c>
      <c r="E259" s="154">
        <v>0</v>
      </c>
      <c r="F259" s="154">
        <v>0</v>
      </c>
      <c r="G259" s="1534">
        <v>0</v>
      </c>
      <c r="H259" s="154">
        <v>0</v>
      </c>
      <c r="I259" s="154">
        <v>0</v>
      </c>
      <c r="J259" s="1529">
        <v>0</v>
      </c>
    </row>
    <row r="260" spans="2:10">
      <c r="B260" s="29" t="s">
        <v>1569</v>
      </c>
      <c r="C260" s="41">
        <v>0</v>
      </c>
      <c r="D260" s="41">
        <v>0</v>
      </c>
      <c r="E260" s="154">
        <v>0</v>
      </c>
      <c r="F260" s="154">
        <v>0</v>
      </c>
      <c r="G260" s="1534">
        <v>0</v>
      </c>
      <c r="H260" s="154">
        <v>0</v>
      </c>
      <c r="I260" s="154">
        <v>0</v>
      </c>
      <c r="J260" s="1529">
        <v>0</v>
      </c>
    </row>
    <row r="261" spans="2:10">
      <c r="B261" s="1478" t="s">
        <v>1567</v>
      </c>
      <c r="C261" s="1530">
        <v>0</v>
      </c>
      <c r="D261" s="1530">
        <v>0</v>
      </c>
      <c r="E261" s="1531">
        <v>0</v>
      </c>
      <c r="F261" s="1531">
        <v>0</v>
      </c>
      <c r="G261" s="1535">
        <v>0</v>
      </c>
      <c r="H261" s="1531">
        <v>0</v>
      </c>
      <c r="I261" s="1531">
        <v>0</v>
      </c>
      <c r="J261" s="1532">
        <v>0</v>
      </c>
    </row>
    <row r="263" spans="2:10">
      <c r="B263" s="111" t="s">
        <v>1724</v>
      </c>
    </row>
    <row r="264" spans="2:10">
      <c r="B264" s="1282"/>
      <c r="C264" s="1533" t="s">
        <v>1029</v>
      </c>
      <c r="D264" s="1533" t="s">
        <v>1540</v>
      </c>
      <c r="E264" s="1393" t="s">
        <v>667</v>
      </c>
      <c r="F264" s="1393" t="s">
        <v>669</v>
      </c>
      <c r="G264" s="1393" t="s">
        <v>42</v>
      </c>
      <c r="H264" s="1393" t="s">
        <v>73</v>
      </c>
      <c r="I264" s="1393" t="s">
        <v>148</v>
      </c>
      <c r="J264" s="1394" t="s">
        <v>149</v>
      </c>
    </row>
    <row r="265" spans="2:10">
      <c r="B265" s="29" t="s">
        <v>53</v>
      </c>
      <c r="C265" s="41">
        <v>0.47213110634249633</v>
      </c>
      <c r="D265" s="41">
        <v>0.45836471173180876</v>
      </c>
      <c r="E265" s="154">
        <v>0.45504255135089516</v>
      </c>
      <c r="F265" s="154">
        <v>0.43710033432377166</v>
      </c>
      <c r="G265" s="1534">
        <v>0.5137544235987046</v>
      </c>
      <c r="H265" s="154">
        <v>0.44837876658120179</v>
      </c>
      <c r="I265" s="154">
        <v>0.5137544235987046</v>
      </c>
      <c r="J265" s="1529">
        <v>0.46064915221028657</v>
      </c>
    </row>
    <row r="266" spans="2:10">
      <c r="B266" s="29" t="s">
        <v>54</v>
      </c>
      <c r="C266" s="41">
        <v>0.25621964804288727</v>
      </c>
      <c r="D266" s="41">
        <v>0.27197282725129984</v>
      </c>
      <c r="E266" s="154">
        <v>0.27559081033945926</v>
      </c>
      <c r="F266" s="154">
        <v>0.29650402660188502</v>
      </c>
      <c r="G266" s="1534">
        <v>0.19234387022365732</v>
      </c>
      <c r="H266" s="154">
        <v>0.28744640505166719</v>
      </c>
      <c r="I266" s="154">
        <v>0.19234387022365732</v>
      </c>
      <c r="J266" s="1529">
        <v>0.22746461544890664</v>
      </c>
    </row>
    <row r="267" spans="2:10">
      <c r="B267" s="29" t="s">
        <v>55</v>
      </c>
      <c r="C267" s="41">
        <v>9.8360647154686742E-3</v>
      </c>
      <c r="D267" s="41">
        <v>9.5492648277460141E-3</v>
      </c>
      <c r="E267" s="154">
        <v>9.4800531531436492E-3</v>
      </c>
      <c r="F267" s="154">
        <v>9.1062569650785779E-3</v>
      </c>
      <c r="G267" s="1534">
        <v>1.0703217158306343E-2</v>
      </c>
      <c r="H267" s="154">
        <v>9.3412243037750402E-3</v>
      </c>
      <c r="I267" s="154">
        <v>1.0703217158306343E-2</v>
      </c>
      <c r="J267" s="1529">
        <v>9.5968573377143047E-3</v>
      </c>
    </row>
    <row r="268" spans="2:10">
      <c r="B268" s="29" t="s">
        <v>56</v>
      </c>
      <c r="C268" s="41">
        <v>9.8360647154686742E-3</v>
      </c>
      <c r="D268" s="41">
        <v>9.5492648277460141E-3</v>
      </c>
      <c r="E268" s="154">
        <v>9.4800531531436492E-3</v>
      </c>
      <c r="F268" s="154">
        <v>9.1062569650785779E-3</v>
      </c>
      <c r="G268" s="1534">
        <v>1.0703217158306343E-2</v>
      </c>
      <c r="H268" s="154">
        <v>9.3412243037750402E-3</v>
      </c>
      <c r="I268" s="154">
        <v>1.0703217158306343E-2</v>
      </c>
      <c r="J268" s="1529">
        <v>9.5968573377143047E-3</v>
      </c>
    </row>
    <row r="269" spans="2:10">
      <c r="B269" s="29" t="s">
        <v>1622</v>
      </c>
      <c r="C269" s="41">
        <v>5.2289724090385176E-3</v>
      </c>
      <c r="D269" s="41">
        <v>5.5504658622714245E-3</v>
      </c>
      <c r="E269" s="154">
        <v>5.6243022518256986E-3</v>
      </c>
      <c r="F269" s="154">
        <v>6.0511025837119382E-3</v>
      </c>
      <c r="G269" s="1534">
        <v>3.9253851066052827E-3</v>
      </c>
      <c r="H269" s="154">
        <v>5.866253164319735E-3</v>
      </c>
      <c r="I269" s="154">
        <v>3.9253851066052827E-3</v>
      </c>
      <c r="J269" s="1529">
        <v>4.6421350091613587E-3</v>
      </c>
    </row>
    <row r="270" spans="2:10">
      <c r="B270" s="147" t="s">
        <v>41</v>
      </c>
      <c r="C270" s="154">
        <v>0.1501380422120954</v>
      </c>
      <c r="D270" s="154">
        <v>0.14853977791401668</v>
      </c>
      <c r="E270" s="154">
        <v>0.14834329943124469</v>
      </c>
      <c r="F270" s="154">
        <v>0.14578799837166631</v>
      </c>
      <c r="G270" s="1534">
        <v>0.16652569347018942</v>
      </c>
      <c r="H270" s="154">
        <v>0.1443771780782955</v>
      </c>
      <c r="I270" s="154">
        <v>0.16652569347018942</v>
      </c>
      <c r="J270" s="1529">
        <v>0.17835015257725068</v>
      </c>
    </row>
    <row r="271" spans="2:10">
      <c r="B271" s="147" t="s">
        <v>398</v>
      </c>
      <c r="C271" s="154">
        <v>9.6610101562545125E-2</v>
      </c>
      <c r="D271" s="154">
        <v>9.6473687585111434E-2</v>
      </c>
      <c r="E271" s="154">
        <v>9.6438930320287941E-2</v>
      </c>
      <c r="F271" s="154">
        <v>9.6344024188807775E-2</v>
      </c>
      <c r="G271" s="1534">
        <v>0.10204419328423092</v>
      </c>
      <c r="H271" s="154">
        <v>9.5248948516965623E-2</v>
      </c>
      <c r="I271" s="154">
        <v>0.10204419328423092</v>
      </c>
      <c r="J271" s="1529">
        <v>0.10970023007896626</v>
      </c>
    </row>
    <row r="272" spans="2:10">
      <c r="B272" s="147" t="s">
        <v>57</v>
      </c>
      <c r="C272" s="154">
        <v>0</v>
      </c>
      <c r="D272" s="154">
        <v>0</v>
      </c>
      <c r="E272" s="154">
        <v>0</v>
      </c>
      <c r="F272" s="154">
        <v>0</v>
      </c>
      <c r="G272" s="1534">
        <v>0</v>
      </c>
      <c r="H272" s="154">
        <v>0</v>
      </c>
      <c r="I272" s="154">
        <v>0</v>
      </c>
      <c r="J272" s="1529">
        <v>0</v>
      </c>
    </row>
    <row r="273" spans="2:10">
      <c r="B273" s="147" t="s">
        <v>58</v>
      </c>
      <c r="C273" s="154">
        <v>0</v>
      </c>
      <c r="D273" s="154">
        <v>0</v>
      </c>
      <c r="E273" s="154">
        <v>0</v>
      </c>
      <c r="F273" s="154">
        <v>0</v>
      </c>
      <c r="G273" s="1534">
        <v>0</v>
      </c>
      <c r="H273" s="154">
        <v>0</v>
      </c>
      <c r="I273" s="154">
        <v>0</v>
      </c>
      <c r="J273" s="1529">
        <v>0</v>
      </c>
    </row>
    <row r="274" spans="2:10">
      <c r="B274" s="147" t="s">
        <v>59</v>
      </c>
      <c r="C274" s="154">
        <v>0</v>
      </c>
      <c r="D274" s="154">
        <v>0</v>
      </c>
      <c r="E274" s="154">
        <v>0</v>
      </c>
      <c r="F274" s="154">
        <v>0</v>
      </c>
      <c r="G274" s="1534">
        <v>0</v>
      </c>
      <c r="H274" s="154">
        <v>0</v>
      </c>
      <c r="I274" s="154">
        <v>0</v>
      </c>
      <c r="J274" s="1529">
        <v>0</v>
      </c>
    </row>
    <row r="275" spans="2:10">
      <c r="B275" s="147" t="s">
        <v>60</v>
      </c>
      <c r="C275" s="154">
        <v>0</v>
      </c>
      <c r="D275" s="154">
        <v>0</v>
      </c>
      <c r="E275" s="154">
        <v>0</v>
      </c>
      <c r="F275" s="154">
        <v>0</v>
      </c>
      <c r="G275" s="1534">
        <v>0</v>
      </c>
      <c r="H275" s="154">
        <v>0</v>
      </c>
      <c r="I275" s="154">
        <v>0</v>
      </c>
      <c r="J275" s="1529">
        <v>0</v>
      </c>
    </row>
    <row r="276" spans="2:10">
      <c r="B276" s="147" t="s">
        <v>61</v>
      </c>
      <c r="C276" s="154">
        <v>0</v>
      </c>
      <c r="D276" s="154">
        <v>0</v>
      </c>
      <c r="E276" s="154">
        <v>0</v>
      </c>
      <c r="F276" s="154">
        <v>0</v>
      </c>
      <c r="G276" s="1534">
        <v>0</v>
      </c>
      <c r="H276" s="154">
        <v>0</v>
      </c>
      <c r="I276" s="154">
        <v>0</v>
      </c>
      <c r="J276" s="1529">
        <v>0</v>
      </c>
    </row>
    <row r="277" spans="2:10">
      <c r="B277" s="147" t="s">
        <v>62</v>
      </c>
      <c r="C277" s="154">
        <v>0</v>
      </c>
      <c r="D277" s="154">
        <v>0</v>
      </c>
      <c r="E277" s="154">
        <v>0</v>
      </c>
      <c r="F277" s="154">
        <v>0</v>
      </c>
      <c r="G277" s="1534">
        <v>0</v>
      </c>
      <c r="H277" s="154">
        <v>0</v>
      </c>
      <c r="I277" s="154">
        <v>0</v>
      </c>
      <c r="J277" s="1529">
        <v>0</v>
      </c>
    </row>
    <row r="278" spans="2:10">
      <c r="B278" s="29" t="s">
        <v>439</v>
      </c>
      <c r="C278" s="41">
        <v>0</v>
      </c>
      <c r="D278" s="41">
        <v>0</v>
      </c>
      <c r="E278" s="154">
        <v>0</v>
      </c>
      <c r="F278" s="154">
        <v>0</v>
      </c>
      <c r="G278" s="1534">
        <v>0</v>
      </c>
      <c r="H278" s="154">
        <v>0</v>
      </c>
      <c r="I278" s="154">
        <v>0</v>
      </c>
      <c r="J278" s="1529">
        <v>0</v>
      </c>
    </row>
    <row r="279" spans="2:10">
      <c r="B279" s="29" t="s">
        <v>1691</v>
      </c>
      <c r="C279" s="41">
        <v>0</v>
      </c>
      <c r="D279" s="41">
        <v>0</v>
      </c>
      <c r="E279" s="154">
        <v>0</v>
      </c>
      <c r="F279" s="154">
        <v>0</v>
      </c>
      <c r="G279" s="1534">
        <v>0</v>
      </c>
      <c r="H279" s="154">
        <v>0</v>
      </c>
      <c r="I279" s="154">
        <v>0</v>
      </c>
      <c r="J279" s="1529">
        <v>0</v>
      </c>
    </row>
    <row r="280" spans="2:10">
      <c r="B280" s="29" t="s">
        <v>1721</v>
      </c>
      <c r="C280" s="41">
        <v>0</v>
      </c>
      <c r="D280" s="41">
        <v>0</v>
      </c>
      <c r="E280" s="154">
        <v>0</v>
      </c>
      <c r="F280" s="154">
        <v>0</v>
      </c>
      <c r="G280" s="1534">
        <v>0</v>
      </c>
      <c r="H280" s="154">
        <v>0</v>
      </c>
      <c r="I280" s="154">
        <v>0</v>
      </c>
      <c r="J280" s="1529">
        <v>0</v>
      </c>
    </row>
    <row r="281" spans="2:10">
      <c r="B281" s="29" t="s">
        <v>1569</v>
      </c>
      <c r="C281" s="41">
        <v>0</v>
      </c>
      <c r="D281" s="41">
        <v>0</v>
      </c>
      <c r="E281" s="154">
        <v>0</v>
      </c>
      <c r="F281" s="154">
        <v>0</v>
      </c>
      <c r="G281" s="1534">
        <v>0</v>
      </c>
      <c r="H281" s="154">
        <v>0</v>
      </c>
      <c r="I281" s="154">
        <v>0</v>
      </c>
      <c r="J281" s="1529">
        <v>0</v>
      </c>
    </row>
    <row r="282" spans="2:10">
      <c r="B282" s="1478" t="s">
        <v>1567</v>
      </c>
      <c r="C282" s="1530">
        <v>0</v>
      </c>
      <c r="D282" s="1530">
        <v>0</v>
      </c>
      <c r="E282" s="1531">
        <v>0</v>
      </c>
      <c r="F282" s="1531">
        <v>0</v>
      </c>
      <c r="G282" s="1535">
        <v>0</v>
      </c>
      <c r="H282" s="1531">
        <v>0</v>
      </c>
      <c r="I282" s="1531">
        <v>0</v>
      </c>
      <c r="J282" s="1532">
        <v>0</v>
      </c>
    </row>
    <row r="284" spans="2:10">
      <c r="B284" s="111" t="s">
        <v>1725</v>
      </c>
    </row>
    <row r="285" spans="2:10">
      <c r="B285" s="1282"/>
      <c r="C285" s="1533" t="s">
        <v>1029</v>
      </c>
      <c r="D285" s="1533" t="s">
        <v>1540</v>
      </c>
      <c r="E285" s="1393" t="s">
        <v>667</v>
      </c>
      <c r="F285" s="1393" t="s">
        <v>669</v>
      </c>
      <c r="G285" s="1393" t="s">
        <v>42</v>
      </c>
      <c r="H285" s="1393" t="s">
        <v>73</v>
      </c>
      <c r="I285" s="1393" t="s">
        <v>148</v>
      </c>
      <c r="J285" s="1394" t="s">
        <v>149</v>
      </c>
    </row>
    <row r="286" spans="2:10">
      <c r="B286" s="29" t="s">
        <v>53</v>
      </c>
      <c r="C286" s="41">
        <v>0.62786192115060158</v>
      </c>
      <c r="D286" s="41">
        <v>0.60825201504797122</v>
      </c>
      <c r="E286" s="154">
        <v>0.6036715153686516</v>
      </c>
      <c r="F286" s="154">
        <v>0.57798225902364486</v>
      </c>
      <c r="G286" s="1534">
        <v>0.70213164288491803</v>
      </c>
      <c r="H286" s="154">
        <v>0.59107746100369751</v>
      </c>
      <c r="I286" s="154">
        <v>0.70213164288491803</v>
      </c>
      <c r="J286" s="1529">
        <v>0.64550989322380614</v>
      </c>
    </row>
    <row r="287" spans="2:10">
      <c r="B287" s="29" t="s">
        <v>54</v>
      </c>
      <c r="C287" s="41">
        <v>0.34073281403330891</v>
      </c>
      <c r="D287" s="41">
        <v>0.36090915373670734</v>
      </c>
      <c r="E287" s="154">
        <v>0.36560607706993681</v>
      </c>
      <c r="F287" s="154">
        <v>0.39207031806574438</v>
      </c>
      <c r="G287" s="1534">
        <v>0.26287017959473297</v>
      </c>
      <c r="H287" s="154">
        <v>0.37892760303539091</v>
      </c>
      <c r="I287" s="154">
        <v>0.26287017959473297</v>
      </c>
      <c r="J287" s="1529">
        <v>0.31874726986057611</v>
      </c>
    </row>
    <row r="288" spans="2:10">
      <c r="B288" s="29" t="s">
        <v>55</v>
      </c>
      <c r="C288" s="41">
        <v>1.3080456690637534E-2</v>
      </c>
      <c r="D288" s="41">
        <v>1.2671916980166066E-2</v>
      </c>
      <c r="E288" s="154">
        <v>1.2576489903513574E-2</v>
      </c>
      <c r="F288" s="154">
        <v>1.2041297062992602E-2</v>
      </c>
      <c r="G288" s="1534">
        <v>1.4627742560102457E-2</v>
      </c>
      <c r="H288" s="154">
        <v>1.2314113770910368E-2</v>
      </c>
      <c r="I288" s="154">
        <v>1.4627742560102457E-2</v>
      </c>
      <c r="J288" s="1529">
        <v>1.3448122775495962E-2</v>
      </c>
    </row>
    <row r="289" spans="2:58">
      <c r="B289" s="29" t="s">
        <v>56</v>
      </c>
      <c r="C289" s="41">
        <v>6.8844508898092298E-4</v>
      </c>
      <c r="D289" s="41">
        <v>6.6694299895610882E-4</v>
      </c>
      <c r="E289" s="154">
        <v>6.6192052123755668E-4</v>
      </c>
      <c r="F289" s="154">
        <v>6.3375247699961072E-4</v>
      </c>
      <c r="G289" s="1534">
        <v>7.6988118737381355E-4</v>
      </c>
      <c r="H289" s="154">
        <v>6.4811125110054578E-4</v>
      </c>
      <c r="I289" s="154">
        <v>7.6988118737381355E-4</v>
      </c>
      <c r="J289" s="1529">
        <v>7.0779593555241917E-4</v>
      </c>
    </row>
    <row r="290" spans="2:58">
      <c r="B290" s="29" t="s">
        <v>1622</v>
      </c>
      <c r="C290" s="41">
        <v>3.6598583677047158E-4</v>
      </c>
      <c r="D290" s="41">
        <v>3.8765752281064164E-4</v>
      </c>
      <c r="E290" s="154">
        <v>3.9270255324375591E-4</v>
      </c>
      <c r="F290" s="154">
        <v>4.2112816118769535E-4</v>
      </c>
      <c r="G290" s="1534">
        <v>2.8235250224998399E-4</v>
      </c>
      <c r="H290" s="154">
        <v>4.0701138886722963E-4</v>
      </c>
      <c r="I290" s="154">
        <v>2.8235250224998399E-4</v>
      </c>
      <c r="J290" s="1529">
        <v>3.4237085914132773E-4</v>
      </c>
    </row>
    <row r="291" spans="2:58">
      <c r="B291" s="147" t="s">
        <v>41</v>
      </c>
      <c r="C291" s="154">
        <v>1.0508450363037547E-2</v>
      </c>
      <c r="D291" s="154">
        <v>1.0374365643143686E-2</v>
      </c>
      <c r="E291" s="154">
        <v>1.0357692356299445E-2</v>
      </c>
      <c r="F291" s="154">
        <v>1.0146156147270711E-2</v>
      </c>
      <c r="G291" s="1534">
        <v>1.1978174106052057E-2</v>
      </c>
      <c r="H291" s="154">
        <v>1.001715304886483E-2</v>
      </c>
      <c r="I291" s="154">
        <v>1.1978174106052057E-2</v>
      </c>
      <c r="J291" s="1529">
        <v>1.3153838663751305E-2</v>
      </c>
    </row>
    <row r="292" spans="2:58">
      <c r="B292" s="147" t="s">
        <v>398</v>
      </c>
      <c r="C292" s="154">
        <v>6.7619268366630753E-3</v>
      </c>
      <c r="D292" s="154">
        <v>6.7379480702449198E-3</v>
      </c>
      <c r="E292" s="154">
        <v>6.7336022271171888E-3</v>
      </c>
      <c r="F292" s="154">
        <v>6.7050890621600705E-3</v>
      </c>
      <c r="G292" s="1534">
        <v>7.340027164570594E-3</v>
      </c>
      <c r="H292" s="154">
        <v>6.6085465011684321E-3</v>
      </c>
      <c r="I292" s="154">
        <v>7.340027164570594E-3</v>
      </c>
      <c r="J292" s="1529">
        <v>8.0907086816766668E-3</v>
      </c>
    </row>
    <row r="293" spans="2:58">
      <c r="B293" s="147" t="s">
        <v>57</v>
      </c>
      <c r="C293" s="154">
        <v>0</v>
      </c>
      <c r="D293" s="154">
        <v>0</v>
      </c>
      <c r="E293" s="154">
        <v>0</v>
      </c>
      <c r="F293" s="154">
        <v>0</v>
      </c>
      <c r="G293" s="1534">
        <v>0</v>
      </c>
      <c r="H293" s="154">
        <v>0</v>
      </c>
      <c r="I293" s="154">
        <v>0</v>
      </c>
      <c r="J293" s="1529">
        <v>0</v>
      </c>
    </row>
    <row r="294" spans="2:58">
      <c r="B294" s="147" t="s">
        <v>58</v>
      </c>
      <c r="C294" s="154">
        <v>0</v>
      </c>
      <c r="D294" s="154">
        <v>0</v>
      </c>
      <c r="E294" s="154">
        <v>0</v>
      </c>
      <c r="F294" s="154">
        <v>0</v>
      </c>
      <c r="G294" s="1534">
        <v>0</v>
      </c>
      <c r="H294" s="154">
        <v>0</v>
      </c>
      <c r="I294" s="154">
        <v>0</v>
      </c>
      <c r="J294" s="1529">
        <v>0</v>
      </c>
    </row>
    <row r="295" spans="2:58">
      <c r="B295" s="147" t="s">
        <v>59</v>
      </c>
      <c r="C295" s="154">
        <v>0</v>
      </c>
      <c r="D295" s="154">
        <v>0</v>
      </c>
      <c r="E295" s="154">
        <v>0</v>
      </c>
      <c r="F295" s="154">
        <v>0</v>
      </c>
      <c r="G295" s="1534">
        <v>0</v>
      </c>
      <c r="H295" s="154">
        <v>0</v>
      </c>
      <c r="I295" s="154">
        <v>0</v>
      </c>
      <c r="J295" s="1529">
        <v>0</v>
      </c>
    </row>
    <row r="296" spans="2:58">
      <c r="B296" s="147" t="s">
        <v>60</v>
      </c>
      <c r="C296" s="154">
        <v>0</v>
      </c>
      <c r="D296" s="154">
        <v>0</v>
      </c>
      <c r="E296" s="154">
        <v>0</v>
      </c>
      <c r="F296" s="154">
        <v>0</v>
      </c>
      <c r="G296" s="1534">
        <v>0</v>
      </c>
      <c r="H296" s="154">
        <v>0</v>
      </c>
      <c r="I296" s="154">
        <v>0</v>
      </c>
      <c r="J296" s="1529">
        <v>0</v>
      </c>
    </row>
    <row r="297" spans="2:58">
      <c r="B297" s="147" t="s">
        <v>61</v>
      </c>
      <c r="C297" s="154">
        <v>0</v>
      </c>
      <c r="D297" s="154">
        <v>0</v>
      </c>
      <c r="E297" s="154">
        <v>0</v>
      </c>
      <c r="F297" s="154">
        <v>0</v>
      </c>
      <c r="G297" s="1534">
        <v>0</v>
      </c>
      <c r="H297" s="154">
        <v>0</v>
      </c>
      <c r="I297" s="154">
        <v>0</v>
      </c>
      <c r="J297" s="1529">
        <v>0</v>
      </c>
    </row>
    <row r="298" spans="2:58">
      <c r="B298" s="147" t="s">
        <v>62</v>
      </c>
      <c r="C298" s="154">
        <v>0</v>
      </c>
      <c r="D298" s="154">
        <v>0</v>
      </c>
      <c r="E298" s="154">
        <v>0</v>
      </c>
      <c r="F298" s="154">
        <v>0</v>
      </c>
      <c r="G298" s="1534">
        <v>0</v>
      </c>
      <c r="H298" s="154">
        <v>0</v>
      </c>
      <c r="I298" s="154">
        <v>0</v>
      </c>
      <c r="J298" s="1529">
        <v>0</v>
      </c>
    </row>
    <row r="299" spans="2:58">
      <c r="B299" s="29" t="s">
        <v>439</v>
      </c>
      <c r="C299" s="41">
        <v>0</v>
      </c>
      <c r="D299" s="41">
        <v>0</v>
      </c>
      <c r="E299" s="154">
        <v>0</v>
      </c>
      <c r="F299" s="154">
        <v>0</v>
      </c>
      <c r="G299" s="1534">
        <v>0</v>
      </c>
      <c r="H299" s="154">
        <v>0</v>
      </c>
      <c r="I299" s="154">
        <v>0</v>
      </c>
      <c r="J299" s="1529">
        <v>0</v>
      </c>
    </row>
    <row r="300" spans="2:58">
      <c r="B300" s="29" t="s">
        <v>1691</v>
      </c>
      <c r="C300" s="41">
        <v>0</v>
      </c>
      <c r="D300" s="41">
        <v>0</v>
      </c>
      <c r="E300" s="154">
        <v>0</v>
      </c>
      <c r="F300" s="154">
        <v>0</v>
      </c>
      <c r="G300" s="1534">
        <v>0</v>
      </c>
      <c r="H300" s="154">
        <v>0</v>
      </c>
      <c r="I300" s="154">
        <v>0</v>
      </c>
      <c r="J300" s="1529">
        <v>0</v>
      </c>
      <c r="K300"/>
      <c r="L300"/>
    </row>
    <row r="301" spans="2:58">
      <c r="B301" s="29" t="s">
        <v>1721</v>
      </c>
      <c r="C301" s="41">
        <v>0</v>
      </c>
      <c r="D301" s="41">
        <v>0</v>
      </c>
      <c r="E301" s="154">
        <v>0</v>
      </c>
      <c r="F301" s="154">
        <v>0</v>
      </c>
      <c r="G301" s="1534">
        <v>0</v>
      </c>
      <c r="H301" s="154">
        <v>0</v>
      </c>
      <c r="I301" s="154">
        <v>0</v>
      </c>
      <c r="J301" s="1529">
        <v>0</v>
      </c>
      <c r="K301"/>
      <c r="L301"/>
    </row>
    <row r="302" spans="2:58">
      <c r="B302" s="29" t="s">
        <v>1569</v>
      </c>
      <c r="C302" s="41">
        <v>0</v>
      </c>
      <c r="D302" s="41">
        <v>0</v>
      </c>
      <c r="E302" s="154">
        <v>0</v>
      </c>
      <c r="F302" s="154">
        <v>0</v>
      </c>
      <c r="G302" s="1534">
        <v>0</v>
      </c>
      <c r="H302" s="154">
        <v>0</v>
      </c>
      <c r="I302" s="154">
        <v>0</v>
      </c>
      <c r="J302" s="1529">
        <v>0</v>
      </c>
      <c r="K302"/>
      <c r="L302"/>
    </row>
    <row r="303" spans="2:58" ht="14.5" thickBot="1">
      <c r="B303" s="1478" t="s">
        <v>1567</v>
      </c>
      <c r="C303" s="1530">
        <v>0</v>
      </c>
      <c r="D303" s="1530">
        <v>0</v>
      </c>
      <c r="E303" s="1531">
        <v>0</v>
      </c>
      <c r="F303" s="1531">
        <v>0</v>
      </c>
      <c r="G303" s="1535">
        <v>0</v>
      </c>
      <c r="H303" s="1531">
        <v>0</v>
      </c>
      <c r="I303" s="1531">
        <v>0</v>
      </c>
      <c r="J303" s="1532">
        <v>0</v>
      </c>
      <c r="K303"/>
      <c r="L303"/>
      <c r="AB303" s="353" t="s">
        <v>1793</v>
      </c>
      <c r="AD303" s="354"/>
      <c r="AE303" s="355"/>
      <c r="BB303" s="353" t="s">
        <v>1798</v>
      </c>
      <c r="BD303" s="354"/>
      <c r="BE303" s="355"/>
    </row>
    <row r="304" spans="2:58">
      <c r="B304"/>
      <c r="C304"/>
      <c r="D304"/>
      <c r="E304"/>
      <c r="F304"/>
      <c r="G304"/>
      <c r="H304"/>
      <c r="I304"/>
      <c r="J304"/>
      <c r="K304"/>
      <c r="L304"/>
      <c r="AA304"/>
      <c r="AB304" s="356"/>
      <c r="AC304" s="357"/>
      <c r="AD304" s="358"/>
      <c r="AE304" s="358"/>
      <c r="AF304" s="359"/>
      <c r="AG304" s="262"/>
      <c r="BA304"/>
      <c r="BB304" s="356"/>
      <c r="BC304" s="357"/>
      <c r="BD304" s="358"/>
      <c r="BE304" s="358"/>
      <c r="BF304" s="359"/>
    </row>
    <row r="305" spans="2:58">
      <c r="B305"/>
      <c r="C305"/>
      <c r="D305"/>
      <c r="E305"/>
      <c r="F305"/>
      <c r="G305"/>
      <c r="H305"/>
      <c r="I305"/>
      <c r="J305"/>
      <c r="K305"/>
      <c r="L305"/>
      <c r="AA305"/>
      <c r="AB305" s="360" t="s">
        <v>490</v>
      </c>
      <c r="AC305" s="361">
        <f>AC9</f>
        <v>24</v>
      </c>
      <c r="AD305" s="362" t="s">
        <v>455</v>
      </c>
      <c r="AE305" s="362"/>
      <c r="AF305" s="363"/>
      <c r="BA305"/>
      <c r="BB305" s="360" t="s">
        <v>490</v>
      </c>
      <c r="BC305" s="361">
        <f>BC10</f>
        <v>24</v>
      </c>
      <c r="BD305" s="362" t="s">
        <v>455</v>
      </c>
      <c r="BE305" s="362"/>
      <c r="BF305" s="363"/>
    </row>
    <row r="306" spans="2:58">
      <c r="B306"/>
      <c r="C306"/>
      <c r="D306"/>
      <c r="E306"/>
      <c r="F306"/>
      <c r="G306"/>
      <c r="H306"/>
      <c r="I306"/>
      <c r="J306"/>
      <c r="K306"/>
      <c r="L306"/>
      <c r="AA306"/>
      <c r="AB306" s="360" t="s">
        <v>491</v>
      </c>
      <c r="AC306" s="361">
        <f>AC10</f>
        <v>20</v>
      </c>
      <c r="AD306" s="362" t="s">
        <v>455</v>
      </c>
      <c r="AE306" s="362"/>
      <c r="AF306" s="363"/>
      <c r="BA306"/>
      <c r="BB306" s="360" t="s">
        <v>491</v>
      </c>
      <c r="BC306" s="361">
        <f>BC11</f>
        <v>20</v>
      </c>
      <c r="BD306" s="362" t="s">
        <v>455</v>
      </c>
      <c r="BE306" s="362"/>
      <c r="BF306" s="363"/>
    </row>
    <row r="307" spans="2:58">
      <c r="B307"/>
      <c r="C307"/>
      <c r="D307"/>
      <c r="E307"/>
      <c r="F307"/>
      <c r="G307"/>
      <c r="H307"/>
      <c r="I307"/>
      <c r="J307"/>
      <c r="K307"/>
      <c r="L307"/>
      <c r="AA307"/>
      <c r="AB307" s="360" t="s">
        <v>492</v>
      </c>
      <c r="AC307" s="361">
        <f>AC11</f>
        <v>320</v>
      </c>
      <c r="AD307" s="362" t="s">
        <v>476</v>
      </c>
      <c r="AE307" s="362">
        <f>AC306*AC307</f>
        <v>6400</v>
      </c>
      <c r="AF307" s="363" t="s">
        <v>561</v>
      </c>
      <c r="BA307"/>
      <c r="BB307" s="360" t="s">
        <v>492</v>
      </c>
      <c r="BC307" s="361">
        <f>BC12</f>
        <v>320</v>
      </c>
      <c r="BD307" s="362" t="s">
        <v>476</v>
      </c>
      <c r="BE307" s="362">
        <f>BC306*BC307</f>
        <v>6400</v>
      </c>
      <c r="BF307" s="363" t="s">
        <v>561</v>
      </c>
    </row>
    <row r="308" spans="2:58">
      <c r="B308"/>
      <c r="C308"/>
      <c r="D308"/>
      <c r="E308"/>
      <c r="F308"/>
      <c r="G308"/>
      <c r="H308"/>
      <c r="I308"/>
      <c r="J308"/>
      <c r="K308"/>
      <c r="L308"/>
      <c r="AA308"/>
      <c r="AB308" s="360" t="s">
        <v>477</v>
      </c>
      <c r="AC308" s="361">
        <f>AC12</f>
        <v>10</v>
      </c>
      <c r="AD308" s="362" t="s">
        <v>453</v>
      </c>
      <c r="AE308" s="362"/>
      <c r="AF308" s="363"/>
      <c r="BA308"/>
      <c r="BB308" s="360" t="s">
        <v>477</v>
      </c>
      <c r="BC308" s="361">
        <f>BC13</f>
        <v>10</v>
      </c>
      <c r="BD308" s="362" t="s">
        <v>453</v>
      </c>
      <c r="BE308" s="362"/>
      <c r="BF308" s="363"/>
    </row>
    <row r="309" spans="2:58">
      <c r="B309"/>
      <c r="C309"/>
      <c r="D309"/>
      <c r="E309"/>
      <c r="F309"/>
      <c r="G309"/>
      <c r="H309"/>
      <c r="I309"/>
      <c r="J309"/>
      <c r="K309"/>
      <c r="L309"/>
      <c r="AA309"/>
      <c r="AB309" s="360" t="s">
        <v>493</v>
      </c>
      <c r="AC309" s="361">
        <f>AC13</f>
        <v>0</v>
      </c>
      <c r="AD309" s="362" t="s">
        <v>581</v>
      </c>
      <c r="AE309" s="362"/>
      <c r="AF309" s="363"/>
      <c r="BA309"/>
      <c r="BB309" s="360" t="s">
        <v>493</v>
      </c>
      <c r="BC309" s="361">
        <f>BC14</f>
        <v>0</v>
      </c>
      <c r="BD309" s="362" t="s">
        <v>581</v>
      </c>
      <c r="BE309" s="362"/>
      <c r="BF309" s="363"/>
    </row>
    <row r="310" spans="2:58">
      <c r="B310"/>
      <c r="C310"/>
      <c r="D310"/>
      <c r="E310"/>
      <c r="F310"/>
      <c r="G310"/>
      <c r="H310"/>
      <c r="I310"/>
      <c r="J310"/>
      <c r="K310"/>
      <c r="L310"/>
      <c r="AA310"/>
      <c r="AB310" s="360" t="s">
        <v>1</v>
      </c>
      <c r="AC310" s="365">
        <f>AC311/AC307/AC306</f>
        <v>0</v>
      </c>
      <c r="AD310" s="362" t="s">
        <v>582</v>
      </c>
      <c r="AE310" s="362">
        <f>AC310*AC306</f>
        <v>0</v>
      </c>
      <c r="AF310" s="363" t="s">
        <v>583</v>
      </c>
      <c r="BA310"/>
      <c r="BB310" s="360" t="s">
        <v>1</v>
      </c>
      <c r="BC310" s="365">
        <f>BC311/BC307/BC306</f>
        <v>0</v>
      </c>
      <c r="BD310" s="362" t="s">
        <v>582</v>
      </c>
      <c r="BE310" s="362">
        <f>BC310*BC306</f>
        <v>0</v>
      </c>
      <c r="BF310" s="363" t="s">
        <v>583</v>
      </c>
    </row>
    <row r="311" spans="2:58">
      <c r="B311"/>
      <c r="C311"/>
      <c r="D311"/>
      <c r="E311"/>
      <c r="F311"/>
      <c r="G311"/>
      <c r="H311"/>
      <c r="I311"/>
      <c r="J311"/>
      <c r="K311"/>
      <c r="L311"/>
      <c r="AA311"/>
      <c r="AB311" s="360"/>
      <c r="AC311" s="366">
        <f>AC14</f>
        <v>0</v>
      </c>
      <c r="AD311" s="362" t="s">
        <v>581</v>
      </c>
      <c r="AE311" s="362"/>
      <c r="AF311" s="363"/>
      <c r="BA311"/>
      <c r="BB311" s="360"/>
      <c r="BC311" s="366">
        <f>BC15</f>
        <v>0</v>
      </c>
      <c r="BD311" s="362" t="s">
        <v>581</v>
      </c>
      <c r="BE311" s="362"/>
      <c r="BF311" s="363"/>
    </row>
    <row r="312" spans="2:58">
      <c r="B312"/>
      <c r="C312"/>
      <c r="D312"/>
      <c r="E312"/>
      <c r="F312"/>
      <c r="G312"/>
      <c r="H312"/>
      <c r="I312"/>
      <c r="J312"/>
      <c r="K312"/>
      <c r="L312"/>
      <c r="AA312"/>
      <c r="AB312" s="360" t="s">
        <v>494</v>
      </c>
      <c r="AC312" s="367" t="e">
        <f>AC311/AC309</f>
        <v>#DIV/0!</v>
      </c>
      <c r="AD312" s="362"/>
      <c r="AE312" s="362"/>
      <c r="AF312" s="363"/>
      <c r="BA312"/>
      <c r="BB312" s="360" t="s">
        <v>494</v>
      </c>
      <c r="BC312" s="367" t="e">
        <f>BC311/BC309</f>
        <v>#DIV/0!</v>
      </c>
      <c r="BD312" s="362"/>
      <c r="BE312" s="362"/>
      <c r="BF312" s="363"/>
    </row>
    <row r="313" spans="2:58">
      <c r="B313"/>
      <c r="C313"/>
      <c r="D313"/>
      <c r="E313"/>
      <c r="F313"/>
      <c r="G313"/>
      <c r="H313"/>
      <c r="I313"/>
      <c r="J313"/>
      <c r="K313"/>
      <c r="L313"/>
      <c r="AA313"/>
      <c r="AB313" s="360"/>
      <c r="AC313" s="362"/>
      <c r="AD313" s="371"/>
      <c r="AE313" s="362"/>
      <c r="AF313" s="363"/>
      <c r="BA313"/>
      <c r="BB313" s="360"/>
      <c r="BC313" s="362"/>
      <c r="BD313" s="372"/>
      <c r="BE313" s="362"/>
      <c r="BF313" s="363"/>
    </row>
    <row r="314" spans="2:58">
      <c r="B314"/>
      <c r="C314"/>
      <c r="D314"/>
      <c r="E314"/>
      <c r="F314"/>
      <c r="G314"/>
      <c r="H314"/>
      <c r="I314"/>
      <c r="J314"/>
      <c r="K314"/>
      <c r="L314"/>
      <c r="AA314"/>
      <c r="AB314" s="360" t="s">
        <v>363</v>
      </c>
      <c r="AC314" s="373">
        <f>$C$84</f>
        <v>8.8387096774193555E-2</v>
      </c>
      <c r="AD314" s="362" t="s">
        <v>457</v>
      </c>
      <c r="AE314" s="664">
        <f>AC81*AC$311*1000/3.6</f>
        <v>0</v>
      </c>
      <c r="AF314" s="363" t="s">
        <v>495</v>
      </c>
      <c r="BA314"/>
      <c r="BB314" s="360" t="s">
        <v>363</v>
      </c>
      <c r="BC314" s="373">
        <f>$C$84</f>
        <v>8.8387096774193555E-2</v>
      </c>
      <c r="BD314" s="362" t="s">
        <v>457</v>
      </c>
      <c r="BE314" s="664">
        <f>BC81*BC$311*1000/3.6</f>
        <v>0</v>
      </c>
      <c r="BF314" s="363" t="s">
        <v>495</v>
      </c>
    </row>
    <row r="315" spans="2:58">
      <c r="B315"/>
      <c r="C315"/>
      <c r="D315"/>
      <c r="E315"/>
      <c r="F315"/>
      <c r="G315"/>
      <c r="H315"/>
      <c r="I315"/>
      <c r="J315"/>
      <c r="K315"/>
      <c r="L315"/>
      <c r="AA315"/>
      <c r="AB315" s="360" t="s">
        <v>496</v>
      </c>
      <c r="AC315" s="375">
        <f>$C$85</f>
        <v>2E-3</v>
      </c>
      <c r="AD315" s="362" t="s">
        <v>459</v>
      </c>
      <c r="AE315" s="663">
        <v>0</v>
      </c>
      <c r="AF315" s="363" t="s">
        <v>497</v>
      </c>
      <c r="AG315" s="262"/>
      <c r="AH315"/>
      <c r="AI315"/>
      <c r="AJ315"/>
      <c r="AK315"/>
      <c r="BA315"/>
      <c r="BB315" s="360" t="s">
        <v>496</v>
      </c>
      <c r="BC315" s="375">
        <f>$C$85</f>
        <v>2E-3</v>
      </c>
      <c r="BD315" s="362" t="s">
        <v>459</v>
      </c>
      <c r="BE315" s="663">
        <v>0</v>
      </c>
      <c r="BF315" s="363" t="s">
        <v>497</v>
      </c>
    </row>
    <row r="316" spans="2:58">
      <c r="B316"/>
      <c r="C316"/>
      <c r="D316"/>
      <c r="E316"/>
      <c r="F316"/>
      <c r="G316"/>
      <c r="H316"/>
      <c r="I316"/>
      <c r="J316"/>
      <c r="K316"/>
      <c r="L316"/>
      <c r="AA316"/>
      <c r="AB316" s="360" t="s">
        <v>523</v>
      </c>
      <c r="AC316" s="375">
        <f>$C$85</f>
        <v>2E-3</v>
      </c>
      <c r="AD316" s="362" t="s">
        <v>459</v>
      </c>
      <c r="AE316" s="664">
        <f>AC85*AC$311*1000</f>
        <v>0</v>
      </c>
      <c r="AF316" s="363" t="s">
        <v>497</v>
      </c>
      <c r="AH316"/>
      <c r="AI316"/>
      <c r="AJ316"/>
      <c r="AK316"/>
      <c r="BA316"/>
      <c r="BB316" s="360" t="s">
        <v>523</v>
      </c>
      <c r="BC316" s="375">
        <f>$C$85</f>
        <v>2E-3</v>
      </c>
      <c r="BD316" s="362" t="s">
        <v>459</v>
      </c>
      <c r="BE316" s="664">
        <f>BC85*BC$311*1000</f>
        <v>0</v>
      </c>
      <c r="BF316" s="363" t="s">
        <v>497</v>
      </c>
    </row>
    <row r="317" spans="2:58">
      <c r="B317"/>
      <c r="C317"/>
      <c r="D317"/>
      <c r="E317"/>
      <c r="F317"/>
      <c r="G317"/>
      <c r="H317"/>
      <c r="I317"/>
      <c r="J317"/>
      <c r="K317"/>
      <c r="L317"/>
      <c r="AA317"/>
      <c r="AB317" s="360" t="s">
        <v>40</v>
      </c>
      <c r="AC317" s="373">
        <f>$C$83/1055</f>
        <v>1.1374407582938388E-2</v>
      </c>
      <c r="AD317" s="362" t="s">
        <v>1531</v>
      </c>
      <c r="AE317" s="664">
        <f>AC80*AC$311*1000</f>
        <v>0</v>
      </c>
      <c r="AF317" s="363" t="s">
        <v>1532</v>
      </c>
      <c r="AH317"/>
      <c r="AI317"/>
      <c r="AJ317"/>
      <c r="AK317"/>
      <c r="BA317"/>
      <c r="BB317" s="360" t="s">
        <v>40</v>
      </c>
      <c r="BC317" s="373">
        <f>$C$83/1055</f>
        <v>1.1374407582938388E-2</v>
      </c>
      <c r="BD317" s="362" t="s">
        <v>1531</v>
      </c>
      <c r="BE317" s="664">
        <f>BC80*BC$311*1000</f>
        <v>0</v>
      </c>
      <c r="BF317" s="363" t="s">
        <v>1532</v>
      </c>
    </row>
    <row r="318" spans="2:58">
      <c r="B318"/>
      <c r="C318"/>
      <c r="D318"/>
      <c r="E318"/>
      <c r="F318"/>
      <c r="G318"/>
      <c r="H318"/>
      <c r="I318"/>
      <c r="J318"/>
      <c r="K318"/>
      <c r="L318"/>
      <c r="AA318"/>
      <c r="AB318" s="360"/>
      <c r="AC318" s="362"/>
      <c r="AD318" s="371"/>
      <c r="AE318" s="663"/>
      <c r="AF318" s="363"/>
      <c r="AH318"/>
      <c r="AI318"/>
      <c r="AJ318"/>
      <c r="AK318"/>
      <c r="BA318"/>
      <c r="BB318" s="360"/>
      <c r="BC318" s="362"/>
      <c r="BD318" s="371"/>
      <c r="BE318" s="663"/>
      <c r="BF318" s="363"/>
    </row>
    <row r="319" spans="2:58">
      <c r="B319"/>
      <c r="C319"/>
      <c r="D319"/>
      <c r="E319"/>
      <c r="F319"/>
      <c r="G319"/>
      <c r="H319"/>
      <c r="I319"/>
      <c r="J319"/>
      <c r="K319"/>
      <c r="L319"/>
      <c r="AA319"/>
      <c r="AB319" s="360" t="s">
        <v>1259</v>
      </c>
      <c r="AC319" s="960">
        <f>$C$78/1000</f>
        <v>0.01</v>
      </c>
      <c r="AD319" s="371" t="s">
        <v>460</v>
      </c>
      <c r="AE319" s="663">
        <f>(AC110+AC111)*AC$311*1000</f>
        <v>0</v>
      </c>
      <c r="AF319" s="363" t="s">
        <v>1262</v>
      </c>
      <c r="AH319"/>
      <c r="AI319"/>
      <c r="AJ319"/>
      <c r="AK319"/>
      <c r="BA319"/>
      <c r="BB319" s="360" t="s">
        <v>1259</v>
      </c>
      <c r="BC319" s="960">
        <f>$C$78/1000</f>
        <v>0.01</v>
      </c>
      <c r="BD319" s="371" t="s">
        <v>460</v>
      </c>
      <c r="BE319" s="663">
        <f>(IFERROR(VLOOKUP("Waste (solid)",BB102:BC112,2,FALSE),0)+IFERROR(VLOOKUP("Flue Dust",BB102:BC112,2,FALSE),0))*BC$311*1000</f>
        <v>0</v>
      </c>
      <c r="BF319" s="363" t="s">
        <v>1262</v>
      </c>
    </row>
    <row r="320" spans="2:58" ht="14.5" thickBot="1">
      <c r="B320"/>
      <c r="C320"/>
      <c r="D320"/>
      <c r="E320"/>
      <c r="F320"/>
      <c r="G320"/>
      <c r="H320"/>
      <c r="I320"/>
      <c r="J320"/>
      <c r="K320"/>
      <c r="L320"/>
      <c r="AA320"/>
      <c r="AB320" s="377" t="s">
        <v>1260</v>
      </c>
      <c r="AC320" s="1053">
        <f>$C$79</f>
        <v>3.0000000000000001E-3</v>
      </c>
      <c r="AD320" s="1054" t="s">
        <v>1261</v>
      </c>
      <c r="AE320" s="1055">
        <f>AC112/3.78541*AC$311</f>
        <v>0</v>
      </c>
      <c r="AF320" s="379" t="s">
        <v>497</v>
      </c>
      <c r="AH320"/>
      <c r="AI320"/>
      <c r="AJ320"/>
      <c r="AK320"/>
      <c r="BA320"/>
      <c r="BB320" s="377" t="s">
        <v>1260</v>
      </c>
      <c r="BC320" s="1053">
        <f>$C$79</f>
        <v>3.0000000000000001E-3</v>
      </c>
      <c r="BD320" s="1054" t="s">
        <v>1261</v>
      </c>
      <c r="BE320" s="1055">
        <f>IFERROR(VLOOKUP("Waste (water)",BB102:BC112,2,FALSE),0)/3.78541*BC$311</f>
        <v>0</v>
      </c>
      <c r="BF320" s="379" t="s">
        <v>497</v>
      </c>
    </row>
    <row r="321" spans="2:58">
      <c r="B321"/>
      <c r="C321"/>
      <c r="D321"/>
      <c r="E321"/>
      <c r="F321"/>
      <c r="G321"/>
      <c r="H321"/>
      <c r="I321"/>
      <c r="J321"/>
      <c r="K321"/>
      <c r="L321"/>
      <c r="AA321"/>
      <c r="AB321" s="370" t="s">
        <v>473</v>
      </c>
      <c r="AC321" s="368" t="s">
        <v>498</v>
      </c>
      <c r="AD321" s="362"/>
      <c r="AE321" s="368" t="s">
        <v>404</v>
      </c>
      <c r="AF321" s="363"/>
      <c r="AH321"/>
      <c r="AI321"/>
      <c r="AJ321"/>
      <c r="AK321"/>
      <c r="BA321"/>
      <c r="BB321" s="370" t="s">
        <v>473</v>
      </c>
      <c r="BC321" s="368" t="s">
        <v>498</v>
      </c>
      <c r="BD321" s="362"/>
      <c r="BE321" s="368" t="s">
        <v>404</v>
      </c>
      <c r="BF321" s="363"/>
    </row>
    <row r="322" spans="2:58">
      <c r="B322"/>
      <c r="C322"/>
      <c r="D322"/>
      <c r="E322"/>
      <c r="F322"/>
      <c r="G322"/>
      <c r="H322"/>
      <c r="I322"/>
      <c r="J322"/>
      <c r="K322"/>
      <c r="L322"/>
      <c r="AA322"/>
      <c r="AB322" s="360" t="s">
        <v>238</v>
      </c>
      <c r="AC322" s="383">
        <f>IF(C89&lt;0,0,C89*1000)</f>
        <v>26900</v>
      </c>
      <c r="AD322" s="374" t="s">
        <v>584</v>
      </c>
      <c r="AE322" s="384">
        <f>AC311</f>
        <v>0</v>
      </c>
      <c r="AF322" s="363" t="s">
        <v>585</v>
      </c>
      <c r="AG322" s="262"/>
      <c r="AH322"/>
      <c r="AI322"/>
      <c r="AJ322"/>
      <c r="AK322"/>
      <c r="BA322"/>
      <c r="BB322" s="360" t="str">
        <f>BB68</f>
        <v>Select Material</v>
      </c>
      <c r="BC322" s="383">
        <f>IFERROR(VLOOKUP(BB322,$B$89:$C$91,2,FALSE),0)*1000</f>
        <v>0</v>
      </c>
      <c r="BD322" s="374" t="s">
        <v>584</v>
      </c>
      <c r="BE322" s="384">
        <f>BE$329*IFERROR(VLOOKUP(BB322,BB$68:BC$72,2, FALSE),0)</f>
        <v>0</v>
      </c>
      <c r="BF322" s="363" t="s">
        <v>585</v>
      </c>
    </row>
    <row r="323" spans="2:58">
      <c r="B323"/>
      <c r="C323"/>
      <c r="D323"/>
      <c r="E323"/>
      <c r="F323"/>
      <c r="G323"/>
      <c r="H323"/>
      <c r="I323"/>
      <c r="J323"/>
      <c r="K323"/>
      <c r="L323"/>
      <c r="AA323"/>
      <c r="AB323" s="360" t="str">
        <f>AB68</f>
        <v>Nitrogen</v>
      </c>
      <c r="AC323" s="383">
        <f>IFERROR(VLOOKUP(AB323,$B$89:$C$91,2,FALSE),0)*1000</f>
        <v>297.5336446534036</v>
      </c>
      <c r="AD323" s="374" t="s">
        <v>584</v>
      </c>
      <c r="AE323" s="384">
        <f>AE$322*IFERROR(VLOOKUP(AB323,AB$68:AC$72,2, FALSE),0)</f>
        <v>0</v>
      </c>
      <c r="AF323" s="363" t="s">
        <v>585</v>
      </c>
      <c r="AG323" s="262"/>
      <c r="AH323"/>
      <c r="AI323"/>
      <c r="AJ323"/>
      <c r="AK323"/>
      <c r="BA323"/>
      <c r="BB323" s="360" t="str">
        <f>BB69</f>
        <v>Select Material</v>
      </c>
      <c r="BC323" s="383">
        <f>IFERROR(VLOOKUP(BB323,$B$89:$C$91,2,FALSE),0)*1000</f>
        <v>0</v>
      </c>
      <c r="BD323" s="374" t="s">
        <v>584</v>
      </c>
      <c r="BE323" s="384">
        <f>BE$329*IFERROR(VLOOKUP(BB323,BB$68:BC$72,2, FALSE),0)</f>
        <v>0</v>
      </c>
      <c r="BF323" s="363" t="s">
        <v>585</v>
      </c>
    </row>
    <row r="324" spans="2:58">
      <c r="B324"/>
      <c r="C324"/>
      <c r="D324"/>
      <c r="E324"/>
      <c r="F324"/>
      <c r="G324"/>
      <c r="H324"/>
      <c r="I324"/>
      <c r="J324"/>
      <c r="K324"/>
      <c r="L324"/>
      <c r="AA324"/>
      <c r="AB324" s="360" t="str">
        <f>AB69</f>
        <v>Lime</v>
      </c>
      <c r="AC324" s="383">
        <f>IFERROR(VLOOKUP(AB324,$B$89:$C$91,2,FALSE),0)*1000</f>
        <v>131.66</v>
      </c>
      <c r="AD324" s="374" t="s">
        <v>584</v>
      </c>
      <c r="AE324" s="384">
        <f>AE$322*IFERROR(VLOOKUP(AB324,AB$68:AC$72,2, FALSE),0)</f>
        <v>0</v>
      </c>
      <c r="AF324" s="363" t="s">
        <v>585</v>
      </c>
      <c r="AH324"/>
      <c r="AI324"/>
      <c r="AJ324"/>
      <c r="AK324"/>
      <c r="BA324"/>
      <c r="BB324" s="360" t="str">
        <f>BB70</f>
        <v>Select Material</v>
      </c>
      <c r="BC324" s="383">
        <f>IFERROR(VLOOKUP(BB324,$B$89:$C$91,2,FALSE),0)*1000</f>
        <v>0</v>
      </c>
      <c r="BD324" s="374" t="s">
        <v>584</v>
      </c>
      <c r="BE324" s="384">
        <f>BE$329*IFERROR(VLOOKUP(BB324,BB$68:BC$72,2, FALSE),0)</f>
        <v>0</v>
      </c>
      <c r="BF324" s="363" t="s">
        <v>585</v>
      </c>
    </row>
    <row r="325" spans="2:58">
      <c r="B325"/>
      <c r="C325"/>
      <c r="D325"/>
      <c r="E325"/>
      <c r="F325"/>
      <c r="G325"/>
      <c r="H325"/>
      <c r="I325"/>
      <c r="J325"/>
      <c r="K325"/>
      <c r="L325"/>
      <c r="AA325"/>
      <c r="AB325" s="360" t="str">
        <f>AB70</f>
        <v>Select Material</v>
      </c>
      <c r="AC325" s="383">
        <f>IFERROR(VLOOKUP(AB325,$B$89:$C$91,2,FALSE),0)*1000</f>
        <v>0</v>
      </c>
      <c r="AD325" s="374" t="s">
        <v>584</v>
      </c>
      <c r="AE325" s="384">
        <f>AE$322*IFERROR(VLOOKUP(AB325,AB$68:AC$72,2, FALSE),0)</f>
        <v>0</v>
      </c>
      <c r="AF325" s="363" t="s">
        <v>585</v>
      </c>
      <c r="AG325" s="115"/>
      <c r="AH325"/>
      <c r="AI325"/>
      <c r="AJ325"/>
      <c r="AK325"/>
      <c r="BA325"/>
      <c r="BB325" s="360" t="str">
        <f>BB71</f>
        <v>Select Material</v>
      </c>
      <c r="BC325" s="383">
        <f>IFERROR(VLOOKUP(BB325,$B$89:$C$91,2,FALSE),0)*1000</f>
        <v>0</v>
      </c>
      <c r="BD325" s="374" t="s">
        <v>584</v>
      </c>
      <c r="BE325" s="384">
        <f>BE$329*IFERROR(VLOOKUP(BB325,BB$68:BC$72,2, FALSE),0)</f>
        <v>0</v>
      </c>
      <c r="BF325" s="363" t="s">
        <v>585</v>
      </c>
    </row>
    <row r="326" spans="2:58">
      <c r="B326"/>
      <c r="C326"/>
      <c r="D326"/>
      <c r="E326"/>
      <c r="F326"/>
      <c r="G326"/>
      <c r="H326"/>
      <c r="I326"/>
      <c r="J326"/>
      <c r="K326"/>
      <c r="L326"/>
      <c r="AA326"/>
      <c r="AB326" s="360" t="str">
        <f>AB71</f>
        <v>Select Material</v>
      </c>
      <c r="AC326" s="383">
        <f>IFERROR(VLOOKUP(AB326,$B$89:$C$91,2,FALSE),0)*1000</f>
        <v>0</v>
      </c>
      <c r="AD326" s="374" t="s">
        <v>584</v>
      </c>
      <c r="AE326" s="384">
        <f>AE$322*IFERROR(VLOOKUP(AB326,AB$68:AC$72,2, FALSE),0)</f>
        <v>0</v>
      </c>
      <c r="AF326" s="363" t="s">
        <v>585</v>
      </c>
      <c r="AH326"/>
      <c r="AI326"/>
      <c r="AJ326"/>
      <c r="AK326"/>
      <c r="BA326"/>
      <c r="BB326" s="360" t="str">
        <f>BB72</f>
        <v>Select Material</v>
      </c>
      <c r="BC326" s="383">
        <f>IFERROR(VLOOKUP(BB326,$B$89:$C$91,2,FALSE),0)*1000</f>
        <v>0</v>
      </c>
      <c r="BD326" s="374" t="s">
        <v>584</v>
      </c>
      <c r="BE326" s="384">
        <f>BE$329*IFERROR(VLOOKUP(BB326,BB$68:BC$72,2, FALSE),0)</f>
        <v>0</v>
      </c>
      <c r="BF326" s="363" t="s">
        <v>585</v>
      </c>
    </row>
    <row r="327" spans="2:58">
      <c r="AA327"/>
      <c r="AB327" s="360" t="str">
        <f>AB72</f>
        <v>Select Material</v>
      </c>
      <c r="AC327" s="383">
        <f>IFERROR(VLOOKUP(AB327,$B$89:$C$91,2,FALSE),0)*1000</f>
        <v>0</v>
      </c>
      <c r="AD327" s="374" t="s">
        <v>584</v>
      </c>
      <c r="AE327" s="384">
        <f>AE$322*IFERROR(VLOOKUP(AB327,AB$68:AC$72,2, FALSE),0)</f>
        <v>0</v>
      </c>
      <c r="AF327" s="363" t="s">
        <v>585</v>
      </c>
      <c r="AH327"/>
      <c r="AI327"/>
      <c r="AJ327"/>
      <c r="AK327"/>
      <c r="BA327"/>
      <c r="BB327" s="360">
        <f>BB74</f>
        <v>0</v>
      </c>
      <c r="BC327" s="383">
        <f>Materials!E111*1000</f>
        <v>0</v>
      </c>
      <c r="BD327" s="374" t="s">
        <v>584</v>
      </c>
      <c r="BE327" s="384">
        <f>BE$329*BC74</f>
        <v>0</v>
      </c>
      <c r="BF327" s="363" t="s">
        <v>585</v>
      </c>
    </row>
    <row r="328" spans="2:58">
      <c r="AB328" s="1591">
        <f>AB74</f>
        <v>0</v>
      </c>
      <c r="AC328" s="383">
        <f>Materials!C111*1000</f>
        <v>0</v>
      </c>
      <c r="AD328" s="374" t="s">
        <v>584</v>
      </c>
      <c r="AE328" s="1251">
        <f>AE$322*AC74</f>
        <v>0</v>
      </c>
      <c r="AF328" s="363" t="s">
        <v>585</v>
      </c>
      <c r="AH328"/>
      <c r="AI328"/>
      <c r="AJ328"/>
      <c r="AK328"/>
      <c r="BB328" s="360">
        <f>BB75</f>
        <v>0</v>
      </c>
      <c r="BC328" s="383">
        <f>Materials!F111*1000</f>
        <v>0</v>
      </c>
      <c r="BD328" s="374" t="s">
        <v>584</v>
      </c>
      <c r="BE328" s="1251">
        <f>BE$329*BC75</f>
        <v>0</v>
      </c>
      <c r="BF328" s="363" t="s">
        <v>585</v>
      </c>
    </row>
    <row r="329" spans="2:58">
      <c r="AB329" s="1591">
        <f>AB75</f>
        <v>0</v>
      </c>
      <c r="AC329" s="383">
        <f>Materials!D111*1000</f>
        <v>0</v>
      </c>
      <c r="AD329" s="374" t="s">
        <v>584</v>
      </c>
      <c r="AE329" s="1251">
        <f>AE$322*AC75</f>
        <v>0</v>
      </c>
      <c r="AF329" s="363" t="s">
        <v>585</v>
      </c>
      <c r="AH329"/>
      <c r="AI329"/>
      <c r="AJ329"/>
      <c r="AK329"/>
      <c r="BB329" s="370" t="s">
        <v>238</v>
      </c>
      <c r="BC329" s="383">
        <f>IF(C89&lt;0,0,C89*1000)</f>
        <v>26900</v>
      </c>
      <c r="BD329" s="374" t="s">
        <v>584</v>
      </c>
      <c r="BE329" s="385">
        <f>BC311</f>
        <v>0</v>
      </c>
      <c r="BF329" s="363" t="s">
        <v>585</v>
      </c>
    </row>
    <row r="330" spans="2:58">
      <c r="AB330" s="370"/>
      <c r="AC330" s="362"/>
      <c r="AD330" s="362"/>
      <c r="AE330" s="362"/>
      <c r="AF330" s="363"/>
      <c r="AH330"/>
      <c r="AI330"/>
      <c r="AJ330"/>
      <c r="AK330"/>
      <c r="BB330" s="360"/>
      <c r="BC330" s="368"/>
      <c r="BD330" s="362"/>
      <c r="BE330" s="368"/>
      <c r="BF330" s="363"/>
    </row>
    <row r="331" spans="2:58" ht="14.5" thickBot="1">
      <c r="AB331" s="360"/>
      <c r="AC331" s="368"/>
      <c r="AD331" s="362"/>
      <c r="AE331" s="368"/>
      <c r="AF331" s="363"/>
      <c r="AH331"/>
      <c r="AI331"/>
      <c r="AJ331"/>
      <c r="AK331"/>
      <c r="BB331" s="380"/>
      <c r="BC331" s="381"/>
      <c r="BD331" s="381"/>
      <c r="BE331" s="381"/>
      <c r="BF331" s="382"/>
    </row>
    <row r="332" spans="2:58" ht="14.5" thickBot="1">
      <c r="AB332" s="377"/>
      <c r="AC332" s="378"/>
      <c r="AD332" s="378"/>
      <c r="AE332" s="378"/>
      <c r="AF332" s="379"/>
      <c r="AH332"/>
      <c r="AI332"/>
      <c r="AJ332"/>
      <c r="AK332"/>
      <c r="BB332" s="370" t="s">
        <v>474</v>
      </c>
      <c r="BC332" s="368" t="s">
        <v>498</v>
      </c>
      <c r="BD332" s="362"/>
      <c r="BE332" s="368" t="s">
        <v>404</v>
      </c>
      <c r="BF332" s="363"/>
    </row>
    <row r="333" spans="2:58">
      <c r="AB333" s="370" t="s">
        <v>474</v>
      </c>
      <c r="AC333" s="368" t="s">
        <v>498</v>
      </c>
      <c r="AD333" s="362"/>
      <c r="AE333" s="368" t="s">
        <v>404</v>
      </c>
      <c r="AF333" s="363"/>
      <c r="AH333"/>
      <c r="AI333"/>
      <c r="AJ333"/>
      <c r="AK333"/>
      <c r="BB333" s="360" t="str">
        <f t="shared" ref="BB333:BB341" si="49">BB102</f>
        <v>Select Output</v>
      </c>
      <c r="BC333" s="386">
        <f t="shared" ref="BC333:BC341" si="50">IFERROR(VLOOKUP(BB333,$B$69:$C$74,2,FALSE)*1000,0)</f>
        <v>0</v>
      </c>
      <c r="BD333" s="374" t="s">
        <v>584</v>
      </c>
      <c r="BE333" s="384">
        <f t="shared" ref="BE333:BE341" si="51">BE$329*IFERROR(VLOOKUP(BB333,BB$102:BC$112,2, FALSE),0)</f>
        <v>0</v>
      </c>
      <c r="BF333" s="363" t="s">
        <v>585</v>
      </c>
    </row>
    <row r="334" spans="2:58">
      <c r="AB334" s="360" t="str">
        <f t="shared" ref="AB334:AB341" si="52">AB102</f>
        <v>Black mass</v>
      </c>
      <c r="AC334" s="386">
        <f t="shared" ref="AC334:AC341" si="53">IFERROR(VLOOKUP(AB334,$B$69:$C$74,2,FALSE)*1000,0)</f>
        <v>0</v>
      </c>
      <c r="AD334" s="374" t="s">
        <v>584</v>
      </c>
      <c r="AE334" s="384">
        <f t="shared" ref="AE334:AE341" si="54">AE$322*IFERROR(VLOOKUP(AB334,AB$102:AC$109,2, FALSE),0)</f>
        <v>0</v>
      </c>
      <c r="AF334" s="363" t="s">
        <v>585</v>
      </c>
      <c r="AH334"/>
      <c r="AI334"/>
      <c r="AJ334"/>
      <c r="AK334"/>
      <c r="BB334" s="360" t="str">
        <f t="shared" si="49"/>
        <v>Select Output</v>
      </c>
      <c r="BC334" s="386">
        <f t="shared" si="50"/>
        <v>0</v>
      </c>
      <c r="BD334" s="374" t="s">
        <v>584</v>
      </c>
      <c r="BE334" s="384">
        <f t="shared" si="51"/>
        <v>0</v>
      </c>
      <c r="BF334" s="363" t="s">
        <v>585</v>
      </c>
    </row>
    <row r="335" spans="2:58">
      <c r="AB335" s="360" t="str">
        <f t="shared" si="52"/>
        <v>Aluminum</v>
      </c>
      <c r="AC335" s="386">
        <f t="shared" si="53"/>
        <v>1117.4777856000001</v>
      </c>
      <c r="AD335" s="374" t="s">
        <v>584</v>
      </c>
      <c r="AE335" s="384">
        <f t="shared" si="54"/>
        <v>0</v>
      </c>
      <c r="AF335" s="363" t="s">
        <v>585</v>
      </c>
      <c r="AH335"/>
      <c r="AI335"/>
      <c r="AJ335"/>
      <c r="AK335"/>
      <c r="BB335" s="360" t="str">
        <f t="shared" si="49"/>
        <v>Select Output</v>
      </c>
      <c r="BC335" s="386">
        <f t="shared" si="50"/>
        <v>0</v>
      </c>
      <c r="BD335" s="374" t="s">
        <v>584</v>
      </c>
      <c r="BE335" s="384">
        <f t="shared" si="51"/>
        <v>0</v>
      </c>
      <c r="BF335" s="363" t="s">
        <v>585</v>
      </c>
    </row>
    <row r="336" spans="2:58">
      <c r="AB336" s="360" t="str">
        <f t="shared" si="52"/>
        <v>Copper</v>
      </c>
      <c r="AC336" s="386">
        <f t="shared" si="53"/>
        <v>7111.6191035999991</v>
      </c>
      <c r="AD336" s="374" t="s">
        <v>584</v>
      </c>
      <c r="AE336" s="384">
        <f t="shared" si="54"/>
        <v>0</v>
      </c>
      <c r="AF336" s="363" t="s">
        <v>585</v>
      </c>
      <c r="AH336"/>
      <c r="AI336"/>
      <c r="AJ336"/>
      <c r="AK336"/>
      <c r="BB336" s="360" t="str">
        <f t="shared" si="49"/>
        <v>Select Output</v>
      </c>
      <c r="BC336" s="386">
        <f t="shared" si="50"/>
        <v>0</v>
      </c>
      <c r="BD336" s="374" t="s">
        <v>584</v>
      </c>
      <c r="BE336" s="384">
        <f t="shared" si="51"/>
        <v>0</v>
      </c>
      <c r="BF336" s="363" t="s">
        <v>585</v>
      </c>
    </row>
    <row r="337" spans="28:58">
      <c r="AB337" s="360" t="str">
        <f t="shared" si="52"/>
        <v>Steel</v>
      </c>
      <c r="AC337" s="386">
        <f t="shared" si="53"/>
        <v>327.2</v>
      </c>
      <c r="AD337" s="374" t="s">
        <v>584</v>
      </c>
      <c r="AE337" s="384">
        <f t="shared" si="54"/>
        <v>0</v>
      </c>
      <c r="AF337" s="363" t="s">
        <v>585</v>
      </c>
      <c r="AH337"/>
      <c r="AI337"/>
      <c r="AJ337"/>
      <c r="AK337"/>
      <c r="BB337" s="360" t="str">
        <f t="shared" si="49"/>
        <v>Select Output</v>
      </c>
      <c r="BC337" s="386">
        <f t="shared" si="50"/>
        <v>0</v>
      </c>
      <c r="BD337" s="374" t="s">
        <v>584</v>
      </c>
      <c r="BE337" s="384">
        <f t="shared" si="51"/>
        <v>0</v>
      </c>
      <c r="BF337" s="363" t="s">
        <v>585</v>
      </c>
    </row>
    <row r="338" spans="28:58" ht="15" customHeight="1">
      <c r="AB338" s="360" t="str">
        <f t="shared" si="52"/>
        <v>Select Output</v>
      </c>
      <c r="AC338" s="386">
        <f t="shared" si="53"/>
        <v>0</v>
      </c>
      <c r="AD338" s="374" t="s">
        <v>584</v>
      </c>
      <c r="AE338" s="384">
        <f t="shared" si="54"/>
        <v>0</v>
      </c>
      <c r="AF338" s="363" t="s">
        <v>585</v>
      </c>
      <c r="AH338"/>
      <c r="AI338"/>
      <c r="AJ338"/>
      <c r="AK338"/>
      <c r="BB338" s="360" t="str">
        <f t="shared" si="49"/>
        <v>Select Output</v>
      </c>
      <c r="BC338" s="386">
        <f t="shared" si="50"/>
        <v>0</v>
      </c>
      <c r="BD338" s="374" t="s">
        <v>584</v>
      </c>
      <c r="BE338" s="384">
        <f t="shared" si="51"/>
        <v>0</v>
      </c>
      <c r="BF338" s="363" t="s">
        <v>585</v>
      </c>
    </row>
    <row r="339" spans="28:58">
      <c r="AB339" s="360" t="str">
        <f t="shared" si="52"/>
        <v>Select Output</v>
      </c>
      <c r="AC339" s="386">
        <f t="shared" si="53"/>
        <v>0</v>
      </c>
      <c r="AD339" s="374" t="s">
        <v>584</v>
      </c>
      <c r="AE339" s="384">
        <f t="shared" si="54"/>
        <v>0</v>
      </c>
      <c r="AF339" s="363" t="s">
        <v>585</v>
      </c>
      <c r="AH339"/>
      <c r="AI339"/>
      <c r="AJ339"/>
      <c r="AK339"/>
      <c r="BB339" s="360" t="str">
        <f t="shared" si="49"/>
        <v>Select Output</v>
      </c>
      <c r="BC339" s="386">
        <f t="shared" si="50"/>
        <v>0</v>
      </c>
      <c r="BD339" s="374" t="s">
        <v>584</v>
      </c>
      <c r="BE339" s="384">
        <f t="shared" si="51"/>
        <v>0</v>
      </c>
      <c r="BF339" s="363" t="s">
        <v>585</v>
      </c>
    </row>
    <row r="340" spans="28:58">
      <c r="AB340" s="360" t="str">
        <f t="shared" si="52"/>
        <v>Select Output</v>
      </c>
      <c r="AC340" s="386">
        <f t="shared" si="53"/>
        <v>0</v>
      </c>
      <c r="AD340" s="374" t="s">
        <v>584</v>
      </c>
      <c r="AE340" s="384">
        <f t="shared" si="54"/>
        <v>0</v>
      </c>
      <c r="AF340" s="363" t="s">
        <v>585</v>
      </c>
      <c r="AH340"/>
      <c r="AI340"/>
      <c r="AJ340"/>
      <c r="AK340"/>
      <c r="BB340" s="360" t="str">
        <f t="shared" si="49"/>
        <v>Select Output</v>
      </c>
      <c r="BC340" s="386">
        <f t="shared" si="50"/>
        <v>0</v>
      </c>
      <c r="BD340" s="374" t="s">
        <v>584</v>
      </c>
      <c r="BE340" s="384">
        <f t="shared" si="51"/>
        <v>0</v>
      </c>
      <c r="BF340" s="363" t="s">
        <v>585</v>
      </c>
    </row>
    <row r="341" spans="28:58">
      <c r="AB341" s="360" t="str">
        <f t="shared" si="52"/>
        <v>Select Output</v>
      </c>
      <c r="AC341" s="386">
        <f t="shared" si="53"/>
        <v>0</v>
      </c>
      <c r="AD341" s="374" t="s">
        <v>584</v>
      </c>
      <c r="AE341" s="384">
        <f t="shared" si="54"/>
        <v>0</v>
      </c>
      <c r="AF341" s="363" t="s">
        <v>585</v>
      </c>
      <c r="AH341"/>
      <c r="AI341"/>
      <c r="AJ341"/>
      <c r="AK341"/>
      <c r="BB341" s="360" t="str">
        <f t="shared" si="49"/>
        <v>Select Output</v>
      </c>
      <c r="BC341" s="386">
        <f t="shared" si="50"/>
        <v>0</v>
      </c>
      <c r="BD341" s="374" t="s">
        <v>584</v>
      </c>
      <c r="BE341" s="384">
        <f t="shared" si="51"/>
        <v>0</v>
      </c>
      <c r="BF341" s="363" t="s">
        <v>585</v>
      </c>
    </row>
    <row r="342" spans="28:58">
      <c r="AB342" s="360"/>
      <c r="AC342" s="362"/>
      <c r="AD342" s="371"/>
      <c r="AE342" s="362"/>
      <c r="AF342" s="363"/>
      <c r="AH342"/>
      <c r="AI342"/>
      <c r="AJ342"/>
      <c r="AK342"/>
      <c r="BB342" s="360"/>
      <c r="BC342" s="386"/>
      <c r="BD342" s="374"/>
      <c r="BE342" s="1173"/>
      <c r="BF342" s="363"/>
    </row>
    <row r="343" spans="28:58">
      <c r="AB343" s="360"/>
      <c r="AC343" s="362"/>
      <c r="AD343" s="372"/>
      <c r="AE343" s="362"/>
      <c r="AF343" s="363"/>
      <c r="AH343"/>
      <c r="AI343"/>
      <c r="AJ343"/>
      <c r="AK343"/>
      <c r="BB343" s="360"/>
      <c r="BC343" s="386"/>
      <c r="BD343" s="374"/>
      <c r="BE343" s="1173"/>
      <c r="BF343" s="363"/>
    </row>
    <row r="344" spans="28:58">
      <c r="AB344" s="360"/>
      <c r="AC344" s="362"/>
      <c r="AD344" s="362"/>
      <c r="AE344" s="362"/>
      <c r="AF344" s="363"/>
      <c r="AH344"/>
      <c r="AI344"/>
      <c r="AJ344"/>
      <c r="AK344"/>
      <c r="BB344" s="360"/>
      <c r="BC344" s="362"/>
      <c r="BD344" s="362"/>
      <c r="BE344" s="362"/>
      <c r="BF344" s="363"/>
    </row>
    <row r="345" spans="28:58">
      <c r="AB345" s="360"/>
      <c r="AC345" s="362"/>
      <c r="AD345" s="362"/>
      <c r="AE345" s="362"/>
      <c r="AF345" s="363"/>
      <c r="AH345"/>
      <c r="AI345"/>
      <c r="AJ345"/>
      <c r="AK345"/>
      <c r="BB345" s="360"/>
      <c r="BC345" s="362"/>
      <c r="BD345" s="362"/>
      <c r="BE345" s="362"/>
      <c r="BF345" s="363"/>
    </row>
    <row r="346" spans="28:58">
      <c r="AB346" s="360"/>
      <c r="AC346" s="362"/>
      <c r="AD346" s="362"/>
      <c r="AE346" s="362"/>
      <c r="AF346" s="363"/>
      <c r="AH346"/>
      <c r="AI346"/>
      <c r="AJ346"/>
      <c r="AK346"/>
      <c r="BB346" s="360"/>
      <c r="BC346" s="362"/>
      <c r="BD346" s="362"/>
      <c r="BE346" s="362"/>
      <c r="BF346" s="363"/>
    </row>
    <row r="347" spans="28:58">
      <c r="AB347" s="360"/>
      <c r="AC347" s="362"/>
      <c r="AD347" s="362"/>
      <c r="AE347" s="362"/>
      <c r="AF347" s="363"/>
      <c r="AH347"/>
      <c r="AI347"/>
      <c r="AJ347"/>
      <c r="AK347"/>
      <c r="BB347" s="360"/>
      <c r="BC347" s="362"/>
      <c r="BD347" s="362"/>
      <c r="BE347" s="362"/>
      <c r="BF347" s="363"/>
    </row>
    <row r="348" spans="28:58">
      <c r="AB348" s="360"/>
      <c r="AC348" s="362"/>
      <c r="AD348" s="362"/>
      <c r="AE348" s="362"/>
      <c r="AF348" s="363"/>
      <c r="AH348"/>
      <c r="AI348"/>
      <c r="AJ348"/>
      <c r="AK348"/>
      <c r="BB348" s="360"/>
      <c r="BC348" s="362"/>
      <c r="BD348" s="362"/>
      <c r="BE348" s="362"/>
      <c r="BF348" s="363"/>
    </row>
    <row r="349" spans="28:58">
      <c r="AB349" s="360"/>
      <c r="AC349" s="362"/>
      <c r="AD349" s="362"/>
      <c r="AE349" s="362"/>
      <c r="AF349" s="363"/>
      <c r="AH349"/>
      <c r="AI349"/>
      <c r="AJ349"/>
      <c r="AK349"/>
      <c r="BB349" s="360"/>
      <c r="BC349" s="362"/>
      <c r="BD349" s="362"/>
      <c r="BE349" s="362"/>
      <c r="BF349" s="363"/>
    </row>
    <row r="350" spans="28:58">
      <c r="AB350" s="360"/>
      <c r="AC350" s="362"/>
      <c r="AD350" s="362"/>
      <c r="AE350" s="362"/>
      <c r="AF350" s="363"/>
      <c r="AH350"/>
      <c r="AI350"/>
      <c r="AJ350"/>
      <c r="AK350"/>
      <c r="BB350" s="360"/>
      <c r="BC350" s="362"/>
      <c r="BD350" s="362"/>
      <c r="BE350" s="362"/>
      <c r="BF350" s="363"/>
    </row>
    <row r="351" spans="28:58">
      <c r="AB351" s="360"/>
      <c r="AC351" s="362"/>
      <c r="AD351" s="362"/>
      <c r="AE351" s="362"/>
      <c r="AF351" s="363"/>
      <c r="AH351"/>
      <c r="AI351"/>
      <c r="AJ351"/>
      <c r="AK351"/>
      <c r="BB351" s="360"/>
      <c r="BC351" s="362"/>
      <c r="BD351" s="388"/>
      <c r="BE351" s="368"/>
      <c r="BF351" s="363"/>
    </row>
    <row r="352" spans="28:58" ht="14.5" thickBot="1">
      <c r="AB352" s="360"/>
      <c r="AC352" s="362"/>
      <c r="AD352" s="388"/>
      <c r="AE352" s="368"/>
      <c r="AF352" s="363"/>
      <c r="AH352"/>
      <c r="AI352"/>
      <c r="AJ352"/>
      <c r="AK352"/>
      <c r="BB352" s="380"/>
      <c r="BC352" s="381"/>
      <c r="BD352" s="381"/>
      <c r="BE352" s="381"/>
      <c r="BF352" s="382"/>
    </row>
    <row r="353" spans="28:58" ht="14.5" thickBot="1">
      <c r="AB353" s="377"/>
      <c r="AC353" s="378"/>
      <c r="AD353" s="378"/>
      <c r="AE353" s="378"/>
      <c r="AF353" s="379"/>
      <c r="AH353"/>
      <c r="AI353"/>
      <c r="AJ353"/>
      <c r="AK353"/>
      <c r="BB353" s="370" t="s">
        <v>471</v>
      </c>
      <c r="BC353" s="362"/>
      <c r="BD353" s="371"/>
      <c r="BE353" s="362"/>
      <c r="BF353" s="363"/>
    </row>
    <row r="354" spans="28:58">
      <c r="AB354" s="370" t="s">
        <v>471</v>
      </c>
      <c r="AC354" s="362"/>
      <c r="AD354" s="371"/>
      <c r="AE354" s="362"/>
      <c r="AF354" s="363"/>
      <c r="AH354"/>
      <c r="AI354"/>
      <c r="AJ354"/>
      <c r="AK354"/>
      <c r="BB354" s="360" t="s">
        <v>479</v>
      </c>
      <c r="BC354" s="362"/>
      <c r="BD354" s="372" t="s">
        <v>454</v>
      </c>
      <c r="BE354" s="362"/>
      <c r="BF354" s="363"/>
    </row>
    <row r="355" spans="28:58">
      <c r="AB355" s="360" t="s">
        <v>562</v>
      </c>
      <c r="AC355" s="387" t="e">
        <f>AC517+AC617+AC717+AC817+AC917+AC1017+AC1117+AC1217+AC1317+AC1417+AC1517+AC1617+AC1717+AC1817+AC1917+AC2017+AC2117+AC2217+AC2317+AC2417</f>
        <v>#NUM!</v>
      </c>
      <c r="AD355" s="389" t="s">
        <v>454</v>
      </c>
      <c r="AE355" s="362"/>
      <c r="AF355" s="363"/>
      <c r="AH355"/>
      <c r="AI355"/>
      <c r="AJ355"/>
      <c r="AK355"/>
      <c r="BB355" s="360" t="s">
        <v>480</v>
      </c>
      <c r="BC355" s="362"/>
      <c r="BD355" s="371"/>
      <c r="BE355" s="362"/>
      <c r="BF355" s="363"/>
    </row>
    <row r="356" spans="28:58">
      <c r="AB356" s="360" t="s">
        <v>563</v>
      </c>
      <c r="AC356" s="362" t="e">
        <f>AC355/AC310/1000*3.6</f>
        <v>#NUM!</v>
      </c>
      <c r="AD356" s="389" t="s">
        <v>564</v>
      </c>
      <c r="AE356" s="362"/>
      <c r="AF356" s="363"/>
      <c r="AH356"/>
      <c r="AI356"/>
      <c r="AJ356"/>
      <c r="AK356"/>
      <c r="BB356" s="360"/>
      <c r="BC356" s="362"/>
      <c r="BD356" s="372"/>
      <c r="BE356" s="362"/>
      <c r="BF356" s="363"/>
    </row>
    <row r="357" spans="28:58">
      <c r="AB357" s="360"/>
      <c r="AC357" s="362"/>
      <c r="AD357" s="389"/>
      <c r="AE357" s="362"/>
      <c r="AF357" s="363"/>
      <c r="AH357"/>
      <c r="AI357"/>
      <c r="AJ357"/>
      <c r="AK357"/>
      <c r="BB357" s="360"/>
      <c r="BC357" s="362"/>
      <c r="BD357" s="362"/>
      <c r="BE357" s="362"/>
      <c r="BF357" s="363"/>
    </row>
    <row r="358" spans="28:58">
      <c r="AB358" s="360" t="s">
        <v>565</v>
      </c>
      <c r="AC358" s="362">
        <f>AC520+AC620+AC720+AC820+AC920+AC1020+AC1120+AC1220+AC1320+AC1420+AC1520+AC1620+AC1720+AC1820+AC1920+AC2020+AC2120+AC2220+AC2320+AC2420</f>
        <v>0</v>
      </c>
      <c r="AD358" s="364" t="s">
        <v>564</v>
      </c>
      <c r="AE358" s="362"/>
      <c r="AF358" s="363"/>
      <c r="BB358" s="360" t="s">
        <v>346</v>
      </c>
      <c r="BC358" s="362"/>
      <c r="BD358" s="362"/>
      <c r="BE358" s="362"/>
      <c r="BF358" s="363"/>
    </row>
    <row r="359" spans="28:58">
      <c r="AB359" s="360"/>
      <c r="AC359" s="362"/>
      <c r="AD359" s="364"/>
      <c r="AE359" s="362"/>
      <c r="AF359" s="363"/>
      <c r="BB359" s="360" t="s">
        <v>173</v>
      </c>
      <c r="BC359" s="362"/>
      <c r="BD359" s="362"/>
      <c r="BE359" s="362"/>
      <c r="BF359" s="363"/>
    </row>
    <row r="360" spans="28:58">
      <c r="AB360" s="360" t="s">
        <v>566</v>
      </c>
      <c r="AC360" s="362">
        <f>AC522+AC622+AC722+AC822+AC922+AC1022+AC1122+AC1222+AC1322+AC1422+AC1522+AC1622+AC1722+AC1822+AC1922+AC2022+AC2122+AC2222+AC2322+AC2422</f>
        <v>0</v>
      </c>
      <c r="AD360" s="364" t="s">
        <v>564</v>
      </c>
      <c r="AE360" s="362"/>
      <c r="AF360" s="363"/>
      <c r="BB360" s="360" t="s">
        <v>174</v>
      </c>
      <c r="BC360" s="362"/>
      <c r="BD360" s="362"/>
      <c r="BE360" s="362"/>
      <c r="BF360" s="363"/>
    </row>
    <row r="361" spans="28:58">
      <c r="AB361" s="360"/>
      <c r="AC361" s="362"/>
      <c r="AD361" s="364"/>
      <c r="AE361" s="362"/>
      <c r="AF361" s="363"/>
      <c r="BB361" s="360" t="s">
        <v>175</v>
      </c>
      <c r="BC361" s="362"/>
      <c r="BD361" s="362"/>
      <c r="BE361" s="362"/>
      <c r="BF361" s="363"/>
    </row>
    <row r="362" spans="28:58">
      <c r="AB362" s="360" t="s">
        <v>567</v>
      </c>
      <c r="AC362" s="362">
        <f>AC524+AC624+AC724+AC824+AC924+AC1024+AC1124+AC1224+AC1324+AC1424+AC1524+AC1624+AC1724+AC1824+AC1924+AC2024+AC2124+AC2224+AC2324+AC2424</f>
        <v>0</v>
      </c>
      <c r="AD362" s="364" t="s">
        <v>564</v>
      </c>
      <c r="AE362" s="362"/>
      <c r="AF362" s="363"/>
      <c r="BB362" s="360" t="s">
        <v>176</v>
      </c>
      <c r="BC362" s="362"/>
      <c r="BD362" s="362"/>
      <c r="BE362" s="362"/>
      <c r="BF362" s="363"/>
    </row>
    <row r="363" spans="28:58">
      <c r="AB363" s="360"/>
      <c r="AC363" s="362"/>
      <c r="AD363" s="364"/>
      <c r="AE363" s="362"/>
      <c r="AF363" s="363"/>
      <c r="BB363" s="360" t="s">
        <v>177</v>
      </c>
      <c r="BC363" s="362"/>
      <c r="BD363" s="362"/>
      <c r="BE363" s="362"/>
      <c r="BF363" s="363"/>
    </row>
    <row r="364" spans="28:58">
      <c r="AB364" s="360" t="s">
        <v>568</v>
      </c>
      <c r="AC364" s="362">
        <f>AC526+AC626+AC726+AC826+AC926+AC1026+AC1126+AC1226+AC1326+AC1426+AC1526+AC1626+AC1726+AC1826+AC1926+AC2026+AC2126+AC2226+AC2326+AC2426</f>
        <v>0</v>
      </c>
      <c r="AD364" s="364" t="s">
        <v>564</v>
      </c>
      <c r="AE364" s="362">
        <f>AE526+AE626+AE726+AE826+AE926+AE1026+AE1126+AE1226+AE1326+AE1426+AE1526+AE1626+AE1726+AE1826+AE1926+AE2026+AE2126+AE2226+AE2326+AE2426</f>
        <v>0</v>
      </c>
      <c r="AF364" s="363" t="s">
        <v>569</v>
      </c>
      <c r="BB364" s="370"/>
      <c r="BC364" s="362"/>
      <c r="BD364" s="362"/>
      <c r="BE364" s="362"/>
      <c r="BF364" s="363"/>
    </row>
    <row r="365" spans="28:58">
      <c r="AB365" s="360"/>
      <c r="AC365" s="362"/>
      <c r="AD365" s="390"/>
      <c r="AE365" s="391"/>
      <c r="AF365" s="363"/>
      <c r="BB365" s="360"/>
      <c r="BC365" s="362"/>
      <c r="BD365" s="376"/>
      <c r="BE365" s="362"/>
      <c r="BF365" s="363"/>
    </row>
    <row r="366" spans="28:58">
      <c r="AB366" s="360" t="s">
        <v>570</v>
      </c>
      <c r="AC366" s="362">
        <f>AC528+AC628+AC728+AC828+AC928+AC1028+AC1128+AC1228+AC1328+AC1428+AC1528+AC1628+AC1728+AC1828+AC1928+AC2028+AC2128+AC2228+AC2328+AC2428</f>
        <v>0</v>
      </c>
      <c r="AD366" s="364" t="s">
        <v>564</v>
      </c>
      <c r="AE366" s="366">
        <f>AE528+AE628+AE728+AE828+AE928+AE1028+AE1128+AE1228+AE1328+AE1428+AE1528+AE1628+AE1728+AE1828+AE1928+AE2028+AE2128+AE2228+AE2328+AE2428</f>
        <v>0</v>
      </c>
      <c r="AF366" s="363" t="s">
        <v>569</v>
      </c>
      <c r="BB366" s="360"/>
      <c r="BC366" s="362"/>
      <c r="BD366" s="390"/>
      <c r="BE366" s="391"/>
      <c r="BF366" s="363"/>
    </row>
    <row r="367" spans="28:58">
      <c r="AB367" s="360"/>
      <c r="AC367" s="362"/>
      <c r="AD367" s="392"/>
      <c r="AE367" s="367"/>
      <c r="AF367" s="363"/>
      <c r="BB367" s="360"/>
      <c r="BC367" s="362"/>
      <c r="BD367" s="390"/>
      <c r="BE367" s="391"/>
      <c r="BF367" s="363"/>
    </row>
    <row r="368" spans="28:58">
      <c r="AB368" s="360" t="s">
        <v>571</v>
      </c>
      <c r="AC368" s="362">
        <f>AC530+AC630+AC730+AC830+AC930+AC1030+AC1130+AC1230+AC1330+AC1430+AC1530+AC1630+AC1730+AC1830+AC1930+AC2030+AC2130+AC2230+AC2330+AC2430</f>
        <v>0</v>
      </c>
      <c r="AD368" s="364" t="s">
        <v>564</v>
      </c>
      <c r="AE368" s="366">
        <f>AE530+AE630+AE730+AE830+AE930+AE1030+AE1130+AE1230+AE1330+AE1430+AE1530+AE1630+AE1730+AE1830+AE1930+AE2030+AE2130+AE2230+AE2330+AE2430</f>
        <v>0</v>
      </c>
      <c r="AF368" s="363" t="s">
        <v>569</v>
      </c>
      <c r="BB368" s="360"/>
      <c r="BC368" s="362"/>
      <c r="BD368" s="392"/>
      <c r="BE368" s="367"/>
      <c r="BF368" s="363"/>
    </row>
    <row r="369" spans="28:59">
      <c r="AB369" s="360"/>
      <c r="AC369" s="362"/>
      <c r="AD369" s="392"/>
      <c r="AE369" s="367"/>
      <c r="AF369" s="363"/>
      <c r="BB369" s="360"/>
      <c r="BC369" s="362"/>
      <c r="BD369" s="392"/>
      <c r="BE369" s="367"/>
      <c r="BF369" s="363"/>
    </row>
    <row r="370" spans="28:59">
      <c r="AB370" s="360"/>
      <c r="AC370" s="362"/>
      <c r="AD370" s="364"/>
      <c r="AE370" s="367"/>
      <c r="AF370" s="363"/>
      <c r="BB370" s="360"/>
      <c r="BC370" s="362"/>
      <c r="BD370" s="392"/>
      <c r="BE370" s="367"/>
      <c r="BF370" s="363"/>
    </row>
    <row r="371" spans="28:59">
      <c r="AB371" s="360"/>
      <c r="AC371" s="362"/>
      <c r="AD371" s="392"/>
      <c r="AE371" s="367"/>
      <c r="AF371" s="363"/>
      <c r="BB371" s="360"/>
      <c r="BC371" s="362"/>
      <c r="BD371" s="392"/>
      <c r="BE371" s="367"/>
      <c r="BF371" s="363"/>
    </row>
    <row r="372" spans="28:59" ht="14.5" thickBot="1">
      <c r="AB372" s="360"/>
      <c r="AC372" s="362"/>
      <c r="AD372" s="392"/>
      <c r="AE372" s="367"/>
      <c r="AF372" s="363"/>
      <c r="BB372" s="380"/>
      <c r="BC372" s="381"/>
      <c r="BD372" s="395"/>
      <c r="BE372" s="396"/>
      <c r="BF372" s="382"/>
    </row>
    <row r="373" spans="28:59" ht="14.5" thickBot="1">
      <c r="AB373" s="377"/>
      <c r="AC373" s="378"/>
      <c r="AD373" s="393"/>
      <c r="AE373" s="394"/>
      <c r="AF373" s="379"/>
      <c r="BB373" s="370" t="s">
        <v>461</v>
      </c>
      <c r="BC373" s="362"/>
      <c r="BD373" s="376"/>
      <c r="BE373" s="362"/>
      <c r="BF373" s="363"/>
    </row>
    <row r="374" spans="28:59">
      <c r="AB374" s="370" t="s">
        <v>287</v>
      </c>
      <c r="AC374" s="362"/>
      <c r="AD374" s="376"/>
      <c r="AE374" s="362"/>
      <c r="AF374" s="363"/>
      <c r="BB374" s="360" t="str">
        <f t="shared" ref="BB374:BB393" si="55">IF(BB45="Select Equipment", " ", BB45)</f>
        <v xml:space="preserve"> </v>
      </c>
      <c r="BC374" s="362">
        <f>BC573</f>
        <v>0</v>
      </c>
      <c r="BD374" s="392" t="s">
        <v>572</v>
      </c>
      <c r="BE374" s="367"/>
      <c r="BF374" s="363"/>
    </row>
    <row r="375" spans="28:59">
      <c r="AB375" s="360" t="str">
        <f t="shared" ref="AB375:AB394" si="56">IF(AB44="Select Equipment", " ", AB44)</f>
        <v>Hopper</v>
      </c>
      <c r="AC375" s="362">
        <f>AC573</f>
        <v>6</v>
      </c>
      <c r="AD375" s="392" t="s">
        <v>515</v>
      </c>
      <c r="AE375" s="397"/>
      <c r="AF375" s="363"/>
      <c r="BB375" s="360" t="str">
        <f t="shared" si="55"/>
        <v xml:space="preserve"> </v>
      </c>
      <c r="BC375" s="362">
        <f>BC673</f>
        <v>0</v>
      </c>
      <c r="BD375" s="392" t="s">
        <v>572</v>
      </c>
      <c r="BE375" s="362"/>
      <c r="BF375" s="363"/>
    </row>
    <row r="376" spans="28:59">
      <c r="AB376" s="360" t="str">
        <f t="shared" si="56"/>
        <v>Conveyor</v>
      </c>
      <c r="AC376" s="362">
        <f>AC673</f>
        <v>2</v>
      </c>
      <c r="AD376" s="392" t="s">
        <v>515</v>
      </c>
      <c r="AE376" s="388"/>
      <c r="AF376" s="363"/>
      <c r="BB376" s="360" t="str">
        <f t="shared" si="55"/>
        <v xml:space="preserve"> </v>
      </c>
      <c r="BC376" s="362">
        <f>BC773</f>
        <v>0</v>
      </c>
      <c r="BD376" s="392" t="s">
        <v>572</v>
      </c>
      <c r="BE376" s="367"/>
      <c r="BF376" s="363"/>
    </row>
    <row r="377" spans="28:59">
      <c r="AB377" s="360" t="str">
        <f t="shared" si="56"/>
        <v>Crusher</v>
      </c>
      <c r="AC377" s="362">
        <f>AC773</f>
        <v>6</v>
      </c>
      <c r="AD377" s="392" t="s">
        <v>515</v>
      </c>
      <c r="AE377" s="397"/>
      <c r="AF377" s="363"/>
      <c r="BB377" s="360" t="str">
        <f t="shared" si="55"/>
        <v xml:space="preserve"> </v>
      </c>
      <c r="BC377" s="362">
        <f>BC873</f>
        <v>0</v>
      </c>
      <c r="BD377" s="392" t="s">
        <v>572</v>
      </c>
      <c r="BE377" s="367"/>
      <c r="BF377" s="363"/>
    </row>
    <row r="378" spans="28:59">
      <c r="AB378" s="360" t="str">
        <f t="shared" si="56"/>
        <v>Screen, vibrating</v>
      </c>
      <c r="AC378" s="362">
        <f>AC873</f>
        <v>6</v>
      </c>
      <c r="AD378" s="392" t="s">
        <v>515</v>
      </c>
      <c r="AE378" s="397"/>
      <c r="AF378" s="363"/>
      <c r="BB378" s="360" t="str">
        <f t="shared" si="55"/>
        <v xml:space="preserve"> </v>
      </c>
      <c r="BC378" s="362">
        <f>BC973</f>
        <v>0</v>
      </c>
      <c r="BD378" s="392" t="s">
        <v>572</v>
      </c>
      <c r="BE378" s="367"/>
      <c r="BF378" s="398"/>
    </row>
    <row r="379" spans="28:59">
      <c r="AB379" s="360" t="str">
        <f t="shared" si="56"/>
        <v>Conveyor</v>
      </c>
      <c r="AC379" s="362">
        <f>AC973</f>
        <v>2</v>
      </c>
      <c r="AD379" s="392" t="s">
        <v>515</v>
      </c>
      <c r="AE379" s="397"/>
      <c r="AF379" s="398"/>
      <c r="BB379" s="360" t="str">
        <f t="shared" si="55"/>
        <v xml:space="preserve"> </v>
      </c>
      <c r="BC379" s="362">
        <f>BC1073</f>
        <v>0</v>
      </c>
      <c r="BD379" s="392" t="s">
        <v>572</v>
      </c>
      <c r="BE379" s="367"/>
      <c r="BF379" s="363"/>
    </row>
    <row r="380" spans="28:59">
      <c r="AB380" s="360" t="str">
        <f t="shared" si="56"/>
        <v>Heat treatment furnace</v>
      </c>
      <c r="AC380" s="362">
        <f>AC1073</f>
        <v>12</v>
      </c>
      <c r="AD380" s="392" t="s">
        <v>515</v>
      </c>
      <c r="AE380" s="397"/>
      <c r="AF380" s="363"/>
      <c r="BB380" s="360" t="str">
        <f t="shared" si="55"/>
        <v xml:space="preserve"> </v>
      </c>
      <c r="BC380" s="362">
        <f>BC1173</f>
        <v>0</v>
      </c>
      <c r="BD380" s="392" t="s">
        <v>572</v>
      </c>
      <c r="BE380" s="367"/>
      <c r="BF380" s="363"/>
    </row>
    <row r="381" spans="28:59">
      <c r="AB381" s="360" t="str">
        <f t="shared" si="56"/>
        <v>Cyclone</v>
      </c>
      <c r="AC381" s="362">
        <f>AC1173</f>
        <v>6</v>
      </c>
      <c r="AD381" s="392" t="s">
        <v>515</v>
      </c>
      <c r="AE381" s="397"/>
      <c r="AF381" s="363"/>
      <c r="BB381" s="360" t="str">
        <f t="shared" si="55"/>
        <v xml:space="preserve"> </v>
      </c>
      <c r="BC381" s="362">
        <f>BC1273</f>
        <v>0</v>
      </c>
      <c r="BD381" s="392" t="s">
        <v>572</v>
      </c>
      <c r="BE381" s="367"/>
      <c r="BF381" s="363"/>
    </row>
    <row r="382" spans="28:59">
      <c r="AB382" s="360" t="str">
        <f t="shared" si="56"/>
        <v>Conveyor</v>
      </c>
      <c r="AC382" s="362">
        <f>AC1273</f>
        <v>2</v>
      </c>
      <c r="AD382" s="392" t="s">
        <v>515</v>
      </c>
      <c r="AE382" s="397"/>
      <c r="AF382" s="363"/>
      <c r="BB382" s="360" t="str">
        <f t="shared" si="55"/>
        <v xml:space="preserve"> </v>
      </c>
      <c r="BC382" s="362">
        <f>BC1373</f>
        <v>0</v>
      </c>
      <c r="BD382" s="392" t="s">
        <v>572</v>
      </c>
      <c r="BE382" s="367"/>
      <c r="BF382" s="363"/>
    </row>
    <row r="383" spans="28:59">
      <c r="AB383" s="360" t="str">
        <f t="shared" si="56"/>
        <v>Eddy current separator</v>
      </c>
      <c r="AC383" s="362">
        <f>AC1373</f>
        <v>0</v>
      </c>
      <c r="AD383" s="392" t="s">
        <v>515</v>
      </c>
      <c r="AE383" s="397"/>
      <c r="AF383" s="363"/>
      <c r="BB383" s="360" t="str">
        <f t="shared" si="55"/>
        <v xml:space="preserve"> </v>
      </c>
      <c r="BC383" s="362">
        <f>BC1473</f>
        <v>0</v>
      </c>
      <c r="BD383" s="392" t="s">
        <v>572</v>
      </c>
      <c r="BE383" s="362"/>
      <c r="BF383" s="363"/>
    </row>
    <row r="384" spans="28:59">
      <c r="AB384" s="360" t="str">
        <f t="shared" si="56"/>
        <v>Conveyor</v>
      </c>
      <c r="AC384" s="362">
        <f>AC1473</f>
        <v>2</v>
      </c>
      <c r="AD384" s="392" t="s">
        <v>515</v>
      </c>
      <c r="AE384" s="388"/>
      <c r="AF384" s="363"/>
      <c r="AG384" s="399"/>
      <c r="AK384" s="400"/>
      <c r="AL384" s="400"/>
      <c r="BB384" s="360" t="str">
        <f t="shared" si="55"/>
        <v xml:space="preserve"> </v>
      </c>
      <c r="BC384" s="362">
        <f>BC1573</f>
        <v>0</v>
      </c>
      <c r="BD384" s="392" t="s">
        <v>572</v>
      </c>
      <c r="BE384" s="367"/>
      <c r="BF384" s="363"/>
      <c r="BG384" s="399"/>
    </row>
    <row r="385" spans="27:60">
      <c r="AA385" s="114"/>
      <c r="AB385" s="360" t="str">
        <f t="shared" si="56"/>
        <v>Air classifier</v>
      </c>
      <c r="AC385" s="362">
        <f>AC1573</f>
        <v>6</v>
      </c>
      <c r="AD385" s="392" t="s">
        <v>515</v>
      </c>
      <c r="AE385" s="397"/>
      <c r="AF385" s="363"/>
      <c r="AG385" s="401"/>
      <c r="AK385" s="402"/>
      <c r="AL385" s="402"/>
      <c r="BA385" s="114"/>
      <c r="BB385" s="360" t="str">
        <f t="shared" si="55"/>
        <v xml:space="preserve"> </v>
      </c>
      <c r="BC385" s="362">
        <f>BC1673</f>
        <v>0</v>
      </c>
      <c r="BD385" s="392" t="s">
        <v>572</v>
      </c>
      <c r="BE385" s="367"/>
      <c r="BF385" s="363"/>
      <c r="BG385" s="401"/>
    </row>
    <row r="386" spans="27:60">
      <c r="AA386" s="114"/>
      <c r="AB386" s="360" t="str">
        <f t="shared" si="56"/>
        <v>Gas treatment</v>
      </c>
      <c r="AC386" s="362">
        <f>AC1673</f>
        <v>12</v>
      </c>
      <c r="AD386" s="392" t="s">
        <v>515</v>
      </c>
      <c r="AE386" s="397"/>
      <c r="AF386" s="363"/>
      <c r="AG386" s="403"/>
      <c r="BA386" s="114"/>
      <c r="BB386" s="360" t="str">
        <f t="shared" si="55"/>
        <v xml:space="preserve"> </v>
      </c>
      <c r="BC386" s="362">
        <f>BC1773</f>
        <v>0</v>
      </c>
      <c r="BD386" s="392" t="s">
        <v>572</v>
      </c>
      <c r="BE386" s="367"/>
      <c r="BF386" s="363"/>
      <c r="BG386" s="403"/>
    </row>
    <row r="387" spans="27:60">
      <c r="AA387" s="114"/>
      <c r="AB387" s="360" t="str">
        <f t="shared" si="56"/>
        <v>Wheel loader</v>
      </c>
      <c r="AC387" s="362">
        <f>AC1773</f>
        <v>20</v>
      </c>
      <c r="AD387" s="392" t="s">
        <v>515</v>
      </c>
      <c r="AE387" s="397"/>
      <c r="AF387" s="363"/>
      <c r="AG387" s="404"/>
      <c r="BA387" s="114"/>
      <c r="BB387" s="360" t="str">
        <f t="shared" si="55"/>
        <v xml:space="preserve"> </v>
      </c>
      <c r="BC387" s="362">
        <f>BC1873</f>
        <v>0</v>
      </c>
      <c r="BD387" s="392" t="s">
        <v>572</v>
      </c>
      <c r="BE387" s="367"/>
      <c r="BF387" s="363"/>
      <c r="BG387" s="404"/>
    </row>
    <row r="388" spans="27:60">
      <c r="AA388" s="114"/>
      <c r="AB388" s="360" t="str">
        <f t="shared" si="56"/>
        <v xml:space="preserve"> </v>
      </c>
      <c r="AC388" s="362">
        <f>AC1873</f>
        <v>0</v>
      </c>
      <c r="AD388" s="392" t="s">
        <v>515</v>
      </c>
      <c r="AE388" s="397"/>
      <c r="AF388" s="363"/>
      <c r="AG388" s="405"/>
      <c r="BA388" s="114"/>
      <c r="BB388" s="360" t="str">
        <f t="shared" si="55"/>
        <v xml:space="preserve"> </v>
      </c>
      <c r="BC388" s="362">
        <f>BC1973</f>
        <v>0</v>
      </c>
      <c r="BD388" s="392" t="s">
        <v>572</v>
      </c>
      <c r="BE388" s="367"/>
      <c r="BF388" s="363"/>
      <c r="BG388" s="405"/>
    </row>
    <row r="389" spans="27:60">
      <c r="AA389" s="114"/>
      <c r="AB389" s="360" t="str">
        <f t="shared" si="56"/>
        <v xml:space="preserve"> </v>
      </c>
      <c r="AC389" s="362">
        <f>AC1973</f>
        <v>0</v>
      </c>
      <c r="AD389" s="392" t="s">
        <v>515</v>
      </c>
      <c r="AE389" s="397"/>
      <c r="AF389" s="363"/>
      <c r="AG389" s="406"/>
      <c r="BA389" s="114"/>
      <c r="BB389" s="360" t="str">
        <f t="shared" si="55"/>
        <v xml:space="preserve"> </v>
      </c>
      <c r="BC389" s="362">
        <f>BC2073</f>
        <v>0</v>
      </c>
      <c r="BD389" s="392" t="s">
        <v>572</v>
      </c>
      <c r="BE389" s="367"/>
      <c r="BF389" s="363"/>
      <c r="BG389" s="406"/>
    </row>
    <row r="390" spans="27:60">
      <c r="AA390" s="114"/>
      <c r="AB390" s="360" t="str">
        <f t="shared" si="56"/>
        <v xml:space="preserve"> </v>
      </c>
      <c r="AC390" s="362">
        <f>AC2073</f>
        <v>0</v>
      </c>
      <c r="AD390" s="392" t="s">
        <v>515</v>
      </c>
      <c r="AE390" s="397"/>
      <c r="AF390" s="363"/>
      <c r="AG390" s="266"/>
      <c r="BA390" s="114"/>
      <c r="BB390" s="360" t="str">
        <f t="shared" si="55"/>
        <v xml:space="preserve"> </v>
      </c>
      <c r="BC390" s="362">
        <f>BC2173</f>
        <v>0</v>
      </c>
      <c r="BD390" s="392" t="s">
        <v>572</v>
      </c>
      <c r="BE390" s="367"/>
      <c r="BF390" s="363"/>
      <c r="BG390" s="266"/>
    </row>
    <row r="391" spans="27:60">
      <c r="AA391" s="114"/>
      <c r="AB391" s="360" t="str">
        <f t="shared" si="56"/>
        <v xml:space="preserve"> </v>
      </c>
      <c r="AC391" s="362">
        <f>AC2173</f>
        <v>0</v>
      </c>
      <c r="AD391" s="392" t="s">
        <v>515</v>
      </c>
      <c r="AE391" s="397"/>
      <c r="AF391" s="363"/>
      <c r="AG391" s="266"/>
      <c r="BA391" s="114"/>
      <c r="BB391" s="360" t="str">
        <f t="shared" si="55"/>
        <v xml:space="preserve"> </v>
      </c>
      <c r="BC391" s="362">
        <f>BC2273</f>
        <v>0</v>
      </c>
      <c r="BD391" s="392" t="s">
        <v>572</v>
      </c>
      <c r="BE391" s="367"/>
      <c r="BF391" s="363"/>
      <c r="BG391" s="266"/>
    </row>
    <row r="392" spans="27:60">
      <c r="AA392" s="114"/>
      <c r="AB392" s="360" t="str">
        <f t="shared" si="56"/>
        <v xml:space="preserve"> </v>
      </c>
      <c r="AC392" s="362">
        <f>AC2273</f>
        <v>0</v>
      </c>
      <c r="AD392" s="392" t="s">
        <v>515</v>
      </c>
      <c r="AE392" s="397"/>
      <c r="AF392" s="363"/>
      <c r="AG392" s="407"/>
      <c r="BA392" s="114"/>
      <c r="BB392" s="360" t="str">
        <f t="shared" si="55"/>
        <v xml:space="preserve"> </v>
      </c>
      <c r="BC392" s="362">
        <f>BC2373</f>
        <v>0</v>
      </c>
      <c r="BD392" s="392" t="s">
        <v>572</v>
      </c>
      <c r="BE392" s="367"/>
      <c r="BF392" s="363"/>
      <c r="BG392" s="407"/>
    </row>
    <row r="393" spans="27:60">
      <c r="AA393" s="114"/>
      <c r="AB393" s="360" t="str">
        <f t="shared" si="56"/>
        <v xml:space="preserve"> </v>
      </c>
      <c r="AC393" s="362">
        <f>AC2373</f>
        <v>0</v>
      </c>
      <c r="AD393" s="392" t="s">
        <v>515</v>
      </c>
      <c r="AE393" s="397"/>
      <c r="AF393" s="363"/>
      <c r="AG393" s="266"/>
      <c r="BA393" s="114"/>
      <c r="BB393" s="360" t="str">
        <f t="shared" si="55"/>
        <v xml:space="preserve"> </v>
      </c>
      <c r="BC393" s="362">
        <f>BC2473</f>
        <v>0</v>
      </c>
      <c r="BD393" s="392" t="s">
        <v>572</v>
      </c>
      <c r="BE393" s="367"/>
      <c r="BF393" s="363"/>
      <c r="BG393" s="266"/>
    </row>
    <row r="394" spans="27:60">
      <c r="AA394" s="114"/>
      <c r="AB394" s="360" t="str">
        <f t="shared" si="56"/>
        <v xml:space="preserve"> </v>
      </c>
      <c r="AC394" s="362">
        <f>AC2473</f>
        <v>0</v>
      </c>
      <c r="AD394" s="392" t="s">
        <v>515</v>
      </c>
      <c r="AE394" s="397"/>
      <c r="AF394" s="363"/>
      <c r="AG394" s="408"/>
      <c r="BA394" s="114"/>
      <c r="BB394" s="360"/>
      <c r="BC394" s="362"/>
      <c r="BD394" s="392"/>
      <c r="BE394" s="367"/>
      <c r="BF394" s="363"/>
      <c r="BG394" s="408"/>
    </row>
    <row r="395" spans="27:60">
      <c r="AA395" s="114"/>
      <c r="AB395" s="360"/>
      <c r="AC395" s="362"/>
      <c r="AD395" s="392"/>
      <c r="AE395" s="397"/>
      <c r="AF395" s="363"/>
      <c r="BA395" s="114"/>
      <c r="BB395" s="360" t="s">
        <v>502</v>
      </c>
      <c r="BC395" s="362"/>
      <c r="BD395" s="392"/>
      <c r="BE395" s="367"/>
      <c r="BF395" s="363"/>
    </row>
    <row r="396" spans="27:60">
      <c r="AA396" s="114"/>
      <c r="AB396" s="360" t="s">
        <v>502</v>
      </c>
      <c r="AC396" s="362"/>
      <c r="AD396" s="392"/>
      <c r="AE396" s="367"/>
      <c r="AF396" s="363"/>
      <c r="BA396" s="114"/>
      <c r="BB396" s="360" t="s">
        <v>193</v>
      </c>
      <c r="BC396" s="362">
        <f>MAX(SUM(BC374:BC393),4.8*5*8)</f>
        <v>192</v>
      </c>
      <c r="BD396" s="392" t="s">
        <v>572</v>
      </c>
      <c r="BE396" s="412">
        <f>BC396/24</f>
        <v>8</v>
      </c>
      <c r="BF396" s="413" t="s">
        <v>573</v>
      </c>
    </row>
    <row r="397" spans="27:60">
      <c r="AA397" s="114"/>
      <c r="AB397" s="360" t="s">
        <v>193</v>
      </c>
      <c r="AC397" s="362">
        <f>MAX(SUM(AC375:AC394),4.8*5*8)</f>
        <v>192</v>
      </c>
      <c r="AD397" s="392" t="s">
        <v>515</v>
      </c>
      <c r="AE397" s="412">
        <f>AC397/24</f>
        <v>8</v>
      </c>
      <c r="AF397" s="413" t="s">
        <v>573</v>
      </c>
      <c r="AH397" s="409"/>
      <c r="BA397" s="114"/>
      <c r="BB397" s="360" t="s">
        <v>462</v>
      </c>
      <c r="BC397" s="960">
        <f>'Geographic Par.'!C32</f>
        <v>3</v>
      </c>
      <c r="BD397" s="392" t="s">
        <v>574</v>
      </c>
      <c r="BE397" s="367"/>
      <c r="BF397" s="363"/>
      <c r="BH397" s="409"/>
    </row>
    <row r="398" spans="27:60">
      <c r="AA398" s="114"/>
      <c r="AB398" s="360" t="s">
        <v>1839</v>
      </c>
      <c r="AC398" s="960">
        <f>'Geographic Par.'!C32</f>
        <v>3</v>
      </c>
      <c r="AD398" s="392" t="s">
        <v>574</v>
      </c>
      <c r="AE398" s="367"/>
      <c r="AF398" s="363"/>
      <c r="BA398" s="114"/>
      <c r="BB398" s="370" t="s">
        <v>463</v>
      </c>
      <c r="BC398" s="362">
        <f>BC396*BC397</f>
        <v>576</v>
      </c>
      <c r="BD398" s="376" t="s">
        <v>575</v>
      </c>
      <c r="BE398" s="362"/>
      <c r="BF398" s="363"/>
    </row>
    <row r="399" spans="27:60">
      <c r="AA399" s="114"/>
      <c r="AB399" s="370" t="s">
        <v>463</v>
      </c>
      <c r="AC399" s="362">
        <f>AC397*AC398</f>
        <v>576</v>
      </c>
      <c r="AD399" s="376" t="s">
        <v>575</v>
      </c>
      <c r="AE399" s="362"/>
      <c r="AF399" s="363"/>
      <c r="BA399" s="114"/>
      <c r="BB399" s="360"/>
      <c r="BC399" s="362"/>
      <c r="BD399" s="392"/>
      <c r="BE399" s="367"/>
      <c r="BF399" s="363"/>
    </row>
    <row r="400" spans="27:60">
      <c r="AA400" s="114"/>
      <c r="AB400" s="360"/>
      <c r="AC400" s="362"/>
      <c r="AD400" s="392"/>
      <c r="AE400" s="367"/>
      <c r="AF400" s="363"/>
      <c r="BA400" s="114"/>
      <c r="BB400" s="360" t="s">
        <v>464</v>
      </c>
      <c r="BC400" s="362">
        <v>1</v>
      </c>
      <c r="BD400" s="392"/>
      <c r="BE400" s="367"/>
      <c r="BF400" s="363"/>
    </row>
    <row r="401" spans="27:58">
      <c r="AA401" s="114"/>
      <c r="AB401" s="360" t="s">
        <v>464</v>
      </c>
      <c r="AC401" s="362">
        <v>1</v>
      </c>
      <c r="AD401" s="392"/>
      <c r="AE401" s="367"/>
      <c r="AF401" s="363"/>
      <c r="BA401" s="114"/>
      <c r="BB401" s="360" t="s">
        <v>463</v>
      </c>
      <c r="BC401" s="414">
        <f>BC398*BC307</f>
        <v>184320</v>
      </c>
      <c r="BD401" s="392" t="s">
        <v>458</v>
      </c>
      <c r="BE401" s="367"/>
      <c r="BF401" s="363"/>
    </row>
    <row r="402" spans="27:58">
      <c r="AA402" s="114"/>
      <c r="AB402" s="360" t="s">
        <v>463</v>
      </c>
      <c r="AC402" s="414">
        <f>AC399*AC307</f>
        <v>184320</v>
      </c>
      <c r="AD402" s="392" t="s">
        <v>458</v>
      </c>
      <c r="AE402" s="367"/>
      <c r="AF402" s="363"/>
      <c r="BA402" s="114"/>
      <c r="BB402" s="415"/>
      <c r="BC402" s="416"/>
      <c r="BD402" s="417"/>
      <c r="BE402" s="418"/>
      <c r="BF402" s="419"/>
    </row>
    <row r="403" spans="27:58">
      <c r="AA403" s="114"/>
      <c r="AB403" s="415"/>
      <c r="AC403" s="416"/>
      <c r="AD403" s="417"/>
      <c r="AE403" s="418"/>
      <c r="AF403" s="419"/>
      <c r="AJ403" s="420"/>
      <c r="BA403" s="114"/>
      <c r="BB403" s="370" t="s">
        <v>503</v>
      </c>
      <c r="BC403" s="362"/>
      <c r="BD403" s="392"/>
      <c r="BE403" s="367"/>
      <c r="BF403" s="363"/>
    </row>
    <row r="404" spans="27:58">
      <c r="AA404" s="114"/>
      <c r="AB404" s="370" t="s">
        <v>503</v>
      </c>
      <c r="AC404" s="362"/>
      <c r="AD404" s="392"/>
      <c r="AE404" s="367"/>
      <c r="AF404" s="363"/>
      <c r="AJ404" s="420"/>
      <c r="BA404" s="114"/>
      <c r="BB404" s="370"/>
      <c r="BC404" s="362"/>
      <c r="BD404" s="392"/>
      <c r="BE404" s="367"/>
      <c r="BF404" s="363"/>
    </row>
    <row r="405" spans="27:58">
      <c r="AA405" s="114"/>
      <c r="AB405" s="370"/>
      <c r="AC405" s="362"/>
      <c r="AD405" s="392"/>
      <c r="AE405" s="367"/>
      <c r="AF405" s="363"/>
      <c r="AJ405" s="420"/>
      <c r="BA405" s="114"/>
      <c r="BB405" s="360"/>
      <c r="BC405" s="362"/>
      <c r="BD405" s="392"/>
      <c r="BE405" s="367"/>
      <c r="BF405" s="363"/>
    </row>
    <row r="406" spans="27:58">
      <c r="AA406" s="114"/>
      <c r="AB406" s="370"/>
      <c r="AC406" s="362"/>
      <c r="AD406" s="392"/>
      <c r="AE406" s="367"/>
      <c r="AF406" s="363"/>
      <c r="BA406" s="114"/>
      <c r="BB406" s="360"/>
      <c r="BC406" s="362"/>
      <c r="BD406" s="392"/>
      <c r="BE406" s="367"/>
      <c r="BF406" s="363"/>
    </row>
    <row r="407" spans="27:58">
      <c r="AB407" s="360"/>
      <c r="AC407" s="362"/>
      <c r="AD407" s="422"/>
      <c r="AE407" s="367"/>
      <c r="AF407" s="423"/>
      <c r="BB407" s="360"/>
      <c r="BC407" s="362"/>
      <c r="BD407" s="392"/>
      <c r="BE407" s="367"/>
      <c r="BF407" s="363"/>
    </row>
    <row r="408" spans="27:58">
      <c r="AB408" s="424"/>
      <c r="AC408" s="362"/>
      <c r="AD408" s="422"/>
      <c r="AE408" s="367"/>
      <c r="AF408" s="423"/>
      <c r="BB408" s="360"/>
      <c r="BC408" s="362"/>
      <c r="BD408" s="392"/>
      <c r="BE408" s="367"/>
      <c r="BF408" s="363"/>
    </row>
    <row r="409" spans="27:58">
      <c r="AB409" s="360"/>
      <c r="AC409" s="362"/>
      <c r="AD409" s="422"/>
      <c r="AE409" s="367"/>
      <c r="AF409" s="423"/>
      <c r="BB409" s="360"/>
      <c r="BC409" s="362"/>
      <c r="BD409" s="392"/>
      <c r="BE409" s="367"/>
      <c r="BF409" s="363"/>
    </row>
    <row r="410" spans="27:58">
      <c r="AB410" s="360"/>
      <c r="AC410" s="362"/>
      <c r="AD410" s="422"/>
      <c r="AE410" s="367"/>
      <c r="AF410" s="423"/>
      <c r="BB410" s="360"/>
      <c r="BC410" s="362"/>
      <c r="BD410" s="392"/>
      <c r="BE410" s="367"/>
      <c r="BF410" s="363"/>
    </row>
    <row r="411" spans="27:58">
      <c r="AB411" s="360"/>
      <c r="AC411" s="362"/>
      <c r="AD411" s="422"/>
      <c r="AE411" s="367"/>
      <c r="AF411" s="423"/>
      <c r="BB411" s="360"/>
      <c r="BC411" s="362"/>
      <c r="BD411" s="392"/>
      <c r="BE411" s="367"/>
      <c r="BF411" s="363"/>
    </row>
    <row r="412" spans="27:58">
      <c r="AB412" s="360"/>
      <c r="AC412" s="368"/>
      <c r="AD412" s="422"/>
      <c r="AE412" s="367"/>
      <c r="AF412" s="425"/>
      <c r="AM412" s="420"/>
      <c r="BB412" s="360"/>
      <c r="BC412" s="362"/>
      <c r="BD412" s="392"/>
      <c r="BE412" s="367"/>
      <c r="BF412" s="363"/>
    </row>
    <row r="413" spans="27:58">
      <c r="AB413" s="360"/>
      <c r="AC413" s="362"/>
      <c r="AD413" s="392"/>
      <c r="AE413" s="367"/>
      <c r="AF413" s="363"/>
      <c r="AM413" s="420"/>
      <c r="BB413" s="360"/>
      <c r="BC413" s="362"/>
      <c r="BD413" s="392"/>
      <c r="BE413" s="367"/>
      <c r="BF413" s="363"/>
    </row>
    <row r="414" spans="27:58">
      <c r="AB414" s="360"/>
      <c r="AC414" s="362"/>
      <c r="AD414" s="392"/>
      <c r="AE414" s="367"/>
      <c r="AF414" s="363"/>
      <c r="AM414" s="420"/>
      <c r="BB414" s="360"/>
      <c r="BC414" s="362"/>
      <c r="BD414" s="392"/>
      <c r="BE414" s="367"/>
      <c r="BF414" s="363"/>
    </row>
    <row r="415" spans="27:58">
      <c r="AB415" s="360"/>
      <c r="AC415" s="362"/>
      <c r="AD415" s="392"/>
      <c r="AE415" s="367"/>
      <c r="AF415" s="363"/>
      <c r="BB415" s="360"/>
      <c r="BC415" s="362"/>
      <c r="BD415" s="392"/>
      <c r="BE415" s="367"/>
      <c r="BF415" s="363"/>
    </row>
    <row r="416" spans="27:58">
      <c r="AB416" s="360"/>
      <c r="AC416" s="362"/>
      <c r="AD416" s="392"/>
      <c r="AE416" s="367"/>
      <c r="AF416" s="363"/>
      <c r="AM416" s="420"/>
      <c r="BB416" s="360"/>
      <c r="BC416" s="362"/>
      <c r="BD416" s="376"/>
      <c r="BE416" s="367"/>
      <c r="BF416" s="363"/>
    </row>
    <row r="417" spans="28:58" ht="14.5" thickBot="1">
      <c r="AB417" s="360"/>
      <c r="AC417" s="362"/>
      <c r="AD417" s="376"/>
      <c r="AE417" s="367"/>
      <c r="AF417" s="363"/>
      <c r="BB417" s="380"/>
      <c r="BC417" s="381"/>
      <c r="BD417" s="427"/>
      <c r="BE417" s="396"/>
      <c r="BF417" s="382"/>
    </row>
    <row r="418" spans="28:58" ht="14.5" thickBot="1">
      <c r="AB418" s="377"/>
      <c r="AC418" s="378"/>
      <c r="AD418" s="426"/>
      <c r="AE418" s="394"/>
      <c r="AF418" s="379"/>
      <c r="BB418" s="1599" t="s">
        <v>472</v>
      </c>
      <c r="BC418" s="358"/>
      <c r="BD418" s="358"/>
      <c r="BE418" s="358" t="s">
        <v>482</v>
      </c>
      <c r="BF418" s="359"/>
    </row>
    <row r="419" spans="28:58" ht="15.5">
      <c r="AB419" s="370" t="s">
        <v>472</v>
      </c>
      <c r="AC419" s="362"/>
      <c r="AD419" s="362"/>
      <c r="AE419" s="362"/>
      <c r="AF419" s="363"/>
      <c r="BB419" s="1604" t="s">
        <v>1795</v>
      </c>
      <c r="BC419" s="1248"/>
      <c r="BD419" s="1605">
        <f ca="1">BD420+BD430+BD432+BD434</f>
        <v>0</v>
      </c>
      <c r="BE419" s="1248"/>
      <c r="BF419" s="1606"/>
    </row>
    <row r="420" spans="28:58" ht="15.5">
      <c r="AB420" s="1604" t="s">
        <v>1795</v>
      </c>
      <c r="AC420" s="1248"/>
      <c r="AD420" s="1605">
        <f>AD421+AD431+AD433+AD435</f>
        <v>0</v>
      </c>
      <c r="AE420" s="1248"/>
      <c r="AF420" s="1606"/>
      <c r="BB420" s="360" t="s">
        <v>1811</v>
      </c>
      <c r="BC420" s="362"/>
      <c r="BD420" s="390">
        <f ca="1">SUM(BD421:BD428)</f>
        <v>0</v>
      </c>
      <c r="BE420" s="428"/>
      <c r="BF420" s="363"/>
    </row>
    <row r="421" spans="28:58" ht="14.5">
      <c r="AB421" s="360" t="s">
        <v>1811</v>
      </c>
      <c r="AC421" s="362"/>
      <c r="AD421" s="390">
        <f>SUM(AD422:AD429)</f>
        <v>0</v>
      </c>
      <c r="AE421" s="428"/>
      <c r="AF421" s="363"/>
      <c r="BA421" s="647"/>
      <c r="BB421" s="360" t="s">
        <v>483</v>
      </c>
      <c r="BC421" s="362"/>
      <c r="BD421" s="392">
        <f>(BE583+BE683+BE783+BE883+BE983+BE1083+BE1183+BE1283+BE1383+BE1483+BE1583+BE1683+BE1783+BE1883+BE1983+BE2083+BE2183+BE2283+BE2383+BE2483)*'Geographic Par.'!C31</f>
        <v>0</v>
      </c>
      <c r="BE421" s="428"/>
      <c r="BF421" s="900"/>
    </row>
    <row r="422" spans="28:58" ht="14.5">
      <c r="AB422" s="360" t="s">
        <v>483</v>
      </c>
      <c r="AC422" s="362"/>
      <c r="AD422" s="392">
        <f>IFERROR((AE583+AE683+AE783+AE883+AE983+AE1083+AE1183+AE1283+AE1383+AE1483+AE1583+AE1683+AE1783+AE1883+AE1983+AE2083+AE2183+AE2283+AE2383+AE2483)*'Geographic Par.'!C31,0)</f>
        <v>0</v>
      </c>
      <c r="AE422" s="428"/>
      <c r="AF422" s="900"/>
      <c r="BB422" s="1601" t="s">
        <v>1803</v>
      </c>
      <c r="BC422" s="362"/>
      <c r="BD422" s="390">
        <f ca="1">BD$422*BE422</f>
        <v>0</v>
      </c>
      <c r="BE422" s="1619">
        <f>IF($BC$8="Solids",60%,50%)</f>
        <v>0.5</v>
      </c>
      <c r="BF422" s="363" t="s">
        <v>1802</v>
      </c>
    </row>
    <row r="423" spans="28:58">
      <c r="AB423" s="1601" t="s">
        <v>1803</v>
      </c>
      <c r="AC423" s="362"/>
      <c r="AD423" s="390">
        <f t="shared" ref="AD423:AD429" si="57">AD$422*AE423</f>
        <v>0</v>
      </c>
      <c r="AE423" s="1619">
        <v>0.5</v>
      </c>
      <c r="AF423" s="363" t="s">
        <v>1802</v>
      </c>
      <c r="BB423" s="360" t="s">
        <v>1804</v>
      </c>
      <c r="BC423" s="362"/>
      <c r="BD423" s="390">
        <f t="shared" ref="BD423:BD428" ca="1" si="58">BD$422*BE423</f>
        <v>0</v>
      </c>
      <c r="BE423" s="1619">
        <f>IF($BC$8="Solids",20%,60%)</f>
        <v>0.6</v>
      </c>
      <c r="BF423" s="363" t="s">
        <v>1802</v>
      </c>
    </row>
    <row r="424" spans="28:58">
      <c r="AB424" s="360" t="s">
        <v>1804</v>
      </c>
      <c r="AC424" s="362"/>
      <c r="AD424" s="390">
        <f t="shared" si="57"/>
        <v>0</v>
      </c>
      <c r="AE424" s="1619">
        <v>0.6</v>
      </c>
      <c r="AF424" s="363" t="s">
        <v>1802</v>
      </c>
      <c r="BB424" s="360" t="s">
        <v>1805</v>
      </c>
      <c r="BC424" s="362"/>
      <c r="BD424" s="390">
        <f t="shared" ca="1" si="58"/>
        <v>0</v>
      </c>
      <c r="BE424" s="1619">
        <f>IF($BC$8="Solids",20%,30%)</f>
        <v>0.3</v>
      </c>
      <c r="BF424" s="363" t="s">
        <v>1802</v>
      </c>
    </row>
    <row r="425" spans="28:58">
      <c r="AB425" s="360" t="s">
        <v>1805</v>
      </c>
      <c r="AC425" s="362"/>
      <c r="AD425" s="390">
        <f t="shared" si="57"/>
        <v>0</v>
      </c>
      <c r="AE425" s="1619">
        <v>0.3</v>
      </c>
      <c r="AF425" s="363" t="s">
        <v>1802</v>
      </c>
      <c r="BB425" s="360" t="s">
        <v>1806</v>
      </c>
      <c r="BC425" s="362"/>
      <c r="BD425" s="390">
        <f t="shared" ca="1" si="58"/>
        <v>0</v>
      </c>
      <c r="BE425" s="1619">
        <f>IF($BC$8="Solids",15%,20%)</f>
        <v>0.2</v>
      </c>
      <c r="BF425" s="363" t="s">
        <v>1802</v>
      </c>
    </row>
    <row r="426" spans="28:58">
      <c r="AB426" s="360" t="s">
        <v>1806</v>
      </c>
      <c r="AC426" s="362"/>
      <c r="AD426" s="390">
        <f t="shared" si="57"/>
        <v>0</v>
      </c>
      <c r="AE426" s="1619">
        <v>0.2</v>
      </c>
      <c r="AF426" s="363" t="s">
        <v>1802</v>
      </c>
      <c r="BB426" s="360" t="s">
        <v>1807</v>
      </c>
      <c r="BC426" s="362"/>
      <c r="BD426" s="390">
        <f t="shared" ca="1" si="58"/>
        <v>0</v>
      </c>
      <c r="BE426" s="1619">
        <f>IF($BC$8="Solids",20%,30%)</f>
        <v>0.3</v>
      </c>
      <c r="BF426" s="363" t="s">
        <v>1802</v>
      </c>
    </row>
    <row r="427" spans="28:58">
      <c r="AB427" s="360" t="s">
        <v>1807</v>
      </c>
      <c r="AC427" s="362"/>
      <c r="AD427" s="390">
        <f t="shared" si="57"/>
        <v>0</v>
      </c>
      <c r="AE427" s="1619">
        <v>0.3</v>
      </c>
      <c r="AF427" s="363" t="s">
        <v>1802</v>
      </c>
      <c r="BB427" s="360" t="s">
        <v>1808</v>
      </c>
      <c r="BC427" s="362"/>
      <c r="BD427" s="390">
        <f t="shared" ca="1" si="58"/>
        <v>0</v>
      </c>
      <c r="BE427" s="1619">
        <f>IF($BC$8="Solids",10%,20%)</f>
        <v>0.2</v>
      </c>
      <c r="BF427" s="363" t="s">
        <v>1802</v>
      </c>
    </row>
    <row r="428" spans="28:58">
      <c r="AB428" s="360" t="s">
        <v>1808</v>
      </c>
      <c r="AC428" s="362"/>
      <c r="AD428" s="390">
        <f t="shared" si="57"/>
        <v>0</v>
      </c>
      <c r="AE428" s="1619">
        <v>0.2</v>
      </c>
      <c r="AF428" s="363" t="s">
        <v>1802</v>
      </c>
      <c r="BB428" s="360" t="s">
        <v>1809</v>
      </c>
      <c r="BC428" s="362"/>
      <c r="BD428" s="390">
        <f t="shared" ca="1" si="58"/>
        <v>0</v>
      </c>
      <c r="BE428" s="1619">
        <f>IF($BC$8="Solids",5%,10%)</f>
        <v>0.1</v>
      </c>
      <c r="BF428" s="363" t="s">
        <v>1802</v>
      </c>
    </row>
    <row r="429" spans="28:58">
      <c r="AB429" s="360" t="s">
        <v>1809</v>
      </c>
      <c r="AC429" s="362"/>
      <c r="AD429" s="390">
        <f t="shared" si="57"/>
        <v>0</v>
      </c>
      <c r="AE429" s="1619">
        <v>0.1</v>
      </c>
      <c r="AF429" s="363" t="s">
        <v>1802</v>
      </c>
      <c r="BB429" s="360"/>
      <c r="BC429" s="362"/>
      <c r="BD429" s="392"/>
      <c r="BE429" s="428"/>
      <c r="BF429" s="363"/>
    </row>
    <row r="430" spans="28:58">
      <c r="AB430" s="360"/>
      <c r="AC430" s="362"/>
      <c r="AD430" s="392"/>
      <c r="AE430" s="428"/>
      <c r="AF430" s="363"/>
      <c r="BB430" s="360" t="s">
        <v>1812</v>
      </c>
      <c r="BC430" s="362"/>
      <c r="BD430" s="390">
        <f ca="1">BD420*BE430</f>
        <v>0</v>
      </c>
      <c r="BE430" s="1619">
        <v>0.4</v>
      </c>
      <c r="BF430" s="363" t="s">
        <v>1810</v>
      </c>
    </row>
    <row r="431" spans="28:58">
      <c r="AB431" s="360" t="s">
        <v>1812</v>
      </c>
      <c r="AC431" s="362"/>
      <c r="AD431" s="390">
        <f>AD421*AE431</f>
        <v>0</v>
      </c>
      <c r="AE431" s="1619">
        <v>0.4</v>
      </c>
      <c r="AF431" s="363" t="s">
        <v>1810</v>
      </c>
      <c r="BB431" s="360"/>
      <c r="BC431" s="362"/>
      <c r="BD431" s="392"/>
      <c r="BE431" s="428"/>
      <c r="BF431" s="363"/>
    </row>
    <row r="432" spans="28:58">
      <c r="AB432" s="360"/>
      <c r="AC432" s="362"/>
      <c r="AD432" s="392"/>
      <c r="AE432" s="428"/>
      <c r="AF432" s="363"/>
      <c r="BB432" s="360" t="s">
        <v>1814</v>
      </c>
      <c r="BC432" s="362"/>
      <c r="BD432" s="390">
        <f ca="1">(BD420+BD430)*BE432</f>
        <v>0</v>
      </c>
      <c r="BE432" s="1619">
        <f>IF($BC$8="Solids",20%,25%)</f>
        <v>0.25</v>
      </c>
      <c r="BF432" s="363" t="s">
        <v>1813</v>
      </c>
    </row>
    <row r="433" spans="28:61">
      <c r="AB433" s="360" t="s">
        <v>1814</v>
      </c>
      <c r="AC433" s="362"/>
      <c r="AD433" s="390">
        <f>(AD421+AD431)*AE433</f>
        <v>0</v>
      </c>
      <c r="AE433" s="1619">
        <v>0.25</v>
      </c>
      <c r="AF433" s="363" t="s">
        <v>1813</v>
      </c>
      <c r="BB433" s="360"/>
      <c r="BC433" s="362"/>
      <c r="BD433" s="392"/>
      <c r="BE433" s="367"/>
      <c r="BF433" s="363"/>
    </row>
    <row r="434" spans="28:61">
      <c r="AB434" s="360"/>
      <c r="AC434" s="362"/>
      <c r="AD434" s="392"/>
      <c r="AE434" s="367"/>
      <c r="AF434" s="363"/>
      <c r="BB434" s="360" t="s">
        <v>1815</v>
      </c>
      <c r="BC434" s="362"/>
      <c r="BD434" s="390">
        <f ca="1">(BD420+BD432)*BE434</f>
        <v>0</v>
      </c>
      <c r="BE434" s="1619">
        <v>0.1</v>
      </c>
      <c r="BF434" s="363" t="s">
        <v>1813</v>
      </c>
    </row>
    <row r="435" spans="28:61">
      <c r="AB435" s="360" t="s">
        <v>1815</v>
      </c>
      <c r="AC435" s="362"/>
      <c r="AD435" s="390">
        <f>(AD421+AD433)*AE435</f>
        <v>0</v>
      </c>
      <c r="AE435" s="1619">
        <v>0.1</v>
      </c>
      <c r="AF435" s="363" t="s">
        <v>1813</v>
      </c>
      <c r="BB435" s="360"/>
      <c r="BC435" s="362"/>
      <c r="BD435" s="392"/>
      <c r="BE435" s="391"/>
      <c r="BF435" s="363"/>
    </row>
    <row r="436" spans="28:61">
      <c r="AB436" s="360"/>
      <c r="AC436" s="362"/>
      <c r="AD436" s="392"/>
      <c r="AE436" s="391"/>
      <c r="AF436" s="363"/>
      <c r="BB436" s="360"/>
      <c r="BC436" s="362"/>
      <c r="BD436" s="392"/>
      <c r="BE436" s="391"/>
      <c r="BF436" s="363"/>
    </row>
    <row r="437" spans="28:61">
      <c r="AB437" s="360"/>
      <c r="AC437" s="362"/>
      <c r="AD437" s="392"/>
      <c r="AE437" s="391"/>
      <c r="AF437" s="363"/>
      <c r="BB437" s="1607" t="s">
        <v>1856</v>
      </c>
      <c r="BC437" s="1248"/>
      <c r="BD437" s="1609">
        <f ca="1">IF(BD470=0,0,BD441*7/52-BD443*2/52+2%*(BD420+BD430))</f>
        <v>0</v>
      </c>
      <c r="BE437" s="1616" t="s">
        <v>1857</v>
      </c>
      <c r="BF437" s="1617">
        <f ca="1">0.15*BD419</f>
        <v>0</v>
      </c>
    </row>
    <row r="438" spans="28:61">
      <c r="AB438" s="1607" t="s">
        <v>1856</v>
      </c>
      <c r="AC438" s="1248"/>
      <c r="AD438" s="1609">
        <f ca="1">IF(AD471=0,0,AD442*7/52-AD444*2/52+2%*(AD421+AD431))</f>
        <v>78980.609418282547</v>
      </c>
      <c r="AE438" s="1616" t="s">
        <v>1857</v>
      </c>
      <c r="AF438" s="1617">
        <f>0.15*AD420</f>
        <v>0</v>
      </c>
      <c r="BB438" s="360"/>
      <c r="BC438" s="362"/>
      <c r="BD438" s="392"/>
      <c r="BE438" s="391"/>
      <c r="BF438" s="363"/>
    </row>
    <row r="439" spans="28:61">
      <c r="AB439" s="360"/>
      <c r="AC439" s="362"/>
      <c r="AD439" s="392"/>
      <c r="AE439" s="391"/>
      <c r="AF439" s="363"/>
      <c r="BB439" s="1607" t="s">
        <v>1817</v>
      </c>
      <c r="BC439" s="1248"/>
      <c r="BD439" s="1605">
        <f ca="1">BD419+BD437</f>
        <v>0</v>
      </c>
      <c r="BE439" s="1608"/>
      <c r="BF439" s="1606"/>
    </row>
    <row r="440" spans="28:61">
      <c r="AB440" s="1607" t="s">
        <v>1817</v>
      </c>
      <c r="AC440" s="1248"/>
      <c r="AD440" s="1605">
        <f ca="1">AD420+AD438</f>
        <v>78980.609418282547</v>
      </c>
      <c r="AE440" s="1608"/>
      <c r="AF440" s="1606"/>
      <c r="BB440" s="360"/>
      <c r="BC440" s="362"/>
      <c r="BD440" s="392"/>
      <c r="BE440" s="391"/>
      <c r="BF440" s="363"/>
    </row>
    <row r="441" spans="28:61">
      <c r="AB441" s="360"/>
      <c r="AC441" s="362"/>
      <c r="AD441" s="392"/>
      <c r="AE441" s="391"/>
      <c r="AF441" s="363"/>
      <c r="BB441" s="1607" t="s">
        <v>1823</v>
      </c>
      <c r="BC441" s="1248"/>
      <c r="BD441" s="1605">
        <f ca="1">IF(BD470=0,0,BD442+BD448)</f>
        <v>0</v>
      </c>
      <c r="BE441" s="1608"/>
      <c r="BF441" s="1606"/>
    </row>
    <row r="442" spans="28:61">
      <c r="AB442" s="1607" t="s">
        <v>1823</v>
      </c>
      <c r="AC442" s="1248"/>
      <c r="AD442" s="1605">
        <f ca="1">IF(AD471=0,0,AD443+AD449)</f>
        <v>586713.09853581327</v>
      </c>
      <c r="AE442" s="1608"/>
      <c r="AF442" s="1606"/>
      <c r="BB442" s="360" t="s">
        <v>1824</v>
      </c>
      <c r="BC442" s="362"/>
      <c r="BD442" s="392">
        <f>SUM(BD443:BD447)</f>
        <v>0</v>
      </c>
      <c r="BE442" s="391"/>
      <c r="BF442" s="363"/>
    </row>
    <row r="443" spans="28:61" ht="14.5">
      <c r="AB443" s="360" t="s">
        <v>1824</v>
      </c>
      <c r="AC443" s="362"/>
      <c r="AD443" s="392">
        <f>SUM(AD444:AD448)</f>
        <v>0</v>
      </c>
      <c r="AE443" s="391"/>
      <c r="AF443" s="363"/>
      <c r="BB443" s="360" t="s">
        <v>1818</v>
      </c>
      <c r="BC443" s="362"/>
      <c r="BD443" s="392">
        <f>SUMPRODUCT(BC321:BC329,BE321:BE329)</f>
        <v>0</v>
      </c>
      <c r="BE443" s="428"/>
      <c r="BF443" s="900"/>
      <c r="BG443" s="1010" t="e">
        <f>(BD443+BD445)/BC$15/1000</f>
        <v>#DIV/0!</v>
      </c>
      <c r="BH443" s="111" t="s">
        <v>286</v>
      </c>
    </row>
    <row r="444" spans="28:61" ht="14.5">
      <c r="AB444" s="360" t="s">
        <v>1818</v>
      </c>
      <c r="AC444" s="362"/>
      <c r="AD444" s="392">
        <f>SUMPRODUCT(AC322:AC329,AE322:AE329)</f>
        <v>0</v>
      </c>
      <c r="AE444" s="428"/>
      <c r="AF444" s="900"/>
      <c r="AG444" s="1010" t="e">
        <f>(AD444+AD446)/AC$14/1000</f>
        <v>#DIV/0!</v>
      </c>
      <c r="AH444" s="111" t="s">
        <v>286</v>
      </c>
      <c r="BB444" s="360" t="s">
        <v>1819</v>
      </c>
      <c r="BC444" s="362"/>
      <c r="BD444" s="392">
        <f>SUMPRODUCT(BC314:BC317,BE314:BE317)</f>
        <v>0</v>
      </c>
      <c r="BE444" s="428"/>
      <c r="BF444" s="900"/>
      <c r="BG444" s="1010" t="e">
        <f>BD444/BC$15/1000</f>
        <v>#DIV/0!</v>
      </c>
      <c r="BH444" t="s">
        <v>1435</v>
      </c>
    </row>
    <row r="445" spans="28:61" ht="14.5">
      <c r="AB445" s="360" t="s">
        <v>1819</v>
      </c>
      <c r="AC445" s="362"/>
      <c r="AD445" s="392">
        <f>SUMPRODUCT(AC314:AC317,AE314:AE317)</f>
        <v>0</v>
      </c>
      <c r="AE445" s="428"/>
      <c r="AF445" s="900"/>
      <c r="AG445" s="1010" t="e">
        <f>AD445/AC$14/1000</f>
        <v>#DIV/0!</v>
      </c>
      <c r="AH445" t="s">
        <v>1435</v>
      </c>
      <c r="BB445" s="360" t="s">
        <v>1821</v>
      </c>
      <c r="BC445" s="362"/>
      <c r="BD445" s="392">
        <f>BD443*BE445</f>
        <v>0</v>
      </c>
      <c r="BE445" s="1619">
        <v>0.03</v>
      </c>
      <c r="BF445" s="363" t="s">
        <v>1833</v>
      </c>
      <c r="BG445" s="272"/>
    </row>
    <row r="446" spans="28:61" ht="14.5">
      <c r="AB446" s="360" t="s">
        <v>1821</v>
      </c>
      <c r="AC446" s="362"/>
      <c r="AD446" s="392">
        <f>AD444*AE446</f>
        <v>0</v>
      </c>
      <c r="AE446" s="1619">
        <v>0.03</v>
      </c>
      <c r="AF446" s="363" t="s">
        <v>1833</v>
      </c>
      <c r="AG446" s="272"/>
      <c r="BB446" s="360" t="s">
        <v>1820</v>
      </c>
      <c r="BC446" s="362"/>
      <c r="BD446" s="392">
        <f>SUMPRODUCT(BC319:BC320,BE319:BE320)</f>
        <v>0</v>
      </c>
      <c r="BE446" s="428"/>
      <c r="BF446" s="900"/>
      <c r="BG446" s="1010" t="e">
        <f>(BD446+BD447)/BC$15/1000</f>
        <v>#DIV/0!</v>
      </c>
      <c r="BH446" s="111" t="s">
        <v>1866</v>
      </c>
    </row>
    <row r="447" spans="28:61" ht="14.5">
      <c r="AB447" s="360" t="s">
        <v>1820</v>
      </c>
      <c r="AC447" s="362"/>
      <c r="AD447" s="392">
        <f>SUMPRODUCT(AC319:AC320,AE319:AE320)</f>
        <v>0</v>
      </c>
      <c r="AE447" s="428"/>
      <c r="AF447" s="900"/>
      <c r="AG447" s="1010" t="e">
        <f>(AD447+AD448)/AC$14/1000</f>
        <v>#DIV/0!</v>
      </c>
      <c r="AH447" s="111" t="s">
        <v>1866</v>
      </c>
      <c r="BB447" s="360" t="s">
        <v>1822</v>
      </c>
      <c r="BC447" s="362"/>
      <c r="BD447" s="392">
        <f>BD443*BE447</f>
        <v>0</v>
      </c>
      <c r="BE447" s="1619">
        <v>0.02</v>
      </c>
      <c r="BF447" s="363" t="s">
        <v>1833</v>
      </c>
      <c r="BG447" s="272"/>
      <c r="BH447" s="1011" t="e">
        <f>BG443+BG444+BG446</f>
        <v>#DIV/0!</v>
      </c>
      <c r="BI447" s="111" t="s">
        <v>1863</v>
      </c>
    </row>
    <row r="448" spans="28:61">
      <c r="AB448" s="360" t="s">
        <v>1822</v>
      </c>
      <c r="AC448" s="362"/>
      <c r="AD448" s="392">
        <f>AD444*AE448</f>
        <v>0</v>
      </c>
      <c r="AE448" s="1619">
        <v>0.02</v>
      </c>
      <c r="AF448" s="363" t="s">
        <v>1833</v>
      </c>
      <c r="AG448" s="272"/>
      <c r="AH448" s="1011" t="e">
        <f>AG444+AG445+AG447</f>
        <v>#DIV/0!</v>
      </c>
      <c r="AI448" s="111" t="s">
        <v>1863</v>
      </c>
      <c r="BB448" s="360" t="s">
        <v>1826</v>
      </c>
      <c r="BC448" s="362"/>
      <c r="BD448" s="392">
        <f ca="1">IF(BD470=0,0,BD449+BD453+BD454+BD455+BD456+BD460+BD461+BD462)</f>
        <v>0</v>
      </c>
      <c r="BE448" s="391"/>
      <c r="BF448" s="363"/>
      <c r="BH448" s="1011" t="e">
        <f ca="1">BD448/BC$15/1000</f>
        <v>#DIV/0!</v>
      </c>
      <c r="BI448" s="111" t="s">
        <v>1864</v>
      </c>
    </row>
    <row r="449" spans="28:60" ht="14.5">
      <c r="AB449" s="360" t="s">
        <v>1826</v>
      </c>
      <c r="AC449" s="362"/>
      <c r="AD449" s="392">
        <f ca="1">IF(AD471=0,0,AD450+AD454+AD455+AD456+AD457+AD461+AD462+AD463)</f>
        <v>586713.09853581327</v>
      </c>
      <c r="AE449" s="391"/>
      <c r="AF449" s="363"/>
      <c r="AH449" s="1011" t="e">
        <f ca="1">AD449/AC$14/1000</f>
        <v>#DIV/0!</v>
      </c>
      <c r="AI449" s="111" t="s">
        <v>1864</v>
      </c>
      <c r="BB449" s="360" t="s">
        <v>1846</v>
      </c>
      <c r="BC449" s="362"/>
      <c r="BD449" s="392">
        <f>BD450+BD451+BD452</f>
        <v>0</v>
      </c>
      <c r="BE449" s="428"/>
      <c r="BF449" s="900"/>
      <c r="BG449" s="1010" t="e">
        <f>BD449/BC$15/1000</f>
        <v>#DIV/0!</v>
      </c>
      <c r="BH449" s="111" t="s">
        <v>461</v>
      </c>
    </row>
    <row r="450" spans="28:60" ht="14.5">
      <c r="AB450" s="360" t="s">
        <v>1846</v>
      </c>
      <c r="AC450" s="362"/>
      <c r="AD450" s="392">
        <f>AD451+AD452+AD453</f>
        <v>345600</v>
      </c>
      <c r="AE450" s="428"/>
      <c r="AF450" s="900"/>
      <c r="AG450" s="1010" t="e">
        <f>AD450/AC$14/1000</f>
        <v>#DIV/0!</v>
      </c>
      <c r="AH450" s="111" t="s">
        <v>461</v>
      </c>
      <c r="BB450" s="1610" t="s">
        <v>1825</v>
      </c>
      <c r="BC450" s="362"/>
      <c r="BD450" s="392">
        <f>IF(BC8="Select plant type",0,BC401)</f>
        <v>0</v>
      </c>
      <c r="BE450" s="428"/>
      <c r="BF450" s="900"/>
      <c r="BG450" s="272"/>
    </row>
    <row r="451" spans="28:60" ht="14.5">
      <c r="AB451" s="1610" t="s">
        <v>1825</v>
      </c>
      <c r="AC451" s="362"/>
      <c r="AD451" s="392">
        <f>AC402</f>
        <v>184320</v>
      </c>
      <c r="AE451" s="428"/>
      <c r="AF451" s="900"/>
      <c r="AG451" s="272"/>
      <c r="BB451" s="1610" t="s">
        <v>1827</v>
      </c>
      <c r="BC451" s="362"/>
      <c r="BD451" s="392">
        <f>BD450*BE451</f>
        <v>0</v>
      </c>
      <c r="BE451" s="1619">
        <v>0.25</v>
      </c>
      <c r="BF451" s="363" t="s">
        <v>1831</v>
      </c>
      <c r="BG451" s="272"/>
    </row>
    <row r="452" spans="28:60">
      <c r="AB452" s="1610" t="s">
        <v>1827</v>
      </c>
      <c r="AC452" s="362"/>
      <c r="AD452" s="392">
        <f>AD451*AE452</f>
        <v>46080</v>
      </c>
      <c r="AE452" s="1619">
        <v>0.25</v>
      </c>
      <c r="AF452" s="363" t="s">
        <v>1831</v>
      </c>
      <c r="AG452" s="272"/>
      <c r="BB452" s="1610" t="s">
        <v>1828</v>
      </c>
      <c r="BC452" s="362"/>
      <c r="BD452" s="392">
        <f>(BD450+BD451)*BE452</f>
        <v>0</v>
      </c>
      <c r="BE452" s="1619">
        <v>0.5</v>
      </c>
      <c r="BF452" s="363" t="s">
        <v>1845</v>
      </c>
    </row>
    <row r="453" spans="28:60">
      <c r="AB453" s="1610" t="s">
        <v>1828</v>
      </c>
      <c r="AC453" s="362"/>
      <c r="AD453" s="392">
        <f>(AD451+AD452)*AE453</f>
        <v>115200</v>
      </c>
      <c r="AE453" s="1619">
        <v>0.5</v>
      </c>
      <c r="AF453" s="363" t="s">
        <v>1845</v>
      </c>
      <c r="BB453" s="360" t="s">
        <v>1829</v>
      </c>
      <c r="BC453" s="362"/>
      <c r="BD453" s="392">
        <f ca="1">BD420*BE453</f>
        <v>0</v>
      </c>
      <c r="BE453" s="1619">
        <v>0.05</v>
      </c>
      <c r="BF453" s="363" t="s">
        <v>1832</v>
      </c>
      <c r="BG453" s="1010" t="e">
        <f ca="1">BD453/BC$15/1000</f>
        <v>#DIV/0!</v>
      </c>
      <c r="BH453" s="111" t="s">
        <v>475</v>
      </c>
    </row>
    <row r="454" spans="28:60">
      <c r="AB454" s="360" t="s">
        <v>1829</v>
      </c>
      <c r="AC454" s="362"/>
      <c r="AD454" s="392">
        <f>AD421*AE454</f>
        <v>0</v>
      </c>
      <c r="AE454" s="1619">
        <v>0.05</v>
      </c>
      <c r="AF454" s="363" t="s">
        <v>1832</v>
      </c>
      <c r="AG454" s="1010" t="e">
        <f>AD454/AC$14/1000</f>
        <v>#DIV/0!</v>
      </c>
      <c r="AH454" s="111" t="s">
        <v>475</v>
      </c>
      <c r="BB454" s="360" t="s">
        <v>1830</v>
      </c>
      <c r="BC454" s="362"/>
      <c r="BD454" s="392">
        <f ca="1">(BD420+BD430)*BE454</f>
        <v>0</v>
      </c>
      <c r="BE454" s="1619">
        <v>0.01</v>
      </c>
      <c r="BF454" s="363" t="s">
        <v>1813</v>
      </c>
      <c r="BG454" s="272"/>
    </row>
    <row r="455" spans="28:60">
      <c r="AB455" s="360" t="s">
        <v>1830</v>
      </c>
      <c r="AC455" s="362"/>
      <c r="AD455" s="392">
        <f>(AD421+AD431)*AE455</f>
        <v>0</v>
      </c>
      <c r="AE455" s="1619">
        <v>0.01</v>
      </c>
      <c r="AF455" s="363" t="s">
        <v>1813</v>
      </c>
      <c r="AG455" s="272"/>
      <c r="BB455" s="360" t="s">
        <v>1834</v>
      </c>
      <c r="BC455" s="362"/>
      <c r="BD455" s="392">
        <f ca="1">(BD420+BD430)*BE455</f>
        <v>0</v>
      </c>
      <c r="BE455" s="1619">
        <v>0.02</v>
      </c>
      <c r="BF455" s="363" t="s">
        <v>1813</v>
      </c>
      <c r="BG455" s="272"/>
    </row>
    <row r="456" spans="28:60">
      <c r="AB456" s="360" t="s">
        <v>1834</v>
      </c>
      <c r="AC456" s="362"/>
      <c r="AD456" s="392">
        <f>(AD421+AD431)*AE456</f>
        <v>0</v>
      </c>
      <c r="AE456" s="1619">
        <v>0.02</v>
      </c>
      <c r="AF456" s="363" t="s">
        <v>1813</v>
      </c>
      <c r="AG456" s="272"/>
      <c r="BB456" s="360" t="s">
        <v>1835</v>
      </c>
      <c r="BC456" s="362"/>
      <c r="BD456" s="392">
        <f ca="1">IF(BD470=0,0,SUM(BD457:BD459))</f>
        <v>0</v>
      </c>
      <c r="BE456" s="1611" t="s">
        <v>1844</v>
      </c>
      <c r="BF456" s="1612">
        <f ca="1">0.65*(BD449+BD453)</f>
        <v>0</v>
      </c>
      <c r="BG456" s="1010" t="e">
        <f ca="1">BD456/BC$15/1000</f>
        <v>#DIV/0!</v>
      </c>
      <c r="BH456" s="111" t="s">
        <v>1091</v>
      </c>
    </row>
    <row r="457" spans="28:60">
      <c r="AB457" s="360" t="s">
        <v>1835</v>
      </c>
      <c r="AC457" s="362"/>
      <c r="AD457" s="392">
        <f ca="1">IF(AD471=0,0,SUM(AD458:AD460))</f>
        <v>230507.13098535812</v>
      </c>
      <c r="AE457" s="1611" t="s">
        <v>1844</v>
      </c>
      <c r="AF457" s="1612">
        <f>0.65*(AD450+AD454)</f>
        <v>224640</v>
      </c>
      <c r="AG457" s="1010" t="e">
        <f ca="1">AD457/AC$14/1000</f>
        <v>#DIV/0!</v>
      </c>
      <c r="AH457" s="111" t="s">
        <v>1091</v>
      </c>
      <c r="BB457" s="1601" t="s">
        <v>1840</v>
      </c>
      <c r="BC457" s="362"/>
      <c r="BD457" s="392">
        <f>BE457*BM184*BC13*1000</f>
        <v>0</v>
      </c>
      <c r="BE457" s="1619">
        <v>0.01</v>
      </c>
      <c r="BF457" s="363" t="s">
        <v>1843</v>
      </c>
      <c r="BG457" s="1010" t="e">
        <f ca="1">(BD454+BD455+BD460+BD461+BD462)/BC$15/1000</f>
        <v>#DIV/0!</v>
      </c>
      <c r="BH457" s="111" t="s">
        <v>1865</v>
      </c>
    </row>
    <row r="458" spans="28:60">
      <c r="AB458" s="1601" t="s">
        <v>1840</v>
      </c>
      <c r="AC458" s="362"/>
      <c r="AD458" s="392">
        <f>AE458*AL184*AC14*1000</f>
        <v>0</v>
      </c>
      <c r="AE458" s="1619">
        <v>0.01</v>
      </c>
      <c r="AF458" s="363" t="s">
        <v>1843</v>
      </c>
      <c r="AG458" s="1010" t="e">
        <f ca="1">(AD455+AD456+AD461+AD462+AD463)/AC$14/1000</f>
        <v>#DIV/0!</v>
      </c>
      <c r="AH458" s="111" t="s">
        <v>1865</v>
      </c>
      <c r="BB458" s="1601" t="s">
        <v>1841</v>
      </c>
      <c r="BC458" s="362"/>
      <c r="BD458" s="1625">
        <f ca="1">IF(BD470=0,0,BE458*BD468)</f>
        <v>0</v>
      </c>
      <c r="BE458" s="1619">
        <v>0.01</v>
      </c>
      <c r="BF458" s="363" t="s">
        <v>1859</v>
      </c>
      <c r="BG458" s="272"/>
    </row>
    <row r="459" spans="28:60">
      <c r="AB459" s="1601" t="s">
        <v>1841</v>
      </c>
      <c r="AC459" s="362"/>
      <c r="AD459" s="1625">
        <f ca="1">IF(AD471=0,0,AE459*AD469)</f>
        <v>5867.1309853581324</v>
      </c>
      <c r="AE459" s="1619">
        <v>0.01</v>
      </c>
      <c r="AF459" s="363" t="s">
        <v>1859</v>
      </c>
      <c r="AG459" s="272"/>
      <c r="BB459" s="1601" t="s">
        <v>1842</v>
      </c>
      <c r="BC459" s="362"/>
      <c r="BD459" s="392">
        <f>BD449*BE459</f>
        <v>0</v>
      </c>
      <c r="BE459" s="1619">
        <v>0.65</v>
      </c>
      <c r="BF459" s="363" t="s">
        <v>1858</v>
      </c>
      <c r="BG459"/>
    </row>
    <row r="460" spans="28:60">
      <c r="AB460" s="1601" t="s">
        <v>1842</v>
      </c>
      <c r="AC460" s="362"/>
      <c r="AD460" s="392">
        <f>AD450*AE460</f>
        <v>224640</v>
      </c>
      <c r="AE460" s="1619">
        <v>0.65</v>
      </c>
      <c r="AF460" s="363" t="s">
        <v>1858</v>
      </c>
      <c r="AG460"/>
      <c r="BB460" s="360" t="s">
        <v>1836</v>
      </c>
      <c r="BC460" s="362"/>
      <c r="BD460" s="392">
        <f ca="1">(BD420+BD430)*BE460</f>
        <v>0</v>
      </c>
      <c r="BE460" s="1619">
        <v>0.01</v>
      </c>
      <c r="BF460" s="363" t="s">
        <v>1813</v>
      </c>
      <c r="BG460"/>
    </row>
    <row r="461" spans="28:60">
      <c r="AB461" s="360" t="s">
        <v>1836</v>
      </c>
      <c r="AC461" s="362"/>
      <c r="AD461" s="392">
        <f>(AD421+AD431)*AE461</f>
        <v>0</v>
      </c>
      <c r="AE461" s="1619">
        <v>0.01</v>
      </c>
      <c r="AF461" s="363" t="s">
        <v>1813</v>
      </c>
      <c r="AG461"/>
      <c r="BB461" s="360" t="s">
        <v>1837</v>
      </c>
      <c r="BC461" s="362"/>
      <c r="BD461" s="1625">
        <f ca="1">IF(BD470=0,0,BE461*BD468)</f>
        <v>0</v>
      </c>
      <c r="BE461" s="1619">
        <v>0.01</v>
      </c>
      <c r="BF461" s="363" t="s">
        <v>1859</v>
      </c>
      <c r="BG461"/>
    </row>
    <row r="462" spans="28:60">
      <c r="AB462" s="360" t="s">
        <v>1837</v>
      </c>
      <c r="AC462" s="362"/>
      <c r="AD462" s="1625">
        <f ca="1">IF(AD471=0,0,AE462*AD469)</f>
        <v>5867.1309853581324</v>
      </c>
      <c r="AE462" s="1619">
        <v>0.01</v>
      </c>
      <c r="AF462" s="363" t="s">
        <v>1859</v>
      </c>
      <c r="AG462"/>
      <c r="BB462" s="360" t="s">
        <v>1838</v>
      </c>
      <c r="BC462" s="362"/>
      <c r="BD462" s="392">
        <f ca="1">BD463+BD464</f>
        <v>0</v>
      </c>
      <c r="BE462" s="391"/>
      <c r="BF462" s="363"/>
      <c r="BG462"/>
      <c r="BH462" s="409"/>
    </row>
    <row r="463" spans="28:60">
      <c r="AB463" s="360" t="s">
        <v>1838</v>
      </c>
      <c r="AC463" s="362"/>
      <c r="AD463" s="392">
        <f ca="1">AD464+AD465</f>
        <v>4738.8365650969527</v>
      </c>
      <c r="AE463" s="391"/>
      <c r="AF463" s="363"/>
      <c r="AG463"/>
      <c r="AH463" s="409"/>
      <c r="BB463" s="1601" t="s">
        <v>1852</v>
      </c>
      <c r="BC463" s="362"/>
      <c r="BD463" s="376">
        <f ca="1">BE463*BD419</f>
        <v>0</v>
      </c>
      <c r="BE463" s="1619">
        <v>0</v>
      </c>
      <c r="BF463" s="363" t="s">
        <v>1853</v>
      </c>
      <c r="BH463" s="409"/>
    </row>
    <row r="464" spans="28:60">
      <c r="AB464" s="1601" t="s">
        <v>1852</v>
      </c>
      <c r="AC464" s="362"/>
      <c r="AD464" s="376">
        <f>AE464*AD420</f>
        <v>0</v>
      </c>
      <c r="AE464" s="1619">
        <v>0</v>
      </c>
      <c r="AF464" s="363" t="s">
        <v>1853</v>
      </c>
      <c r="AH464" s="409"/>
      <c r="BB464" s="1601" t="s">
        <v>1855</v>
      </c>
      <c r="BC464" s="362"/>
      <c r="BD464" s="386">
        <f ca="1">IF(BD470=0,0,BE464*BD437)</f>
        <v>0</v>
      </c>
      <c r="BE464" s="1619">
        <v>0.06</v>
      </c>
      <c r="BF464" s="363" t="s">
        <v>1854</v>
      </c>
    </row>
    <row r="465" spans="28:61">
      <c r="AB465" s="1601" t="s">
        <v>1855</v>
      </c>
      <c r="AC465" s="362"/>
      <c r="AD465" s="386">
        <f ca="1">IF(AD471=0,0,AE465*AD438)</f>
        <v>4738.8365650969527</v>
      </c>
      <c r="AE465" s="1619">
        <v>0.06</v>
      </c>
      <c r="AF465" s="363" t="s">
        <v>1854</v>
      </c>
      <c r="BB465" s="360"/>
      <c r="BC465" s="362"/>
      <c r="BD465" s="386"/>
      <c r="BE465" s="391"/>
      <c r="BF465" s="363"/>
      <c r="BG465" s="115"/>
    </row>
    <row r="466" spans="28:61">
      <c r="AB466" s="360"/>
      <c r="AC466" s="362"/>
      <c r="AD466" s="386"/>
      <c r="AE466" s="391"/>
      <c r="AF466" s="363"/>
      <c r="AG466" s="115"/>
      <c r="BB466" s="1607" t="s">
        <v>1861</v>
      </c>
      <c r="BC466" s="1248"/>
      <c r="BD466" s="1605">
        <f ca="1">BE466*(1+BE466)^BC13/((1+BE466)^BC13-1)*BD419</f>
        <v>0</v>
      </c>
      <c r="BE466" s="1618">
        <f>'CM Rec Par.'!$C$9</f>
        <v>0.01</v>
      </c>
      <c r="BF466" s="1606" t="s">
        <v>1860</v>
      </c>
      <c r="BH466" s="1010" t="e">
        <f ca="1">BD466/BC$15/1000</f>
        <v>#DIV/0!</v>
      </c>
      <c r="BI466" s="111" t="s">
        <v>1867</v>
      </c>
    </row>
    <row r="467" spans="28:61">
      <c r="AB467" s="1607" t="s">
        <v>1861</v>
      </c>
      <c r="AC467" s="1248"/>
      <c r="AD467" s="1605">
        <f>AE467*(1+AE467)^AC12/((1+AE467)^AC12-1)*AD420</f>
        <v>0</v>
      </c>
      <c r="AE467" s="1618">
        <f>'CM Rec Par.'!$C$9</f>
        <v>0.01</v>
      </c>
      <c r="AF467" s="1606" t="s">
        <v>1860</v>
      </c>
      <c r="AH467" s="1010" t="e">
        <f>AD467/AC$14/1000</f>
        <v>#DIV/0!</v>
      </c>
      <c r="AI467" s="111" t="s">
        <v>1867</v>
      </c>
      <c r="BB467" s="360"/>
      <c r="BC467" s="362"/>
      <c r="BD467" s="392"/>
      <c r="BE467" s="391"/>
      <c r="BF467" s="363"/>
    </row>
    <row r="468" spans="28:61" ht="14.5" thickBot="1">
      <c r="AB468" s="360"/>
      <c r="AC468" s="362"/>
      <c r="AD468" s="392"/>
      <c r="AE468" s="391"/>
      <c r="AF468" s="363"/>
      <c r="BB468" s="1620" t="s">
        <v>1862</v>
      </c>
      <c r="BC468" s="1621"/>
      <c r="BD468" s="1624">
        <f ca="1">IF(BD470=0,0,BD441+BD466)</f>
        <v>0</v>
      </c>
      <c r="BE468" s="1622"/>
      <c r="BF468" s="1623"/>
      <c r="BG468" s="646"/>
      <c r="BH468" s="1010" t="e">
        <f ca="1">BD468/BC$15/1000</f>
        <v>#DIV/0!</v>
      </c>
      <c r="BI468" s="111" t="s">
        <v>1868</v>
      </c>
    </row>
    <row r="469" spans="28:61" ht="14.5" thickBot="1">
      <c r="AB469" s="1620" t="s">
        <v>1862</v>
      </c>
      <c r="AC469" s="1621"/>
      <c r="AD469" s="1624">
        <f ca="1">IF(AD471=0,0,AD442+AD467)</f>
        <v>586713.09853581327</v>
      </c>
      <c r="AE469" s="1622"/>
      <c r="AF469" s="1623"/>
      <c r="AG469" s="646"/>
      <c r="AH469" s="1010" t="e">
        <f ca="1">AD469/AC$14/1000</f>
        <v>#DIV/0!</v>
      </c>
      <c r="AI469" s="111" t="s">
        <v>1868</v>
      </c>
      <c r="BB469" s="411"/>
      <c r="BC469" s="218"/>
      <c r="BD469" s="429"/>
      <c r="BE469" s="430"/>
    </row>
    <row r="470" spans="28:61">
      <c r="AB470" s="411"/>
      <c r="AC470" s="218"/>
      <c r="AD470" s="429"/>
      <c r="AE470" s="430"/>
      <c r="BB470" s="1613" t="s">
        <v>504</v>
      </c>
      <c r="BC470" s="1614"/>
      <c r="BD470" s="1615">
        <f>Output!K33</f>
        <v>1</v>
      </c>
      <c r="BE470" s="430"/>
    </row>
    <row r="471" spans="28:61" ht="14.15" customHeight="1">
      <c r="AB471" s="1613" t="s">
        <v>504</v>
      </c>
      <c r="AC471" s="1614"/>
      <c r="AD471" s="1615">
        <f>Output!K33</f>
        <v>1</v>
      </c>
      <c r="AE471" s="430"/>
      <c r="BD471" s="429"/>
      <c r="BE471" s="430"/>
    </row>
    <row r="472" spans="28:61" ht="14.15" customHeight="1">
      <c r="AD472" s="429"/>
      <c r="AE472" s="430"/>
      <c r="BD472" s="429"/>
      <c r="BE472" s="430"/>
    </row>
    <row r="473" spans="28:61" ht="14.15" customHeight="1">
      <c r="AD473" s="429"/>
      <c r="AE473" s="430"/>
      <c r="BD473" s="429"/>
      <c r="BE473" s="430"/>
    </row>
    <row r="474" spans="28:61" ht="14.15" customHeight="1">
      <c r="AD474" s="429"/>
      <c r="AE474" s="430"/>
      <c r="BD474" s="429"/>
      <c r="BE474" s="430"/>
    </row>
    <row r="475" spans="28:61" ht="14.15" customHeight="1">
      <c r="AD475" s="429"/>
      <c r="AE475" s="430"/>
      <c r="BD475" s="429"/>
      <c r="BE475" s="430"/>
    </row>
    <row r="476" spans="28:61" ht="14.15" customHeight="1">
      <c r="AD476" s="429"/>
      <c r="AE476" s="430"/>
      <c r="BD476" s="429"/>
      <c r="BE476" s="430"/>
    </row>
    <row r="477" spans="28:61" ht="14.15" customHeight="1">
      <c r="AD477" s="429"/>
      <c r="AE477" s="430"/>
      <c r="BD477" s="429"/>
      <c r="BE477" s="430"/>
    </row>
    <row r="478" spans="28:61" ht="14.15" customHeight="1">
      <c r="AD478" s="429"/>
      <c r="AE478" s="430"/>
      <c r="BD478" s="429"/>
      <c r="BE478" s="430"/>
    </row>
    <row r="479" spans="28:61" ht="14.15" customHeight="1">
      <c r="AD479" s="429"/>
      <c r="AE479" s="430"/>
      <c r="BD479" s="429"/>
      <c r="BE479" s="430"/>
    </row>
    <row r="480" spans="28:61" ht="14.15" customHeight="1">
      <c r="AD480" s="429"/>
      <c r="AE480" s="430"/>
      <c r="BD480" s="429"/>
      <c r="BE480" s="430"/>
    </row>
    <row r="481" spans="30:57" ht="14.15" customHeight="1">
      <c r="AD481" s="429"/>
      <c r="AE481" s="430"/>
      <c r="BD481" s="429"/>
      <c r="BE481" s="430"/>
    </row>
    <row r="482" spans="30:57" ht="14.15" customHeight="1">
      <c r="AD482" s="429"/>
      <c r="AE482" s="430"/>
      <c r="BD482" s="429"/>
      <c r="BE482" s="430"/>
    </row>
    <row r="483" spans="30:57" ht="14.15" customHeight="1">
      <c r="AD483" s="429"/>
      <c r="AE483" s="430"/>
      <c r="BD483" s="429"/>
      <c r="BE483" s="430"/>
    </row>
    <row r="484" spans="30:57" ht="14.15" customHeight="1">
      <c r="AD484" s="429"/>
      <c r="AE484" s="430"/>
      <c r="BD484" s="429"/>
      <c r="BE484" s="430"/>
    </row>
    <row r="485" spans="30:57" ht="14.15" customHeight="1">
      <c r="AD485" s="429"/>
      <c r="AE485" s="430"/>
      <c r="BD485" s="429"/>
      <c r="BE485" s="430"/>
    </row>
    <row r="486" spans="30:57" ht="14.15" customHeight="1">
      <c r="AD486" s="429"/>
      <c r="AE486" s="430"/>
      <c r="BD486" s="429"/>
      <c r="BE486" s="430"/>
    </row>
    <row r="487" spans="30:57" ht="14.15" customHeight="1">
      <c r="AD487" s="429"/>
      <c r="AE487" s="430"/>
      <c r="BD487" s="429"/>
      <c r="BE487" s="430"/>
    </row>
    <row r="488" spans="30:57" ht="14.15" customHeight="1">
      <c r="AD488" s="429"/>
      <c r="AE488" s="430"/>
      <c r="BD488" s="429"/>
      <c r="BE488" s="430"/>
    </row>
    <row r="489" spans="30:57" ht="14.15" customHeight="1">
      <c r="AD489" s="429"/>
      <c r="AE489" s="430"/>
      <c r="BD489" s="429"/>
      <c r="BE489" s="430"/>
    </row>
    <row r="490" spans="30:57" ht="14.15" customHeight="1">
      <c r="AD490" s="429"/>
      <c r="AE490" s="430"/>
      <c r="BD490" s="429"/>
      <c r="BE490" s="430"/>
    </row>
    <row r="491" spans="30:57" ht="14.15" customHeight="1">
      <c r="AD491" s="429"/>
      <c r="AE491" s="430"/>
      <c r="BD491" s="429"/>
      <c r="BE491" s="430"/>
    </row>
    <row r="492" spans="30:57" ht="14.15" customHeight="1">
      <c r="AD492" s="429"/>
      <c r="AE492" s="430"/>
      <c r="BD492" s="429"/>
      <c r="BE492" s="430"/>
    </row>
    <row r="493" spans="30:57" ht="14.15" customHeight="1">
      <c r="AD493" s="429"/>
      <c r="AE493" s="430"/>
      <c r="BD493" s="429"/>
      <c r="BE493" s="430"/>
    </row>
    <row r="494" spans="30:57" ht="14.15" customHeight="1">
      <c r="AD494" s="429"/>
      <c r="AE494" s="430"/>
      <c r="BD494" s="429"/>
      <c r="BE494" s="430"/>
    </row>
    <row r="495" spans="30:57" ht="14.15" customHeight="1">
      <c r="AD495" s="429"/>
      <c r="AE495" s="430"/>
      <c r="BD495" s="429"/>
      <c r="BE495" s="430"/>
    </row>
    <row r="496" spans="30:57" ht="14.15" customHeight="1">
      <c r="AD496" s="429"/>
      <c r="AE496" s="430"/>
      <c r="BD496" s="429"/>
      <c r="BE496" s="430"/>
    </row>
    <row r="497" spans="26:60" ht="14.15" customHeight="1">
      <c r="AD497" s="429"/>
      <c r="AE497" s="430"/>
      <c r="BD497" s="429"/>
      <c r="BE497" s="430"/>
    </row>
    <row r="498" spans="26:60" ht="14.15" customHeight="1">
      <c r="AD498" s="429"/>
      <c r="AE498" s="430"/>
      <c r="BD498" s="429"/>
      <c r="BE498" s="430"/>
    </row>
    <row r="499" spans="26:60" ht="14.15" customHeight="1">
      <c r="AD499" s="429"/>
      <c r="AE499" s="430"/>
      <c r="BD499" s="429"/>
      <c r="BE499" s="430"/>
    </row>
    <row r="500" spans="26:60" ht="14.15" customHeight="1" thickBot="1"/>
    <row r="501" spans="26:60" ht="14.15" customHeight="1">
      <c r="AA501" s="114" t="s">
        <v>478</v>
      </c>
      <c r="AB501" s="431" t="str">
        <f>AB44</f>
        <v>Hopper</v>
      </c>
      <c r="AC501" s="432"/>
      <c r="AD501" s="433"/>
      <c r="AE501" s="434"/>
      <c r="AF501" s="435"/>
      <c r="AG501" s="409"/>
      <c r="BB501" s="431" t="str">
        <f>BB45</f>
        <v>Select Equipment</v>
      </c>
      <c r="BC501" s="432"/>
      <c r="BD501" s="433"/>
      <c r="BE501" s="434"/>
      <c r="BF501" s="435"/>
    </row>
    <row r="502" spans="26:60" ht="14.15" customHeight="1">
      <c r="AA502" s="114" t="s">
        <v>5</v>
      </c>
      <c r="AB502" s="436" t="s">
        <v>1</v>
      </c>
      <c r="AC502" s="437">
        <f>AC$14/AC$11/AC$10*VLOOKUP(AB501,'Unit Ops'!$B$140:$J$209,2,FALSE)</f>
        <v>0</v>
      </c>
      <c r="AD502" s="438" t="s">
        <v>586</v>
      </c>
      <c r="AE502" s="1027">
        <f>AC502*AC$306*AC$307</f>
        <v>0</v>
      </c>
      <c r="AF502" s="439" t="s">
        <v>585</v>
      </c>
      <c r="AG502" s="409"/>
      <c r="BA502" s="114" t="s">
        <v>478</v>
      </c>
      <c r="BB502" s="436" t="s">
        <v>1</v>
      </c>
      <c r="BC502" s="437">
        <f>BC$15/BC$11/BC$12*VLOOKUP(BB501,'Unit Ops'!$B$140:$J$209,2,FALSE)</f>
        <v>0</v>
      </c>
      <c r="BD502" s="438" t="s">
        <v>586</v>
      </c>
      <c r="BE502" s="1027">
        <f>BC502*BC$306*BC$307</f>
        <v>0</v>
      </c>
      <c r="BF502" s="439" t="s">
        <v>585</v>
      </c>
      <c r="BG502" s="409"/>
    </row>
    <row r="503" spans="26:60" ht="14.15" customHeight="1">
      <c r="Z503"/>
      <c r="AA503" s="114" t="str">
        <f>$AB$44</f>
        <v>Hopper</v>
      </c>
      <c r="AB503" s="436" t="s">
        <v>505</v>
      </c>
      <c r="AC503" s="437">
        <f>ROUNDUP(AC502*IF(VLOOKUP(AB501,'Unit Ops'!$B$140:$L$209,11,FALSE)=1,1.5,0.75),1)</f>
        <v>0</v>
      </c>
      <c r="AD503" s="438" t="s">
        <v>586</v>
      </c>
      <c r="AE503" s="120">
        <f>AC503*AC$306*AC$307</f>
        <v>0</v>
      </c>
      <c r="AF503" s="439" t="s">
        <v>585</v>
      </c>
      <c r="AG503" s="409"/>
      <c r="BA503" s="114" t="s">
        <v>5</v>
      </c>
      <c r="BB503" s="436" t="s">
        <v>505</v>
      </c>
      <c r="BC503" s="437">
        <f>ROUNDUP(BC502*IF(VLOOKUP(BB501,'Unit Ops'!$B$140:$L$209,11,FALSE)=1,1.5,0.75),1)</f>
        <v>0</v>
      </c>
      <c r="BD503" s="438" t="s">
        <v>586</v>
      </c>
      <c r="BE503" s="120">
        <f>BC503*BC$306*BC$307</f>
        <v>0</v>
      </c>
      <c r="BF503" s="439" t="s">
        <v>585</v>
      </c>
      <c r="BG503" s="409"/>
    </row>
    <row r="504" spans="26:60" ht="14.15" customHeight="1">
      <c r="Z504"/>
      <c r="AA504" s="114" t="str">
        <f>$AB$45</f>
        <v>Conveyor</v>
      </c>
      <c r="AB504" s="441" t="s">
        <v>521</v>
      </c>
      <c r="AC504" s="442" t="e">
        <f>AC502/AC503</f>
        <v>#DIV/0!</v>
      </c>
      <c r="AD504" s="438"/>
      <c r="AE504" s="443"/>
      <c r="AF504" s="440"/>
      <c r="AG504" s="444"/>
      <c r="AZ504"/>
      <c r="BA504" s="114" t="str">
        <f>$BB$45</f>
        <v>Select Equipment</v>
      </c>
      <c r="BB504" s="441" t="s">
        <v>521</v>
      </c>
      <c r="BC504" s="442" t="e">
        <f>BC502/BC503</f>
        <v>#DIV/0!</v>
      </c>
      <c r="BD504" s="438"/>
      <c r="BE504" s="443"/>
      <c r="BF504" s="440"/>
      <c r="BG504" s="409"/>
    </row>
    <row r="505" spans="26:60" ht="14.15" customHeight="1">
      <c r="Z505"/>
      <c r="AA505" s="114" t="str">
        <f>$AB$46</f>
        <v>Crusher</v>
      </c>
      <c r="AB505" s="441" t="s">
        <v>506</v>
      </c>
      <c r="AC505" s="445"/>
      <c r="AD505" s="438" t="s">
        <v>454</v>
      </c>
      <c r="AE505" s="443"/>
      <c r="AF505" s="440"/>
      <c r="AG505" s="409"/>
      <c r="AZ505"/>
      <c r="BA505" s="114" t="str">
        <f>$BB$46</f>
        <v>Select Equipment</v>
      </c>
      <c r="BB505" s="441" t="s">
        <v>506</v>
      </c>
      <c r="BC505" s="445"/>
      <c r="BD505" s="438" t="s">
        <v>454</v>
      </c>
      <c r="BE505" s="443"/>
      <c r="BF505" s="440"/>
      <c r="BG505" s="444"/>
    </row>
    <row r="506" spans="26:60" ht="14.15" customHeight="1">
      <c r="Z506"/>
      <c r="AA506" s="114" t="str">
        <f>$AB$47</f>
        <v>Screen, vibrating</v>
      </c>
      <c r="AB506" s="436" t="s">
        <v>507</v>
      </c>
      <c r="AC506" s="225" t="e">
        <f>(VLOOKUP(AB501,'Unit Ops'!$B$140:$J$209,7,FALSE)*AC503^VLOOKUP(AB501,'Unit Ops'!$B$140:$J$209,8,FALSE)+VLOOKUP(AB501,'Unit Ops'!$B$140:$J$209,9,FALSE))*IF(VLOOKUP(AB501,'Unit Ops'!$B$140:$L$209,11,FALSE)=1,1,2)</f>
        <v>#NUM!</v>
      </c>
      <c r="AD506" s="446" t="s">
        <v>454</v>
      </c>
      <c r="AE506" s="443"/>
      <c r="AF506" s="440"/>
      <c r="AG506" s="409"/>
      <c r="AZ506"/>
      <c r="BA506" s="114" t="str">
        <f>$BB$47</f>
        <v>Select Equipment</v>
      </c>
      <c r="BB506" s="436" t="s">
        <v>507</v>
      </c>
      <c r="BC506" s="225" t="e">
        <f>(VLOOKUP(BB501,'Unit Ops'!$B$140:$J$209,7,FALSE)*BC503^VLOOKUP(BB501,'Unit Ops'!$B$140:$J$209,8,FALSE)+VLOOKUP(BB501,'Unit Ops'!$B$140:$J$209,9,FALSE))*IF(VLOOKUP(BB501,'Unit Ops'!$B$140:$L$209,11,FALSE)=1,1,2)</f>
        <v>#NUM!</v>
      </c>
      <c r="BD506" s="446" t="s">
        <v>454</v>
      </c>
      <c r="BE506" s="443"/>
      <c r="BF506" s="440"/>
      <c r="BG506" s="409"/>
    </row>
    <row r="507" spans="26:60" ht="14.15" customHeight="1">
      <c r="Z507"/>
      <c r="AA507" s="114" t="str">
        <f>$AB$48</f>
        <v>Conveyor</v>
      </c>
      <c r="AB507" s="441"/>
      <c r="AC507" s="445"/>
      <c r="AD507" s="447"/>
      <c r="AE507" s="443"/>
      <c r="AF507" s="440"/>
      <c r="AG507" s="409"/>
      <c r="AH507" s="407"/>
      <c r="AI507" s="407"/>
      <c r="AL507" s="448"/>
      <c r="AM507" s="448"/>
      <c r="AZ507"/>
      <c r="BA507" s="114" t="str">
        <f>$BB$48</f>
        <v>Select Equipment</v>
      </c>
      <c r="BB507" s="441"/>
      <c r="BC507" s="445"/>
      <c r="BD507" s="447"/>
      <c r="BE507" s="443"/>
      <c r="BF507" s="440"/>
      <c r="BG507" s="409"/>
    </row>
    <row r="508" spans="26:60" ht="14.15" customHeight="1">
      <c r="Z508"/>
      <c r="AA508" s="114" t="str">
        <f>$AB$49</f>
        <v>Heat treatment furnace</v>
      </c>
      <c r="AB508" s="441"/>
      <c r="AC508" s="445"/>
      <c r="AD508" s="447"/>
      <c r="AE508" s="443"/>
      <c r="AF508" s="440"/>
      <c r="AG508" s="444"/>
      <c r="AH508" s="407"/>
      <c r="AI508" s="407"/>
      <c r="AK508" s="448"/>
      <c r="AL508" s="448"/>
      <c r="AM508" s="448"/>
      <c r="AZ508"/>
      <c r="BA508" s="114" t="str">
        <f>$BB$49</f>
        <v>Select Equipment</v>
      </c>
      <c r="BB508" s="441"/>
      <c r="BC508" s="445"/>
      <c r="BD508" s="447"/>
      <c r="BE508" s="443"/>
      <c r="BF508" s="440"/>
      <c r="BG508" s="409"/>
      <c r="BH508" s="407"/>
    </row>
    <row r="509" spans="26:60" ht="14.15" customHeight="1">
      <c r="Z509"/>
      <c r="AA509" s="114" t="str">
        <f>$AB$50</f>
        <v>Cyclone</v>
      </c>
      <c r="AB509" s="449"/>
      <c r="AC509" s="445"/>
      <c r="AD509" s="447"/>
      <c r="AE509" s="443"/>
      <c r="AF509" s="440"/>
      <c r="AG509" s="409"/>
      <c r="AH509" s="407"/>
      <c r="AI509" s="407"/>
      <c r="AJ509" s="448"/>
      <c r="AK509" s="448"/>
      <c r="AL509" s="448"/>
      <c r="AM509" s="448"/>
      <c r="AZ509"/>
      <c r="BA509" s="114" t="str">
        <f>$BB$50</f>
        <v>Select Equipment</v>
      </c>
      <c r="BB509" s="449"/>
      <c r="BC509" s="445"/>
      <c r="BD509" s="447"/>
      <c r="BE509" s="443"/>
      <c r="BF509" s="440"/>
      <c r="BG509" s="444"/>
      <c r="BH509" s="407"/>
    </row>
    <row r="510" spans="26:60" ht="14.15" customHeight="1" thickBot="1">
      <c r="Z510"/>
      <c r="AA510" s="114" t="str">
        <f>$AB$51</f>
        <v>Conveyor</v>
      </c>
      <c r="AB510" s="450"/>
      <c r="AC510" s="451"/>
      <c r="AD510" s="451"/>
      <c r="AE510" s="452"/>
      <c r="AF510" s="453"/>
      <c r="AG510" s="409"/>
      <c r="AH510" s="407"/>
      <c r="AI510" s="407"/>
      <c r="AJ510" s="448"/>
      <c r="AK510" s="448"/>
      <c r="AL510" s="448"/>
      <c r="AM510" s="448"/>
      <c r="AZ510"/>
      <c r="BA510" s="114" t="str">
        <f>$BB$51</f>
        <v>Select Equipment</v>
      </c>
      <c r="BB510" s="450"/>
      <c r="BC510" s="451"/>
      <c r="BD510" s="451"/>
      <c r="BE510" s="452"/>
      <c r="BF510" s="453"/>
      <c r="BG510" s="409"/>
      <c r="BH510" s="407"/>
    </row>
    <row r="511" spans="26:60" ht="14.15" customHeight="1">
      <c r="Z511"/>
      <c r="AA511" s="114" t="str">
        <f>$AB$52</f>
        <v>Eddy current separator</v>
      </c>
      <c r="AB511" s="449" t="s">
        <v>470</v>
      </c>
      <c r="AC511" s="120"/>
      <c r="AD511" s="454"/>
      <c r="AE511" s="120"/>
      <c r="AF511" s="440"/>
      <c r="AG511" s="409"/>
      <c r="AH511" s="407"/>
      <c r="AI511" s="407"/>
      <c r="AJ511" s="448"/>
      <c r="AK511" s="448"/>
      <c r="AL511" s="448"/>
      <c r="AM511" s="448"/>
      <c r="AZ511"/>
      <c r="BA511" s="114" t="str">
        <f>$BB$52</f>
        <v>Select Equipment</v>
      </c>
      <c r="BB511" s="449" t="s">
        <v>470</v>
      </c>
      <c r="BC511" s="120"/>
      <c r="BD511" s="454"/>
      <c r="BE511" s="120"/>
      <c r="BF511" s="440"/>
      <c r="BG511" s="409"/>
      <c r="BH511" s="407"/>
    </row>
    <row r="512" spans="26:60" ht="14.15" customHeight="1">
      <c r="Z512"/>
      <c r="AA512" s="114" t="str">
        <f>$AB$53</f>
        <v>Conveyor</v>
      </c>
      <c r="AB512" s="1698"/>
      <c r="AC512" s="1699"/>
      <c r="AD512" s="1699"/>
      <c r="AE512" s="1699"/>
      <c r="AF512" s="1700"/>
      <c r="AG512" s="444"/>
      <c r="AH512" s="407"/>
      <c r="AI512" s="407"/>
      <c r="AJ512" s="448"/>
      <c r="AK512" s="448"/>
      <c r="AL512" s="448"/>
      <c r="AM512" s="448"/>
      <c r="AZ512"/>
      <c r="BA512" s="114" t="str">
        <f>$BB$53</f>
        <v>Select Equipment</v>
      </c>
      <c r="BB512" s="1698"/>
      <c r="BC512" s="1699"/>
      <c r="BD512" s="1699"/>
      <c r="BE512" s="1699"/>
      <c r="BF512" s="1700"/>
      <c r="BG512" s="409"/>
      <c r="BH512" s="407"/>
    </row>
    <row r="513" spans="26:60" ht="14.15" customHeight="1">
      <c r="Z513"/>
      <c r="AA513" s="114" t="str">
        <f>$AB$54</f>
        <v>Air classifier</v>
      </c>
      <c r="AB513" s="436"/>
      <c r="AC513" s="120"/>
      <c r="AD513" s="455"/>
      <c r="AE513" s="120"/>
      <c r="AF513" s="440"/>
      <c r="AG513" s="409"/>
      <c r="AH513" s="407"/>
      <c r="AI513" s="407"/>
      <c r="AJ513" s="448"/>
      <c r="AK513" s="448"/>
      <c r="AL513" s="448"/>
      <c r="AM513" s="448"/>
      <c r="AZ513"/>
      <c r="BA513" s="114" t="str">
        <f>$BB$54</f>
        <v>Select Equipment</v>
      </c>
      <c r="BB513" s="436"/>
      <c r="BC513" s="120"/>
      <c r="BD513" s="455"/>
      <c r="BE513" s="120"/>
      <c r="BF513" s="440"/>
      <c r="BG513" s="444"/>
      <c r="BH513" s="407"/>
    </row>
    <row r="514" spans="26:60" ht="14.15" customHeight="1">
      <c r="Z514"/>
      <c r="AA514" s="114" t="str">
        <f>$AB$55</f>
        <v>Gas treatment</v>
      </c>
      <c r="AB514" s="436"/>
      <c r="AC514" s="120"/>
      <c r="AD514" s="455"/>
      <c r="AE514" s="120"/>
      <c r="AF514" s="440"/>
      <c r="AG514" s="444"/>
      <c r="AZ514"/>
      <c r="BA514" s="114" t="str">
        <f>$BB$55</f>
        <v>Select Equipment</v>
      </c>
      <c r="BB514" s="436"/>
      <c r="BC514" s="120"/>
      <c r="BD514" s="455"/>
      <c r="BE514" s="120"/>
      <c r="BF514" s="440"/>
      <c r="BG514" s="409"/>
      <c r="BH514" s="407"/>
    </row>
    <row r="515" spans="26:60" ht="14.15" customHeight="1">
      <c r="Z515"/>
      <c r="AA515" s="114" t="str">
        <f>$AB$56</f>
        <v>Wheel loader</v>
      </c>
      <c r="AB515" s="456"/>
      <c r="AC515" s="457"/>
      <c r="AD515" s="457"/>
      <c r="AE515" s="457"/>
      <c r="AF515" s="458"/>
      <c r="AZ515"/>
      <c r="BA515" s="114" t="str">
        <f>$BB$56</f>
        <v>Select Equipment</v>
      </c>
      <c r="BB515" s="456"/>
      <c r="BC515" s="457"/>
      <c r="BD515" s="457"/>
      <c r="BE515" s="457"/>
      <c r="BF515" s="458"/>
      <c r="BG515" s="444"/>
    </row>
    <row r="516" spans="26:60" ht="14.15" customHeight="1">
      <c r="Z516"/>
      <c r="AA516" s="114" t="str">
        <f>$AB$57</f>
        <v>Select Equipment</v>
      </c>
      <c r="AB516" s="449" t="s">
        <v>471</v>
      </c>
      <c r="AC516" s="120"/>
      <c r="AD516" s="454"/>
      <c r="AE516" s="120"/>
      <c r="AF516" s="440"/>
      <c r="AG516" s="119"/>
      <c r="AZ516"/>
      <c r="BA516" s="114" t="str">
        <f>$BB$57</f>
        <v>Select Equipment</v>
      </c>
      <c r="BB516" s="449" t="s">
        <v>471</v>
      </c>
      <c r="BC516" s="120"/>
      <c r="BD516" s="454"/>
      <c r="BE516" s="120"/>
      <c r="BF516" s="440"/>
    </row>
    <row r="517" spans="26:60" ht="14.15" customHeight="1">
      <c r="Z517"/>
      <c r="AA517" s="114" t="str">
        <f>$AB$58</f>
        <v>Select Equipment</v>
      </c>
      <c r="AB517" s="436" t="s">
        <v>577</v>
      </c>
      <c r="AC517" s="225" t="e">
        <f>AC506*IF(AC504&gt;1,1,AC504)</f>
        <v>#NUM!</v>
      </c>
      <c r="AD517" s="446" t="s">
        <v>454</v>
      </c>
      <c r="AE517" s="120"/>
      <c r="AF517" s="440"/>
      <c r="AG517" s="119"/>
      <c r="AZ517"/>
      <c r="BA517" s="114" t="str">
        <f>$BB$58</f>
        <v>Select Equipment</v>
      </c>
      <c r="BB517" s="436" t="s">
        <v>577</v>
      </c>
      <c r="BC517" s="225" t="e">
        <f>BC506*IF(BC504&gt;1,1,BC504)</f>
        <v>#NUM!</v>
      </c>
      <c r="BD517" s="446" t="s">
        <v>454</v>
      </c>
      <c r="BE517" s="120"/>
      <c r="BF517" s="440"/>
      <c r="BG517" s="119"/>
    </row>
    <row r="518" spans="26:60" ht="14.15" customHeight="1">
      <c r="Z518"/>
      <c r="AA518" s="114" t="str">
        <f>$AB$59</f>
        <v>Select Equipment</v>
      </c>
      <c r="AB518" s="436" t="s">
        <v>578</v>
      </c>
      <c r="AC518" s="225"/>
      <c r="AD518" s="446" t="s">
        <v>579</v>
      </c>
      <c r="AE518" s="120"/>
      <c r="AF518" s="440"/>
      <c r="AG518" s="119"/>
      <c r="AZ518"/>
      <c r="BA518" s="114" t="str">
        <f>$BB$59</f>
        <v>Select Equipment</v>
      </c>
      <c r="BB518" s="436" t="s">
        <v>578</v>
      </c>
      <c r="BC518" s="225"/>
      <c r="BD518" s="446" t="s">
        <v>579</v>
      </c>
      <c r="BE518" s="120"/>
      <c r="BF518" s="440"/>
      <c r="BG518" s="119"/>
    </row>
    <row r="519" spans="26:60" ht="14.15" customHeight="1">
      <c r="Z519"/>
      <c r="AA519" s="114" t="str">
        <f>$AB$60</f>
        <v>Select Equipment</v>
      </c>
      <c r="AB519" s="436"/>
      <c r="AC519" s="120"/>
      <c r="AD519" s="446"/>
      <c r="AE519" s="120"/>
      <c r="AF519" s="440"/>
      <c r="AZ519"/>
      <c r="BA519" s="114" t="str">
        <f>$BB$60</f>
        <v>Select Equipment</v>
      </c>
      <c r="BB519" s="436"/>
      <c r="BC519" s="120"/>
      <c r="BD519" s="446"/>
      <c r="BE519" s="120"/>
      <c r="BF519" s="440"/>
      <c r="BG519" s="119"/>
    </row>
    <row r="520" spans="26:60" ht="14.15" customHeight="1">
      <c r="Z520"/>
      <c r="AA520" s="114" t="str">
        <f>$AB$61</f>
        <v>Select Equipment</v>
      </c>
      <c r="AB520" s="436" t="s">
        <v>8</v>
      </c>
      <c r="AC520" s="120"/>
      <c r="AD520" s="459" t="s">
        <v>564</v>
      </c>
      <c r="AE520" s="120"/>
      <c r="AF520" s="440"/>
      <c r="AG520" s="460"/>
      <c r="AZ520"/>
      <c r="BA520" s="114" t="str">
        <f>$BB$61</f>
        <v>Select Equipment</v>
      </c>
      <c r="BB520" s="436" t="s">
        <v>8</v>
      </c>
      <c r="BC520" s="120"/>
      <c r="BD520" s="459" t="s">
        <v>564</v>
      </c>
      <c r="BE520" s="120"/>
      <c r="BF520" s="440"/>
    </row>
    <row r="521" spans="26:60" ht="14.15" customHeight="1">
      <c r="Z521"/>
      <c r="AA521" s="114" t="str">
        <f>$AB$62</f>
        <v>Select Equipment</v>
      </c>
      <c r="AB521" s="436"/>
      <c r="AC521" s="120"/>
      <c r="AD521" s="459"/>
      <c r="AE521" s="120"/>
      <c r="AF521" s="440"/>
      <c r="AG521" s="461"/>
      <c r="AZ521"/>
      <c r="BA521" s="114" t="str">
        <f>$BB$62</f>
        <v>Select Equipment</v>
      </c>
      <c r="BB521" s="436"/>
      <c r="BC521" s="120"/>
      <c r="BD521" s="459"/>
      <c r="BE521" s="120"/>
      <c r="BF521" s="440"/>
      <c r="BG521" s="460"/>
    </row>
    <row r="522" spans="26:60" ht="14.15" customHeight="1">
      <c r="Z522"/>
      <c r="AA522" s="114" t="str">
        <f>$AB$63</f>
        <v>Select Equipment</v>
      </c>
      <c r="AB522" s="436" t="s">
        <v>7</v>
      </c>
      <c r="AC522" s="120"/>
      <c r="AD522" s="459" t="s">
        <v>564</v>
      </c>
      <c r="AE522" s="120"/>
      <c r="AF522" s="440"/>
      <c r="AG522" s="461"/>
      <c r="AZ522"/>
      <c r="BA522" s="114" t="str">
        <f>$BB$63</f>
        <v>Select Equipment</v>
      </c>
      <c r="BB522" s="436" t="s">
        <v>7</v>
      </c>
      <c r="BC522" s="120"/>
      <c r="BD522" s="459" t="s">
        <v>564</v>
      </c>
      <c r="BE522" s="120"/>
      <c r="BF522" s="440"/>
      <c r="BG522" s="461"/>
    </row>
    <row r="523" spans="26:60" ht="14.15" customHeight="1">
      <c r="AA523"/>
      <c r="AB523" s="436"/>
      <c r="AC523" s="120"/>
      <c r="AD523" s="459"/>
      <c r="AE523" s="120"/>
      <c r="AF523" s="440"/>
      <c r="AG523" s="462"/>
      <c r="AH523" s="463"/>
      <c r="AI523" s="463"/>
      <c r="AJ523" s="464"/>
      <c r="AK523" s="464"/>
      <c r="AL523" s="464"/>
      <c r="AM523" s="464"/>
      <c r="AZ523"/>
      <c r="BA523" s="114" t="str">
        <f>$BB$64</f>
        <v>Select Equipment</v>
      </c>
      <c r="BB523" s="436"/>
      <c r="BC523" s="120"/>
      <c r="BD523" s="459"/>
      <c r="BE523" s="120"/>
      <c r="BF523" s="440"/>
      <c r="BG523" s="461"/>
    </row>
    <row r="524" spans="26:60" ht="14.15" customHeight="1">
      <c r="AA524"/>
      <c r="AB524" s="436" t="s">
        <v>9</v>
      </c>
      <c r="AC524" s="120"/>
      <c r="AD524" s="459" t="s">
        <v>564</v>
      </c>
      <c r="AE524" s="120"/>
      <c r="AF524" s="440"/>
      <c r="AG524" s="119"/>
      <c r="AH524" s="463"/>
      <c r="AI524" s="463"/>
      <c r="AJ524" s="464"/>
      <c r="AK524" s="464"/>
      <c r="AL524" s="464"/>
      <c r="AM524" s="464"/>
      <c r="BA524"/>
      <c r="BB524" s="436" t="s">
        <v>9</v>
      </c>
      <c r="BC524" s="120"/>
      <c r="BD524" s="459" t="s">
        <v>564</v>
      </c>
      <c r="BE524" s="120"/>
      <c r="BF524" s="440"/>
      <c r="BG524" s="462"/>
      <c r="BH524" s="463"/>
    </row>
    <row r="525" spans="26:60">
      <c r="AA525"/>
      <c r="AB525" s="436"/>
      <c r="AC525" s="120"/>
      <c r="AD525" s="459"/>
      <c r="AE525" s="120"/>
      <c r="AF525" s="440"/>
      <c r="AG525" s="465"/>
      <c r="AH525" s="463"/>
      <c r="AI525"/>
      <c r="AJ525"/>
      <c r="AK525" s="464"/>
      <c r="AL525" s="464"/>
      <c r="AM525" s="464"/>
      <c r="BA525"/>
      <c r="BB525" s="436"/>
      <c r="BC525" s="120"/>
      <c r="BD525" s="459"/>
      <c r="BE525" s="120"/>
      <c r="BF525" s="440"/>
      <c r="BG525" s="119"/>
      <c r="BH525" s="463"/>
    </row>
    <row r="526" spans="26:60">
      <c r="AA526"/>
      <c r="AB526" s="436" t="s">
        <v>324</v>
      </c>
      <c r="AC526" s="120"/>
      <c r="AD526" s="459" t="s">
        <v>564</v>
      </c>
      <c r="AE526" s="120"/>
      <c r="AF526" s="440" t="s">
        <v>569</v>
      </c>
      <c r="AG526" s="119"/>
      <c r="AH526" s="463"/>
      <c r="AI526"/>
      <c r="AJ526"/>
      <c r="AK526" s="464"/>
      <c r="AL526" s="464"/>
      <c r="AM526" s="464"/>
      <c r="BA526"/>
      <c r="BB526" s="436" t="s">
        <v>324</v>
      </c>
      <c r="BC526" s="120"/>
      <c r="BD526" s="459" t="s">
        <v>564</v>
      </c>
      <c r="BE526" s="120"/>
      <c r="BF526" s="440" t="s">
        <v>569</v>
      </c>
      <c r="BG526" s="465"/>
      <c r="BH526" s="463"/>
    </row>
    <row r="527" spans="26:60">
      <c r="AA527"/>
      <c r="AB527" s="436"/>
      <c r="AC527" s="120"/>
      <c r="AD527" s="468"/>
      <c r="AE527" s="469"/>
      <c r="AF527" s="440"/>
      <c r="AG527" s="119"/>
      <c r="AH527" s="463"/>
      <c r="AI527"/>
      <c r="AJ527"/>
      <c r="AK527" s="464"/>
      <c r="AL527" s="464"/>
      <c r="AM527" s="464"/>
      <c r="BA527"/>
      <c r="BB527" s="436"/>
      <c r="BC527" s="120"/>
      <c r="BD527" s="468"/>
      <c r="BE527" s="469"/>
      <c r="BF527" s="440"/>
      <c r="BG527" s="119"/>
      <c r="BH527" s="463"/>
    </row>
    <row r="528" spans="26:60">
      <c r="AA528"/>
      <c r="AB528" s="436" t="s">
        <v>374</v>
      </c>
      <c r="AC528" s="120"/>
      <c r="AD528" s="459" t="s">
        <v>564</v>
      </c>
      <c r="AE528" s="469"/>
      <c r="AF528" s="440" t="s">
        <v>569</v>
      </c>
      <c r="AG528" s="470"/>
      <c r="AH528" s="463"/>
      <c r="AI528"/>
      <c r="AJ528"/>
      <c r="AK528" s="464"/>
      <c r="AL528" s="464"/>
      <c r="AM528" s="464"/>
      <c r="BA528"/>
      <c r="BB528" s="436" t="s">
        <v>374</v>
      </c>
      <c r="BC528" s="120"/>
      <c r="BD528" s="459" t="s">
        <v>564</v>
      </c>
      <c r="BE528" s="469"/>
      <c r="BF528" s="440" t="s">
        <v>569</v>
      </c>
      <c r="BG528" s="119"/>
      <c r="BH528" s="463"/>
    </row>
    <row r="529" spans="27:60">
      <c r="AA529"/>
      <c r="AB529" s="436"/>
      <c r="AC529" s="120"/>
      <c r="AD529" s="472"/>
      <c r="AE529" s="473"/>
      <c r="AF529" s="440"/>
      <c r="AG529" s="119"/>
      <c r="AH529" s="463"/>
      <c r="AI529"/>
      <c r="AJ529"/>
      <c r="AK529" s="464"/>
      <c r="AL529" s="464"/>
      <c r="AM529" s="464"/>
      <c r="BA529"/>
      <c r="BB529" s="436"/>
      <c r="BC529" s="120"/>
      <c r="BD529" s="472"/>
      <c r="BE529" s="473"/>
      <c r="BF529" s="440"/>
      <c r="BG529" s="470"/>
      <c r="BH529" s="463"/>
    </row>
    <row r="530" spans="27:60">
      <c r="AA530"/>
      <c r="AB530" s="436" t="s">
        <v>580</v>
      </c>
      <c r="AC530" s="120"/>
      <c r="AD530" s="459" t="s">
        <v>564</v>
      </c>
      <c r="AE530" s="473"/>
      <c r="AF530" s="440" t="s">
        <v>569</v>
      </c>
      <c r="AG530" s="474"/>
      <c r="AH530" s="463"/>
      <c r="AI530"/>
      <c r="AJ530"/>
      <c r="AK530" s="464"/>
      <c r="AL530" s="464"/>
      <c r="AM530" s="464"/>
      <c r="BA530"/>
      <c r="BB530" s="436" t="s">
        <v>580</v>
      </c>
      <c r="BC530" s="120"/>
      <c r="BD530" s="459" t="s">
        <v>564</v>
      </c>
      <c r="BE530" s="473"/>
      <c r="BF530" s="440" t="s">
        <v>569</v>
      </c>
      <c r="BG530" s="119"/>
      <c r="BH530" s="463"/>
    </row>
    <row r="531" spans="27:60">
      <c r="AA531"/>
      <c r="AB531" s="476"/>
      <c r="AC531" s="477"/>
      <c r="AD531" s="478"/>
      <c r="AE531" s="479"/>
      <c r="AF531" s="458"/>
      <c r="AG531" s="474"/>
      <c r="AH531" s="463"/>
      <c r="AI531"/>
      <c r="AJ531"/>
      <c r="AK531" s="464"/>
      <c r="AL531" s="464"/>
      <c r="AM531" s="464"/>
      <c r="BA531"/>
      <c r="BB531" s="476"/>
      <c r="BC531" s="477"/>
      <c r="BD531" s="478"/>
      <c r="BE531" s="479"/>
      <c r="BF531" s="458"/>
      <c r="BG531" s="474"/>
      <c r="BH531" s="463"/>
    </row>
    <row r="532" spans="27:60">
      <c r="AA532"/>
      <c r="AB532" s="449" t="s">
        <v>473</v>
      </c>
      <c r="AC532" s="467" t="s">
        <v>508</v>
      </c>
      <c r="AD532" s="480"/>
      <c r="AE532" s="481" t="s">
        <v>308</v>
      </c>
      <c r="AF532" s="440"/>
      <c r="AG532" s="482"/>
      <c r="AH532" s="407"/>
      <c r="AI532" s="407"/>
      <c r="AJ532" s="448"/>
      <c r="AK532" s="448"/>
      <c r="AL532" s="448"/>
      <c r="AM532" s="448"/>
      <c r="BA532"/>
      <c r="BB532" s="449" t="s">
        <v>473</v>
      </c>
      <c r="BC532" s="467" t="s">
        <v>508</v>
      </c>
      <c r="BD532" s="480"/>
      <c r="BE532" s="481" t="s">
        <v>308</v>
      </c>
      <c r="BF532" s="440"/>
      <c r="BG532" s="474"/>
      <c r="BH532" s="463"/>
    </row>
    <row r="533" spans="27:60">
      <c r="AB533" s="436"/>
      <c r="AC533" s="483"/>
      <c r="AD533" s="480"/>
      <c r="AE533" s="484"/>
      <c r="AF533" s="440"/>
      <c r="AG533" s="119"/>
      <c r="AH533" s="463"/>
      <c r="AI533" s="463"/>
      <c r="AJ533" s="464"/>
      <c r="AK533" s="464"/>
      <c r="AL533" s="464"/>
      <c r="AM533" s="464"/>
      <c r="BA533"/>
      <c r="BB533" s="436"/>
      <c r="BC533" s="483"/>
      <c r="BD533" s="480"/>
      <c r="BE533" s="484"/>
      <c r="BF533" s="440"/>
      <c r="BG533" s="482"/>
      <c r="BH533" s="407"/>
    </row>
    <row r="534" spans="27:60">
      <c r="AB534" s="436"/>
      <c r="AC534" s="120"/>
      <c r="AD534" s="223"/>
      <c r="AE534" s="467"/>
      <c r="AF534" s="440"/>
      <c r="AG534" s="485"/>
      <c r="AH534" s="407"/>
      <c r="AI534" s="407"/>
      <c r="AJ534" s="448"/>
      <c r="AK534" s="448"/>
      <c r="AL534" s="448"/>
      <c r="AM534" s="448"/>
      <c r="BB534" s="436"/>
      <c r="BC534" s="120"/>
      <c r="BD534" s="223"/>
      <c r="BE534" s="467"/>
      <c r="BF534" s="440"/>
      <c r="BG534" s="119"/>
      <c r="BH534" s="463"/>
    </row>
    <row r="535" spans="27:60">
      <c r="AB535" s="436"/>
      <c r="AC535" s="120"/>
      <c r="AD535" s="466"/>
      <c r="AE535" s="467"/>
      <c r="AF535" s="440"/>
      <c r="AG535" s="119"/>
      <c r="AH535" s="407"/>
      <c r="AI535" s="407"/>
      <c r="AL535" s="448"/>
      <c r="AM535" s="448"/>
      <c r="BB535" s="436"/>
      <c r="BC535" s="120"/>
      <c r="BD535" s="466"/>
      <c r="BE535" s="467"/>
      <c r="BF535" s="440"/>
      <c r="BG535" s="485"/>
      <c r="BH535" s="407"/>
    </row>
    <row r="536" spans="27:60">
      <c r="AB536" s="436"/>
      <c r="AC536" s="120"/>
      <c r="AD536" s="223"/>
      <c r="AE536" s="467"/>
      <c r="AF536" s="440"/>
      <c r="AJ536" s="486"/>
      <c r="AK536" s="448"/>
      <c r="BB536" s="436"/>
      <c r="BC536" s="120"/>
      <c r="BD536" s="223"/>
      <c r="BE536" s="467"/>
      <c r="BF536" s="440"/>
      <c r="BG536" s="119"/>
      <c r="BH536" s="407"/>
    </row>
    <row r="537" spans="27:60">
      <c r="AB537" s="436"/>
      <c r="AC537" s="120"/>
      <c r="AD537" s="223"/>
      <c r="AE537" s="467"/>
      <c r="AF537" s="440"/>
      <c r="AJ537" s="487"/>
      <c r="BB537" s="436"/>
      <c r="BC537" s="120"/>
      <c r="BD537" s="223"/>
      <c r="BE537" s="467"/>
      <c r="BF537" s="440"/>
    </row>
    <row r="538" spans="27:60">
      <c r="AB538" s="436"/>
      <c r="AC538" s="120"/>
      <c r="AD538" s="471"/>
      <c r="AE538" s="467"/>
      <c r="AF538" s="440"/>
      <c r="AJ538" s="488"/>
      <c r="BB538" s="436"/>
      <c r="BC538" s="120"/>
      <c r="BD538" s="471"/>
      <c r="BE538" s="467"/>
      <c r="BF538" s="440"/>
    </row>
    <row r="539" spans="27:60">
      <c r="AB539" s="436"/>
      <c r="AC539" s="120"/>
      <c r="AD539" s="223"/>
      <c r="AE539" s="467"/>
      <c r="AF539" s="440"/>
      <c r="AJ539" s="488"/>
      <c r="BB539" s="436"/>
      <c r="BC539" s="120"/>
      <c r="BD539" s="223"/>
      <c r="BE539" s="467"/>
      <c r="BF539" s="440"/>
    </row>
    <row r="540" spans="27:60">
      <c r="AB540" s="436"/>
      <c r="AC540" s="120"/>
      <c r="AD540" s="475"/>
      <c r="AE540" s="467"/>
      <c r="AF540" s="440"/>
      <c r="BB540" s="436"/>
      <c r="BC540" s="120"/>
      <c r="BD540" s="475"/>
      <c r="BE540" s="467"/>
      <c r="BF540" s="440"/>
    </row>
    <row r="541" spans="27:60">
      <c r="AB541" s="436"/>
      <c r="AC541" s="120"/>
      <c r="AD541" s="223"/>
      <c r="AE541" s="467"/>
      <c r="AF541" s="440"/>
      <c r="BB541" s="436"/>
      <c r="BC541" s="120"/>
      <c r="BD541" s="223"/>
      <c r="BE541" s="467"/>
      <c r="BF541" s="440"/>
    </row>
    <row r="542" spans="27:60">
      <c r="AB542" s="436"/>
      <c r="AC542" s="120"/>
      <c r="AD542" s="223"/>
      <c r="AE542" s="467"/>
      <c r="AF542" s="440"/>
      <c r="BB542" s="436"/>
      <c r="BC542" s="120"/>
      <c r="BD542" s="223"/>
      <c r="BE542" s="467"/>
      <c r="BF542" s="440"/>
    </row>
    <row r="543" spans="27:60">
      <c r="AB543" s="436"/>
      <c r="AC543" s="120"/>
      <c r="AD543" s="223"/>
      <c r="AE543" s="467"/>
      <c r="AF543" s="440"/>
      <c r="BB543" s="436"/>
      <c r="BC543" s="120"/>
      <c r="BD543" s="223"/>
      <c r="BE543" s="467"/>
      <c r="BF543" s="440"/>
    </row>
    <row r="544" spans="27:60">
      <c r="AB544" s="436"/>
      <c r="AC544" s="120"/>
      <c r="AD544" s="223"/>
      <c r="AE544" s="467"/>
      <c r="AF544" s="440"/>
      <c r="BB544" s="436"/>
      <c r="BC544" s="120"/>
      <c r="BD544" s="223"/>
      <c r="BE544" s="467"/>
      <c r="BF544" s="440"/>
    </row>
    <row r="545" spans="28:58">
      <c r="AB545" s="436"/>
      <c r="AC545" s="120"/>
      <c r="AD545" s="120"/>
      <c r="AE545" s="467"/>
      <c r="AF545" s="440"/>
      <c r="BB545" s="436"/>
      <c r="BC545" s="120"/>
      <c r="BD545" s="120"/>
      <c r="BE545" s="467"/>
      <c r="BF545" s="440"/>
    </row>
    <row r="546" spans="28:58">
      <c r="AB546" s="456"/>
      <c r="AC546" s="457"/>
      <c r="AD546" s="457"/>
      <c r="AE546" s="477"/>
      <c r="AF546" s="458"/>
      <c r="BB546" s="456"/>
      <c r="BC546" s="457"/>
      <c r="BD546" s="457"/>
      <c r="BE546" s="477"/>
      <c r="BF546" s="458"/>
    </row>
    <row r="547" spans="28:58">
      <c r="AB547" s="449" t="s">
        <v>474</v>
      </c>
      <c r="AC547" s="120"/>
      <c r="AD547" s="120" t="s">
        <v>1</v>
      </c>
      <c r="AE547" s="310" t="s">
        <v>307</v>
      </c>
      <c r="AF547" s="440"/>
      <c r="BB547" s="449" t="s">
        <v>474</v>
      </c>
      <c r="BC547" s="120"/>
      <c r="BD547" s="120" t="s">
        <v>1</v>
      </c>
      <c r="BE547" s="310" t="s">
        <v>307</v>
      </c>
      <c r="BF547" s="440"/>
    </row>
    <row r="548" spans="28:58">
      <c r="AB548" s="436"/>
      <c r="AC548" s="223"/>
      <c r="AD548" s="480"/>
      <c r="AE548" s="484"/>
      <c r="AF548" s="440"/>
      <c r="BB548" s="436"/>
      <c r="BC548" s="223"/>
      <c r="BD548" s="480"/>
      <c r="BE548" s="484"/>
      <c r="BF548" s="440"/>
    </row>
    <row r="549" spans="28:58">
      <c r="AB549" s="436"/>
      <c r="AC549" s="120"/>
      <c r="AD549" s="120"/>
      <c r="AE549" s="467"/>
      <c r="AF549" s="440"/>
      <c r="BB549" s="436"/>
      <c r="BC549" s="120"/>
      <c r="BD549" s="120"/>
      <c r="BE549" s="467"/>
      <c r="BF549" s="440"/>
    </row>
    <row r="550" spans="28:58">
      <c r="AB550" s="436"/>
      <c r="AC550" s="120"/>
      <c r="AD550" s="120"/>
      <c r="AE550" s="467"/>
      <c r="AF550" s="440"/>
      <c r="BB550" s="436"/>
      <c r="BC550" s="120"/>
      <c r="BD550" s="120"/>
      <c r="BE550" s="467"/>
      <c r="BF550" s="440"/>
    </row>
    <row r="551" spans="28:58">
      <c r="AB551" s="436"/>
      <c r="AC551" s="120"/>
      <c r="AD551" s="120"/>
      <c r="AE551" s="467"/>
      <c r="AF551" s="440"/>
      <c r="BB551" s="436"/>
      <c r="BC551" s="120"/>
      <c r="BD551" s="120"/>
      <c r="BE551" s="467"/>
      <c r="BF551" s="440"/>
    </row>
    <row r="552" spans="28:58">
      <c r="AB552" s="436"/>
      <c r="AC552" s="120"/>
      <c r="AD552" s="120"/>
      <c r="AE552" s="467"/>
      <c r="AF552" s="440"/>
      <c r="BB552" s="436"/>
      <c r="BC552" s="120"/>
      <c r="BD552" s="120"/>
      <c r="BE552" s="467"/>
      <c r="BF552" s="440"/>
    </row>
    <row r="553" spans="28:58">
      <c r="AB553" s="436"/>
      <c r="AC553" s="120"/>
      <c r="AD553" s="120"/>
      <c r="AE553" s="467"/>
      <c r="AF553" s="440"/>
      <c r="AJ553" s="489"/>
      <c r="BB553" s="436"/>
      <c r="BC553" s="120"/>
      <c r="BD553" s="120"/>
      <c r="BE553" s="467"/>
      <c r="BF553" s="440"/>
    </row>
    <row r="554" spans="28:58">
      <c r="AB554" s="436"/>
      <c r="AC554" s="120"/>
      <c r="AD554" s="120"/>
      <c r="AE554" s="467"/>
      <c r="AF554" s="440"/>
      <c r="BB554" s="436"/>
      <c r="BC554" s="120"/>
      <c r="BD554" s="120"/>
      <c r="BE554" s="467"/>
      <c r="BF554" s="440"/>
    </row>
    <row r="555" spans="28:58">
      <c r="AB555" s="436"/>
      <c r="AC555" s="120"/>
      <c r="AD555" s="120"/>
      <c r="AE555" s="467"/>
      <c r="AF555" s="440"/>
      <c r="BB555" s="436"/>
      <c r="BC555" s="120"/>
      <c r="BD555" s="120"/>
      <c r="BE555" s="467"/>
      <c r="BF555" s="440"/>
    </row>
    <row r="556" spans="28:58">
      <c r="AB556" s="436"/>
      <c r="AC556" s="120"/>
      <c r="AD556" s="120"/>
      <c r="AE556" s="467"/>
      <c r="AF556" s="440"/>
      <c r="BB556" s="436"/>
      <c r="BC556" s="120"/>
      <c r="BD556" s="120"/>
      <c r="BE556" s="467"/>
      <c r="BF556" s="440"/>
    </row>
    <row r="557" spans="28:58">
      <c r="AB557" s="436"/>
      <c r="AC557" s="120"/>
      <c r="AD557" s="120"/>
      <c r="AE557" s="467"/>
      <c r="AF557" s="440"/>
      <c r="BB557" s="436"/>
      <c r="BC557" s="120"/>
      <c r="BD557" s="120"/>
      <c r="BE557" s="467"/>
      <c r="BF557" s="440"/>
    </row>
    <row r="558" spans="28:58">
      <c r="AB558" s="436"/>
      <c r="AC558" s="120"/>
      <c r="AD558" s="120"/>
      <c r="AE558" s="467"/>
      <c r="AF558" s="440"/>
      <c r="BB558" s="436"/>
      <c r="BC558" s="120"/>
      <c r="BD558" s="120"/>
      <c r="BE558" s="467"/>
      <c r="BF558" s="440"/>
    </row>
    <row r="559" spans="28:58">
      <c r="AB559" s="436"/>
      <c r="AC559" s="120"/>
      <c r="AD559" s="120"/>
      <c r="AE559" s="467"/>
      <c r="AF559" s="440"/>
      <c r="BB559" s="436"/>
      <c r="BC559" s="120"/>
      <c r="BD559" s="120"/>
      <c r="BE559" s="467"/>
      <c r="BF559" s="440"/>
    </row>
    <row r="560" spans="28:58">
      <c r="AB560" s="456"/>
      <c r="AC560" s="457"/>
      <c r="AD560" s="457"/>
      <c r="AE560" s="477"/>
      <c r="AF560" s="458"/>
      <c r="BB560" s="456"/>
      <c r="BC560" s="457"/>
      <c r="BD560" s="457"/>
      <c r="BE560" s="477"/>
      <c r="BF560" s="458"/>
    </row>
    <row r="561" spans="28:58">
      <c r="AB561" s="456"/>
      <c r="AC561" s="457"/>
      <c r="AD561" s="457"/>
      <c r="AE561" s="457"/>
      <c r="AF561" s="458"/>
      <c r="BB561" s="456"/>
      <c r="BC561" s="457"/>
      <c r="BD561" s="457"/>
      <c r="BE561" s="457"/>
      <c r="BF561" s="458"/>
    </row>
    <row r="562" spans="28:58">
      <c r="AB562" s="449" t="s">
        <v>475</v>
      </c>
      <c r="AC562" s="120"/>
      <c r="AD562" s="120"/>
      <c r="AE562" s="120"/>
      <c r="AF562" s="440"/>
      <c r="BB562" s="449" t="s">
        <v>475</v>
      </c>
      <c r="BC562" s="120"/>
      <c r="BD562" s="120"/>
      <c r="BE562" s="120"/>
      <c r="BF562" s="440"/>
    </row>
    <row r="563" spans="28:58">
      <c r="AB563" s="436" t="s">
        <v>509</v>
      </c>
      <c r="AC563" s="120"/>
      <c r="AD563" s="120"/>
      <c r="AE563" s="120"/>
      <c r="AF563" s="440"/>
      <c r="BB563" s="436" t="s">
        <v>509</v>
      </c>
      <c r="BC563" s="120"/>
      <c r="BD563" s="120"/>
      <c r="BE563" s="120"/>
      <c r="BF563" s="440"/>
    </row>
    <row r="564" spans="28:58">
      <c r="AB564" s="436" t="s">
        <v>510</v>
      </c>
      <c r="AC564" s="120"/>
      <c r="AD564" s="120"/>
      <c r="AE564" s="120"/>
      <c r="AF564" s="440"/>
      <c r="BB564" s="436" t="s">
        <v>510</v>
      </c>
      <c r="BC564" s="120"/>
      <c r="BD564" s="120"/>
      <c r="BE564" s="120"/>
      <c r="BF564" s="440"/>
    </row>
    <row r="565" spans="28:58">
      <c r="AB565" s="436"/>
      <c r="AC565" s="120"/>
      <c r="AD565" s="120"/>
      <c r="AE565" s="120"/>
      <c r="AF565" s="440"/>
      <c r="BB565" s="436"/>
      <c r="BC565" s="120"/>
      <c r="BD565" s="120"/>
      <c r="BE565" s="120"/>
      <c r="BF565" s="440"/>
    </row>
    <row r="566" spans="28:58">
      <c r="AB566" s="436"/>
      <c r="AC566" s="120"/>
      <c r="AD566" s="120"/>
      <c r="AE566" s="120"/>
      <c r="AF566" s="440"/>
      <c r="BB566" s="436"/>
      <c r="BC566" s="120"/>
      <c r="BD566" s="120"/>
      <c r="BE566" s="120"/>
      <c r="BF566" s="440"/>
    </row>
    <row r="567" spans="28:58">
      <c r="AB567" s="436"/>
      <c r="AC567" s="120"/>
      <c r="AD567" s="120"/>
      <c r="AE567" s="120"/>
      <c r="AF567" s="440"/>
      <c r="BB567" s="436"/>
      <c r="BC567" s="120"/>
      <c r="BD567" s="120"/>
      <c r="BE567" s="120"/>
      <c r="BF567" s="440"/>
    </row>
    <row r="568" spans="28:58">
      <c r="AB568" s="436"/>
      <c r="AC568" s="120"/>
      <c r="AD568" s="120"/>
      <c r="AE568" s="120"/>
      <c r="AF568" s="440"/>
      <c r="BB568" s="436"/>
      <c r="BC568" s="120"/>
      <c r="BD568" s="120"/>
      <c r="BE568" s="120"/>
      <c r="BF568" s="440"/>
    </row>
    <row r="569" spans="28:58">
      <c r="AB569" s="436" t="s">
        <v>511</v>
      </c>
      <c r="AC569" s="120">
        <v>0</v>
      </c>
      <c r="AD569" s="120" t="s">
        <v>512</v>
      </c>
      <c r="AE569" s="120"/>
      <c r="AF569" s="440"/>
      <c r="BB569" s="436" t="s">
        <v>511</v>
      </c>
      <c r="BC569" s="120">
        <v>0</v>
      </c>
      <c r="BD569" s="120" t="s">
        <v>512</v>
      </c>
      <c r="BE569" s="120"/>
      <c r="BF569" s="440"/>
    </row>
    <row r="570" spans="28:58">
      <c r="AB570" s="436" t="s">
        <v>513</v>
      </c>
      <c r="AC570" s="120">
        <v>0</v>
      </c>
      <c r="AD570" s="120" t="s">
        <v>512</v>
      </c>
      <c r="AE570" s="120"/>
      <c r="AF570" s="440"/>
      <c r="BB570" s="436" t="s">
        <v>513</v>
      </c>
      <c r="BC570" s="120">
        <v>0</v>
      </c>
      <c r="BD570" s="120" t="s">
        <v>512</v>
      </c>
      <c r="BE570" s="120"/>
      <c r="BF570" s="440"/>
    </row>
    <row r="571" spans="28:58">
      <c r="AB571" s="456"/>
      <c r="AC571" s="457"/>
      <c r="AD571" s="457"/>
      <c r="AE571" s="457"/>
      <c r="AF571" s="458"/>
      <c r="BB571" s="456"/>
      <c r="BC571" s="457"/>
      <c r="BD571" s="457"/>
      <c r="BE571" s="457"/>
      <c r="BF571" s="458"/>
    </row>
    <row r="572" spans="28:58">
      <c r="AB572" s="449" t="s">
        <v>461</v>
      </c>
      <c r="AC572" s="120"/>
      <c r="AD572" s="120"/>
      <c r="AE572" s="120"/>
      <c r="AF572" s="440"/>
      <c r="BB572" s="449" t="s">
        <v>461</v>
      </c>
      <c r="BC572" s="120"/>
      <c r="BD572" s="120"/>
      <c r="BE572" s="120"/>
      <c r="BF572" s="440"/>
    </row>
    <row r="573" spans="28:58">
      <c r="AB573" s="436" t="s">
        <v>514</v>
      </c>
      <c r="AC573" s="120">
        <f>VLOOKUP(AB501,'Unit Ops'!$B$140:$K$209,10,FALSE)</f>
        <v>6</v>
      </c>
      <c r="AD573" s="120" t="s">
        <v>515</v>
      </c>
      <c r="AE573" s="120"/>
      <c r="AF573" s="440"/>
      <c r="BB573" s="436" t="s">
        <v>514</v>
      </c>
      <c r="BC573" s="120">
        <f>VLOOKUP(BB501,'Unit Ops'!$B$140:$K$209,10,FALSE)</f>
        <v>0</v>
      </c>
      <c r="BD573" s="120" t="s">
        <v>515</v>
      </c>
      <c r="BE573" s="120"/>
      <c r="BF573" s="440"/>
    </row>
    <row r="574" spans="28:58">
      <c r="AB574" s="436" t="s">
        <v>516</v>
      </c>
      <c r="AC574" s="120">
        <v>0</v>
      </c>
      <c r="AD574" s="120" t="s">
        <v>515</v>
      </c>
      <c r="AE574" s="120"/>
      <c r="AF574" s="440"/>
      <c r="BB574" s="436" t="s">
        <v>516</v>
      </c>
      <c r="BC574" s="120">
        <v>0</v>
      </c>
      <c r="BD574" s="120" t="s">
        <v>515</v>
      </c>
      <c r="BE574" s="120"/>
      <c r="BF574" s="440"/>
    </row>
    <row r="575" spans="28:58">
      <c r="AB575" s="436"/>
      <c r="AC575" s="120"/>
      <c r="AD575" s="120"/>
      <c r="AE575" s="120"/>
      <c r="AF575" s="440"/>
      <c r="BB575" s="436"/>
      <c r="BC575" s="120"/>
      <c r="BD575" s="120"/>
      <c r="BE575" s="120"/>
      <c r="BF575" s="440"/>
    </row>
    <row r="576" spans="28:58">
      <c r="AB576" s="436"/>
      <c r="AC576" s="120"/>
      <c r="AD576" s="120"/>
      <c r="AE576" s="120"/>
      <c r="AF576" s="440"/>
      <c r="BB576" s="436"/>
      <c r="BC576" s="120"/>
      <c r="BD576" s="120"/>
      <c r="BE576" s="120"/>
      <c r="BF576" s="440"/>
    </row>
    <row r="577" spans="28:58">
      <c r="AB577" s="436"/>
      <c r="AC577" s="120"/>
      <c r="AD577" s="120"/>
      <c r="AE577" s="120"/>
      <c r="AF577" s="440"/>
      <c r="BB577" s="436"/>
      <c r="BC577" s="120"/>
      <c r="BD577" s="120"/>
      <c r="BE577" s="120"/>
      <c r="BF577" s="440"/>
    </row>
    <row r="578" spans="28:58">
      <c r="AB578" s="436"/>
      <c r="AC578" s="120"/>
      <c r="AD578" s="120"/>
      <c r="AE578" s="120"/>
      <c r="AF578" s="440"/>
      <c r="BB578" s="436"/>
      <c r="BC578" s="120"/>
      <c r="BD578" s="120"/>
      <c r="BE578" s="120"/>
      <c r="BF578" s="440"/>
    </row>
    <row r="579" spans="28:58">
      <c r="AB579" s="436"/>
      <c r="AC579" s="120"/>
      <c r="AD579" s="120"/>
      <c r="AE579" s="120"/>
      <c r="AF579" s="440"/>
      <c r="BB579" s="436"/>
      <c r="BC579" s="120"/>
      <c r="BD579" s="120"/>
      <c r="BE579" s="120"/>
      <c r="BF579" s="440"/>
    </row>
    <row r="580" spans="28:58">
      <c r="AB580" s="436" t="s">
        <v>464</v>
      </c>
      <c r="AC580" s="120"/>
      <c r="AD580" s="120"/>
      <c r="AE580" s="120"/>
      <c r="AF580" s="440"/>
      <c r="BB580" s="436" t="s">
        <v>464</v>
      </c>
      <c r="BC580" s="120"/>
      <c r="BD580" s="120"/>
      <c r="BE580" s="120"/>
      <c r="BF580" s="440"/>
    </row>
    <row r="581" spans="28:58">
      <c r="AB581" s="456"/>
      <c r="AC581" s="457"/>
      <c r="AD581" s="457"/>
      <c r="AE581" s="457"/>
      <c r="AF581" s="458"/>
      <c r="BB581" s="456"/>
      <c r="BC581" s="457"/>
      <c r="BD581" s="457"/>
      <c r="BE581" s="457"/>
      <c r="BF581" s="458"/>
    </row>
    <row r="582" spans="28:58">
      <c r="AB582" s="449" t="s">
        <v>472</v>
      </c>
      <c r="AC582" s="467" t="s">
        <v>517</v>
      </c>
      <c r="AD582" s="120" t="s">
        <v>518</v>
      </c>
      <c r="AE582" s="467" t="s">
        <v>519</v>
      </c>
      <c r="AF582" s="440" t="s">
        <v>518</v>
      </c>
      <c r="BB582" s="449" t="s">
        <v>472</v>
      </c>
      <c r="BC582" s="467" t="s">
        <v>517</v>
      </c>
      <c r="BD582" s="120" t="s">
        <v>518</v>
      </c>
      <c r="BE582" s="467" t="s">
        <v>519</v>
      </c>
      <c r="BF582" s="440" t="s">
        <v>518</v>
      </c>
    </row>
    <row r="583" spans="28:58">
      <c r="AB583" s="436" t="s">
        <v>520</v>
      </c>
      <c r="AC583" s="120"/>
      <c r="AD583" s="120"/>
      <c r="AE583" s="472" t="e">
        <f>((VLOOKUP(AB501,'Unit Ops'!$B$140:$J$209,3,FALSE)*AC503^VLOOKUP(AB501,'Unit Ops'!$B$140:$J$209,4,FALSE)+VLOOKUP(AB501,'Unit Ops'!$B$140:$J$209,5,FALSE))*VLOOKUP(AB501,'Unit Ops'!$B$140:$J$209,6,FALSE))*IF(VLOOKUP(AB501,'Unit Ops'!$B$140:$L$209,11,FALSE)=1,1,2)</f>
        <v>#NUM!</v>
      </c>
      <c r="AF583" s="490">
        <f>'CM Rec Par.'!$C$7</f>
        <v>2022</v>
      </c>
      <c r="BB583" s="436" t="s">
        <v>520</v>
      </c>
      <c r="BC583" s="120"/>
      <c r="BD583" s="120"/>
      <c r="BE583" s="472">
        <f>((VLOOKUP(BB501,'Unit Ops'!$B$140:$J$209,3,FALSE)*BC503^VLOOKUP(BB501,'Unit Ops'!$B$140:$J$209,4,FALSE)+VLOOKUP(BB501,'Unit Ops'!$B$140:$J$209,5,FALSE))*VLOOKUP(BB501,'Unit Ops'!$B$140:$J$209,6,FALSE))*IF(VLOOKUP(BB501,'Unit Ops'!$B$140:$L$209,11,FALSE)=1,1,2)</f>
        <v>0</v>
      </c>
      <c r="BF583" s="490">
        <f>'CM Rec Par.'!$C$7</f>
        <v>2022</v>
      </c>
    </row>
    <row r="584" spans="28:58">
      <c r="AB584" s="436"/>
      <c r="AC584" s="120"/>
      <c r="AD584" s="120"/>
      <c r="AE584" s="120"/>
      <c r="AF584" s="440"/>
      <c r="BB584" s="436"/>
      <c r="BC584" s="120"/>
      <c r="BD584" s="120"/>
      <c r="BE584" s="120"/>
      <c r="BF584" s="440"/>
    </row>
    <row r="585" spans="28:58">
      <c r="AB585" s="436"/>
      <c r="AC585" s="120"/>
      <c r="AD585" s="120"/>
      <c r="AE585" s="120"/>
      <c r="AF585" s="440"/>
      <c r="BB585" s="436"/>
      <c r="BC585" s="120"/>
      <c r="BD585" s="120"/>
      <c r="BE585" s="120"/>
      <c r="BF585" s="440"/>
    </row>
    <row r="586" spans="28:58">
      <c r="AB586" s="436"/>
      <c r="AC586" s="120"/>
      <c r="AD586" s="120"/>
      <c r="AE586" s="120"/>
      <c r="AF586" s="440"/>
      <c r="BB586" s="436"/>
      <c r="BC586" s="120"/>
      <c r="BD586" s="120"/>
      <c r="BE586" s="120"/>
      <c r="BF586" s="440"/>
    </row>
    <row r="587" spans="28:58">
      <c r="AB587" s="436"/>
      <c r="AC587" s="120"/>
      <c r="AD587" s="120"/>
      <c r="AE587" s="120"/>
      <c r="AF587" s="440"/>
      <c r="BB587" s="436"/>
      <c r="BC587" s="120"/>
      <c r="BD587" s="120"/>
      <c r="BE587" s="120"/>
      <c r="BF587" s="440"/>
    </row>
    <row r="588" spans="28:58">
      <c r="AB588" s="436"/>
      <c r="AC588" s="120"/>
      <c r="AD588" s="120"/>
      <c r="AE588" s="120"/>
      <c r="AF588" s="440"/>
      <c r="BB588" s="436"/>
      <c r="BC588" s="120"/>
      <c r="BD588" s="120"/>
      <c r="BE588" s="120"/>
      <c r="BF588" s="440"/>
    </row>
    <row r="589" spans="28:58">
      <c r="AB589" s="436"/>
      <c r="AC589" s="120"/>
      <c r="AD589" s="120"/>
      <c r="AE589" s="120"/>
      <c r="AF589" s="440"/>
      <c r="BB589" s="436"/>
      <c r="BC589" s="120"/>
      <c r="BD589" s="120"/>
      <c r="BE589" s="120"/>
      <c r="BF589" s="440"/>
    </row>
    <row r="590" spans="28:58">
      <c r="AB590" s="436"/>
      <c r="AC590" s="120"/>
      <c r="AD590" s="120"/>
      <c r="AE590" s="120"/>
      <c r="AF590" s="440"/>
      <c r="BB590" s="436"/>
      <c r="BC590" s="120"/>
      <c r="BD590" s="120"/>
      <c r="BE590" s="120"/>
      <c r="BF590" s="440"/>
    </row>
    <row r="591" spans="28:58">
      <c r="AB591" s="436"/>
      <c r="AC591" s="120"/>
      <c r="AD591" s="120"/>
      <c r="AE591" s="120"/>
      <c r="AF591" s="440"/>
      <c r="BB591" s="436"/>
      <c r="BC591" s="120"/>
      <c r="BD591" s="120"/>
      <c r="BE591" s="120"/>
      <c r="BF591" s="440"/>
    </row>
    <row r="592" spans="28:58">
      <c r="AB592" s="436"/>
      <c r="AC592" s="120"/>
      <c r="AD592" s="120"/>
      <c r="AE592" s="120"/>
      <c r="AF592" s="440"/>
      <c r="AH592" s="491"/>
      <c r="BB592" s="436"/>
      <c r="BC592" s="120"/>
      <c r="BD592" s="120"/>
      <c r="BE592" s="120"/>
      <c r="BF592" s="440"/>
    </row>
    <row r="593" spans="27:60">
      <c r="AB593" s="436"/>
      <c r="AC593" s="120"/>
      <c r="AD593" s="120"/>
      <c r="AE593" s="120"/>
      <c r="AF593" s="440"/>
      <c r="BB593" s="436"/>
      <c r="BC593" s="120"/>
      <c r="BD593" s="120"/>
      <c r="BE593" s="120"/>
      <c r="BF593" s="440"/>
      <c r="BH593" s="491"/>
    </row>
    <row r="594" spans="27:60">
      <c r="AB594" s="436"/>
      <c r="AC594" s="120"/>
      <c r="AD594" s="120"/>
      <c r="AE594" s="120"/>
      <c r="AF594" s="440"/>
      <c r="BB594" s="436"/>
      <c r="BC594" s="120"/>
      <c r="BD594" s="120"/>
      <c r="BE594" s="120"/>
      <c r="BF594" s="440"/>
    </row>
    <row r="595" spans="27:60">
      <c r="AB595" s="436"/>
      <c r="AC595" s="120"/>
      <c r="AD595" s="120"/>
      <c r="AE595" s="120"/>
      <c r="AF595" s="440"/>
      <c r="BB595" s="436"/>
      <c r="BC595" s="120"/>
      <c r="BD595" s="120"/>
      <c r="BE595" s="120"/>
      <c r="BF595" s="440"/>
    </row>
    <row r="596" spans="27:60">
      <c r="AB596" s="436"/>
      <c r="AC596" s="120"/>
      <c r="AD596" s="120"/>
      <c r="AE596" s="120"/>
      <c r="AF596" s="440"/>
      <c r="BB596" s="436"/>
      <c r="BC596" s="120"/>
      <c r="BD596" s="120"/>
      <c r="BE596" s="120"/>
      <c r="BF596" s="440"/>
    </row>
    <row r="597" spans="27:60" ht="14.5" thickBot="1">
      <c r="AB597" s="492"/>
      <c r="AC597" s="493"/>
      <c r="AD597" s="493"/>
      <c r="AE597" s="493"/>
      <c r="AF597" s="453"/>
      <c r="BB597" s="492"/>
      <c r="BC597" s="493"/>
      <c r="BD597" s="493"/>
      <c r="BE597" s="493"/>
      <c r="BF597" s="453"/>
    </row>
    <row r="600" spans="27:60" ht="14.5" thickBot="1">
      <c r="AB600" s="118"/>
      <c r="AC600" s="118"/>
      <c r="AD600" s="118"/>
      <c r="AE600" s="118"/>
      <c r="AF600" s="118"/>
      <c r="BB600" s="118"/>
      <c r="BC600" s="118"/>
      <c r="BD600" s="118"/>
      <c r="BE600" s="118"/>
      <c r="BF600" s="118"/>
    </row>
    <row r="601" spans="27:60">
      <c r="AA601" s="114" t="s">
        <v>478</v>
      </c>
      <c r="AB601" s="494" t="str">
        <f>AB45</f>
        <v>Conveyor</v>
      </c>
      <c r="AC601" s="495"/>
      <c r="AD601" s="454"/>
      <c r="AE601" s="120"/>
      <c r="AF601" s="440"/>
      <c r="AG601" s="409"/>
      <c r="BB601" s="494" t="str">
        <f>BB46</f>
        <v>Select Equipment</v>
      </c>
      <c r="BC601" s="495"/>
      <c r="BD601" s="454"/>
      <c r="BE601" s="120"/>
      <c r="BF601" s="440"/>
    </row>
    <row r="602" spans="27:60">
      <c r="AA602" s="114" t="s">
        <v>5</v>
      </c>
      <c r="AB602" s="436" t="s">
        <v>1</v>
      </c>
      <c r="AC602" s="437">
        <f>AC$14/AC$11/AC$10*VLOOKUP(AB601,'Unit Ops'!$B$140:$J$209,2,FALSE)</f>
        <v>0</v>
      </c>
      <c r="AD602" s="438" t="s">
        <v>586</v>
      </c>
      <c r="AE602" s="1027">
        <f>AC602*AC$306*AC$307</f>
        <v>0</v>
      </c>
      <c r="AF602" s="439" t="s">
        <v>585</v>
      </c>
      <c r="AG602" s="409"/>
      <c r="BA602" s="114" t="s">
        <v>478</v>
      </c>
      <c r="BB602" s="436" t="s">
        <v>1</v>
      </c>
      <c r="BC602" s="437">
        <f>BC$15/BC$11/BC$12*VLOOKUP(BB601,'Unit Ops'!$B$140:$J$209,2,FALSE)</f>
        <v>0</v>
      </c>
      <c r="BD602" s="438" t="s">
        <v>586</v>
      </c>
      <c r="BE602" s="1027">
        <f>BC602*BC$306*BC$307</f>
        <v>0</v>
      </c>
      <c r="BF602" s="439" t="s">
        <v>585</v>
      </c>
      <c r="BG602" s="409"/>
    </row>
    <row r="603" spans="27:60">
      <c r="AA603" s="114" t="str">
        <f>$AB$44</f>
        <v>Hopper</v>
      </c>
      <c r="AB603" s="436" t="s">
        <v>505</v>
      </c>
      <c r="AC603" s="437">
        <f>ROUNDUP(AC602*IF(VLOOKUP(AB601,'Unit Ops'!$B$140:$L$209,11,FALSE)=1,1.5,0.75),1)</f>
        <v>0</v>
      </c>
      <c r="AD603" s="438" t="s">
        <v>586</v>
      </c>
      <c r="AE603" s="120">
        <f>AC603*AC$306*AC$307</f>
        <v>0</v>
      </c>
      <c r="AF603" s="439" t="s">
        <v>585</v>
      </c>
      <c r="AG603" s="409"/>
      <c r="BA603" s="114" t="s">
        <v>5</v>
      </c>
      <c r="BB603" s="436" t="s">
        <v>505</v>
      </c>
      <c r="BC603" s="437">
        <f>ROUNDUP(BC602*IF(VLOOKUP(BB601,'Unit Ops'!$B$140:$L$209,11,FALSE)=1,1.5,0.75),1)</f>
        <v>0</v>
      </c>
      <c r="BD603" s="438" t="s">
        <v>586</v>
      </c>
      <c r="BE603" s="120">
        <f>BC603*BC$306*BC$307</f>
        <v>0</v>
      </c>
      <c r="BF603" s="439" t="s">
        <v>585</v>
      </c>
      <c r="BG603" s="409"/>
    </row>
    <row r="604" spans="27:60">
      <c r="AA604" s="114" t="str">
        <f>$AB$45</f>
        <v>Conveyor</v>
      </c>
      <c r="AB604" s="441" t="s">
        <v>521</v>
      </c>
      <c r="AC604" s="442" t="e">
        <f>AC602/AC603</f>
        <v>#DIV/0!</v>
      </c>
      <c r="AD604" s="438"/>
      <c r="AE604" s="443"/>
      <c r="AF604" s="440"/>
      <c r="AG604" s="444"/>
      <c r="BA604" s="114" t="str">
        <f>$BB$45</f>
        <v>Select Equipment</v>
      </c>
      <c r="BB604" s="441" t="s">
        <v>521</v>
      </c>
      <c r="BC604" s="442" t="e">
        <f>BC602/BC603</f>
        <v>#DIV/0!</v>
      </c>
      <c r="BD604" s="438"/>
      <c r="BE604" s="443"/>
      <c r="BF604" s="440"/>
      <c r="BG604" s="409"/>
    </row>
    <row r="605" spans="27:60">
      <c r="AA605" s="114" t="str">
        <f>$AB$46</f>
        <v>Crusher</v>
      </c>
      <c r="AB605" s="441" t="s">
        <v>506</v>
      </c>
      <c r="AC605" s="445"/>
      <c r="AD605" s="438" t="s">
        <v>454</v>
      </c>
      <c r="AE605" s="443"/>
      <c r="AF605" s="440"/>
      <c r="AG605" s="409"/>
      <c r="BA605" s="114" t="str">
        <f>$BB$46</f>
        <v>Select Equipment</v>
      </c>
      <c r="BB605" s="441" t="s">
        <v>506</v>
      </c>
      <c r="BC605" s="445"/>
      <c r="BD605" s="438" t="s">
        <v>454</v>
      </c>
      <c r="BE605" s="443"/>
      <c r="BF605" s="440"/>
      <c r="BG605" s="444"/>
    </row>
    <row r="606" spans="27:60">
      <c r="AA606" s="114" t="str">
        <f>$AB$47</f>
        <v>Screen, vibrating</v>
      </c>
      <c r="AB606" s="436" t="s">
        <v>507</v>
      </c>
      <c r="AC606" s="225" t="e">
        <f>(VLOOKUP(AB601,'Unit Ops'!$B$140:$J$209,7,FALSE)*AC603^VLOOKUP(AB601,'Unit Ops'!$B$140:$J$209,8,FALSE)+VLOOKUP(AB601,'Unit Ops'!$B$140:$J$209,9,FALSE))*IF(VLOOKUP(AB601,'Unit Ops'!$B$140:$L$209,11,FALSE)=1,1,2)</f>
        <v>#NUM!</v>
      </c>
      <c r="AD606" s="446" t="s">
        <v>454</v>
      </c>
      <c r="AE606" s="443"/>
      <c r="AF606" s="440"/>
      <c r="AG606" s="465"/>
      <c r="BA606" s="114" t="str">
        <f>$BB$47</f>
        <v>Select Equipment</v>
      </c>
      <c r="BB606" s="436" t="s">
        <v>507</v>
      </c>
      <c r="BC606" s="225" t="e">
        <f>(VLOOKUP(BB601,'Unit Ops'!$B$140:$J$209,7,FALSE)*BC603^VLOOKUP(BB601,'Unit Ops'!$B$140:$J$209,8,FALSE)+VLOOKUP(BB601,'Unit Ops'!$B$140:$J$209,9,FALSE))*IF(VLOOKUP(BB601,'Unit Ops'!$B$140:$L$209,11,FALSE)=1,1,2)</f>
        <v>#NUM!</v>
      </c>
      <c r="BD606" s="446" t="s">
        <v>454</v>
      </c>
      <c r="BE606" s="443"/>
      <c r="BF606" s="440"/>
      <c r="BG606" s="409"/>
    </row>
    <row r="607" spans="27:60">
      <c r="AA607" s="114" t="str">
        <f>$AB$48</f>
        <v>Conveyor</v>
      </c>
      <c r="AB607" s="441"/>
      <c r="AC607" s="445"/>
      <c r="AD607" s="447"/>
      <c r="AE607" s="443"/>
      <c r="AF607" s="440"/>
      <c r="AG607" s="119"/>
      <c r="BA607" s="114" t="str">
        <f>$BB$48</f>
        <v>Select Equipment</v>
      </c>
      <c r="BB607" s="441"/>
      <c r="BC607" s="445"/>
      <c r="BD607" s="447"/>
      <c r="BE607" s="443"/>
      <c r="BF607" s="440"/>
      <c r="BG607" s="465"/>
    </row>
    <row r="608" spans="27:60">
      <c r="AA608" s="114" t="str">
        <f>$AB$49</f>
        <v>Heat treatment furnace</v>
      </c>
      <c r="AB608" s="441"/>
      <c r="AC608" s="445"/>
      <c r="AD608" s="447"/>
      <c r="AE608" s="443"/>
      <c r="AF608" s="440"/>
      <c r="AG608" s="119"/>
      <c r="BA608" s="114" t="str">
        <f>$BB$49</f>
        <v>Select Equipment</v>
      </c>
      <c r="BB608" s="441"/>
      <c r="BC608" s="445"/>
      <c r="BD608" s="447"/>
      <c r="BE608" s="443"/>
      <c r="BF608" s="440"/>
      <c r="BG608" s="119"/>
    </row>
    <row r="609" spans="27:59">
      <c r="AA609" s="114" t="str">
        <f>$AB$50</f>
        <v>Cyclone</v>
      </c>
      <c r="AB609" s="449"/>
      <c r="AC609" s="445"/>
      <c r="AD609" s="447"/>
      <c r="AE609" s="443"/>
      <c r="AF609" s="440"/>
      <c r="AG609" s="470"/>
      <c r="BA609" s="114" t="str">
        <f>$BB$50</f>
        <v>Select Equipment</v>
      </c>
      <c r="BB609" s="449"/>
      <c r="BC609" s="445"/>
      <c r="BD609" s="447"/>
      <c r="BE609" s="443"/>
      <c r="BF609" s="440"/>
      <c r="BG609" s="119"/>
    </row>
    <row r="610" spans="27:59" ht="14.5" thickBot="1">
      <c r="AA610" s="114" t="str">
        <f>$AB$51</f>
        <v>Conveyor</v>
      </c>
      <c r="AB610" s="450"/>
      <c r="AC610" s="451"/>
      <c r="AD610" s="451"/>
      <c r="AE610" s="452"/>
      <c r="AF610" s="453"/>
      <c r="AG610" s="119"/>
      <c r="BA610" s="114" t="str">
        <f>$BB$51</f>
        <v>Select Equipment</v>
      </c>
      <c r="BB610" s="450"/>
      <c r="BC610" s="451"/>
      <c r="BD610" s="451"/>
      <c r="BE610" s="452"/>
      <c r="BF610" s="453"/>
      <c r="BG610" s="470"/>
    </row>
    <row r="611" spans="27:59">
      <c r="AA611" s="114" t="str">
        <f>$AB$52</f>
        <v>Eddy current separator</v>
      </c>
      <c r="AB611" s="449" t="s">
        <v>470</v>
      </c>
      <c r="AC611" s="120"/>
      <c r="AD611" s="454"/>
      <c r="AE611" s="120"/>
      <c r="AF611" s="440"/>
      <c r="AG611" s="474"/>
      <c r="BA611" s="114" t="str">
        <f>$BB$52</f>
        <v>Select Equipment</v>
      </c>
      <c r="BB611" s="449" t="s">
        <v>470</v>
      </c>
      <c r="BC611" s="120"/>
      <c r="BD611" s="454"/>
      <c r="BE611" s="120"/>
      <c r="BF611" s="440"/>
      <c r="BG611" s="119"/>
    </row>
    <row r="612" spans="27:59" ht="14.5" customHeight="1">
      <c r="AA612" s="114" t="str">
        <f>$AB$53</f>
        <v>Conveyor</v>
      </c>
      <c r="AB612" s="1698"/>
      <c r="AC612" s="1699"/>
      <c r="AD612" s="1699"/>
      <c r="AE612" s="1699"/>
      <c r="AF612" s="1700"/>
      <c r="AG612" s="474"/>
      <c r="BA612" s="114" t="str">
        <f>$BB$53</f>
        <v>Select Equipment</v>
      </c>
      <c r="BB612" s="1698"/>
      <c r="BC612" s="1699"/>
      <c r="BD612" s="1699"/>
      <c r="BE612" s="1699"/>
      <c r="BF612" s="1700"/>
      <c r="BG612" s="474"/>
    </row>
    <row r="613" spans="27:59">
      <c r="AA613" s="114" t="str">
        <f>$AB$54</f>
        <v>Air classifier</v>
      </c>
      <c r="AB613" s="436"/>
      <c r="AC613" s="120"/>
      <c r="AD613" s="455"/>
      <c r="AE613" s="120"/>
      <c r="AF613" s="440"/>
      <c r="AG613" s="482"/>
      <c r="BA613" s="114" t="str">
        <f>$BB$54</f>
        <v>Select Equipment</v>
      </c>
      <c r="BB613" s="436"/>
      <c r="BC613" s="120"/>
      <c r="BD613" s="455"/>
      <c r="BE613" s="120"/>
      <c r="BF613" s="440"/>
      <c r="BG613" s="474"/>
    </row>
    <row r="614" spans="27:59">
      <c r="AA614" s="114" t="str">
        <f>$AB$55</f>
        <v>Gas treatment</v>
      </c>
      <c r="AB614" s="436"/>
      <c r="AC614" s="120"/>
      <c r="AD614" s="455"/>
      <c r="AE614" s="120"/>
      <c r="AF614" s="440"/>
      <c r="AG614" s="496"/>
      <c r="BA614" s="114" t="str">
        <f>$BB$55</f>
        <v>Select Equipment</v>
      </c>
      <c r="BB614" s="436"/>
      <c r="BC614" s="120"/>
      <c r="BD614" s="455"/>
      <c r="BE614" s="120"/>
      <c r="BF614" s="440"/>
      <c r="BG614" s="482"/>
    </row>
    <row r="615" spans="27:59">
      <c r="AA615" s="114" t="str">
        <f>$AB$56</f>
        <v>Wheel loader</v>
      </c>
      <c r="AB615" s="456"/>
      <c r="AC615" s="457"/>
      <c r="AD615" s="457"/>
      <c r="AE615" s="457"/>
      <c r="AF615" s="458"/>
      <c r="AG615" s="497"/>
      <c r="BA615" s="114" t="str">
        <f>$BB$56</f>
        <v>Select Equipment</v>
      </c>
      <c r="BB615" s="456"/>
      <c r="BC615" s="457"/>
      <c r="BD615" s="457"/>
      <c r="BE615" s="457"/>
      <c r="BF615" s="458"/>
      <c r="BG615" s="496"/>
    </row>
    <row r="616" spans="27:59">
      <c r="AA616" s="114" t="str">
        <f>$AB$57</f>
        <v>Select Equipment</v>
      </c>
      <c r="AB616" s="449" t="s">
        <v>471</v>
      </c>
      <c r="AC616" s="120"/>
      <c r="AD616" s="454"/>
      <c r="AE616" s="120"/>
      <c r="AF616" s="440"/>
      <c r="AG616" s="474"/>
      <c r="BA616" s="114" t="str">
        <f>$BB$57</f>
        <v>Select Equipment</v>
      </c>
      <c r="BB616" s="449" t="s">
        <v>471</v>
      </c>
      <c r="BC616" s="120"/>
      <c r="BD616" s="454"/>
      <c r="BE616" s="120"/>
      <c r="BF616" s="440"/>
      <c r="BG616" s="497"/>
    </row>
    <row r="617" spans="27:59">
      <c r="AA617" s="114" t="str">
        <f>$AB$58</f>
        <v>Select Equipment</v>
      </c>
      <c r="AB617" s="436" t="s">
        <v>577</v>
      </c>
      <c r="AC617" s="225" t="e">
        <f>AC606*IF(AC604&gt;1,1,AC604)</f>
        <v>#NUM!</v>
      </c>
      <c r="AD617" s="446" t="s">
        <v>454</v>
      </c>
      <c r="AE617" s="120"/>
      <c r="AF617" s="440"/>
      <c r="BA617" s="114" t="str">
        <f>$BB$58</f>
        <v>Select Equipment</v>
      </c>
      <c r="BB617" s="436" t="s">
        <v>577</v>
      </c>
      <c r="BC617" s="225" t="e">
        <f>BC606*IF(BC604&gt;1,1,BC604)</f>
        <v>#NUM!</v>
      </c>
      <c r="BD617" s="446" t="s">
        <v>454</v>
      </c>
      <c r="BE617" s="120"/>
      <c r="BF617" s="440"/>
      <c r="BG617" s="474"/>
    </row>
    <row r="618" spans="27:59">
      <c r="AA618" s="114" t="str">
        <f>$AB$59</f>
        <v>Select Equipment</v>
      </c>
      <c r="AB618" s="436" t="s">
        <v>578</v>
      </c>
      <c r="AC618" s="225"/>
      <c r="AD618" s="446" t="s">
        <v>579</v>
      </c>
      <c r="AE618" s="120"/>
      <c r="AF618" s="440"/>
      <c r="BA618" s="114" t="str">
        <f>$BB$59</f>
        <v>Select Equipment</v>
      </c>
      <c r="BB618" s="436" t="s">
        <v>578</v>
      </c>
      <c r="BC618" s="225"/>
      <c r="BD618" s="446" t="s">
        <v>579</v>
      </c>
      <c r="BE618" s="120"/>
      <c r="BF618" s="440"/>
    </row>
    <row r="619" spans="27:59">
      <c r="AA619" s="114" t="str">
        <f>$AB$60</f>
        <v>Select Equipment</v>
      </c>
      <c r="AB619" s="436"/>
      <c r="AC619" s="120"/>
      <c r="AD619" s="446"/>
      <c r="AE619" s="120"/>
      <c r="AF619" s="440"/>
      <c r="BA619" s="114" t="str">
        <f>$BB$60</f>
        <v>Select Equipment</v>
      </c>
      <c r="BB619" s="436"/>
      <c r="BC619" s="120"/>
      <c r="BD619" s="446"/>
      <c r="BE619" s="120"/>
      <c r="BF619" s="440"/>
    </row>
    <row r="620" spans="27:59">
      <c r="AA620" s="114" t="str">
        <f>$AB$61</f>
        <v>Select Equipment</v>
      </c>
      <c r="AB620" s="436" t="s">
        <v>8</v>
      </c>
      <c r="AC620" s="120"/>
      <c r="AD620" s="459" t="s">
        <v>564</v>
      </c>
      <c r="AE620" s="120"/>
      <c r="AF620" s="440"/>
      <c r="BA620" s="114" t="str">
        <f>$BB$61</f>
        <v>Select Equipment</v>
      </c>
      <c r="BB620" s="436" t="s">
        <v>8</v>
      </c>
      <c r="BC620" s="120"/>
      <c r="BD620" s="459" t="s">
        <v>564</v>
      </c>
      <c r="BE620" s="120"/>
      <c r="BF620" s="440"/>
    </row>
    <row r="621" spans="27:59">
      <c r="AA621" s="114" t="str">
        <f>$AB$62</f>
        <v>Select Equipment</v>
      </c>
      <c r="AB621" s="436"/>
      <c r="AC621" s="120"/>
      <c r="AD621" s="459"/>
      <c r="AE621" s="120"/>
      <c r="AF621" s="440"/>
      <c r="BA621" s="114" t="str">
        <f>$BB$62</f>
        <v>Select Equipment</v>
      </c>
      <c r="BB621" s="436"/>
      <c r="BC621" s="120"/>
      <c r="BD621" s="459"/>
      <c r="BE621" s="120"/>
      <c r="BF621" s="440"/>
    </row>
    <row r="622" spans="27:59">
      <c r="AA622" s="114" t="str">
        <f>$AB$63</f>
        <v>Select Equipment</v>
      </c>
      <c r="AB622" s="436" t="s">
        <v>7</v>
      </c>
      <c r="AC622" s="120"/>
      <c r="AD622" s="459" t="s">
        <v>564</v>
      </c>
      <c r="AE622" s="120"/>
      <c r="AF622" s="440"/>
      <c r="BA622" s="114" t="str">
        <f>$BB$63</f>
        <v>Select Equipment</v>
      </c>
      <c r="BB622" s="436" t="s">
        <v>7</v>
      </c>
      <c r="BC622" s="120"/>
      <c r="BD622" s="459" t="s">
        <v>564</v>
      </c>
      <c r="BE622" s="120"/>
      <c r="BF622" s="440"/>
    </row>
    <row r="623" spans="27:59">
      <c r="AA623"/>
      <c r="AB623" s="436"/>
      <c r="AC623" s="120"/>
      <c r="AD623" s="459"/>
      <c r="AE623" s="120"/>
      <c r="AF623" s="440"/>
      <c r="BA623" s="114" t="str">
        <f>$BB$64</f>
        <v>Select Equipment</v>
      </c>
      <c r="BB623" s="436"/>
      <c r="BC623" s="120"/>
      <c r="BD623" s="459"/>
      <c r="BE623" s="120"/>
      <c r="BF623" s="440"/>
    </row>
    <row r="624" spans="27:59">
      <c r="AA624"/>
      <c r="AB624" s="436" t="s">
        <v>9</v>
      </c>
      <c r="AC624" s="120"/>
      <c r="AD624" s="459" t="s">
        <v>564</v>
      </c>
      <c r="AE624" s="120"/>
      <c r="AF624" s="440"/>
      <c r="BA624"/>
      <c r="BB624" s="436" t="s">
        <v>9</v>
      </c>
      <c r="BC624" s="120"/>
      <c r="BD624" s="459" t="s">
        <v>564</v>
      </c>
      <c r="BE624" s="120"/>
      <c r="BF624" s="440"/>
    </row>
    <row r="625" spans="27:58">
      <c r="AA625"/>
      <c r="AB625" s="436"/>
      <c r="AC625" s="120"/>
      <c r="AD625" s="459"/>
      <c r="AE625" s="120"/>
      <c r="AF625" s="440"/>
      <c r="BA625"/>
      <c r="BB625" s="436"/>
      <c r="BC625" s="120"/>
      <c r="BD625" s="459"/>
      <c r="BE625" s="120"/>
      <c r="BF625" s="440"/>
    </row>
    <row r="626" spans="27:58">
      <c r="AA626"/>
      <c r="AB626" s="436" t="s">
        <v>324</v>
      </c>
      <c r="AC626" s="120"/>
      <c r="AD626" s="459" t="s">
        <v>564</v>
      </c>
      <c r="AE626" s="120"/>
      <c r="AF626" s="440" t="s">
        <v>569</v>
      </c>
      <c r="BA626"/>
      <c r="BB626" s="436" t="s">
        <v>324</v>
      </c>
      <c r="BC626" s="120"/>
      <c r="BD626" s="459" t="s">
        <v>564</v>
      </c>
      <c r="BE626" s="120"/>
      <c r="BF626" s="440" t="s">
        <v>569</v>
      </c>
    </row>
    <row r="627" spans="27:58">
      <c r="AA627"/>
      <c r="AB627" s="436"/>
      <c r="AC627" s="120"/>
      <c r="AD627" s="468"/>
      <c r="AE627" s="469"/>
      <c r="AF627" s="440"/>
      <c r="BA627"/>
      <c r="BB627" s="436"/>
      <c r="BC627" s="120"/>
      <c r="BD627" s="468"/>
      <c r="BE627" s="469"/>
      <c r="BF627" s="440"/>
    </row>
    <row r="628" spans="27:58">
      <c r="AA628"/>
      <c r="AB628" s="436" t="s">
        <v>374</v>
      </c>
      <c r="AC628" s="120"/>
      <c r="AD628" s="459" t="s">
        <v>564</v>
      </c>
      <c r="AE628" s="469"/>
      <c r="AF628" s="440" t="s">
        <v>569</v>
      </c>
      <c r="BA628"/>
      <c r="BB628" s="436" t="s">
        <v>374</v>
      </c>
      <c r="BC628" s="120"/>
      <c r="BD628" s="459" t="s">
        <v>564</v>
      </c>
      <c r="BE628" s="469"/>
      <c r="BF628" s="440" t="s">
        <v>569</v>
      </c>
    </row>
    <row r="629" spans="27:58">
      <c r="AA629"/>
      <c r="AB629" s="436"/>
      <c r="AC629" s="120"/>
      <c r="AD629" s="472"/>
      <c r="AE629" s="473"/>
      <c r="AF629" s="440"/>
      <c r="BA629"/>
      <c r="BB629" s="436"/>
      <c r="BC629" s="120"/>
      <c r="BD629" s="472"/>
      <c r="BE629" s="473"/>
      <c r="BF629" s="440"/>
    </row>
    <row r="630" spans="27:58">
      <c r="AA630"/>
      <c r="AB630" s="436" t="s">
        <v>580</v>
      </c>
      <c r="AC630" s="120"/>
      <c r="AD630" s="459" t="s">
        <v>564</v>
      </c>
      <c r="AE630" s="473"/>
      <c r="AF630" s="440" t="s">
        <v>569</v>
      </c>
      <c r="BA630"/>
      <c r="BB630" s="436" t="s">
        <v>580</v>
      </c>
      <c r="BC630" s="120"/>
      <c r="BD630" s="459" t="s">
        <v>564</v>
      </c>
      <c r="BE630" s="473"/>
      <c r="BF630" s="440" t="s">
        <v>569</v>
      </c>
    </row>
    <row r="631" spans="27:58">
      <c r="AA631"/>
      <c r="AB631" s="476"/>
      <c r="AC631" s="477"/>
      <c r="AD631" s="478"/>
      <c r="AE631" s="479"/>
      <c r="AF631" s="458"/>
      <c r="BA631"/>
      <c r="BB631" s="476"/>
      <c r="BC631" s="477"/>
      <c r="BD631" s="478"/>
      <c r="BE631" s="479"/>
      <c r="BF631" s="458"/>
    </row>
    <row r="632" spans="27:58">
      <c r="AA632"/>
      <c r="AB632" s="449" t="s">
        <v>473</v>
      </c>
      <c r="AC632" s="467" t="s">
        <v>508</v>
      </c>
      <c r="AD632" s="480"/>
      <c r="AE632" s="481" t="s">
        <v>308</v>
      </c>
      <c r="AF632" s="440"/>
      <c r="BA632"/>
      <c r="BB632" s="449" t="s">
        <v>473</v>
      </c>
      <c r="BC632" s="467" t="s">
        <v>508</v>
      </c>
      <c r="BD632" s="480"/>
      <c r="BE632" s="481" t="s">
        <v>308</v>
      </c>
      <c r="BF632" s="440"/>
    </row>
    <row r="633" spans="27:58">
      <c r="AB633" s="436"/>
      <c r="AC633" s="483"/>
      <c r="AD633" s="480"/>
      <c r="AE633" s="484"/>
      <c r="AF633" s="440"/>
      <c r="BA633"/>
      <c r="BB633" s="436"/>
      <c r="BC633" s="483"/>
      <c r="BD633" s="480"/>
      <c r="BE633" s="484"/>
      <c r="BF633" s="440"/>
    </row>
    <row r="634" spans="27:58">
      <c r="AB634" s="436"/>
      <c r="AC634" s="120"/>
      <c r="AD634" s="223"/>
      <c r="AE634" s="467"/>
      <c r="AF634" s="440"/>
      <c r="BB634" s="436"/>
      <c r="BC634" s="120"/>
      <c r="BD634" s="223"/>
      <c r="BE634" s="467"/>
      <c r="BF634" s="440"/>
    </row>
    <row r="635" spans="27:58">
      <c r="AB635" s="436"/>
      <c r="AC635" s="120"/>
      <c r="AD635" s="466"/>
      <c r="AE635" s="467"/>
      <c r="AF635" s="440"/>
      <c r="BB635" s="436"/>
      <c r="BC635" s="120"/>
      <c r="BD635" s="466"/>
      <c r="BE635" s="467"/>
      <c r="BF635" s="440"/>
    </row>
    <row r="636" spans="27:58">
      <c r="AB636" s="436"/>
      <c r="AC636" s="120"/>
      <c r="AD636" s="223"/>
      <c r="AE636" s="467"/>
      <c r="AF636" s="440"/>
      <c r="BB636" s="436"/>
      <c r="BC636" s="120"/>
      <c r="BD636" s="223"/>
      <c r="BE636" s="467"/>
      <c r="BF636" s="440"/>
    </row>
    <row r="637" spans="27:58">
      <c r="AB637" s="436"/>
      <c r="AC637" s="120"/>
      <c r="AD637" s="223"/>
      <c r="AE637" s="467"/>
      <c r="AF637" s="440"/>
      <c r="BB637" s="436"/>
      <c r="BC637" s="120"/>
      <c r="BD637" s="223"/>
      <c r="BE637" s="467"/>
      <c r="BF637" s="440"/>
    </row>
    <row r="638" spans="27:58">
      <c r="AB638" s="436"/>
      <c r="AC638" s="120"/>
      <c r="AD638" s="471"/>
      <c r="AE638" s="467"/>
      <c r="AF638" s="440"/>
      <c r="BB638" s="436"/>
      <c r="BC638" s="120"/>
      <c r="BD638" s="471"/>
      <c r="BE638" s="467"/>
      <c r="BF638" s="440"/>
    </row>
    <row r="639" spans="27:58">
      <c r="AB639" s="436"/>
      <c r="AC639" s="120"/>
      <c r="AD639" s="223"/>
      <c r="AE639" s="467"/>
      <c r="AF639" s="440"/>
      <c r="BB639" s="436"/>
      <c r="BC639" s="120"/>
      <c r="BD639" s="223"/>
      <c r="BE639" s="467"/>
      <c r="BF639" s="440"/>
    </row>
    <row r="640" spans="27:58">
      <c r="AB640" s="436"/>
      <c r="AC640" s="120"/>
      <c r="AD640" s="475"/>
      <c r="AE640" s="467"/>
      <c r="AF640" s="440"/>
      <c r="BB640" s="436"/>
      <c r="BC640" s="120"/>
      <c r="BD640" s="475"/>
      <c r="BE640" s="467"/>
      <c r="BF640" s="440"/>
    </row>
    <row r="641" spans="28:58">
      <c r="AB641" s="436"/>
      <c r="AC641" s="120"/>
      <c r="AD641" s="223"/>
      <c r="AE641" s="467"/>
      <c r="AF641" s="440"/>
      <c r="BB641" s="436"/>
      <c r="BC641" s="120"/>
      <c r="BD641" s="223"/>
      <c r="BE641" s="467"/>
      <c r="BF641" s="440"/>
    </row>
    <row r="642" spans="28:58">
      <c r="AB642" s="436"/>
      <c r="AC642" s="120"/>
      <c r="AD642" s="223"/>
      <c r="AE642" s="467"/>
      <c r="AF642" s="440"/>
      <c r="BB642" s="436"/>
      <c r="BC642" s="120"/>
      <c r="BD642" s="223"/>
      <c r="BE642" s="467"/>
      <c r="BF642" s="440"/>
    </row>
    <row r="643" spans="28:58">
      <c r="AB643" s="436"/>
      <c r="AC643" s="120"/>
      <c r="AD643" s="223"/>
      <c r="AE643" s="467"/>
      <c r="AF643" s="440"/>
      <c r="BB643" s="436"/>
      <c r="BC643" s="120"/>
      <c r="BD643" s="223"/>
      <c r="BE643" s="467"/>
      <c r="BF643" s="440"/>
    </row>
    <row r="644" spans="28:58">
      <c r="AB644" s="436"/>
      <c r="AC644" s="120"/>
      <c r="AD644" s="223"/>
      <c r="AE644" s="467"/>
      <c r="AF644" s="440"/>
      <c r="BB644" s="436"/>
      <c r="BC644" s="120"/>
      <c r="BD644" s="223"/>
      <c r="BE644" s="467"/>
      <c r="BF644" s="440"/>
    </row>
    <row r="645" spans="28:58">
      <c r="AB645" s="436"/>
      <c r="AC645" s="120"/>
      <c r="AD645" s="120"/>
      <c r="AE645" s="467"/>
      <c r="AF645" s="440"/>
      <c r="BB645" s="436"/>
      <c r="BC645" s="120"/>
      <c r="BD645" s="120"/>
      <c r="BE645" s="467"/>
      <c r="BF645" s="440"/>
    </row>
    <row r="646" spans="28:58">
      <c r="AB646" s="456"/>
      <c r="AC646" s="457"/>
      <c r="AD646" s="457"/>
      <c r="AE646" s="477"/>
      <c r="AF646" s="458"/>
      <c r="BB646" s="456"/>
      <c r="BC646" s="457"/>
      <c r="BD646" s="457"/>
      <c r="BE646" s="477"/>
      <c r="BF646" s="458"/>
    </row>
    <row r="647" spans="28:58">
      <c r="AB647" s="449" t="s">
        <v>474</v>
      </c>
      <c r="AC647" s="120"/>
      <c r="AD647" s="120" t="s">
        <v>1</v>
      </c>
      <c r="AE647" s="310" t="s">
        <v>307</v>
      </c>
      <c r="AF647" s="440"/>
      <c r="BB647" s="449" t="s">
        <v>474</v>
      </c>
      <c r="BC647" s="120"/>
      <c r="BD647" s="120" t="s">
        <v>1</v>
      </c>
      <c r="BE647" s="310" t="s">
        <v>307</v>
      </c>
      <c r="BF647" s="440"/>
    </row>
    <row r="648" spans="28:58">
      <c r="AB648" s="436"/>
      <c r="AC648" s="223"/>
      <c r="AD648" s="480"/>
      <c r="AE648" s="484"/>
      <c r="AF648" s="440"/>
      <c r="BB648" s="436"/>
      <c r="BC648" s="223"/>
      <c r="BD648" s="480"/>
      <c r="BE648" s="484"/>
      <c r="BF648" s="440"/>
    </row>
    <row r="649" spans="28:58">
      <c r="AB649" s="436"/>
      <c r="AC649" s="120"/>
      <c r="AD649" s="120"/>
      <c r="AE649" s="467"/>
      <c r="AF649" s="440"/>
      <c r="BB649" s="436"/>
      <c r="BC649" s="120"/>
      <c r="BD649" s="120"/>
      <c r="BE649" s="467"/>
      <c r="BF649" s="440"/>
    </row>
    <row r="650" spans="28:58">
      <c r="AB650" s="436"/>
      <c r="AC650" s="120"/>
      <c r="AD650" s="120"/>
      <c r="AE650" s="467"/>
      <c r="AF650" s="440"/>
      <c r="BB650" s="436"/>
      <c r="BC650" s="120"/>
      <c r="BD650" s="120"/>
      <c r="BE650" s="467"/>
      <c r="BF650" s="440"/>
    </row>
    <row r="651" spans="28:58">
      <c r="AB651" s="436"/>
      <c r="AC651" s="120"/>
      <c r="AD651" s="120"/>
      <c r="AE651" s="467"/>
      <c r="AF651" s="440"/>
      <c r="BB651" s="436"/>
      <c r="BC651" s="120"/>
      <c r="BD651" s="120"/>
      <c r="BE651" s="467"/>
      <c r="BF651" s="440"/>
    </row>
    <row r="652" spans="28:58">
      <c r="AB652" s="436"/>
      <c r="AC652" s="120"/>
      <c r="AD652" s="120"/>
      <c r="AE652" s="467"/>
      <c r="AF652" s="440"/>
      <c r="BB652" s="436"/>
      <c r="BC652" s="120"/>
      <c r="BD652" s="120"/>
      <c r="BE652" s="467"/>
      <c r="BF652" s="440"/>
    </row>
    <row r="653" spans="28:58">
      <c r="AB653" s="436"/>
      <c r="AC653" s="120"/>
      <c r="AD653" s="120"/>
      <c r="AE653" s="467"/>
      <c r="AF653" s="440"/>
      <c r="BB653" s="436"/>
      <c r="BC653" s="120"/>
      <c r="BD653" s="120"/>
      <c r="BE653" s="467"/>
      <c r="BF653" s="440"/>
    </row>
    <row r="654" spans="28:58">
      <c r="AB654" s="436"/>
      <c r="AC654" s="120"/>
      <c r="AD654" s="120"/>
      <c r="AE654" s="467"/>
      <c r="AF654" s="440"/>
      <c r="BB654" s="436"/>
      <c r="BC654" s="120"/>
      <c r="BD654" s="120"/>
      <c r="BE654" s="467"/>
      <c r="BF654" s="440"/>
    </row>
    <row r="655" spans="28:58">
      <c r="AB655" s="436"/>
      <c r="AC655" s="120"/>
      <c r="AD655" s="120"/>
      <c r="AE655" s="467"/>
      <c r="AF655" s="440"/>
      <c r="BB655" s="436"/>
      <c r="BC655" s="120"/>
      <c r="BD655" s="120"/>
      <c r="BE655" s="467"/>
      <c r="BF655" s="440"/>
    </row>
    <row r="656" spans="28:58">
      <c r="AB656" s="436"/>
      <c r="AC656" s="120"/>
      <c r="AD656" s="120"/>
      <c r="AE656" s="467"/>
      <c r="AF656" s="440"/>
      <c r="BB656" s="436"/>
      <c r="BC656" s="120"/>
      <c r="BD656" s="120"/>
      <c r="BE656" s="467"/>
      <c r="BF656" s="440"/>
    </row>
    <row r="657" spans="28:58">
      <c r="AB657" s="436"/>
      <c r="AC657" s="120"/>
      <c r="AD657" s="120"/>
      <c r="AE657" s="467"/>
      <c r="AF657" s="440"/>
      <c r="BB657" s="436"/>
      <c r="BC657" s="120"/>
      <c r="BD657" s="120"/>
      <c r="BE657" s="467"/>
      <c r="BF657" s="440"/>
    </row>
    <row r="658" spans="28:58">
      <c r="AB658" s="436"/>
      <c r="AC658" s="120"/>
      <c r="AD658" s="120"/>
      <c r="AE658" s="467"/>
      <c r="AF658" s="440"/>
      <c r="BB658" s="436"/>
      <c r="BC658" s="120"/>
      <c r="BD658" s="120"/>
      <c r="BE658" s="467"/>
      <c r="BF658" s="440"/>
    </row>
    <row r="659" spans="28:58">
      <c r="AB659" s="436"/>
      <c r="AC659" s="120"/>
      <c r="AD659" s="120"/>
      <c r="AE659" s="467"/>
      <c r="AF659" s="440"/>
      <c r="BB659" s="436"/>
      <c r="BC659" s="120"/>
      <c r="BD659" s="120"/>
      <c r="BE659" s="467"/>
      <c r="BF659" s="440"/>
    </row>
    <row r="660" spans="28:58">
      <c r="AB660" s="456"/>
      <c r="AC660" s="457"/>
      <c r="AD660" s="457"/>
      <c r="AE660" s="477"/>
      <c r="AF660" s="458"/>
      <c r="BB660" s="456"/>
      <c r="BC660" s="457"/>
      <c r="BD660" s="457"/>
      <c r="BE660" s="477"/>
      <c r="BF660" s="458"/>
    </row>
    <row r="661" spans="28:58">
      <c r="AB661" s="456"/>
      <c r="AC661" s="457"/>
      <c r="AD661" s="457"/>
      <c r="AE661" s="457"/>
      <c r="AF661" s="458"/>
      <c r="BB661" s="456"/>
      <c r="BC661" s="457"/>
      <c r="BD661" s="457"/>
      <c r="BE661" s="457"/>
      <c r="BF661" s="458"/>
    </row>
    <row r="662" spans="28:58">
      <c r="AB662" s="449" t="s">
        <v>475</v>
      </c>
      <c r="AC662" s="120"/>
      <c r="AD662" s="120"/>
      <c r="AE662" s="120"/>
      <c r="AF662" s="440"/>
      <c r="BB662" s="449" t="s">
        <v>475</v>
      </c>
      <c r="BC662" s="120"/>
      <c r="BD662" s="120"/>
      <c r="BE662" s="120"/>
      <c r="BF662" s="440"/>
    </row>
    <row r="663" spans="28:58">
      <c r="AB663" s="436" t="s">
        <v>509</v>
      </c>
      <c r="AC663" s="120"/>
      <c r="AD663" s="120"/>
      <c r="AE663" s="120"/>
      <c r="AF663" s="440"/>
      <c r="BB663" s="436" t="s">
        <v>509</v>
      </c>
      <c r="BC663" s="120"/>
      <c r="BD663" s="120"/>
      <c r="BE663" s="120"/>
      <c r="BF663" s="440"/>
    </row>
    <row r="664" spans="28:58">
      <c r="AB664" s="436" t="s">
        <v>510</v>
      </c>
      <c r="AC664" s="120"/>
      <c r="AD664" s="120"/>
      <c r="AE664" s="120"/>
      <c r="AF664" s="440"/>
      <c r="BB664" s="436" t="s">
        <v>510</v>
      </c>
      <c r="BC664" s="120"/>
      <c r="BD664" s="120"/>
      <c r="BE664" s="120"/>
      <c r="BF664" s="440"/>
    </row>
    <row r="665" spans="28:58">
      <c r="AB665" s="436"/>
      <c r="AC665" s="120"/>
      <c r="AD665" s="120"/>
      <c r="AE665" s="120"/>
      <c r="AF665" s="440"/>
      <c r="BB665" s="436"/>
      <c r="BC665" s="120"/>
      <c r="BD665" s="120"/>
      <c r="BE665" s="120"/>
      <c r="BF665" s="440"/>
    </row>
    <row r="666" spans="28:58">
      <c r="AB666" s="436"/>
      <c r="AC666" s="120"/>
      <c r="AD666" s="120"/>
      <c r="AE666" s="120"/>
      <c r="AF666" s="440"/>
      <c r="BB666" s="436"/>
      <c r="BC666" s="120"/>
      <c r="BD666" s="120"/>
      <c r="BE666" s="120"/>
      <c r="BF666" s="440"/>
    </row>
    <row r="667" spans="28:58">
      <c r="AB667" s="436"/>
      <c r="AC667" s="120"/>
      <c r="AD667" s="120"/>
      <c r="AE667" s="120"/>
      <c r="AF667" s="440"/>
      <c r="BB667" s="436"/>
      <c r="BC667" s="120"/>
      <c r="BD667" s="120"/>
      <c r="BE667" s="120"/>
      <c r="BF667" s="440"/>
    </row>
    <row r="668" spans="28:58">
      <c r="AB668" s="436"/>
      <c r="AC668" s="120"/>
      <c r="AD668" s="120"/>
      <c r="AE668" s="120"/>
      <c r="AF668" s="440"/>
      <c r="BB668" s="436"/>
      <c r="BC668" s="120"/>
      <c r="BD668" s="120"/>
      <c r="BE668" s="120"/>
      <c r="BF668" s="440"/>
    </row>
    <row r="669" spans="28:58">
      <c r="AB669" s="436" t="s">
        <v>511</v>
      </c>
      <c r="AC669" s="120">
        <v>0</v>
      </c>
      <c r="AD669" s="120" t="s">
        <v>512</v>
      </c>
      <c r="AE669" s="120"/>
      <c r="AF669" s="440"/>
      <c r="BB669" s="436" t="s">
        <v>511</v>
      </c>
      <c r="BC669" s="120">
        <v>0</v>
      </c>
      <c r="BD669" s="120" t="s">
        <v>512</v>
      </c>
      <c r="BE669" s="120"/>
      <c r="BF669" s="440"/>
    </row>
    <row r="670" spans="28:58">
      <c r="AB670" s="436" t="s">
        <v>513</v>
      </c>
      <c r="AC670" s="120">
        <v>0</v>
      </c>
      <c r="AD670" s="120" t="s">
        <v>512</v>
      </c>
      <c r="AE670" s="120"/>
      <c r="AF670" s="440"/>
      <c r="BB670" s="436" t="s">
        <v>513</v>
      </c>
      <c r="BC670" s="120">
        <v>0</v>
      </c>
      <c r="BD670" s="120" t="s">
        <v>512</v>
      </c>
      <c r="BE670" s="120"/>
      <c r="BF670" s="440"/>
    </row>
    <row r="671" spans="28:58">
      <c r="AB671" s="456"/>
      <c r="AC671" s="457"/>
      <c r="AD671" s="457"/>
      <c r="AE671" s="457"/>
      <c r="AF671" s="458"/>
      <c r="BB671" s="456"/>
      <c r="BC671" s="457"/>
      <c r="BD671" s="457"/>
      <c r="BE671" s="457"/>
      <c r="BF671" s="458"/>
    </row>
    <row r="672" spans="28:58">
      <c r="AB672" s="449" t="s">
        <v>461</v>
      </c>
      <c r="AC672" s="120"/>
      <c r="AD672" s="120"/>
      <c r="AE672" s="120"/>
      <c r="AF672" s="440"/>
      <c r="BB672" s="449" t="s">
        <v>461</v>
      </c>
      <c r="BC672" s="120"/>
      <c r="BD672" s="120"/>
      <c r="BE672" s="120"/>
      <c r="BF672" s="440"/>
    </row>
    <row r="673" spans="28:58">
      <c r="AB673" s="436" t="s">
        <v>514</v>
      </c>
      <c r="AC673" s="120">
        <f>VLOOKUP(AB601,'Unit Ops'!$B$140:$K$209,10,FALSE)</f>
        <v>2</v>
      </c>
      <c r="AD673" s="120" t="s">
        <v>515</v>
      </c>
      <c r="AE673" s="120"/>
      <c r="AF673" s="440"/>
      <c r="BB673" s="436" t="s">
        <v>514</v>
      </c>
      <c r="BC673" s="120">
        <f>VLOOKUP(BB601,'Unit Ops'!$B$140:$K$209,10,FALSE)</f>
        <v>0</v>
      </c>
      <c r="BD673" s="120" t="s">
        <v>515</v>
      </c>
      <c r="BE673" s="120"/>
      <c r="BF673" s="440"/>
    </row>
    <row r="674" spans="28:58">
      <c r="AB674" s="436" t="s">
        <v>516</v>
      </c>
      <c r="AC674" s="120">
        <v>0</v>
      </c>
      <c r="AD674" s="120" t="s">
        <v>515</v>
      </c>
      <c r="AE674" s="120"/>
      <c r="AF674" s="440"/>
      <c r="BB674" s="436" t="s">
        <v>516</v>
      </c>
      <c r="BC674" s="120">
        <v>0</v>
      </c>
      <c r="BD674" s="120" t="s">
        <v>515</v>
      </c>
      <c r="BE674" s="120"/>
      <c r="BF674" s="440"/>
    </row>
    <row r="675" spans="28:58">
      <c r="AB675" s="436"/>
      <c r="AC675" s="120"/>
      <c r="AD675" s="120"/>
      <c r="AE675" s="120"/>
      <c r="AF675" s="440"/>
      <c r="BB675" s="436"/>
      <c r="BC675" s="120"/>
      <c r="BD675" s="120"/>
      <c r="BE675" s="120"/>
      <c r="BF675" s="440"/>
    </row>
    <row r="676" spans="28:58">
      <c r="AB676" s="436"/>
      <c r="AC676" s="120"/>
      <c r="AD676" s="120"/>
      <c r="AE676" s="120"/>
      <c r="AF676" s="440"/>
      <c r="BB676" s="436"/>
      <c r="BC676" s="120"/>
      <c r="BD676" s="120"/>
      <c r="BE676" s="120"/>
      <c r="BF676" s="440"/>
    </row>
    <row r="677" spans="28:58">
      <c r="AB677" s="436"/>
      <c r="AC677" s="120"/>
      <c r="AD677" s="120"/>
      <c r="AE677" s="120"/>
      <c r="AF677" s="440"/>
      <c r="BB677" s="436"/>
      <c r="BC677" s="120"/>
      <c r="BD677" s="120"/>
      <c r="BE677" s="120"/>
      <c r="BF677" s="440"/>
    </row>
    <row r="678" spans="28:58">
      <c r="AB678" s="436"/>
      <c r="AC678" s="120"/>
      <c r="AD678" s="120"/>
      <c r="AE678" s="120"/>
      <c r="AF678" s="440"/>
      <c r="BB678" s="436"/>
      <c r="BC678" s="120"/>
      <c r="BD678" s="120"/>
      <c r="BE678" s="120"/>
      <c r="BF678" s="440"/>
    </row>
    <row r="679" spans="28:58">
      <c r="AB679" s="436"/>
      <c r="AC679" s="120"/>
      <c r="AD679" s="120"/>
      <c r="AE679" s="120"/>
      <c r="AF679" s="440"/>
      <c r="BB679" s="436"/>
      <c r="BC679" s="120"/>
      <c r="BD679" s="120"/>
      <c r="BE679" s="120"/>
      <c r="BF679" s="440"/>
    </row>
    <row r="680" spans="28:58">
      <c r="AB680" s="436" t="s">
        <v>464</v>
      </c>
      <c r="AC680" s="120"/>
      <c r="AD680" s="120"/>
      <c r="AE680" s="120"/>
      <c r="AF680" s="440"/>
      <c r="BB680" s="436" t="s">
        <v>464</v>
      </c>
      <c r="BC680" s="120"/>
      <c r="BD680" s="120"/>
      <c r="BE680" s="120"/>
      <c r="BF680" s="440"/>
    </row>
    <row r="681" spans="28:58">
      <c r="AB681" s="456"/>
      <c r="AC681" s="457"/>
      <c r="AD681" s="457"/>
      <c r="AE681" s="457"/>
      <c r="AF681" s="458"/>
      <c r="BB681" s="456"/>
      <c r="BC681" s="457"/>
      <c r="BD681" s="457"/>
      <c r="BE681" s="457"/>
      <c r="BF681" s="458"/>
    </row>
    <row r="682" spans="28:58">
      <c r="AB682" s="449" t="s">
        <v>472</v>
      </c>
      <c r="AC682" s="467" t="s">
        <v>517</v>
      </c>
      <c r="AD682" s="120" t="s">
        <v>518</v>
      </c>
      <c r="AE682" s="467" t="s">
        <v>519</v>
      </c>
      <c r="AF682" s="440" t="s">
        <v>518</v>
      </c>
      <c r="BB682" s="449" t="s">
        <v>472</v>
      </c>
      <c r="BC682" s="467" t="s">
        <v>517</v>
      </c>
      <c r="BD682" s="120" t="s">
        <v>518</v>
      </c>
      <c r="BE682" s="467" t="s">
        <v>519</v>
      </c>
      <c r="BF682" s="440" t="s">
        <v>518</v>
      </c>
    </row>
    <row r="683" spans="28:58">
      <c r="AB683" s="436" t="s">
        <v>520</v>
      </c>
      <c r="AC683" s="120"/>
      <c r="AD683" s="120"/>
      <c r="AE683" s="472" t="e">
        <f>((VLOOKUP(AB601,'Unit Ops'!$B$140:$J$209,3,FALSE)*AC603^VLOOKUP(AB601,'Unit Ops'!$B$140:$J$209,4,FALSE)+VLOOKUP(AB601,'Unit Ops'!$B$140:$J$209,5,FALSE))*VLOOKUP(AB601,'Unit Ops'!$B$140:$J$209,6,FALSE))*IF(VLOOKUP(AB601,'Unit Ops'!$B$140:$L$209,11,FALSE)=1,1,2)</f>
        <v>#NUM!</v>
      </c>
      <c r="AF683" s="490">
        <f>'CM Rec Par.'!$C$7</f>
        <v>2022</v>
      </c>
      <c r="BB683" s="436" t="s">
        <v>520</v>
      </c>
      <c r="BC683" s="120"/>
      <c r="BD683" s="120"/>
      <c r="BE683" s="472">
        <f>((VLOOKUP(BB601,'Unit Ops'!$B$140:$J$209,3,FALSE)*BC603^VLOOKUP(BB601,'Unit Ops'!$B$140:$J$209,4,FALSE)+VLOOKUP(BB601,'Unit Ops'!$B$140:$J$209,5,FALSE))*VLOOKUP(BB601,'Unit Ops'!$B$140:$J$209,6,FALSE))*IF(VLOOKUP(BB601,'Unit Ops'!$B$140:$L$209,11,FALSE)=1,1,2)</f>
        <v>0</v>
      </c>
      <c r="BF683" s="490">
        <f>'CM Rec Par.'!$C$7</f>
        <v>2022</v>
      </c>
    </row>
    <row r="684" spans="28:58">
      <c r="AB684" s="436"/>
      <c r="AC684" s="120"/>
      <c r="AD684" s="120"/>
      <c r="AE684" s="120"/>
      <c r="AF684" s="440"/>
      <c r="BB684" s="436"/>
      <c r="BC684" s="120"/>
      <c r="BD684" s="120"/>
      <c r="BE684" s="120"/>
      <c r="BF684" s="440"/>
    </row>
    <row r="685" spans="28:58">
      <c r="AB685" s="436"/>
      <c r="AC685" s="120"/>
      <c r="AD685" s="120"/>
      <c r="AE685" s="120"/>
      <c r="AF685" s="440"/>
      <c r="BB685" s="436"/>
      <c r="BC685" s="120"/>
      <c r="BD685" s="120"/>
      <c r="BE685" s="120"/>
      <c r="BF685" s="440"/>
    </row>
    <row r="686" spans="28:58">
      <c r="AB686" s="436"/>
      <c r="AC686" s="120"/>
      <c r="AD686" s="120"/>
      <c r="AE686" s="120"/>
      <c r="AF686" s="440"/>
      <c r="BB686" s="436"/>
      <c r="BC686" s="120"/>
      <c r="BD686" s="120"/>
      <c r="BE686" s="120"/>
      <c r="BF686" s="440"/>
    </row>
    <row r="687" spans="28:58">
      <c r="AB687" s="436"/>
      <c r="AC687" s="120"/>
      <c r="AD687" s="120"/>
      <c r="AE687" s="120"/>
      <c r="AF687" s="440"/>
      <c r="BB687" s="436"/>
      <c r="BC687" s="120"/>
      <c r="BD687" s="120"/>
      <c r="BE687" s="120"/>
      <c r="BF687" s="440"/>
    </row>
    <row r="688" spans="28:58">
      <c r="AB688" s="436"/>
      <c r="AC688" s="120"/>
      <c r="AD688" s="120"/>
      <c r="AE688" s="120"/>
      <c r="AF688" s="440"/>
      <c r="BB688" s="436"/>
      <c r="BC688" s="120"/>
      <c r="BD688" s="120"/>
      <c r="BE688" s="120"/>
      <c r="BF688" s="440"/>
    </row>
    <row r="689" spans="27:59">
      <c r="AB689" s="436"/>
      <c r="AC689" s="120"/>
      <c r="AD689" s="120"/>
      <c r="AE689" s="120"/>
      <c r="AF689" s="440"/>
      <c r="BB689" s="436"/>
      <c r="BC689" s="120"/>
      <c r="BD689" s="120"/>
      <c r="BE689" s="120"/>
      <c r="BF689" s="440"/>
    </row>
    <row r="690" spans="27:59">
      <c r="AB690" s="436"/>
      <c r="AC690" s="120"/>
      <c r="AD690" s="120"/>
      <c r="AE690" s="120"/>
      <c r="AF690" s="440"/>
      <c r="BB690" s="436"/>
      <c r="BC690" s="120"/>
      <c r="BD690" s="120"/>
      <c r="BE690" s="120"/>
      <c r="BF690" s="440"/>
    </row>
    <row r="691" spans="27:59">
      <c r="AB691" s="436"/>
      <c r="AC691" s="120"/>
      <c r="AD691" s="120"/>
      <c r="AE691" s="120"/>
      <c r="AF691" s="440"/>
      <c r="BB691" s="436"/>
      <c r="BC691" s="120"/>
      <c r="BD691" s="120"/>
      <c r="BE691" s="120"/>
      <c r="BF691" s="440"/>
    </row>
    <row r="692" spans="27:59">
      <c r="AB692" s="436"/>
      <c r="AC692" s="120"/>
      <c r="AD692" s="120"/>
      <c r="AE692" s="120"/>
      <c r="AF692" s="440"/>
      <c r="BB692" s="436"/>
      <c r="BC692" s="120"/>
      <c r="BD692" s="120"/>
      <c r="BE692" s="120"/>
      <c r="BF692" s="440"/>
    </row>
    <row r="693" spans="27:59">
      <c r="AB693" s="436"/>
      <c r="AC693" s="120"/>
      <c r="AD693" s="120"/>
      <c r="AE693" s="120"/>
      <c r="AF693" s="440"/>
      <c r="BB693" s="436"/>
      <c r="BC693" s="120"/>
      <c r="BD693" s="120"/>
      <c r="BE693" s="120"/>
      <c r="BF693" s="440"/>
    </row>
    <row r="694" spans="27:59">
      <c r="AB694" s="436"/>
      <c r="AC694" s="120"/>
      <c r="AD694" s="120"/>
      <c r="AE694" s="120"/>
      <c r="AF694" s="440"/>
      <c r="BB694" s="436"/>
      <c r="BC694" s="120"/>
      <c r="BD694" s="120"/>
      <c r="BE694" s="120"/>
      <c r="BF694" s="440"/>
    </row>
    <row r="695" spans="27:59">
      <c r="AB695" s="436"/>
      <c r="AC695" s="120"/>
      <c r="AD695" s="120"/>
      <c r="AE695" s="120"/>
      <c r="AF695" s="440"/>
      <c r="BB695" s="436"/>
      <c r="BC695" s="120"/>
      <c r="BD695" s="120"/>
      <c r="BE695" s="120"/>
      <c r="BF695" s="440"/>
    </row>
    <row r="696" spans="27:59">
      <c r="AB696" s="436"/>
      <c r="AC696" s="120"/>
      <c r="AD696" s="120"/>
      <c r="AE696" s="120"/>
      <c r="AF696" s="440"/>
      <c r="BB696" s="436"/>
      <c r="BC696" s="120"/>
      <c r="BD696" s="120"/>
      <c r="BE696" s="120"/>
      <c r="BF696" s="440"/>
    </row>
    <row r="697" spans="27:59" ht="14.5" thickBot="1">
      <c r="AB697" s="492"/>
      <c r="AC697" s="493"/>
      <c r="AD697" s="493"/>
      <c r="AE697" s="493"/>
      <c r="AF697" s="453"/>
      <c r="BB697" s="492"/>
      <c r="BC697" s="493"/>
      <c r="BD697" s="493"/>
      <c r="BE697" s="493"/>
      <c r="BF697" s="453"/>
    </row>
    <row r="700" spans="27:59" ht="14.5" thickBot="1">
      <c r="AB700" s="118"/>
      <c r="AC700" s="118"/>
      <c r="AD700" s="118"/>
      <c r="AE700" s="118"/>
      <c r="AF700" s="118"/>
      <c r="BB700" s="118"/>
      <c r="BC700" s="118"/>
      <c r="BD700" s="118"/>
      <c r="BE700" s="118"/>
      <c r="BF700" s="118"/>
    </row>
    <row r="701" spans="27:59">
      <c r="AA701" s="114" t="s">
        <v>478</v>
      </c>
      <c r="AB701" s="494" t="str">
        <f>AB46</f>
        <v>Crusher</v>
      </c>
      <c r="AC701" s="495"/>
      <c r="AD701" s="454"/>
      <c r="AE701" s="120"/>
      <c r="AF701" s="440"/>
      <c r="AG701" s="409"/>
      <c r="BB701" s="494" t="str">
        <f>BB47</f>
        <v>Select Equipment</v>
      </c>
      <c r="BC701" s="495"/>
      <c r="BD701" s="454"/>
      <c r="BE701" s="120"/>
      <c r="BF701" s="440"/>
    </row>
    <row r="702" spans="27:59">
      <c r="AA702" s="114" t="s">
        <v>5</v>
      </c>
      <c r="AB702" s="436" t="s">
        <v>1</v>
      </c>
      <c r="AC702" s="437">
        <f>AC$14/AC$11/AC$10*VLOOKUP(AB701,'Unit Ops'!$B$140:$J$209,2,FALSE)</f>
        <v>0</v>
      </c>
      <c r="AD702" s="438" t="s">
        <v>586</v>
      </c>
      <c r="AE702" s="1027">
        <f>AC702*AC$306*AC$307</f>
        <v>0</v>
      </c>
      <c r="AF702" s="439" t="s">
        <v>585</v>
      </c>
      <c r="AG702" s="498"/>
      <c r="BA702" s="114" t="s">
        <v>478</v>
      </c>
      <c r="BB702" s="436" t="s">
        <v>1</v>
      </c>
      <c r="BC702" s="437">
        <f>BC$15/BC$11/BC$12*VLOOKUP(BB701,'Unit Ops'!$B$140:$J$209,2,FALSE)</f>
        <v>0</v>
      </c>
      <c r="BD702" s="438" t="s">
        <v>586</v>
      </c>
      <c r="BE702" s="1027">
        <f>BC702*BC$306*BC$307</f>
        <v>0</v>
      </c>
      <c r="BF702" s="439" t="s">
        <v>585</v>
      </c>
      <c r="BG702" s="409"/>
    </row>
    <row r="703" spans="27:59">
      <c r="AA703" s="114" t="str">
        <f>$AB$44</f>
        <v>Hopper</v>
      </c>
      <c r="AB703" s="436" t="s">
        <v>505</v>
      </c>
      <c r="AC703" s="437">
        <f>ROUNDUP(AC702*IF(VLOOKUP(AB701,'Unit Ops'!$B$140:$L$209,11,FALSE)=1,1.5,0.75),1)</f>
        <v>0</v>
      </c>
      <c r="AD703" s="438" t="s">
        <v>586</v>
      </c>
      <c r="AE703" s="120">
        <f>AC703*AC$306*AC$307</f>
        <v>0</v>
      </c>
      <c r="AF703" s="439" t="s">
        <v>585</v>
      </c>
      <c r="AG703" s="499"/>
      <c r="BA703" s="114" t="s">
        <v>5</v>
      </c>
      <c r="BB703" s="436" t="s">
        <v>505</v>
      </c>
      <c r="BC703" s="437">
        <f>ROUNDUP(BC702*IF(VLOOKUP(BB701,'Unit Ops'!$B$140:$L$209,11,FALSE)=1,1.5,0.75),1)</f>
        <v>0</v>
      </c>
      <c r="BD703" s="438" t="s">
        <v>586</v>
      </c>
      <c r="BE703" s="120">
        <f>BC703*BC$306*BC$307</f>
        <v>0</v>
      </c>
      <c r="BF703" s="439" t="s">
        <v>585</v>
      </c>
      <c r="BG703" s="498"/>
    </row>
    <row r="704" spans="27:59">
      <c r="AA704" s="114" t="str">
        <f>$AB$45</f>
        <v>Conveyor</v>
      </c>
      <c r="AB704" s="441" t="s">
        <v>521</v>
      </c>
      <c r="AC704" s="442" t="e">
        <f>AC702/AC703</f>
        <v>#DIV/0!</v>
      </c>
      <c r="AD704" s="438"/>
      <c r="AE704" s="443"/>
      <c r="AF704" s="440"/>
      <c r="AG704" s="500"/>
      <c r="BA704" s="114" t="str">
        <f>$BB$45</f>
        <v>Select Equipment</v>
      </c>
      <c r="BB704" s="441" t="s">
        <v>521</v>
      </c>
      <c r="BC704" s="442" t="e">
        <f>BC702/BC703</f>
        <v>#DIV/0!</v>
      </c>
      <c r="BD704" s="438"/>
      <c r="BE704" s="443"/>
      <c r="BF704" s="440"/>
      <c r="BG704" s="499"/>
    </row>
    <row r="705" spans="27:59">
      <c r="AA705" s="114" t="str">
        <f>$AB$46</f>
        <v>Crusher</v>
      </c>
      <c r="AB705" s="441" t="s">
        <v>506</v>
      </c>
      <c r="AC705" s="445"/>
      <c r="AD705" s="438" t="s">
        <v>454</v>
      </c>
      <c r="AE705" s="443"/>
      <c r="AF705" s="440"/>
      <c r="AG705" s="119"/>
      <c r="BA705" s="114" t="str">
        <f>$BB$46</f>
        <v>Select Equipment</v>
      </c>
      <c r="BB705" s="441" t="s">
        <v>506</v>
      </c>
      <c r="BC705" s="445"/>
      <c r="BD705" s="438" t="s">
        <v>454</v>
      </c>
      <c r="BE705" s="443"/>
      <c r="BF705" s="440"/>
      <c r="BG705" s="500"/>
    </row>
    <row r="706" spans="27:59">
      <c r="AA706" s="114" t="str">
        <f>$AB$47</f>
        <v>Screen, vibrating</v>
      </c>
      <c r="AB706" s="436" t="s">
        <v>507</v>
      </c>
      <c r="AC706" s="225" t="e">
        <f>(VLOOKUP(AB701,'Unit Ops'!$B$140:$J$209,7,FALSE)*AC703^VLOOKUP(AB701,'Unit Ops'!$B$140:$J$209,8,FALSE)+VLOOKUP(AB701,'Unit Ops'!$B$140:$J$209,9,FALSE))*IF(VLOOKUP(AB701,'Unit Ops'!$B$140:$L$209,11,FALSE)=1,1,2)</f>
        <v>#NUM!</v>
      </c>
      <c r="AD706" s="446" t="s">
        <v>454</v>
      </c>
      <c r="AE706" s="443"/>
      <c r="AF706" s="440"/>
      <c r="AG706" s="119"/>
      <c r="BA706" s="114" t="str">
        <f>$BB$47</f>
        <v>Select Equipment</v>
      </c>
      <c r="BB706" s="436" t="s">
        <v>507</v>
      </c>
      <c r="BC706" s="225" t="e">
        <f>(VLOOKUP(BB701,'Unit Ops'!$B$140:$J$209,7,FALSE)*BC703^VLOOKUP(BB701,'Unit Ops'!$B$140:$J$209,8,FALSE)+VLOOKUP(BB701,'Unit Ops'!$B$140:$J$209,9,FALSE))*IF(VLOOKUP(BB701,'Unit Ops'!$B$140:$L$209,11,FALSE)=1,1,2)</f>
        <v>#NUM!</v>
      </c>
      <c r="BD706" s="446" t="s">
        <v>454</v>
      </c>
      <c r="BE706" s="443"/>
      <c r="BF706" s="440"/>
      <c r="BG706" s="119"/>
    </row>
    <row r="707" spans="27:59">
      <c r="AA707" s="114" t="str">
        <f>$AB$48</f>
        <v>Conveyor</v>
      </c>
      <c r="AB707" s="441"/>
      <c r="AC707" s="445"/>
      <c r="AD707" s="447"/>
      <c r="AE707" s="443"/>
      <c r="AF707" s="440"/>
      <c r="AG707" s="501"/>
      <c r="BA707" s="114" t="str">
        <f>$BB$48</f>
        <v>Select Equipment</v>
      </c>
      <c r="BB707" s="441"/>
      <c r="BC707" s="445"/>
      <c r="BD707" s="447"/>
      <c r="BE707" s="443"/>
      <c r="BF707" s="440"/>
      <c r="BG707" s="119"/>
    </row>
    <row r="708" spans="27:59">
      <c r="AA708" s="114" t="str">
        <f>$AB$49</f>
        <v>Heat treatment furnace</v>
      </c>
      <c r="AB708" s="441"/>
      <c r="AC708" s="445"/>
      <c r="AD708" s="447"/>
      <c r="AE708" s="443"/>
      <c r="AF708" s="440"/>
      <c r="AG708" s="119"/>
      <c r="BA708" s="114" t="str">
        <f>$BB$49</f>
        <v>Select Equipment</v>
      </c>
      <c r="BB708" s="441"/>
      <c r="BC708" s="445"/>
      <c r="BD708" s="447"/>
      <c r="BE708" s="443"/>
      <c r="BF708" s="440"/>
      <c r="BG708" s="501"/>
    </row>
    <row r="709" spans="27:59">
      <c r="AA709" s="114" t="str">
        <f>$AB$50</f>
        <v>Cyclone</v>
      </c>
      <c r="AB709" s="449"/>
      <c r="AC709" s="445"/>
      <c r="AD709" s="447"/>
      <c r="AE709" s="443"/>
      <c r="AF709" s="440"/>
      <c r="AG709" s="119"/>
      <c r="BA709" s="114" t="str">
        <f>$BB$50</f>
        <v>Select Equipment</v>
      </c>
      <c r="BB709" s="449"/>
      <c r="BC709" s="445"/>
      <c r="BD709" s="447"/>
      <c r="BE709" s="443"/>
      <c r="BF709" s="440"/>
      <c r="BG709" s="119"/>
    </row>
    <row r="710" spans="27:59" ht="14.5" thickBot="1">
      <c r="AA710" s="114" t="str">
        <f>$AB$51</f>
        <v>Conveyor</v>
      </c>
      <c r="AB710" s="450"/>
      <c r="AC710" s="451"/>
      <c r="AD710" s="451"/>
      <c r="AE710" s="452"/>
      <c r="AF710" s="453"/>
      <c r="AG710" s="119"/>
      <c r="BA710" s="114" t="str">
        <f>$BB$51</f>
        <v>Select Equipment</v>
      </c>
      <c r="BB710" s="450"/>
      <c r="BC710" s="451"/>
      <c r="BD710" s="451"/>
      <c r="BE710" s="452"/>
      <c r="BF710" s="453"/>
      <c r="BG710" s="119"/>
    </row>
    <row r="711" spans="27:59">
      <c r="AA711" s="114" t="str">
        <f>$AB$52</f>
        <v>Eddy current separator</v>
      </c>
      <c r="AB711" s="449" t="s">
        <v>470</v>
      </c>
      <c r="AC711" s="120"/>
      <c r="AD711" s="454"/>
      <c r="AE711" s="120"/>
      <c r="AF711" s="440"/>
      <c r="BA711" s="114" t="str">
        <f>$BB$52</f>
        <v>Select Equipment</v>
      </c>
      <c r="BB711" s="449" t="s">
        <v>470</v>
      </c>
      <c r="BC711" s="120"/>
      <c r="BD711" s="454"/>
      <c r="BE711" s="120"/>
      <c r="BF711" s="440"/>
      <c r="BG711" s="119"/>
    </row>
    <row r="712" spans="27:59" ht="14.5" customHeight="1">
      <c r="AA712" s="114" t="str">
        <f>$AB$53</f>
        <v>Conveyor</v>
      </c>
      <c r="AB712" s="1698"/>
      <c r="AC712" s="1699"/>
      <c r="AD712" s="1699"/>
      <c r="AE712" s="1699"/>
      <c r="AF712" s="1700"/>
      <c r="BA712" s="114" t="str">
        <f>$BB$53</f>
        <v>Select Equipment</v>
      </c>
      <c r="BB712" s="1698"/>
      <c r="BC712" s="1699"/>
      <c r="BD712" s="1699"/>
      <c r="BE712" s="1699"/>
      <c r="BF712" s="1700"/>
    </row>
    <row r="713" spans="27:59">
      <c r="AA713" s="114" t="str">
        <f>$AB$54</f>
        <v>Air classifier</v>
      </c>
      <c r="AB713" s="436"/>
      <c r="AC713" s="120"/>
      <c r="AD713" s="455"/>
      <c r="AE713" s="120"/>
      <c r="AF713" s="440"/>
      <c r="BA713" s="114" t="str">
        <f>$BB$54</f>
        <v>Select Equipment</v>
      </c>
      <c r="BB713" s="436"/>
      <c r="BC713" s="120"/>
      <c r="BD713" s="455"/>
      <c r="BE713" s="120"/>
      <c r="BF713" s="440"/>
    </row>
    <row r="714" spans="27:59">
      <c r="AA714" s="114" t="str">
        <f>$AB$55</f>
        <v>Gas treatment</v>
      </c>
      <c r="AB714" s="436"/>
      <c r="AC714" s="120"/>
      <c r="AD714" s="455"/>
      <c r="AE714" s="120"/>
      <c r="AF714" s="440"/>
      <c r="BA714" s="114" t="str">
        <f>$BB$55</f>
        <v>Select Equipment</v>
      </c>
      <c r="BB714" s="436"/>
      <c r="BC714" s="120"/>
      <c r="BD714" s="455"/>
      <c r="BE714" s="120"/>
      <c r="BF714" s="440"/>
    </row>
    <row r="715" spans="27:59">
      <c r="AA715" s="114" t="str">
        <f>$AB$56</f>
        <v>Wheel loader</v>
      </c>
      <c r="AB715" s="456"/>
      <c r="AC715" s="457"/>
      <c r="AD715" s="457"/>
      <c r="AE715" s="457"/>
      <c r="AF715" s="458"/>
      <c r="BA715" s="114" t="str">
        <f>$BB$56</f>
        <v>Select Equipment</v>
      </c>
      <c r="BB715" s="456"/>
      <c r="BC715" s="457"/>
      <c r="BD715" s="457"/>
      <c r="BE715" s="457"/>
      <c r="BF715" s="458"/>
    </row>
    <row r="716" spans="27:59">
      <c r="AA716" s="114" t="str">
        <f>$AB$57</f>
        <v>Select Equipment</v>
      </c>
      <c r="AB716" s="449" t="s">
        <v>471</v>
      </c>
      <c r="AC716" s="120"/>
      <c r="AD716" s="454"/>
      <c r="AE716" s="120"/>
      <c r="AF716" s="440"/>
      <c r="BA716" s="114" t="str">
        <f>$BB$57</f>
        <v>Select Equipment</v>
      </c>
      <c r="BB716" s="449" t="s">
        <v>471</v>
      </c>
      <c r="BC716" s="120"/>
      <c r="BD716" s="454"/>
      <c r="BE716" s="120"/>
      <c r="BF716" s="440"/>
    </row>
    <row r="717" spans="27:59">
      <c r="AA717" s="114" t="str">
        <f>$AB$58</f>
        <v>Select Equipment</v>
      </c>
      <c r="AB717" s="436" t="s">
        <v>577</v>
      </c>
      <c r="AC717" s="225" t="e">
        <f>AC706*IF(AC704&gt;1,1,AC704)</f>
        <v>#NUM!</v>
      </c>
      <c r="AD717" s="446" t="s">
        <v>454</v>
      </c>
      <c r="AE717" s="120"/>
      <c r="AF717" s="440"/>
      <c r="BA717" s="114" t="str">
        <f>$BB$58</f>
        <v>Select Equipment</v>
      </c>
      <c r="BB717" s="436" t="s">
        <v>577</v>
      </c>
      <c r="BC717" s="225" t="e">
        <f>BC706*IF(BC704&gt;1,1,BC704)</f>
        <v>#NUM!</v>
      </c>
      <c r="BD717" s="446" t="s">
        <v>454</v>
      </c>
      <c r="BE717" s="120"/>
      <c r="BF717" s="440"/>
    </row>
    <row r="718" spans="27:59">
      <c r="AA718" s="114" t="str">
        <f>$AB$59</f>
        <v>Select Equipment</v>
      </c>
      <c r="AB718" s="436" t="s">
        <v>578</v>
      </c>
      <c r="AC718" s="225"/>
      <c r="AD718" s="446" t="s">
        <v>579</v>
      </c>
      <c r="AE718" s="120"/>
      <c r="AF718" s="440"/>
      <c r="BA718" s="114" t="str">
        <f>$BB$59</f>
        <v>Select Equipment</v>
      </c>
      <c r="BB718" s="436" t="s">
        <v>578</v>
      </c>
      <c r="BC718" s="225"/>
      <c r="BD718" s="446" t="s">
        <v>579</v>
      </c>
      <c r="BE718" s="120"/>
      <c r="BF718" s="440"/>
    </row>
    <row r="719" spans="27:59">
      <c r="AA719" s="114" t="str">
        <f>$AB$60</f>
        <v>Select Equipment</v>
      </c>
      <c r="AB719" s="436"/>
      <c r="AC719" s="120"/>
      <c r="AD719" s="446"/>
      <c r="AE719" s="120"/>
      <c r="AF719" s="440"/>
      <c r="BA719" s="114" t="str">
        <f>$BB$60</f>
        <v>Select Equipment</v>
      </c>
      <c r="BB719" s="436"/>
      <c r="BC719" s="120"/>
      <c r="BD719" s="446"/>
      <c r="BE719" s="120"/>
      <c r="BF719" s="440"/>
    </row>
    <row r="720" spans="27:59">
      <c r="AA720" s="114" t="str">
        <f>$AB$61</f>
        <v>Select Equipment</v>
      </c>
      <c r="AB720" s="436" t="s">
        <v>8</v>
      </c>
      <c r="AC720" s="120"/>
      <c r="AD720" s="459" t="s">
        <v>564</v>
      </c>
      <c r="AE720" s="120"/>
      <c r="AF720" s="440"/>
      <c r="BA720" s="114" t="str">
        <f>$BB$61</f>
        <v>Select Equipment</v>
      </c>
      <c r="BB720" s="436" t="s">
        <v>8</v>
      </c>
      <c r="BC720" s="120"/>
      <c r="BD720" s="459" t="s">
        <v>564</v>
      </c>
      <c r="BE720" s="120"/>
      <c r="BF720" s="440"/>
    </row>
    <row r="721" spans="27:58">
      <c r="AA721" s="114" t="str">
        <f>$AB$62</f>
        <v>Select Equipment</v>
      </c>
      <c r="AB721" s="436"/>
      <c r="AC721" s="120"/>
      <c r="AD721" s="459"/>
      <c r="AE721" s="120"/>
      <c r="AF721" s="440"/>
      <c r="BA721" s="114" t="str">
        <f>$BB$62</f>
        <v>Select Equipment</v>
      </c>
      <c r="BB721" s="436"/>
      <c r="BC721" s="120"/>
      <c r="BD721" s="459"/>
      <c r="BE721" s="120"/>
      <c r="BF721" s="440"/>
    </row>
    <row r="722" spans="27:58">
      <c r="AA722" s="114" t="str">
        <f>$AB$63</f>
        <v>Select Equipment</v>
      </c>
      <c r="AB722" s="436" t="s">
        <v>7</v>
      </c>
      <c r="AC722" s="120"/>
      <c r="AD722" s="459" t="s">
        <v>564</v>
      </c>
      <c r="AE722" s="120"/>
      <c r="AF722" s="440"/>
      <c r="BA722" s="114" t="str">
        <f>$BB$63</f>
        <v>Select Equipment</v>
      </c>
      <c r="BB722" s="436" t="s">
        <v>7</v>
      </c>
      <c r="BC722" s="120"/>
      <c r="BD722" s="459" t="s">
        <v>564</v>
      </c>
      <c r="BE722" s="120"/>
      <c r="BF722" s="440"/>
    </row>
    <row r="723" spans="27:58">
      <c r="AA723"/>
      <c r="AB723" s="436"/>
      <c r="AC723" s="120"/>
      <c r="AD723" s="459"/>
      <c r="AE723" s="120"/>
      <c r="AF723" s="440"/>
      <c r="BA723" s="114" t="str">
        <f>$BB$64</f>
        <v>Select Equipment</v>
      </c>
      <c r="BB723" s="436"/>
      <c r="BC723" s="120"/>
      <c r="BD723" s="459"/>
      <c r="BE723" s="120"/>
      <c r="BF723" s="440"/>
    </row>
    <row r="724" spans="27:58">
      <c r="AA724"/>
      <c r="AB724" s="436" t="s">
        <v>9</v>
      </c>
      <c r="AC724" s="120"/>
      <c r="AD724" s="459" t="s">
        <v>564</v>
      </c>
      <c r="AE724" s="120"/>
      <c r="AF724" s="440"/>
      <c r="BA724"/>
      <c r="BB724" s="436" t="s">
        <v>9</v>
      </c>
      <c r="BC724" s="120"/>
      <c r="BD724" s="459" t="s">
        <v>564</v>
      </c>
      <c r="BE724" s="120"/>
      <c r="BF724" s="440"/>
    </row>
    <row r="725" spans="27:58">
      <c r="AA725"/>
      <c r="AB725" s="436"/>
      <c r="AC725" s="120"/>
      <c r="AD725" s="459"/>
      <c r="AE725" s="120"/>
      <c r="AF725" s="440"/>
      <c r="BA725"/>
      <c r="BB725" s="436"/>
      <c r="BC725" s="120"/>
      <c r="BD725" s="459"/>
      <c r="BE725" s="120"/>
      <c r="BF725" s="440"/>
    </row>
    <row r="726" spans="27:58">
      <c r="AA726"/>
      <c r="AB726" s="436" t="s">
        <v>324</v>
      </c>
      <c r="AC726" s="120"/>
      <c r="AD726" s="459" t="s">
        <v>564</v>
      </c>
      <c r="AE726" s="120"/>
      <c r="AF726" s="440" t="s">
        <v>569</v>
      </c>
      <c r="BA726"/>
      <c r="BB726" s="436" t="s">
        <v>324</v>
      </c>
      <c r="BC726" s="120"/>
      <c r="BD726" s="459" t="s">
        <v>564</v>
      </c>
      <c r="BE726" s="120"/>
      <c r="BF726" s="440" t="s">
        <v>569</v>
      </c>
    </row>
    <row r="727" spans="27:58">
      <c r="AA727"/>
      <c r="AB727" s="436"/>
      <c r="AC727" s="120"/>
      <c r="AD727" s="468"/>
      <c r="AE727" s="469"/>
      <c r="AF727" s="440"/>
      <c r="BA727"/>
      <c r="BB727" s="436"/>
      <c r="BC727" s="120"/>
      <c r="BD727" s="468"/>
      <c r="BE727" s="469"/>
      <c r="BF727" s="440"/>
    </row>
    <row r="728" spans="27:58">
      <c r="AA728"/>
      <c r="AB728" s="436" t="s">
        <v>374</v>
      </c>
      <c r="AC728" s="120"/>
      <c r="AD728" s="459" t="s">
        <v>564</v>
      </c>
      <c r="AE728" s="469"/>
      <c r="AF728" s="440" t="s">
        <v>569</v>
      </c>
      <c r="BA728"/>
      <c r="BB728" s="436" t="s">
        <v>374</v>
      </c>
      <c r="BC728" s="120"/>
      <c r="BD728" s="459" t="s">
        <v>564</v>
      </c>
      <c r="BE728" s="469"/>
      <c r="BF728" s="440" t="s">
        <v>569</v>
      </c>
    </row>
    <row r="729" spans="27:58">
      <c r="AA729"/>
      <c r="AB729" s="436"/>
      <c r="AC729" s="120"/>
      <c r="AD729" s="472"/>
      <c r="AE729" s="473"/>
      <c r="AF729" s="440"/>
      <c r="BA729"/>
      <c r="BB729" s="436"/>
      <c r="BC729" s="120"/>
      <c r="BD729" s="472"/>
      <c r="BE729" s="473"/>
      <c r="BF729" s="440"/>
    </row>
    <row r="730" spans="27:58">
      <c r="AA730"/>
      <c r="AB730" s="436" t="s">
        <v>580</v>
      </c>
      <c r="AC730" s="120"/>
      <c r="AD730" s="459" t="s">
        <v>564</v>
      </c>
      <c r="AE730" s="473"/>
      <c r="AF730" s="440" t="s">
        <v>569</v>
      </c>
      <c r="BA730"/>
      <c r="BB730" s="436" t="s">
        <v>580</v>
      </c>
      <c r="BC730" s="120"/>
      <c r="BD730" s="459" t="s">
        <v>564</v>
      </c>
      <c r="BE730" s="473"/>
      <c r="BF730" s="440" t="s">
        <v>569</v>
      </c>
    </row>
    <row r="731" spans="27:58">
      <c r="AA731"/>
      <c r="AB731" s="476"/>
      <c r="AC731" s="477"/>
      <c r="AD731" s="478"/>
      <c r="AE731" s="479"/>
      <c r="AF731" s="458"/>
      <c r="BA731"/>
      <c r="BB731" s="476"/>
      <c r="BC731" s="477"/>
      <c r="BD731" s="478"/>
      <c r="BE731" s="479"/>
      <c r="BF731" s="458"/>
    </row>
    <row r="732" spans="27:58">
      <c r="AA732"/>
      <c r="AB732" s="449" t="s">
        <v>473</v>
      </c>
      <c r="AC732" s="467" t="s">
        <v>508</v>
      </c>
      <c r="AD732" s="480"/>
      <c r="AE732" s="481" t="s">
        <v>308</v>
      </c>
      <c r="AF732" s="440"/>
      <c r="BA732"/>
      <c r="BB732" s="449" t="s">
        <v>473</v>
      </c>
      <c r="BC732" s="467" t="s">
        <v>508</v>
      </c>
      <c r="BD732" s="480"/>
      <c r="BE732" s="481" t="s">
        <v>308</v>
      </c>
      <c r="BF732" s="440"/>
    </row>
    <row r="733" spans="27:58">
      <c r="AB733" s="436"/>
      <c r="AC733" s="483"/>
      <c r="AD733" s="480"/>
      <c r="AE733" s="484"/>
      <c r="AF733" s="440"/>
      <c r="BA733"/>
      <c r="BB733" s="436"/>
      <c r="BC733" s="483"/>
      <c r="BD733" s="480"/>
      <c r="BE733" s="484"/>
      <c r="BF733" s="440"/>
    </row>
    <row r="734" spans="27:58">
      <c r="AB734" s="436"/>
      <c r="AC734" s="120"/>
      <c r="AD734" s="223"/>
      <c r="AE734" s="467"/>
      <c r="AF734" s="440"/>
      <c r="BB734" s="436"/>
      <c r="BC734" s="120"/>
      <c r="BD734" s="223"/>
      <c r="BE734" s="467"/>
      <c r="BF734" s="440"/>
    </row>
    <row r="735" spans="27:58">
      <c r="AB735" s="436"/>
      <c r="AC735" s="120"/>
      <c r="AD735" s="466"/>
      <c r="AE735" s="467"/>
      <c r="AF735" s="440"/>
      <c r="BB735" s="436"/>
      <c r="BC735" s="120"/>
      <c r="BD735" s="466"/>
      <c r="BE735" s="467"/>
      <c r="BF735" s="440"/>
    </row>
    <row r="736" spans="27:58">
      <c r="AB736" s="436"/>
      <c r="AC736" s="120"/>
      <c r="AD736" s="223"/>
      <c r="AE736" s="467"/>
      <c r="AF736" s="440"/>
      <c r="BB736" s="436"/>
      <c r="BC736" s="120"/>
      <c r="BD736" s="223"/>
      <c r="BE736" s="467"/>
      <c r="BF736" s="440"/>
    </row>
    <row r="737" spans="28:58">
      <c r="AB737" s="436"/>
      <c r="AC737" s="120"/>
      <c r="AD737" s="223"/>
      <c r="AE737" s="467"/>
      <c r="AF737" s="440"/>
      <c r="BB737" s="436"/>
      <c r="BC737" s="120"/>
      <c r="BD737" s="223"/>
      <c r="BE737" s="467"/>
      <c r="BF737" s="440"/>
    </row>
    <row r="738" spans="28:58">
      <c r="AB738" s="436"/>
      <c r="AC738" s="120"/>
      <c r="AD738" s="471"/>
      <c r="AE738" s="467"/>
      <c r="AF738" s="440"/>
      <c r="BB738" s="436"/>
      <c r="BC738" s="120"/>
      <c r="BD738" s="471"/>
      <c r="BE738" s="467"/>
      <c r="BF738" s="440"/>
    </row>
    <row r="739" spans="28:58">
      <c r="AB739" s="436"/>
      <c r="AC739" s="120"/>
      <c r="AD739" s="223"/>
      <c r="AE739" s="467"/>
      <c r="AF739" s="440"/>
      <c r="BB739" s="436"/>
      <c r="BC739" s="120"/>
      <c r="BD739" s="223"/>
      <c r="BE739" s="467"/>
      <c r="BF739" s="440"/>
    </row>
    <row r="740" spans="28:58">
      <c r="AB740" s="436"/>
      <c r="AC740" s="120"/>
      <c r="AD740" s="475"/>
      <c r="AE740" s="467"/>
      <c r="AF740" s="440"/>
      <c r="BB740" s="436"/>
      <c r="BC740" s="120"/>
      <c r="BD740" s="475"/>
      <c r="BE740" s="467"/>
      <c r="BF740" s="440"/>
    </row>
    <row r="741" spans="28:58">
      <c r="AB741" s="436"/>
      <c r="AC741" s="120"/>
      <c r="AD741" s="223"/>
      <c r="AE741" s="467"/>
      <c r="AF741" s="440"/>
      <c r="BB741" s="436"/>
      <c r="BC741" s="120"/>
      <c r="BD741" s="223"/>
      <c r="BE741" s="467"/>
      <c r="BF741" s="440"/>
    </row>
    <row r="742" spans="28:58">
      <c r="AB742" s="436"/>
      <c r="AC742" s="120"/>
      <c r="AD742" s="223"/>
      <c r="AE742" s="467"/>
      <c r="AF742" s="440"/>
      <c r="BB742" s="436"/>
      <c r="BC742" s="120"/>
      <c r="BD742" s="223"/>
      <c r="BE742" s="467"/>
      <c r="BF742" s="440"/>
    </row>
    <row r="743" spans="28:58">
      <c r="AB743" s="436"/>
      <c r="AC743" s="120"/>
      <c r="AD743" s="223"/>
      <c r="AE743" s="467"/>
      <c r="AF743" s="440"/>
      <c r="BB743" s="436"/>
      <c r="BC743" s="120"/>
      <c r="BD743" s="223"/>
      <c r="BE743" s="467"/>
      <c r="BF743" s="440"/>
    </row>
    <row r="744" spans="28:58">
      <c r="AB744" s="436"/>
      <c r="AC744" s="120"/>
      <c r="AD744" s="223"/>
      <c r="AE744" s="467"/>
      <c r="AF744" s="440"/>
      <c r="BB744" s="436"/>
      <c r="BC744" s="120"/>
      <c r="BD744" s="223"/>
      <c r="BE744" s="467"/>
      <c r="BF744" s="440"/>
    </row>
    <row r="745" spans="28:58">
      <c r="AB745" s="436"/>
      <c r="AC745" s="120"/>
      <c r="AD745" s="120"/>
      <c r="AE745" s="467"/>
      <c r="AF745" s="440"/>
      <c r="BB745" s="436"/>
      <c r="BC745" s="120"/>
      <c r="BD745" s="120"/>
      <c r="BE745" s="467"/>
      <c r="BF745" s="440"/>
    </row>
    <row r="746" spans="28:58">
      <c r="AB746" s="456"/>
      <c r="AC746" s="457"/>
      <c r="AD746" s="457"/>
      <c r="AE746" s="477"/>
      <c r="AF746" s="458"/>
      <c r="BB746" s="456"/>
      <c r="BC746" s="457"/>
      <c r="BD746" s="457"/>
      <c r="BE746" s="477"/>
      <c r="BF746" s="458"/>
    </row>
    <row r="747" spans="28:58">
      <c r="AB747" s="449" t="s">
        <v>474</v>
      </c>
      <c r="AC747" s="120"/>
      <c r="AD747" s="120" t="s">
        <v>1</v>
      </c>
      <c r="AE747" s="310" t="s">
        <v>307</v>
      </c>
      <c r="AF747" s="440"/>
      <c r="BB747" s="449" t="s">
        <v>474</v>
      </c>
      <c r="BC747" s="120"/>
      <c r="BD747" s="120" t="s">
        <v>1</v>
      </c>
      <c r="BE747" s="310" t="s">
        <v>307</v>
      </c>
      <c r="BF747" s="440"/>
    </row>
    <row r="748" spans="28:58">
      <c r="AB748" s="436"/>
      <c r="AC748" s="223"/>
      <c r="AD748" s="480"/>
      <c r="AE748" s="484"/>
      <c r="AF748" s="440"/>
      <c r="BB748" s="436"/>
      <c r="BC748" s="223"/>
      <c r="BD748" s="480"/>
      <c r="BE748" s="484"/>
      <c r="BF748" s="440"/>
    </row>
    <row r="749" spans="28:58">
      <c r="AB749" s="436"/>
      <c r="AC749" s="120"/>
      <c r="AD749" s="120"/>
      <c r="AE749" s="467"/>
      <c r="AF749" s="440"/>
      <c r="BB749" s="436"/>
      <c r="BC749" s="120"/>
      <c r="BD749" s="120"/>
      <c r="BE749" s="467"/>
      <c r="BF749" s="440"/>
    </row>
    <row r="750" spans="28:58">
      <c r="AB750" s="436"/>
      <c r="AC750" s="120"/>
      <c r="AD750" s="120"/>
      <c r="AE750" s="467"/>
      <c r="AF750" s="440"/>
      <c r="BB750" s="436"/>
      <c r="BC750" s="120"/>
      <c r="BD750" s="120"/>
      <c r="BE750" s="467"/>
      <c r="BF750" s="440"/>
    </row>
    <row r="751" spans="28:58">
      <c r="AB751" s="436"/>
      <c r="AC751" s="120"/>
      <c r="AD751" s="120"/>
      <c r="AE751" s="467"/>
      <c r="AF751" s="440"/>
      <c r="BB751" s="436"/>
      <c r="BC751" s="120"/>
      <c r="BD751" s="120"/>
      <c r="BE751" s="467"/>
      <c r="BF751" s="440"/>
    </row>
    <row r="752" spans="28:58">
      <c r="AB752" s="436"/>
      <c r="AC752" s="120"/>
      <c r="AD752" s="120"/>
      <c r="AE752" s="467"/>
      <c r="AF752" s="440"/>
      <c r="BB752" s="436"/>
      <c r="BC752" s="120"/>
      <c r="BD752" s="120"/>
      <c r="BE752" s="467"/>
      <c r="BF752" s="440"/>
    </row>
    <row r="753" spans="28:58">
      <c r="AB753" s="436"/>
      <c r="AC753" s="120"/>
      <c r="AD753" s="120"/>
      <c r="AE753" s="467"/>
      <c r="AF753" s="440"/>
      <c r="BB753" s="436"/>
      <c r="BC753" s="120"/>
      <c r="BD753" s="120"/>
      <c r="BE753" s="467"/>
      <c r="BF753" s="440"/>
    </row>
    <row r="754" spans="28:58">
      <c r="AB754" s="436"/>
      <c r="AC754" s="120"/>
      <c r="AD754" s="120"/>
      <c r="AE754" s="467"/>
      <c r="AF754" s="440"/>
      <c r="BB754" s="436"/>
      <c r="BC754" s="120"/>
      <c r="BD754" s="120"/>
      <c r="BE754" s="467"/>
      <c r="BF754" s="440"/>
    </row>
    <row r="755" spans="28:58">
      <c r="AB755" s="436"/>
      <c r="AC755" s="120"/>
      <c r="AD755" s="120"/>
      <c r="AE755" s="467"/>
      <c r="AF755" s="440"/>
      <c r="BB755" s="436"/>
      <c r="BC755" s="120"/>
      <c r="BD755" s="120"/>
      <c r="BE755" s="467"/>
      <c r="BF755" s="440"/>
    </row>
    <row r="756" spans="28:58">
      <c r="AB756" s="436"/>
      <c r="AC756" s="120"/>
      <c r="AD756" s="120"/>
      <c r="AE756" s="467"/>
      <c r="AF756" s="440"/>
      <c r="BB756" s="436"/>
      <c r="BC756" s="120"/>
      <c r="BD756" s="120"/>
      <c r="BE756" s="467"/>
      <c r="BF756" s="440"/>
    </row>
    <row r="757" spans="28:58">
      <c r="AB757" s="436"/>
      <c r="AC757" s="120"/>
      <c r="AD757" s="120"/>
      <c r="AE757" s="467"/>
      <c r="AF757" s="440"/>
      <c r="BB757" s="436"/>
      <c r="BC757" s="120"/>
      <c r="BD757" s="120"/>
      <c r="BE757" s="467"/>
      <c r="BF757" s="440"/>
    </row>
    <row r="758" spans="28:58">
      <c r="AB758" s="436"/>
      <c r="AC758" s="120"/>
      <c r="AD758" s="120"/>
      <c r="AE758" s="467"/>
      <c r="AF758" s="440"/>
      <c r="BB758" s="436"/>
      <c r="BC758" s="120"/>
      <c r="BD758" s="120"/>
      <c r="BE758" s="467"/>
      <c r="BF758" s="440"/>
    </row>
    <row r="759" spans="28:58">
      <c r="AB759" s="436"/>
      <c r="AC759" s="120"/>
      <c r="AD759" s="120"/>
      <c r="AE759" s="467"/>
      <c r="AF759" s="440"/>
      <c r="BB759" s="436"/>
      <c r="BC759" s="120"/>
      <c r="BD759" s="120"/>
      <c r="BE759" s="467"/>
      <c r="BF759" s="440"/>
    </row>
    <row r="760" spans="28:58">
      <c r="AB760" s="456"/>
      <c r="AC760" s="457"/>
      <c r="AD760" s="457"/>
      <c r="AE760" s="477"/>
      <c r="AF760" s="458"/>
      <c r="BB760" s="456"/>
      <c r="BC760" s="457"/>
      <c r="BD760" s="457"/>
      <c r="BE760" s="477"/>
      <c r="BF760" s="458"/>
    </row>
    <row r="761" spans="28:58">
      <c r="AB761" s="456"/>
      <c r="AC761" s="457"/>
      <c r="AD761" s="457"/>
      <c r="AE761" s="457"/>
      <c r="AF761" s="458"/>
      <c r="BB761" s="456"/>
      <c r="BC761" s="457"/>
      <c r="BD761" s="457"/>
      <c r="BE761" s="457"/>
      <c r="BF761" s="458"/>
    </row>
    <row r="762" spans="28:58">
      <c r="AB762" s="449" t="s">
        <v>475</v>
      </c>
      <c r="AC762" s="120"/>
      <c r="AD762" s="120"/>
      <c r="AE762" s="120"/>
      <c r="AF762" s="440"/>
      <c r="BB762" s="449" t="s">
        <v>475</v>
      </c>
      <c r="BC762" s="120"/>
      <c r="BD762" s="120"/>
      <c r="BE762" s="120"/>
      <c r="BF762" s="440"/>
    </row>
    <row r="763" spans="28:58">
      <c r="AB763" s="436" t="s">
        <v>509</v>
      </c>
      <c r="AC763" s="120"/>
      <c r="AD763" s="120"/>
      <c r="AE763" s="120"/>
      <c r="AF763" s="440"/>
      <c r="BB763" s="436" t="s">
        <v>509</v>
      </c>
      <c r="BC763" s="120"/>
      <c r="BD763" s="120"/>
      <c r="BE763" s="120"/>
      <c r="BF763" s="440"/>
    </row>
    <row r="764" spans="28:58">
      <c r="AB764" s="436" t="s">
        <v>510</v>
      </c>
      <c r="AC764" s="120"/>
      <c r="AD764" s="120"/>
      <c r="AE764" s="120"/>
      <c r="AF764" s="440"/>
      <c r="BB764" s="436" t="s">
        <v>510</v>
      </c>
      <c r="BC764" s="120"/>
      <c r="BD764" s="120"/>
      <c r="BE764" s="120"/>
      <c r="BF764" s="440"/>
    </row>
    <row r="765" spans="28:58">
      <c r="AB765" s="436"/>
      <c r="AC765" s="120"/>
      <c r="AD765" s="120"/>
      <c r="AE765" s="120"/>
      <c r="AF765" s="440"/>
      <c r="BB765" s="436"/>
      <c r="BC765" s="120"/>
      <c r="BD765" s="120"/>
      <c r="BE765" s="120"/>
      <c r="BF765" s="440"/>
    </row>
    <row r="766" spans="28:58">
      <c r="AB766" s="436"/>
      <c r="AC766" s="120"/>
      <c r="AD766" s="120"/>
      <c r="AE766" s="120"/>
      <c r="AF766" s="440"/>
      <c r="BB766" s="436"/>
      <c r="BC766" s="120"/>
      <c r="BD766" s="120"/>
      <c r="BE766" s="120"/>
      <c r="BF766" s="440"/>
    </row>
    <row r="767" spans="28:58">
      <c r="AB767" s="436"/>
      <c r="AC767" s="120"/>
      <c r="AD767" s="120"/>
      <c r="AE767" s="120"/>
      <c r="AF767" s="440"/>
      <c r="BB767" s="436"/>
      <c r="BC767" s="120"/>
      <c r="BD767" s="120"/>
      <c r="BE767" s="120"/>
      <c r="BF767" s="440"/>
    </row>
    <row r="768" spans="28:58">
      <c r="AB768" s="436"/>
      <c r="AC768" s="120"/>
      <c r="AD768" s="120"/>
      <c r="AE768" s="120"/>
      <c r="AF768" s="440"/>
      <c r="BB768" s="436"/>
      <c r="BC768" s="120"/>
      <c r="BD768" s="120"/>
      <c r="BE768" s="120"/>
      <c r="BF768" s="440"/>
    </row>
    <row r="769" spans="28:58">
      <c r="AB769" s="436" t="s">
        <v>511</v>
      </c>
      <c r="AC769" s="120">
        <v>0</v>
      </c>
      <c r="AD769" s="120" t="s">
        <v>512</v>
      </c>
      <c r="AE769" s="120"/>
      <c r="AF769" s="440"/>
      <c r="BB769" s="436" t="s">
        <v>511</v>
      </c>
      <c r="BC769" s="120">
        <v>0</v>
      </c>
      <c r="BD769" s="120" t="s">
        <v>512</v>
      </c>
      <c r="BE769" s="120"/>
      <c r="BF769" s="440"/>
    </row>
    <row r="770" spans="28:58">
      <c r="AB770" s="436" t="s">
        <v>513</v>
      </c>
      <c r="AC770" s="120">
        <v>0</v>
      </c>
      <c r="AD770" s="120" t="s">
        <v>512</v>
      </c>
      <c r="AE770" s="120"/>
      <c r="AF770" s="440"/>
      <c r="BB770" s="436" t="s">
        <v>513</v>
      </c>
      <c r="BC770" s="120">
        <v>0</v>
      </c>
      <c r="BD770" s="120" t="s">
        <v>512</v>
      </c>
      <c r="BE770" s="120"/>
      <c r="BF770" s="440"/>
    </row>
    <row r="771" spans="28:58">
      <c r="AB771" s="456"/>
      <c r="AC771" s="457"/>
      <c r="AD771" s="457"/>
      <c r="AE771" s="457"/>
      <c r="AF771" s="458"/>
      <c r="BB771" s="456"/>
      <c r="BC771" s="457"/>
      <c r="BD771" s="457"/>
      <c r="BE771" s="457"/>
      <c r="BF771" s="458"/>
    </row>
    <row r="772" spans="28:58">
      <c r="AB772" s="449" t="s">
        <v>461</v>
      </c>
      <c r="AC772" s="120"/>
      <c r="AD772" s="120"/>
      <c r="AE772" s="120"/>
      <c r="AF772" s="440"/>
      <c r="BB772" s="449" t="s">
        <v>461</v>
      </c>
      <c r="BC772" s="120"/>
      <c r="BD772" s="120"/>
      <c r="BE772" s="120"/>
      <c r="BF772" s="440"/>
    </row>
    <row r="773" spans="28:58">
      <c r="AB773" s="436" t="s">
        <v>514</v>
      </c>
      <c r="AC773" s="120">
        <f>VLOOKUP(AB701,'Unit Ops'!$B$140:$K$209,10,FALSE)</f>
        <v>6</v>
      </c>
      <c r="AD773" s="120" t="s">
        <v>515</v>
      </c>
      <c r="AE773" s="120"/>
      <c r="AF773" s="440"/>
      <c r="BB773" s="436" t="s">
        <v>514</v>
      </c>
      <c r="BC773" s="120">
        <f>VLOOKUP(BB701,'Unit Ops'!$B$140:$K$209,10,FALSE)</f>
        <v>0</v>
      </c>
      <c r="BD773" s="120" t="s">
        <v>515</v>
      </c>
      <c r="BE773" s="120"/>
      <c r="BF773" s="440"/>
    </row>
    <row r="774" spans="28:58">
      <c r="AB774" s="436" t="s">
        <v>516</v>
      </c>
      <c r="AC774" s="120">
        <v>0</v>
      </c>
      <c r="AD774" s="120" t="s">
        <v>515</v>
      </c>
      <c r="AE774" s="120"/>
      <c r="AF774" s="440"/>
      <c r="BB774" s="436" t="s">
        <v>516</v>
      </c>
      <c r="BC774" s="120">
        <v>0</v>
      </c>
      <c r="BD774" s="120" t="s">
        <v>515</v>
      </c>
      <c r="BE774" s="120"/>
      <c r="BF774" s="440"/>
    </row>
    <row r="775" spans="28:58">
      <c r="AB775" s="436"/>
      <c r="AC775" s="120"/>
      <c r="AD775" s="120"/>
      <c r="AE775" s="120"/>
      <c r="AF775" s="440"/>
      <c r="BB775" s="436"/>
      <c r="BC775" s="120"/>
      <c r="BD775" s="120"/>
      <c r="BE775" s="120"/>
      <c r="BF775" s="440"/>
    </row>
    <row r="776" spans="28:58">
      <c r="AB776" s="436"/>
      <c r="AC776" s="120"/>
      <c r="AD776" s="120"/>
      <c r="AE776" s="120"/>
      <c r="AF776" s="440"/>
      <c r="BB776" s="436"/>
      <c r="BC776" s="120"/>
      <c r="BD776" s="120"/>
      <c r="BE776" s="120"/>
      <c r="BF776" s="440"/>
    </row>
    <row r="777" spans="28:58">
      <c r="AB777" s="436"/>
      <c r="AC777" s="120"/>
      <c r="AD777" s="120"/>
      <c r="AE777" s="120"/>
      <c r="AF777" s="440"/>
      <c r="BB777" s="436"/>
      <c r="BC777" s="120"/>
      <c r="BD777" s="120"/>
      <c r="BE777" s="120"/>
      <c r="BF777" s="440"/>
    </row>
    <row r="778" spans="28:58">
      <c r="AB778" s="436"/>
      <c r="AC778" s="120"/>
      <c r="AD778" s="120"/>
      <c r="AE778" s="120"/>
      <c r="AF778" s="440"/>
      <c r="BB778" s="436"/>
      <c r="BC778" s="120"/>
      <c r="BD778" s="120"/>
      <c r="BE778" s="120"/>
      <c r="BF778" s="440"/>
    </row>
    <row r="779" spans="28:58">
      <c r="AB779" s="436"/>
      <c r="AC779" s="120"/>
      <c r="AD779" s="120"/>
      <c r="AE779" s="120"/>
      <c r="AF779" s="440"/>
      <c r="BB779" s="436"/>
      <c r="BC779" s="120"/>
      <c r="BD779" s="120"/>
      <c r="BE779" s="120"/>
      <c r="BF779" s="440"/>
    </row>
    <row r="780" spans="28:58">
      <c r="AB780" s="436" t="s">
        <v>464</v>
      </c>
      <c r="AC780" s="120"/>
      <c r="AD780" s="120"/>
      <c r="AE780" s="120"/>
      <c r="AF780" s="440"/>
      <c r="BB780" s="436" t="s">
        <v>464</v>
      </c>
      <c r="BC780" s="120"/>
      <c r="BD780" s="120"/>
      <c r="BE780" s="120"/>
      <c r="BF780" s="440"/>
    </row>
    <row r="781" spans="28:58">
      <c r="AB781" s="456"/>
      <c r="AC781" s="457"/>
      <c r="AD781" s="457"/>
      <c r="AE781" s="457"/>
      <c r="AF781" s="458"/>
      <c r="BB781" s="456"/>
      <c r="BC781" s="457"/>
      <c r="BD781" s="457"/>
      <c r="BE781" s="457"/>
      <c r="BF781" s="458"/>
    </row>
    <row r="782" spans="28:58">
      <c r="AB782" s="449" t="s">
        <v>472</v>
      </c>
      <c r="AC782" s="467" t="s">
        <v>517</v>
      </c>
      <c r="AD782" s="120" t="s">
        <v>518</v>
      </c>
      <c r="AE782" s="467" t="s">
        <v>519</v>
      </c>
      <c r="AF782" s="440" t="s">
        <v>518</v>
      </c>
      <c r="BB782" s="449" t="s">
        <v>472</v>
      </c>
      <c r="BC782" s="467" t="s">
        <v>517</v>
      </c>
      <c r="BD782" s="120" t="s">
        <v>518</v>
      </c>
      <c r="BE782" s="467" t="s">
        <v>519</v>
      </c>
      <c r="BF782" s="440" t="s">
        <v>518</v>
      </c>
    </row>
    <row r="783" spans="28:58">
      <c r="AB783" s="436" t="s">
        <v>520</v>
      </c>
      <c r="AC783" s="120"/>
      <c r="AD783" s="120"/>
      <c r="AE783" s="472">
        <f>((VLOOKUP(AB701,'Unit Ops'!$B$140:$J$209,3,FALSE)*AC703^VLOOKUP(AB701,'Unit Ops'!$B$140:$J$209,4,FALSE)+VLOOKUP(AB701,'Unit Ops'!$B$140:$J$209,5,FALSE))*VLOOKUP(AB701,'Unit Ops'!$B$140:$J$209,6,FALSE))*IF(VLOOKUP(AB701,'Unit Ops'!$B$140:$L$209,11,FALSE)=1,1,2)</f>
        <v>0</v>
      </c>
      <c r="AF783" s="490">
        <f>'CM Rec Par.'!$C$7</f>
        <v>2022</v>
      </c>
      <c r="BB783" s="436" t="s">
        <v>520</v>
      </c>
      <c r="BC783" s="120"/>
      <c r="BD783" s="120"/>
      <c r="BE783" s="472">
        <f>((VLOOKUP(BB701,'Unit Ops'!$B$140:$J$209,3,FALSE)*BC703^VLOOKUP(BB701,'Unit Ops'!$B$140:$J$209,4,FALSE)+VLOOKUP(BB701,'Unit Ops'!$B$140:$J$209,5,FALSE))*VLOOKUP(BB701,'Unit Ops'!$B$140:$J$209,6,FALSE))*IF(VLOOKUP(BB701,'Unit Ops'!$B$140:$L$209,11,FALSE)=1,1,2)</f>
        <v>0</v>
      </c>
      <c r="BF783" s="490">
        <f>'CM Rec Par.'!$C$7</f>
        <v>2022</v>
      </c>
    </row>
    <row r="784" spans="28:58">
      <c r="AB784" s="436"/>
      <c r="AC784" s="120"/>
      <c r="AD784" s="120"/>
      <c r="AE784" s="120"/>
      <c r="AF784" s="440"/>
      <c r="BB784" s="436"/>
      <c r="BC784" s="120"/>
      <c r="BD784" s="120"/>
      <c r="BE784" s="120"/>
      <c r="BF784" s="440"/>
    </row>
    <row r="785" spans="28:58">
      <c r="AB785" s="436"/>
      <c r="AC785" s="120"/>
      <c r="AD785" s="120"/>
      <c r="AE785" s="120"/>
      <c r="AF785" s="440"/>
      <c r="BB785" s="436"/>
      <c r="BC785" s="120"/>
      <c r="BD785" s="120"/>
      <c r="BE785" s="120"/>
      <c r="BF785" s="440"/>
    </row>
    <row r="786" spans="28:58">
      <c r="AB786" s="436"/>
      <c r="AC786" s="120"/>
      <c r="AD786" s="120"/>
      <c r="AE786" s="120"/>
      <c r="AF786" s="440"/>
      <c r="BB786" s="436"/>
      <c r="BC786" s="120"/>
      <c r="BD786" s="120"/>
      <c r="BE786" s="120"/>
      <c r="BF786" s="440"/>
    </row>
    <row r="787" spans="28:58">
      <c r="AB787" s="436"/>
      <c r="AC787" s="120"/>
      <c r="AD787" s="120"/>
      <c r="AE787" s="120"/>
      <c r="AF787" s="440"/>
      <c r="BB787" s="436"/>
      <c r="BC787" s="120"/>
      <c r="BD787" s="120"/>
      <c r="BE787" s="120"/>
      <c r="BF787" s="440"/>
    </row>
    <row r="788" spans="28:58">
      <c r="AB788" s="436"/>
      <c r="AC788" s="120"/>
      <c r="AD788" s="120"/>
      <c r="AE788" s="120"/>
      <c r="AF788" s="440"/>
      <c r="BB788" s="436"/>
      <c r="BC788" s="120"/>
      <c r="BD788" s="120"/>
      <c r="BE788" s="120"/>
      <c r="BF788" s="440"/>
    </row>
    <row r="789" spans="28:58">
      <c r="AB789" s="436"/>
      <c r="AC789" s="120"/>
      <c r="AD789" s="120"/>
      <c r="AE789" s="120"/>
      <c r="AF789" s="440"/>
      <c r="BB789" s="436"/>
      <c r="BC789" s="120"/>
      <c r="BD789" s="120"/>
      <c r="BE789" s="120"/>
      <c r="BF789" s="440"/>
    </row>
    <row r="790" spans="28:58">
      <c r="AB790" s="436"/>
      <c r="AC790" s="120"/>
      <c r="AD790" s="120"/>
      <c r="AE790" s="120"/>
      <c r="AF790" s="440"/>
      <c r="BB790" s="436"/>
      <c r="BC790" s="120"/>
      <c r="BD790" s="120"/>
      <c r="BE790" s="120"/>
      <c r="BF790" s="440"/>
    </row>
    <row r="791" spans="28:58">
      <c r="AB791" s="436"/>
      <c r="AC791" s="120"/>
      <c r="AD791" s="120"/>
      <c r="AE791" s="120"/>
      <c r="AF791" s="440"/>
      <c r="BB791" s="436"/>
      <c r="BC791" s="120"/>
      <c r="BD791" s="120"/>
      <c r="BE791" s="120"/>
      <c r="BF791" s="440"/>
    </row>
    <row r="792" spans="28:58">
      <c r="AB792" s="436"/>
      <c r="AC792" s="120"/>
      <c r="AD792" s="120"/>
      <c r="AE792" s="120"/>
      <c r="AF792" s="440"/>
      <c r="BB792" s="436"/>
      <c r="BC792" s="120"/>
      <c r="BD792" s="120"/>
      <c r="BE792" s="120"/>
      <c r="BF792" s="440"/>
    </row>
    <row r="793" spans="28:58">
      <c r="AB793" s="436"/>
      <c r="AC793" s="120"/>
      <c r="AD793" s="120"/>
      <c r="AE793" s="120"/>
      <c r="AF793" s="440"/>
      <c r="BB793" s="436"/>
      <c r="BC793" s="120"/>
      <c r="BD793" s="120"/>
      <c r="BE793" s="120"/>
      <c r="BF793" s="440"/>
    </row>
    <row r="794" spans="28:58">
      <c r="AB794" s="436"/>
      <c r="AC794" s="120"/>
      <c r="AD794" s="120"/>
      <c r="AE794" s="120"/>
      <c r="AF794" s="440"/>
      <c r="BB794" s="436"/>
      <c r="BC794" s="120"/>
      <c r="BD794" s="120"/>
      <c r="BE794" s="120"/>
      <c r="BF794" s="440"/>
    </row>
    <row r="795" spans="28:58">
      <c r="AB795" s="436"/>
      <c r="AC795" s="120"/>
      <c r="AD795" s="120"/>
      <c r="AE795" s="120"/>
      <c r="AF795" s="440"/>
      <c r="BB795" s="436"/>
      <c r="BC795" s="120"/>
      <c r="BD795" s="120"/>
      <c r="BE795" s="120"/>
      <c r="BF795" s="440"/>
    </row>
    <row r="796" spans="28:58">
      <c r="AB796" s="436"/>
      <c r="AC796" s="120"/>
      <c r="AD796" s="120"/>
      <c r="AE796" s="120"/>
      <c r="AF796" s="440"/>
      <c r="BB796" s="436"/>
      <c r="BC796" s="120"/>
      <c r="BD796" s="120"/>
      <c r="BE796" s="120"/>
      <c r="BF796" s="440"/>
    </row>
    <row r="797" spans="28:58" ht="14.5" thickBot="1">
      <c r="AB797" s="492"/>
      <c r="AC797" s="493"/>
      <c r="AD797" s="493"/>
      <c r="AE797" s="493"/>
      <c r="AF797" s="453"/>
      <c r="BB797" s="492"/>
      <c r="BC797" s="493"/>
      <c r="BD797" s="493"/>
      <c r="BE797" s="493"/>
      <c r="BF797" s="453"/>
    </row>
    <row r="800" spans="28:58" ht="14.5" thickBot="1"/>
    <row r="801" spans="27:59">
      <c r="AA801" s="114" t="s">
        <v>478</v>
      </c>
      <c r="AB801" s="431" t="str">
        <f>AB47</f>
        <v>Screen, vibrating</v>
      </c>
      <c r="AC801" s="432"/>
      <c r="AD801" s="433"/>
      <c r="AE801" s="434"/>
      <c r="AF801" s="435"/>
      <c r="AG801" s="409"/>
      <c r="BB801" s="431" t="str">
        <f>BB48</f>
        <v>Select Equipment</v>
      </c>
      <c r="BC801" s="432"/>
      <c r="BD801" s="433"/>
      <c r="BE801" s="434"/>
      <c r="BF801" s="435"/>
    </row>
    <row r="802" spans="27:59">
      <c r="AA802" s="114" t="s">
        <v>5</v>
      </c>
      <c r="AB802" s="436" t="s">
        <v>1</v>
      </c>
      <c r="AC802" s="437">
        <f>AC$14/AC$11/AC$10*VLOOKUP(AB801,'Unit Ops'!$B$140:$J$209,2,FALSE)</f>
        <v>0</v>
      </c>
      <c r="AD802" s="438" t="s">
        <v>586</v>
      </c>
      <c r="AE802" s="1027">
        <f>AC802*AC$306*AC$307</f>
        <v>0</v>
      </c>
      <c r="AF802" s="439" t="s">
        <v>585</v>
      </c>
      <c r="AG802" s="409"/>
      <c r="BA802" s="114" t="s">
        <v>478</v>
      </c>
      <c r="BB802" s="436" t="s">
        <v>1</v>
      </c>
      <c r="BC802" s="437">
        <f>BC$15/BC$11/BC$12*VLOOKUP(BB801,'Unit Ops'!$B$140:$J$209,2,FALSE)</f>
        <v>0</v>
      </c>
      <c r="BD802" s="438" t="s">
        <v>586</v>
      </c>
      <c r="BE802" s="1027">
        <f>BC802*BC$306*BC$307</f>
        <v>0</v>
      </c>
      <c r="BF802" s="439" t="s">
        <v>585</v>
      </c>
      <c r="BG802" s="409"/>
    </row>
    <row r="803" spans="27:59">
      <c r="AA803" s="114" t="str">
        <f>$AB$44</f>
        <v>Hopper</v>
      </c>
      <c r="AB803" s="436" t="s">
        <v>505</v>
      </c>
      <c r="AC803" s="437">
        <f>ROUNDUP(AC802*IF(VLOOKUP(AB801,'Unit Ops'!$B$140:$L$209,11,FALSE)=1,1.5,0.75),1)</f>
        <v>0</v>
      </c>
      <c r="AD803" s="438" t="s">
        <v>586</v>
      </c>
      <c r="AE803" s="120">
        <f>AC803*AC$306*AC$307</f>
        <v>0</v>
      </c>
      <c r="AF803" s="439" t="s">
        <v>585</v>
      </c>
      <c r="AG803" s="409"/>
      <c r="BA803" s="114" t="s">
        <v>5</v>
      </c>
      <c r="BB803" s="436" t="s">
        <v>505</v>
      </c>
      <c r="BC803" s="437">
        <f>ROUNDUP(BC802*IF(VLOOKUP(BB801,'Unit Ops'!$B$140:$L$209,11,FALSE)=1,1.5,0.75),1)</f>
        <v>0</v>
      </c>
      <c r="BD803" s="438" t="s">
        <v>586</v>
      </c>
      <c r="BE803" s="120">
        <f>BC803*BC$306*BC$307</f>
        <v>0</v>
      </c>
      <c r="BF803" s="439" t="s">
        <v>585</v>
      </c>
      <c r="BG803" s="409"/>
    </row>
    <row r="804" spans="27:59">
      <c r="AA804" s="114" t="str">
        <f>$AB$45</f>
        <v>Conveyor</v>
      </c>
      <c r="AB804" s="441" t="s">
        <v>521</v>
      </c>
      <c r="AC804" s="442" t="e">
        <f>AC802/AC803</f>
        <v>#DIV/0!</v>
      </c>
      <c r="AD804" s="438"/>
      <c r="AE804" s="443"/>
      <c r="AF804" s="440"/>
      <c r="AG804" s="409"/>
      <c r="BA804" s="114" t="str">
        <f>$BB$45</f>
        <v>Select Equipment</v>
      </c>
      <c r="BB804" s="441" t="s">
        <v>521</v>
      </c>
      <c r="BC804" s="442" t="e">
        <f>BC802/BC803</f>
        <v>#DIV/0!</v>
      </c>
      <c r="BD804" s="438"/>
      <c r="BE804" s="443"/>
      <c r="BF804" s="440"/>
      <c r="BG804" s="409"/>
    </row>
    <row r="805" spans="27:59">
      <c r="AA805" s="114" t="str">
        <f>$AB$46</f>
        <v>Crusher</v>
      </c>
      <c r="AB805" s="441" t="s">
        <v>506</v>
      </c>
      <c r="AC805" s="445"/>
      <c r="AD805" s="438" t="s">
        <v>454</v>
      </c>
      <c r="AE805" s="443"/>
      <c r="AF805" s="440"/>
      <c r="AG805" s="409"/>
      <c r="BA805" s="114" t="str">
        <f>$BB$46</f>
        <v>Select Equipment</v>
      </c>
      <c r="BB805" s="441" t="s">
        <v>506</v>
      </c>
      <c r="BC805" s="445"/>
      <c r="BD805" s="438" t="s">
        <v>454</v>
      </c>
      <c r="BE805" s="443"/>
      <c r="BF805" s="440"/>
      <c r="BG805" s="409"/>
    </row>
    <row r="806" spans="27:59">
      <c r="AA806" s="114" t="str">
        <f>$AB$47</f>
        <v>Screen, vibrating</v>
      </c>
      <c r="AB806" s="436" t="s">
        <v>507</v>
      </c>
      <c r="AC806" s="225">
        <f>(VLOOKUP(AB801,'Unit Ops'!$B$140:$J$209,7,FALSE)*AC803^VLOOKUP(AB801,'Unit Ops'!$B$140:$J$209,8,FALSE)+VLOOKUP(AB801,'Unit Ops'!$B$140:$J$209,9,FALSE))*IF(VLOOKUP(AB801,'Unit Ops'!$B$140:$L$209,11,FALSE)=1,1,2)</f>
        <v>0</v>
      </c>
      <c r="AD806" s="446" t="s">
        <v>454</v>
      </c>
      <c r="AE806" s="443"/>
      <c r="AF806" s="440"/>
      <c r="AG806" s="409"/>
      <c r="BA806" s="114" t="str">
        <f>$BB$47</f>
        <v>Select Equipment</v>
      </c>
      <c r="BB806" s="436" t="s">
        <v>507</v>
      </c>
      <c r="BC806" s="225" t="e">
        <f>(VLOOKUP(BB801,'Unit Ops'!$B$140:$J$209,7,FALSE)*BC803^VLOOKUP(BB801,'Unit Ops'!$B$140:$J$209,8,FALSE)+VLOOKUP(BB801,'Unit Ops'!$B$140:$J$209,9,FALSE))*IF(VLOOKUP(BB801,'Unit Ops'!$B$140:$L$209,11,FALSE)=1,1,2)</f>
        <v>#NUM!</v>
      </c>
      <c r="BD806" s="446" t="s">
        <v>454</v>
      </c>
      <c r="BE806" s="443"/>
      <c r="BF806" s="440"/>
      <c r="BG806" s="409"/>
    </row>
    <row r="807" spans="27:59">
      <c r="AA807" s="114" t="str">
        <f>$AB$48</f>
        <v>Conveyor</v>
      </c>
      <c r="AB807" s="441"/>
      <c r="AC807" s="445"/>
      <c r="AD807" s="447"/>
      <c r="AE807" s="443"/>
      <c r="AF807" s="440"/>
      <c r="AG807" s="482"/>
      <c r="BA807" s="114" t="str">
        <f>$BB$48</f>
        <v>Select Equipment</v>
      </c>
      <c r="BB807" s="441"/>
      <c r="BC807" s="445"/>
      <c r="BD807" s="447"/>
      <c r="BE807" s="443"/>
      <c r="BF807" s="440"/>
      <c r="BG807" s="409"/>
    </row>
    <row r="808" spans="27:59">
      <c r="AA808" s="114" t="str">
        <f>$AB$49</f>
        <v>Heat treatment furnace</v>
      </c>
      <c r="AB808" s="441"/>
      <c r="AC808" s="445"/>
      <c r="AD808" s="447"/>
      <c r="AE808" s="443"/>
      <c r="AF808" s="440"/>
      <c r="AG808" s="409"/>
      <c r="BA808" s="114" t="str">
        <f>$BB$49</f>
        <v>Select Equipment</v>
      </c>
      <c r="BB808" s="441"/>
      <c r="BC808" s="445"/>
      <c r="BD808" s="447"/>
      <c r="BE808" s="443"/>
      <c r="BF808" s="440"/>
      <c r="BG808" s="482"/>
    </row>
    <row r="809" spans="27:59">
      <c r="AA809" s="114" t="str">
        <f>$AB$50</f>
        <v>Cyclone</v>
      </c>
      <c r="AB809" s="449"/>
      <c r="AC809" s="445"/>
      <c r="AD809" s="447"/>
      <c r="AE809" s="443"/>
      <c r="AF809" s="440"/>
      <c r="AG809" s="409"/>
      <c r="BA809" s="114" t="str">
        <f>$BB$50</f>
        <v>Select Equipment</v>
      </c>
      <c r="BB809" s="449"/>
      <c r="BC809" s="445"/>
      <c r="BD809" s="447"/>
      <c r="BE809" s="443"/>
      <c r="BF809" s="440"/>
      <c r="BG809" s="409"/>
    </row>
    <row r="810" spans="27:59" ht="14.5" thickBot="1">
      <c r="AA810" s="114" t="str">
        <f>$AB$51</f>
        <v>Conveyor</v>
      </c>
      <c r="AB810" s="450"/>
      <c r="AC810" s="451"/>
      <c r="AD810" s="451"/>
      <c r="AE810" s="452"/>
      <c r="AF810" s="453"/>
      <c r="AG810" s="502"/>
      <c r="BA810" s="114" t="str">
        <f>$BB$51</f>
        <v>Select Equipment</v>
      </c>
      <c r="BB810" s="450"/>
      <c r="BC810" s="451"/>
      <c r="BD810" s="451"/>
      <c r="BE810" s="452"/>
      <c r="BF810" s="453"/>
      <c r="BG810" s="409"/>
    </row>
    <row r="811" spans="27:59">
      <c r="AA811" s="114" t="str">
        <f>$AB$52</f>
        <v>Eddy current separator</v>
      </c>
      <c r="AB811" s="449" t="s">
        <v>470</v>
      </c>
      <c r="AC811" s="120"/>
      <c r="AD811" s="454"/>
      <c r="AE811" s="120"/>
      <c r="AF811" s="440"/>
      <c r="BA811" s="114" t="str">
        <f>$BB$52</f>
        <v>Select Equipment</v>
      </c>
      <c r="BB811" s="449" t="s">
        <v>470</v>
      </c>
      <c r="BC811" s="120"/>
      <c r="BD811" s="454"/>
      <c r="BE811" s="120"/>
      <c r="BF811" s="440"/>
      <c r="BG811" s="502"/>
    </row>
    <row r="812" spans="27:59" ht="14.5" customHeight="1">
      <c r="AA812" s="114" t="str">
        <f>$AB$53</f>
        <v>Conveyor</v>
      </c>
      <c r="AB812" s="1698"/>
      <c r="AC812" s="1699"/>
      <c r="AD812" s="1699"/>
      <c r="AE812" s="1699"/>
      <c r="AF812" s="1700"/>
      <c r="AG812" s="503"/>
      <c r="BA812" s="114" t="str">
        <f>$BB$53</f>
        <v>Select Equipment</v>
      </c>
      <c r="BB812" s="1698"/>
      <c r="BC812" s="1699"/>
      <c r="BD812" s="1699"/>
      <c r="BE812" s="1699"/>
      <c r="BF812" s="1700"/>
    </row>
    <row r="813" spans="27:59">
      <c r="AA813" s="114" t="str">
        <f>$AB$54</f>
        <v>Air classifier</v>
      </c>
      <c r="AB813" s="436"/>
      <c r="AC813" s="120"/>
      <c r="AD813" s="455"/>
      <c r="AE813" s="120"/>
      <c r="AF813" s="440"/>
      <c r="AG813" s="503"/>
      <c r="BA813" s="114" t="str">
        <f>$BB$54</f>
        <v>Select Equipment</v>
      </c>
      <c r="BB813" s="436"/>
      <c r="BC813" s="120"/>
      <c r="BD813" s="455"/>
      <c r="BE813" s="120"/>
      <c r="BF813" s="440"/>
      <c r="BG813" s="503"/>
    </row>
    <row r="814" spans="27:59">
      <c r="AA814" s="114" t="str">
        <f>$AB$55</f>
        <v>Gas treatment</v>
      </c>
      <c r="AB814" s="436"/>
      <c r="AC814" s="120"/>
      <c r="AD814" s="455"/>
      <c r="AE814" s="120"/>
      <c r="AF814" s="440"/>
      <c r="AG814" s="503"/>
      <c r="BA814" s="114" t="str">
        <f>$BB$55</f>
        <v>Select Equipment</v>
      </c>
      <c r="BB814" s="436"/>
      <c r="BC814" s="120"/>
      <c r="BD814" s="455"/>
      <c r="BE814" s="120"/>
      <c r="BF814" s="440"/>
      <c r="BG814" s="503"/>
    </row>
    <row r="815" spans="27:59">
      <c r="AA815" s="114" t="str">
        <f>$AB$56</f>
        <v>Wheel loader</v>
      </c>
      <c r="AB815" s="456"/>
      <c r="AC815" s="457"/>
      <c r="AD815" s="457"/>
      <c r="AE815" s="457"/>
      <c r="AF815" s="458"/>
      <c r="AG815" s="314"/>
      <c r="BA815" s="114" t="str">
        <f>$BB$56</f>
        <v>Select Equipment</v>
      </c>
      <c r="BB815" s="456"/>
      <c r="BC815" s="457"/>
      <c r="BD815" s="457"/>
      <c r="BE815" s="457"/>
      <c r="BF815" s="458"/>
      <c r="BG815" s="503"/>
    </row>
    <row r="816" spans="27:59">
      <c r="AA816" s="114" t="str">
        <f>$AB$57</f>
        <v>Select Equipment</v>
      </c>
      <c r="AB816" s="449" t="s">
        <v>471</v>
      </c>
      <c r="AC816" s="120"/>
      <c r="AD816" s="454"/>
      <c r="AE816" s="120"/>
      <c r="AF816" s="440"/>
      <c r="AG816" s="409"/>
      <c r="BA816" s="114" t="str">
        <f>$BB$57</f>
        <v>Select Equipment</v>
      </c>
      <c r="BB816" s="449" t="s">
        <v>471</v>
      </c>
      <c r="BC816" s="120"/>
      <c r="BD816" s="454"/>
      <c r="BE816" s="120"/>
      <c r="BF816" s="440"/>
      <c r="BG816" s="314"/>
    </row>
    <row r="817" spans="27:59">
      <c r="AA817" s="114" t="str">
        <f>$AB$58</f>
        <v>Select Equipment</v>
      </c>
      <c r="AB817" s="436" t="s">
        <v>577</v>
      </c>
      <c r="AC817" s="225" t="e">
        <f>AC806*IF(AC804&gt;1,1,AC804)</f>
        <v>#DIV/0!</v>
      </c>
      <c r="AD817" s="446" t="s">
        <v>454</v>
      </c>
      <c r="AE817" s="120"/>
      <c r="AF817" s="440"/>
      <c r="AG817" s="409"/>
      <c r="BA817" s="114" t="str">
        <f>$BB$58</f>
        <v>Select Equipment</v>
      </c>
      <c r="BB817" s="436" t="s">
        <v>577</v>
      </c>
      <c r="BC817" s="225" t="e">
        <f>BC806*IF(BC804&gt;1,1,BC804)</f>
        <v>#NUM!</v>
      </c>
      <c r="BD817" s="446" t="s">
        <v>454</v>
      </c>
      <c r="BE817" s="120"/>
      <c r="BF817" s="440"/>
      <c r="BG817" s="409"/>
    </row>
    <row r="818" spans="27:59">
      <c r="AA818" s="114" t="str">
        <f>$AB$59</f>
        <v>Select Equipment</v>
      </c>
      <c r="AB818" s="436" t="s">
        <v>578</v>
      </c>
      <c r="AC818" s="225"/>
      <c r="AD818" s="446" t="s">
        <v>579</v>
      </c>
      <c r="AE818" s="120"/>
      <c r="AF818" s="440"/>
      <c r="AG818" s="409"/>
      <c r="BA818" s="114" t="str">
        <f>$BB$59</f>
        <v>Select Equipment</v>
      </c>
      <c r="BB818" s="436" t="s">
        <v>578</v>
      </c>
      <c r="BC818" s="225"/>
      <c r="BD818" s="446" t="s">
        <v>579</v>
      </c>
      <c r="BE818" s="120"/>
      <c r="BF818" s="440"/>
      <c r="BG818" s="409"/>
    </row>
    <row r="819" spans="27:59">
      <c r="AA819" s="114" t="str">
        <f>$AB$60</f>
        <v>Select Equipment</v>
      </c>
      <c r="AB819" s="436"/>
      <c r="AC819" s="120"/>
      <c r="AD819" s="446"/>
      <c r="AE819" s="120"/>
      <c r="AF819" s="440"/>
      <c r="AG819" s="409"/>
      <c r="BA819" s="114" t="str">
        <f>$BB$60</f>
        <v>Select Equipment</v>
      </c>
      <c r="BB819" s="436"/>
      <c r="BC819" s="120"/>
      <c r="BD819" s="446"/>
      <c r="BE819" s="120"/>
      <c r="BF819" s="440"/>
      <c r="BG819" s="409"/>
    </row>
    <row r="820" spans="27:59">
      <c r="AA820" s="114" t="str">
        <f>$AB$61</f>
        <v>Select Equipment</v>
      </c>
      <c r="AB820" s="436" t="s">
        <v>8</v>
      </c>
      <c r="AC820" s="120"/>
      <c r="AD820" s="459" t="s">
        <v>564</v>
      </c>
      <c r="AE820" s="120"/>
      <c r="AF820" s="440"/>
      <c r="AG820" s="409"/>
      <c r="BA820" s="114" t="str">
        <f>$BB$61</f>
        <v>Select Equipment</v>
      </c>
      <c r="BB820" s="436" t="s">
        <v>8</v>
      </c>
      <c r="BC820" s="120"/>
      <c r="BD820" s="459" t="s">
        <v>564</v>
      </c>
      <c r="BE820" s="120"/>
      <c r="BF820" s="440"/>
      <c r="BG820" s="409"/>
    </row>
    <row r="821" spans="27:59">
      <c r="AA821" s="114" t="str">
        <f>$AB$62</f>
        <v>Select Equipment</v>
      </c>
      <c r="AB821" s="436"/>
      <c r="AC821" s="120"/>
      <c r="AD821" s="459"/>
      <c r="AE821" s="120"/>
      <c r="AF821" s="440"/>
      <c r="AG821" s="409"/>
      <c r="BA821" s="114" t="str">
        <f>$BB$62</f>
        <v>Select Equipment</v>
      </c>
      <c r="BB821" s="436"/>
      <c r="BC821" s="120"/>
      <c r="BD821" s="459"/>
      <c r="BE821" s="120"/>
      <c r="BF821" s="440"/>
      <c r="BG821" s="409"/>
    </row>
    <row r="822" spans="27:59">
      <c r="AA822" s="114" t="str">
        <f>$AB$63</f>
        <v>Select Equipment</v>
      </c>
      <c r="AB822" s="436" t="s">
        <v>7</v>
      </c>
      <c r="AC822" s="120"/>
      <c r="AD822" s="459" t="s">
        <v>564</v>
      </c>
      <c r="AE822" s="120"/>
      <c r="AF822" s="440"/>
      <c r="AG822" s="409"/>
      <c r="BA822" s="114" t="str">
        <f>$BB$63</f>
        <v>Select Equipment</v>
      </c>
      <c r="BB822" s="436" t="s">
        <v>7</v>
      </c>
      <c r="BC822" s="120"/>
      <c r="BD822" s="459" t="s">
        <v>564</v>
      </c>
      <c r="BE822" s="120"/>
      <c r="BF822" s="440"/>
      <c r="BG822" s="409"/>
    </row>
    <row r="823" spans="27:59">
      <c r="AA823"/>
      <c r="AB823" s="436"/>
      <c r="AC823" s="120"/>
      <c r="AD823" s="459"/>
      <c r="AE823" s="120"/>
      <c r="AF823" s="440"/>
      <c r="AG823" s="409"/>
      <c r="BA823" s="114" t="str">
        <f>$BB$64</f>
        <v>Select Equipment</v>
      </c>
      <c r="BB823" s="436"/>
      <c r="BC823" s="120"/>
      <c r="BD823" s="459"/>
      <c r="BE823" s="120"/>
      <c r="BF823" s="440"/>
      <c r="BG823" s="409"/>
    </row>
    <row r="824" spans="27:59">
      <c r="AA824"/>
      <c r="AB824" s="436" t="s">
        <v>9</v>
      </c>
      <c r="AC824" s="120"/>
      <c r="AD824" s="459" t="s">
        <v>564</v>
      </c>
      <c r="AE824" s="120"/>
      <c r="AF824" s="440"/>
      <c r="AG824" s="409"/>
      <c r="BA824"/>
      <c r="BB824" s="436" t="s">
        <v>9</v>
      </c>
      <c r="BC824" s="120"/>
      <c r="BD824" s="459" t="s">
        <v>564</v>
      </c>
      <c r="BE824" s="120"/>
      <c r="BF824" s="440"/>
      <c r="BG824" s="409"/>
    </row>
    <row r="825" spans="27:59">
      <c r="AA825"/>
      <c r="AB825" s="436"/>
      <c r="AC825" s="120"/>
      <c r="AD825" s="459"/>
      <c r="AE825" s="120"/>
      <c r="AF825" s="440"/>
      <c r="AG825" s="409"/>
      <c r="BA825"/>
      <c r="BB825" s="436"/>
      <c r="BC825" s="120"/>
      <c r="BD825" s="459"/>
      <c r="BE825" s="120"/>
      <c r="BF825" s="440"/>
      <c r="BG825" s="409"/>
    </row>
    <row r="826" spans="27:59">
      <c r="AA826"/>
      <c r="AB826" s="436" t="s">
        <v>324</v>
      </c>
      <c r="AC826" s="120"/>
      <c r="AD826" s="459" t="s">
        <v>564</v>
      </c>
      <c r="AE826" s="120"/>
      <c r="AF826" s="440" t="s">
        <v>569</v>
      </c>
      <c r="AG826" s="409"/>
      <c r="BA826"/>
      <c r="BB826" s="436" t="s">
        <v>324</v>
      </c>
      <c r="BC826" s="120"/>
      <c r="BD826" s="459" t="s">
        <v>564</v>
      </c>
      <c r="BE826" s="120"/>
      <c r="BF826" s="440" t="s">
        <v>569</v>
      </c>
      <c r="BG826" s="409"/>
    </row>
    <row r="827" spans="27:59">
      <c r="AA827"/>
      <c r="AB827" s="436"/>
      <c r="AC827" s="120"/>
      <c r="AD827" s="468"/>
      <c r="AE827" s="469"/>
      <c r="AF827" s="440"/>
      <c r="AG827" s="409"/>
      <c r="BA827"/>
      <c r="BB827" s="436"/>
      <c r="BC827" s="120"/>
      <c r="BD827" s="468"/>
      <c r="BE827" s="469"/>
      <c r="BF827" s="440"/>
      <c r="BG827" s="409"/>
    </row>
    <row r="828" spans="27:59">
      <c r="AA828"/>
      <c r="AB828" s="436" t="s">
        <v>374</v>
      </c>
      <c r="AC828" s="120"/>
      <c r="AD828" s="459" t="s">
        <v>564</v>
      </c>
      <c r="AE828" s="469"/>
      <c r="AF828" s="440" t="s">
        <v>569</v>
      </c>
      <c r="AG828" s="409"/>
      <c r="BA828"/>
      <c r="BB828" s="436" t="s">
        <v>374</v>
      </c>
      <c r="BC828" s="120"/>
      <c r="BD828" s="459" t="s">
        <v>564</v>
      </c>
      <c r="BE828" s="469"/>
      <c r="BF828" s="440" t="s">
        <v>569</v>
      </c>
      <c r="BG828" s="409"/>
    </row>
    <row r="829" spans="27:59">
      <c r="AA829"/>
      <c r="AB829" s="436"/>
      <c r="AC829" s="120"/>
      <c r="AD829" s="472"/>
      <c r="AE829" s="473"/>
      <c r="AF829" s="440"/>
      <c r="AG829" s="409"/>
      <c r="BA829"/>
      <c r="BB829" s="436"/>
      <c r="BC829" s="120"/>
      <c r="BD829" s="472"/>
      <c r="BE829" s="473"/>
      <c r="BF829" s="440"/>
      <c r="BG829" s="409"/>
    </row>
    <row r="830" spans="27:59">
      <c r="AA830"/>
      <c r="AB830" s="436" t="s">
        <v>580</v>
      </c>
      <c r="AC830" s="120"/>
      <c r="AD830" s="459" t="s">
        <v>564</v>
      </c>
      <c r="AE830" s="473"/>
      <c r="AF830" s="440" t="s">
        <v>569</v>
      </c>
      <c r="AG830" s="119"/>
      <c r="BA830"/>
      <c r="BB830" s="436" t="s">
        <v>580</v>
      </c>
      <c r="BC830" s="120"/>
      <c r="BD830" s="459" t="s">
        <v>564</v>
      </c>
      <c r="BE830" s="473"/>
      <c r="BF830" s="440" t="s">
        <v>569</v>
      </c>
      <c r="BG830" s="409"/>
    </row>
    <row r="831" spans="27:59">
      <c r="AA831"/>
      <c r="AB831" s="476"/>
      <c r="AC831" s="477"/>
      <c r="AD831" s="478"/>
      <c r="AE831" s="479"/>
      <c r="AF831" s="458"/>
      <c r="AG831" s="503"/>
      <c r="BA831"/>
      <c r="BB831" s="476"/>
      <c r="BC831" s="477"/>
      <c r="BD831" s="478"/>
      <c r="BE831" s="479"/>
      <c r="BF831" s="458"/>
      <c r="BG831" s="119"/>
    </row>
    <row r="832" spans="27:59">
      <c r="AA832"/>
      <c r="AB832" s="449" t="s">
        <v>473</v>
      </c>
      <c r="AC832" s="467" t="s">
        <v>508</v>
      </c>
      <c r="AD832" s="480"/>
      <c r="AE832" s="481" t="s">
        <v>308</v>
      </c>
      <c r="AF832" s="440"/>
      <c r="AG832" s="496"/>
      <c r="BA832"/>
      <c r="BB832" s="449" t="s">
        <v>473</v>
      </c>
      <c r="BC832" s="467" t="s">
        <v>508</v>
      </c>
      <c r="BD832" s="480"/>
      <c r="BE832" s="481" t="s">
        <v>308</v>
      </c>
      <c r="BF832" s="440"/>
      <c r="BG832" s="503"/>
    </row>
    <row r="833" spans="28:59">
      <c r="AB833" s="436"/>
      <c r="AC833" s="483"/>
      <c r="AD833" s="480"/>
      <c r="AE833" s="484"/>
      <c r="AF833" s="440"/>
      <c r="AG833" s="474"/>
      <c r="BA833"/>
      <c r="BB833" s="436"/>
      <c r="BC833" s="483"/>
      <c r="BD833" s="480"/>
      <c r="BE833" s="484"/>
      <c r="BF833" s="440"/>
      <c r="BG833" s="496"/>
    </row>
    <row r="834" spans="28:59">
      <c r="AB834" s="436"/>
      <c r="AC834" s="120"/>
      <c r="AD834" s="223"/>
      <c r="AE834" s="467"/>
      <c r="AF834" s="440"/>
      <c r="AG834" s="474"/>
      <c r="BB834" s="436"/>
      <c r="BC834" s="120"/>
      <c r="BD834" s="223"/>
      <c r="BE834" s="467"/>
      <c r="BF834" s="440"/>
      <c r="BG834" s="474"/>
    </row>
    <row r="835" spans="28:59">
      <c r="AB835" s="436"/>
      <c r="AC835" s="120"/>
      <c r="AD835" s="466"/>
      <c r="AE835" s="467"/>
      <c r="AF835" s="440"/>
      <c r="AG835" s="482"/>
      <c r="BB835" s="436"/>
      <c r="BC835" s="120"/>
      <c r="BD835" s="466"/>
      <c r="BE835" s="467"/>
      <c r="BF835" s="440"/>
      <c r="BG835" s="474"/>
    </row>
    <row r="836" spans="28:59">
      <c r="AB836" s="436"/>
      <c r="AC836" s="120"/>
      <c r="AD836" s="223"/>
      <c r="AE836" s="467"/>
      <c r="AF836" s="440"/>
      <c r="AG836" s="496"/>
      <c r="AJ836" s="504"/>
      <c r="AK836" s="504"/>
      <c r="AL836" s="504"/>
      <c r="AM836" s="504"/>
      <c r="BB836" s="436"/>
      <c r="BC836" s="120"/>
      <c r="BD836" s="223"/>
      <c r="BE836" s="467"/>
      <c r="BF836" s="440"/>
      <c r="BG836" s="482"/>
    </row>
    <row r="837" spans="28:59">
      <c r="AB837" s="436"/>
      <c r="AC837" s="120"/>
      <c r="AD837" s="223"/>
      <c r="AE837" s="467"/>
      <c r="AF837" s="440"/>
      <c r="AG837" s="505"/>
      <c r="AJ837" s="506"/>
      <c r="AK837" s="506"/>
      <c r="AL837" s="506"/>
      <c r="AM837" s="506"/>
      <c r="BB837" s="436"/>
      <c r="BC837" s="120"/>
      <c r="BD837" s="223"/>
      <c r="BE837" s="467"/>
      <c r="BF837" s="440"/>
      <c r="BG837" s="496"/>
    </row>
    <row r="838" spans="28:59">
      <c r="AB838" s="436"/>
      <c r="AC838" s="120"/>
      <c r="AD838" s="471"/>
      <c r="AE838" s="467"/>
      <c r="AF838" s="440"/>
      <c r="AG838" s="507"/>
      <c r="AJ838" s="506"/>
      <c r="AK838" s="506"/>
      <c r="AL838" s="506"/>
      <c r="AM838" s="506"/>
      <c r="BB838" s="436"/>
      <c r="BC838" s="120"/>
      <c r="BD838" s="471"/>
      <c r="BE838" s="467"/>
      <c r="BF838" s="440"/>
      <c r="BG838" s="505"/>
    </row>
    <row r="839" spans="28:59">
      <c r="AB839" s="436"/>
      <c r="AC839" s="120"/>
      <c r="AD839" s="223"/>
      <c r="AE839" s="467"/>
      <c r="AF839" s="440"/>
      <c r="AG839" s="266"/>
      <c r="AJ839" s="506"/>
      <c r="AK839" s="506"/>
      <c r="AL839" s="506"/>
      <c r="AM839" s="506"/>
      <c r="BB839" s="436"/>
      <c r="BC839" s="120"/>
      <c r="BD839" s="223"/>
      <c r="BE839" s="467"/>
      <c r="BF839" s="440"/>
      <c r="BG839" s="507"/>
    </row>
    <row r="840" spans="28:59">
      <c r="AB840" s="436"/>
      <c r="AC840" s="120"/>
      <c r="AD840" s="475"/>
      <c r="AE840" s="467"/>
      <c r="AF840" s="440"/>
      <c r="AG840" s="507"/>
      <c r="AJ840" s="506"/>
      <c r="AK840" s="506"/>
      <c r="AL840" s="506"/>
      <c r="AM840" s="506"/>
      <c r="BB840" s="436"/>
      <c r="BC840" s="120"/>
      <c r="BD840" s="475"/>
      <c r="BE840" s="467"/>
      <c r="BF840" s="440"/>
      <c r="BG840" s="266"/>
    </row>
    <row r="841" spans="28:59">
      <c r="AB841" s="436"/>
      <c r="AC841" s="120"/>
      <c r="AD841" s="223"/>
      <c r="AE841" s="467"/>
      <c r="AF841" s="440"/>
      <c r="AG841" s="507"/>
      <c r="AJ841" s="506"/>
      <c r="AK841" s="506"/>
      <c r="AL841" s="506"/>
      <c r="AM841" s="506"/>
      <c r="BB841" s="436"/>
      <c r="BC841" s="120"/>
      <c r="BD841" s="223"/>
      <c r="BE841" s="467"/>
      <c r="BF841" s="440"/>
      <c r="BG841" s="507"/>
    </row>
    <row r="842" spans="28:59">
      <c r="AB842" s="436"/>
      <c r="AC842" s="120"/>
      <c r="AD842" s="223"/>
      <c r="AE842" s="467"/>
      <c r="AF842" s="440"/>
      <c r="AG842" s="507"/>
      <c r="AJ842" s="506"/>
      <c r="AK842" s="506"/>
      <c r="AL842" s="506"/>
      <c r="AM842" s="506"/>
      <c r="BB842" s="436"/>
      <c r="BC842" s="120"/>
      <c r="BD842" s="223"/>
      <c r="BE842" s="467"/>
      <c r="BF842" s="440"/>
      <c r="BG842" s="507"/>
    </row>
    <row r="843" spans="28:59">
      <c r="AB843" s="436"/>
      <c r="AC843" s="120"/>
      <c r="AD843" s="223"/>
      <c r="AE843" s="467"/>
      <c r="AF843" s="440"/>
      <c r="AG843" s="507"/>
      <c r="AJ843" s="506"/>
      <c r="AK843" s="506"/>
      <c r="AL843" s="506"/>
      <c r="AM843" s="506"/>
      <c r="BB843" s="436"/>
      <c r="BC843" s="120"/>
      <c r="BD843" s="223"/>
      <c r="BE843" s="467"/>
      <c r="BF843" s="440"/>
      <c r="BG843" s="507"/>
    </row>
    <row r="844" spans="28:59">
      <c r="AB844" s="436"/>
      <c r="AC844" s="120"/>
      <c r="AD844" s="223"/>
      <c r="AE844" s="467"/>
      <c r="AF844" s="440"/>
      <c r="AG844" s="508"/>
      <c r="AJ844" s="506"/>
      <c r="AK844" s="506"/>
      <c r="AL844" s="506"/>
      <c r="AM844" s="506"/>
      <c r="BB844" s="436"/>
      <c r="BC844" s="120"/>
      <c r="BD844" s="223"/>
      <c r="BE844" s="467"/>
      <c r="BF844" s="440"/>
      <c r="BG844" s="507"/>
    </row>
    <row r="845" spans="28:59">
      <c r="AB845" s="436"/>
      <c r="AC845" s="120"/>
      <c r="AD845" s="120"/>
      <c r="AE845" s="467"/>
      <c r="AF845" s="440"/>
      <c r="AG845" s="507"/>
      <c r="AJ845" s="506"/>
      <c r="AK845" s="506"/>
      <c r="AL845" s="506"/>
      <c r="AM845" s="506"/>
      <c r="BB845" s="436"/>
      <c r="BC845" s="120"/>
      <c r="BD845" s="120"/>
      <c r="BE845" s="467"/>
      <c r="BF845" s="440"/>
      <c r="BG845" s="508"/>
    </row>
    <row r="846" spans="28:59">
      <c r="AB846" s="456"/>
      <c r="AC846" s="457"/>
      <c r="AD846" s="457"/>
      <c r="AE846" s="477"/>
      <c r="AF846" s="458"/>
      <c r="AG846" s="266"/>
      <c r="AJ846" s="506"/>
      <c r="AK846" s="506"/>
      <c r="AL846" s="506"/>
      <c r="AM846" s="506"/>
      <c r="BB846" s="456"/>
      <c r="BC846" s="457"/>
      <c r="BD846" s="457"/>
      <c r="BE846" s="477"/>
      <c r="BF846" s="458"/>
      <c r="BG846" s="507"/>
    </row>
    <row r="847" spans="28:59">
      <c r="AB847" s="449" t="s">
        <v>474</v>
      </c>
      <c r="AC847" s="120"/>
      <c r="AD847" s="120" t="s">
        <v>1</v>
      </c>
      <c r="AE847" s="310" t="s">
        <v>307</v>
      </c>
      <c r="AF847" s="440"/>
      <c r="AG847" s="119"/>
      <c r="AJ847" s="506"/>
      <c r="AK847" s="506"/>
      <c r="AL847" s="506"/>
      <c r="AM847" s="506"/>
      <c r="BB847" s="449" t="s">
        <v>474</v>
      </c>
      <c r="BC847" s="120"/>
      <c r="BD847" s="120" t="s">
        <v>1</v>
      </c>
      <c r="BE847" s="310" t="s">
        <v>307</v>
      </c>
      <c r="BF847" s="440"/>
      <c r="BG847" s="266"/>
    </row>
    <row r="848" spans="28:59">
      <c r="AB848" s="436"/>
      <c r="AC848" s="223"/>
      <c r="AD848" s="480"/>
      <c r="AE848" s="484"/>
      <c r="AF848" s="440"/>
      <c r="AG848" s="509"/>
      <c r="AJ848" s="506"/>
      <c r="AK848" s="506"/>
      <c r="AL848" s="506"/>
      <c r="AM848" s="506"/>
      <c r="BB848" s="436"/>
      <c r="BC848" s="223"/>
      <c r="BD848" s="480"/>
      <c r="BE848" s="484"/>
      <c r="BF848" s="440"/>
      <c r="BG848" s="119"/>
    </row>
    <row r="849" spans="28:59">
      <c r="AB849" s="436"/>
      <c r="AC849" s="120"/>
      <c r="AD849" s="120"/>
      <c r="AE849" s="467"/>
      <c r="AF849" s="440"/>
      <c r="AG849" s="510"/>
      <c r="AJ849" s="506"/>
      <c r="AK849" s="506"/>
      <c r="AL849" s="506"/>
      <c r="AM849" s="506"/>
      <c r="BB849" s="436"/>
      <c r="BC849" s="120"/>
      <c r="BD849" s="120"/>
      <c r="BE849" s="467"/>
      <c r="BF849" s="440"/>
      <c r="BG849" s="509"/>
    </row>
    <row r="850" spans="28:59">
      <c r="AB850" s="436"/>
      <c r="AC850" s="120"/>
      <c r="AD850" s="120"/>
      <c r="AE850" s="467"/>
      <c r="AF850" s="440"/>
      <c r="AG850" s="509"/>
      <c r="AJ850" s="506"/>
      <c r="AK850" s="506"/>
      <c r="AL850" s="506"/>
      <c r="AM850" s="506"/>
      <c r="BB850" s="436"/>
      <c r="BC850" s="120"/>
      <c r="BD850" s="120"/>
      <c r="BE850" s="467"/>
      <c r="BF850" s="440"/>
      <c r="BG850" s="510"/>
    </row>
    <row r="851" spans="28:59">
      <c r="AB851" s="436"/>
      <c r="AC851" s="120"/>
      <c r="AD851" s="120"/>
      <c r="AE851" s="467"/>
      <c r="AF851" s="440"/>
      <c r="AG851" s="510"/>
      <c r="AJ851" s="506"/>
      <c r="AK851" s="506"/>
      <c r="AL851" s="506"/>
      <c r="AM851" s="506"/>
      <c r="BB851" s="436"/>
      <c r="BC851" s="120"/>
      <c r="BD851" s="120"/>
      <c r="BE851" s="467"/>
      <c r="BF851" s="440"/>
      <c r="BG851" s="509"/>
    </row>
    <row r="852" spans="28:59">
      <c r="AB852" s="436"/>
      <c r="AC852" s="120"/>
      <c r="AD852" s="120"/>
      <c r="AE852" s="467"/>
      <c r="AF852" s="440"/>
      <c r="AG852" s="510"/>
      <c r="AJ852" s="506"/>
      <c r="AK852" s="506"/>
      <c r="AL852" s="506"/>
      <c r="AM852" s="506"/>
      <c r="BB852" s="436"/>
      <c r="BC852" s="120"/>
      <c r="BD852" s="120"/>
      <c r="BE852" s="467"/>
      <c r="BF852" s="440"/>
      <c r="BG852" s="510"/>
    </row>
    <row r="853" spans="28:59">
      <c r="AB853" s="436"/>
      <c r="AC853" s="120"/>
      <c r="AD853" s="120"/>
      <c r="AE853" s="467"/>
      <c r="AF853" s="440"/>
      <c r="AG853" s="511"/>
      <c r="AJ853" s="506"/>
      <c r="AK853" s="506"/>
      <c r="AL853" s="506"/>
      <c r="AM853" s="506"/>
      <c r="BB853" s="436"/>
      <c r="BC853" s="120"/>
      <c r="BD853" s="120"/>
      <c r="BE853" s="467"/>
      <c r="BF853" s="440"/>
      <c r="BG853" s="510"/>
    </row>
    <row r="854" spans="28:59">
      <c r="AB854" s="436"/>
      <c r="AC854" s="120"/>
      <c r="AD854" s="120"/>
      <c r="AE854" s="467"/>
      <c r="AF854" s="440"/>
      <c r="AG854" s="511"/>
      <c r="AJ854" s="506"/>
      <c r="AK854" s="506"/>
      <c r="AL854" s="506"/>
      <c r="AM854" s="506"/>
      <c r="BB854" s="436"/>
      <c r="BC854" s="120"/>
      <c r="BD854" s="120"/>
      <c r="BE854" s="467"/>
      <c r="BF854" s="440"/>
      <c r="BG854" s="511"/>
    </row>
    <row r="855" spans="28:59">
      <c r="AB855" s="436"/>
      <c r="AC855" s="120"/>
      <c r="AD855" s="120"/>
      <c r="AE855" s="467"/>
      <c r="AF855" s="440"/>
      <c r="AG855" s="470"/>
      <c r="AJ855" s="506"/>
      <c r="AK855" s="506"/>
      <c r="AL855" s="506"/>
      <c r="AM855" s="506"/>
      <c r="BB855" s="436"/>
      <c r="BC855" s="120"/>
      <c r="BD855" s="120"/>
      <c r="BE855" s="467"/>
      <c r="BF855" s="440"/>
      <c r="BG855" s="511"/>
    </row>
    <row r="856" spans="28:59">
      <c r="AB856" s="436"/>
      <c r="AC856" s="120"/>
      <c r="AD856" s="120"/>
      <c r="AE856" s="467"/>
      <c r="AF856" s="440"/>
      <c r="AG856" s="510"/>
      <c r="AJ856" s="506"/>
      <c r="AK856" s="506"/>
      <c r="AL856" s="506"/>
      <c r="AM856" s="506"/>
      <c r="BB856" s="436"/>
      <c r="BC856" s="120"/>
      <c r="BD856" s="120"/>
      <c r="BE856" s="467"/>
      <c r="BF856" s="440"/>
      <c r="BG856" s="470"/>
    </row>
    <row r="857" spans="28:59">
      <c r="AB857" s="436"/>
      <c r="AC857" s="120"/>
      <c r="AD857" s="120"/>
      <c r="AE857" s="467"/>
      <c r="AF857" s="440"/>
      <c r="AG857" s="496"/>
      <c r="AJ857" s="506"/>
      <c r="AK857" s="506"/>
      <c r="AL857" s="506"/>
      <c r="AM857" s="506"/>
      <c r="BB857" s="436"/>
      <c r="BC857" s="120"/>
      <c r="BD857" s="120"/>
      <c r="BE857" s="467"/>
      <c r="BF857" s="440"/>
      <c r="BG857" s="510"/>
    </row>
    <row r="858" spans="28:59">
      <c r="AB858" s="436"/>
      <c r="AC858" s="120"/>
      <c r="AD858" s="120"/>
      <c r="AE858" s="467"/>
      <c r="AF858" s="440"/>
      <c r="AG858" s="511"/>
      <c r="AJ858" s="506"/>
      <c r="AK858" s="506"/>
      <c r="AL858" s="506"/>
      <c r="AM858" s="506"/>
      <c r="BB858" s="436"/>
      <c r="BC858" s="120"/>
      <c r="BD858" s="120"/>
      <c r="BE858" s="467"/>
      <c r="BF858" s="440"/>
      <c r="BG858" s="496"/>
    </row>
    <row r="859" spans="28:59">
      <c r="AB859" s="436"/>
      <c r="AC859" s="120"/>
      <c r="AD859" s="120"/>
      <c r="AE859" s="467"/>
      <c r="AF859" s="440"/>
      <c r="AG859" s="496"/>
      <c r="AJ859" s="506"/>
      <c r="AK859" s="506"/>
      <c r="AL859" s="506"/>
      <c r="AM859" s="506"/>
      <c r="BB859" s="436"/>
      <c r="BC859" s="120"/>
      <c r="BD859" s="120"/>
      <c r="BE859" s="467"/>
      <c r="BF859" s="440"/>
      <c r="BG859" s="511"/>
    </row>
    <row r="860" spans="28:59">
      <c r="AB860" s="456"/>
      <c r="AC860" s="457"/>
      <c r="AD860" s="457"/>
      <c r="AE860" s="477"/>
      <c r="AF860" s="458"/>
      <c r="AG860" s="482"/>
      <c r="AJ860" s="506"/>
      <c r="AK860" s="506"/>
      <c r="AL860" s="506"/>
      <c r="AM860" s="506"/>
      <c r="BB860" s="456"/>
      <c r="BC860" s="457"/>
      <c r="BD860" s="457"/>
      <c r="BE860" s="477"/>
      <c r="BF860" s="458"/>
      <c r="BG860" s="496"/>
    </row>
    <row r="861" spans="28:59">
      <c r="AB861" s="456"/>
      <c r="AC861" s="457"/>
      <c r="AD861" s="457"/>
      <c r="AE861" s="457"/>
      <c r="AF861" s="458"/>
      <c r="AG861" s="499"/>
      <c r="AJ861" s="506"/>
      <c r="AK861" s="506"/>
      <c r="AL861" s="506"/>
      <c r="AM861" s="506"/>
      <c r="BB861" s="456"/>
      <c r="BC861" s="457"/>
      <c r="BD861" s="457"/>
      <c r="BE861" s="457"/>
      <c r="BF861" s="458"/>
      <c r="BG861" s="482"/>
    </row>
    <row r="862" spans="28:59">
      <c r="AB862" s="449" t="s">
        <v>475</v>
      </c>
      <c r="AC862" s="120"/>
      <c r="AD862" s="120"/>
      <c r="AE862" s="120"/>
      <c r="AF862" s="440"/>
      <c r="AG862" s="496"/>
      <c r="AJ862" s="506"/>
      <c r="AK862" s="506"/>
      <c r="AL862" s="506"/>
      <c r="AM862" s="506"/>
      <c r="BB862" s="449" t="s">
        <v>475</v>
      </c>
      <c r="BC862" s="120"/>
      <c r="BD862" s="120"/>
      <c r="BE862" s="120"/>
      <c r="BF862" s="440"/>
      <c r="BG862" s="499"/>
    </row>
    <row r="863" spans="28:59">
      <c r="AB863" s="436" t="s">
        <v>509</v>
      </c>
      <c r="AC863" s="120"/>
      <c r="AD863" s="120"/>
      <c r="AE863" s="120"/>
      <c r="AF863" s="440"/>
      <c r="AG863" s="496"/>
      <c r="AJ863" s="506"/>
      <c r="AK863" s="506"/>
      <c r="AL863" s="506"/>
      <c r="AM863" s="506"/>
      <c r="BB863" s="436" t="s">
        <v>509</v>
      </c>
      <c r="BC863" s="120"/>
      <c r="BD863" s="120"/>
      <c r="BE863" s="120"/>
      <c r="BF863" s="440"/>
      <c r="BG863" s="496"/>
    </row>
    <row r="864" spans="28:59">
      <c r="AB864" s="436" t="s">
        <v>510</v>
      </c>
      <c r="AC864" s="120"/>
      <c r="AD864" s="120"/>
      <c r="AE864" s="120"/>
      <c r="AF864" s="440"/>
      <c r="AG864" s="512"/>
      <c r="AJ864" s="506"/>
      <c r="AK864" s="506"/>
      <c r="AL864" s="506"/>
      <c r="AM864" s="506"/>
      <c r="BB864" s="436" t="s">
        <v>510</v>
      </c>
      <c r="BC864" s="120"/>
      <c r="BD864" s="120"/>
      <c r="BE864" s="120"/>
      <c r="BF864" s="440"/>
      <c r="BG864" s="496"/>
    </row>
    <row r="865" spans="28:59">
      <c r="AB865" s="436"/>
      <c r="AC865" s="120"/>
      <c r="AD865" s="120"/>
      <c r="AE865" s="120"/>
      <c r="AF865" s="440"/>
      <c r="AG865" s="499"/>
      <c r="AJ865" s="506"/>
      <c r="AK865" s="506"/>
      <c r="AL865" s="506"/>
      <c r="AM865" s="506"/>
      <c r="BB865" s="436"/>
      <c r="BC865" s="120"/>
      <c r="BD865" s="120"/>
      <c r="BE865" s="120"/>
      <c r="BF865" s="440"/>
      <c r="BG865" s="512"/>
    </row>
    <row r="866" spans="28:59">
      <c r="AB866" s="436"/>
      <c r="AC866" s="120"/>
      <c r="AD866" s="120"/>
      <c r="AE866" s="120"/>
      <c r="AF866" s="440"/>
      <c r="AG866" s="499"/>
      <c r="AJ866" s="506"/>
      <c r="AK866" s="506"/>
      <c r="AL866" s="506"/>
      <c r="AM866" s="506"/>
      <c r="BB866" s="436"/>
      <c r="BC866" s="120"/>
      <c r="BD866" s="120"/>
      <c r="BE866" s="120"/>
      <c r="BF866" s="440"/>
      <c r="BG866" s="499"/>
    </row>
    <row r="867" spans="28:59">
      <c r="AB867" s="436"/>
      <c r="AC867" s="120"/>
      <c r="AD867" s="120"/>
      <c r="AE867" s="120"/>
      <c r="AF867" s="440"/>
      <c r="AJ867" s="506"/>
      <c r="AK867" s="506"/>
      <c r="AL867" s="506"/>
      <c r="AM867" s="506"/>
      <c r="BB867" s="436"/>
      <c r="BC867" s="120"/>
      <c r="BD867" s="120"/>
      <c r="BE867" s="120"/>
      <c r="BF867" s="440"/>
      <c r="BG867" s="499"/>
    </row>
    <row r="868" spans="28:59">
      <c r="AB868" s="436"/>
      <c r="AC868" s="120"/>
      <c r="AD868" s="120"/>
      <c r="AE868" s="120"/>
      <c r="AF868" s="440"/>
      <c r="AJ868" s="506"/>
      <c r="AK868" s="506"/>
      <c r="AL868" s="506"/>
      <c r="AM868" s="506"/>
      <c r="BB868" s="436"/>
      <c r="BC868" s="120"/>
      <c r="BD868" s="120"/>
      <c r="BE868" s="120"/>
      <c r="BF868" s="440"/>
    </row>
    <row r="869" spans="28:59">
      <c r="AB869" s="436" t="s">
        <v>511</v>
      </c>
      <c r="AC869" s="120">
        <v>0</v>
      </c>
      <c r="AD869" s="120" t="s">
        <v>512</v>
      </c>
      <c r="AE869" s="120"/>
      <c r="AF869" s="440"/>
      <c r="AJ869" s="506"/>
      <c r="AK869" s="506"/>
      <c r="AL869" s="506"/>
      <c r="AM869" s="506"/>
      <c r="BB869" s="436" t="s">
        <v>511</v>
      </c>
      <c r="BC869" s="120">
        <v>0</v>
      </c>
      <c r="BD869" s="120" t="s">
        <v>512</v>
      </c>
      <c r="BE869" s="120"/>
      <c r="BF869" s="440"/>
    </row>
    <row r="870" spans="28:59">
      <c r="AB870" s="436" t="s">
        <v>513</v>
      </c>
      <c r="AC870" s="120">
        <v>0</v>
      </c>
      <c r="AD870" s="120" t="s">
        <v>512</v>
      </c>
      <c r="AE870" s="120"/>
      <c r="AF870" s="440"/>
      <c r="AJ870" s="506"/>
      <c r="AK870" s="506"/>
      <c r="AL870" s="506"/>
      <c r="AM870" s="506"/>
      <c r="BB870" s="436" t="s">
        <v>513</v>
      </c>
      <c r="BC870" s="120">
        <v>0</v>
      </c>
      <c r="BD870" s="120" t="s">
        <v>512</v>
      </c>
      <c r="BE870" s="120"/>
      <c r="BF870" s="440"/>
    </row>
    <row r="871" spans="28:59">
      <c r="AB871" s="456"/>
      <c r="AC871" s="457"/>
      <c r="AD871" s="457"/>
      <c r="AE871" s="457"/>
      <c r="AF871" s="458"/>
      <c r="AJ871" s="506"/>
      <c r="AK871" s="506"/>
      <c r="AL871" s="506"/>
      <c r="AM871" s="506"/>
      <c r="BB871" s="456"/>
      <c r="BC871" s="457"/>
      <c r="BD871" s="457"/>
      <c r="BE871" s="457"/>
      <c r="BF871" s="458"/>
    </row>
    <row r="872" spans="28:59">
      <c r="AB872" s="449" t="s">
        <v>461</v>
      </c>
      <c r="AC872" s="120"/>
      <c r="AD872" s="120"/>
      <c r="AE872" s="120"/>
      <c r="AF872" s="440"/>
      <c r="AJ872" s="506"/>
      <c r="AK872" s="506"/>
      <c r="AL872" s="506"/>
      <c r="AM872" s="506"/>
      <c r="BB872" s="449" t="s">
        <v>461</v>
      </c>
      <c r="BC872" s="120"/>
      <c r="BD872" s="120"/>
      <c r="BE872" s="120"/>
      <c r="BF872" s="440"/>
    </row>
    <row r="873" spans="28:59">
      <c r="AB873" s="436" t="s">
        <v>514</v>
      </c>
      <c r="AC873" s="120">
        <f>VLOOKUP(AB801,'Unit Ops'!$B$140:$K$209,10,FALSE)</f>
        <v>6</v>
      </c>
      <c r="AD873" s="120" t="s">
        <v>515</v>
      </c>
      <c r="AE873" s="120"/>
      <c r="AF873" s="440"/>
      <c r="AJ873" s="506"/>
      <c r="AK873" s="506"/>
      <c r="AL873" s="506"/>
      <c r="AM873" s="506"/>
      <c r="BB873" s="436" t="s">
        <v>514</v>
      </c>
      <c r="BC873" s="120">
        <f>VLOOKUP(BB801,'Unit Ops'!$B$140:$K$209,10,FALSE)</f>
        <v>0</v>
      </c>
      <c r="BD873" s="120" t="s">
        <v>515</v>
      </c>
      <c r="BE873" s="120"/>
      <c r="BF873" s="440"/>
    </row>
    <row r="874" spans="28:59">
      <c r="AB874" s="436" t="s">
        <v>516</v>
      </c>
      <c r="AC874" s="120">
        <v>0</v>
      </c>
      <c r="AD874" s="120" t="s">
        <v>515</v>
      </c>
      <c r="AE874" s="120"/>
      <c r="AF874" s="440"/>
      <c r="AJ874" s="506"/>
      <c r="AK874" s="506"/>
      <c r="AL874" s="506"/>
      <c r="AM874" s="506"/>
      <c r="BB874" s="436" t="s">
        <v>516</v>
      </c>
      <c r="BC874" s="120">
        <v>0</v>
      </c>
      <c r="BD874" s="120" t="s">
        <v>515</v>
      </c>
      <c r="BE874" s="120"/>
      <c r="BF874" s="440"/>
    </row>
    <row r="875" spans="28:59">
      <c r="AB875" s="436"/>
      <c r="AC875" s="120"/>
      <c r="AD875" s="120"/>
      <c r="AE875" s="120"/>
      <c r="AF875" s="440"/>
      <c r="AJ875" s="506"/>
      <c r="AK875" s="506"/>
      <c r="AL875" s="506"/>
      <c r="AM875" s="506"/>
      <c r="BB875" s="436"/>
      <c r="BC875" s="120"/>
      <c r="BD875" s="120"/>
      <c r="BE875" s="120"/>
      <c r="BF875" s="440"/>
    </row>
    <row r="876" spans="28:59">
      <c r="AB876" s="436"/>
      <c r="AC876" s="120"/>
      <c r="AD876" s="120"/>
      <c r="AE876" s="120"/>
      <c r="AF876" s="440"/>
      <c r="AJ876" s="506"/>
      <c r="AK876" s="506"/>
      <c r="AL876" s="506"/>
      <c r="AM876" s="506"/>
      <c r="BB876" s="436"/>
      <c r="BC876" s="120"/>
      <c r="BD876" s="120"/>
      <c r="BE876" s="120"/>
      <c r="BF876" s="440"/>
    </row>
    <row r="877" spans="28:59">
      <c r="AB877" s="436"/>
      <c r="AC877" s="120"/>
      <c r="AD877" s="120"/>
      <c r="AE877" s="120"/>
      <c r="AF877" s="440"/>
      <c r="AJ877" s="506"/>
      <c r="AK877" s="506"/>
      <c r="AL877" s="506"/>
      <c r="AM877" s="506"/>
      <c r="BB877" s="436"/>
      <c r="BC877" s="120"/>
      <c r="BD877" s="120"/>
      <c r="BE877" s="120"/>
      <c r="BF877" s="440"/>
    </row>
    <row r="878" spans="28:59">
      <c r="AB878" s="436"/>
      <c r="AC878" s="120"/>
      <c r="AD878" s="120"/>
      <c r="AE878" s="120"/>
      <c r="AF878" s="440"/>
      <c r="AJ878" s="506"/>
      <c r="AK878" s="506"/>
      <c r="AL878" s="506"/>
      <c r="AM878" s="506"/>
      <c r="BB878" s="436"/>
      <c r="BC878" s="120"/>
      <c r="BD878" s="120"/>
      <c r="BE878" s="120"/>
      <c r="BF878" s="440"/>
    </row>
    <row r="879" spans="28:59">
      <c r="AB879" s="436"/>
      <c r="AC879" s="120"/>
      <c r="AD879" s="120"/>
      <c r="AE879" s="120"/>
      <c r="AF879" s="440"/>
      <c r="AJ879" s="506"/>
      <c r="AK879" s="506"/>
      <c r="AL879" s="506"/>
      <c r="AM879" s="506"/>
      <c r="BB879" s="436"/>
      <c r="BC879" s="120"/>
      <c r="BD879" s="120"/>
      <c r="BE879" s="120"/>
      <c r="BF879" s="440"/>
    </row>
    <row r="880" spans="28:59">
      <c r="AB880" s="436" t="s">
        <v>464</v>
      </c>
      <c r="AC880" s="120"/>
      <c r="AD880" s="120"/>
      <c r="AE880" s="120"/>
      <c r="AF880" s="440"/>
      <c r="AJ880" s="506"/>
      <c r="AK880" s="506"/>
      <c r="AL880" s="506"/>
      <c r="AM880" s="506"/>
      <c r="BB880" s="436" t="s">
        <v>464</v>
      </c>
      <c r="BC880" s="120"/>
      <c r="BD880" s="120"/>
      <c r="BE880" s="120"/>
      <c r="BF880" s="440"/>
    </row>
    <row r="881" spans="28:58">
      <c r="AB881" s="456"/>
      <c r="AC881" s="457"/>
      <c r="AD881" s="457"/>
      <c r="AE881" s="457"/>
      <c r="AF881" s="458"/>
      <c r="AJ881" s="506"/>
      <c r="AK881" s="506"/>
      <c r="AL881" s="506"/>
      <c r="AM881" s="506"/>
      <c r="BB881" s="456"/>
      <c r="BC881" s="457"/>
      <c r="BD881" s="457"/>
      <c r="BE881" s="457"/>
      <c r="BF881" s="458"/>
    </row>
    <row r="882" spans="28:58">
      <c r="AB882" s="449" t="s">
        <v>472</v>
      </c>
      <c r="AC882" s="467" t="s">
        <v>517</v>
      </c>
      <c r="AD882" s="120" t="s">
        <v>518</v>
      </c>
      <c r="AE882" s="467" t="s">
        <v>519</v>
      </c>
      <c r="AF882" s="440" t="s">
        <v>518</v>
      </c>
      <c r="AJ882" s="506"/>
      <c r="AK882" s="506"/>
      <c r="AL882" s="506"/>
      <c r="AM882" s="506"/>
      <c r="BB882" s="449" t="s">
        <v>472</v>
      </c>
      <c r="BC882" s="467" t="s">
        <v>517</v>
      </c>
      <c r="BD882" s="120" t="s">
        <v>518</v>
      </c>
      <c r="BE882" s="467" t="s">
        <v>519</v>
      </c>
      <c r="BF882" s="440" t="s">
        <v>518</v>
      </c>
    </row>
    <row r="883" spans="28:58">
      <c r="AB883" s="436" t="s">
        <v>520</v>
      </c>
      <c r="AC883" s="120"/>
      <c r="AD883" s="120"/>
      <c r="AE883" s="472">
        <f>((VLOOKUP(AB801,'Unit Ops'!$B$140:$J$209,3,FALSE)*AC803^VLOOKUP(AB801,'Unit Ops'!$B$140:$J$209,4,FALSE)+VLOOKUP(AB801,'Unit Ops'!$B$140:$J$209,5,FALSE))*VLOOKUP(AB801,'Unit Ops'!$B$140:$J$209,6,FALSE))*IF(VLOOKUP(AB801,'Unit Ops'!$B$140:$L$209,11,FALSE)=1,1,2)</f>
        <v>0</v>
      </c>
      <c r="AF883" s="490">
        <f>'CM Rec Par.'!$C$7</f>
        <v>2022</v>
      </c>
      <c r="AJ883" s="506"/>
      <c r="AK883" s="506"/>
      <c r="AL883" s="506"/>
      <c r="AM883" s="506"/>
      <c r="BB883" s="436" t="s">
        <v>520</v>
      </c>
      <c r="BC883" s="120"/>
      <c r="BD883" s="120"/>
      <c r="BE883" s="472">
        <f>((VLOOKUP(BB801,'Unit Ops'!$B$140:$J$209,3,FALSE)*BC803^VLOOKUP(BB801,'Unit Ops'!$B$140:$J$209,4,FALSE)+VLOOKUP(BB801,'Unit Ops'!$B$140:$J$209,5,FALSE))*VLOOKUP(BB801,'Unit Ops'!$B$140:$J$209,6,FALSE))*IF(VLOOKUP(BB801,'Unit Ops'!$B$140:$L$209,11,FALSE)=1,1,2)</f>
        <v>0</v>
      </c>
      <c r="BF883" s="490">
        <f>'CM Rec Par.'!$C$7</f>
        <v>2022</v>
      </c>
    </row>
    <row r="884" spans="28:58">
      <c r="AB884" s="436"/>
      <c r="AC884" s="120"/>
      <c r="AD884" s="120"/>
      <c r="AE884" s="120"/>
      <c r="AF884" s="440"/>
      <c r="AJ884" s="506"/>
      <c r="AK884" s="506"/>
      <c r="AL884" s="506"/>
      <c r="AM884" s="506"/>
      <c r="BB884" s="436"/>
      <c r="BC884" s="120"/>
      <c r="BD884" s="120"/>
      <c r="BE884" s="120"/>
      <c r="BF884" s="440"/>
    </row>
    <row r="885" spans="28:58">
      <c r="AB885" s="436"/>
      <c r="AC885" s="120"/>
      <c r="AD885" s="120"/>
      <c r="AE885" s="120"/>
      <c r="AF885" s="440"/>
      <c r="AJ885" s="506"/>
      <c r="AK885" s="506"/>
      <c r="AL885" s="506"/>
      <c r="AM885" s="506"/>
      <c r="BB885" s="436"/>
      <c r="BC885" s="120"/>
      <c r="BD885" s="120"/>
      <c r="BE885" s="120"/>
      <c r="BF885" s="440"/>
    </row>
    <row r="886" spans="28:58">
      <c r="AB886" s="436"/>
      <c r="AC886" s="120"/>
      <c r="AD886" s="120"/>
      <c r="AE886" s="120"/>
      <c r="AF886" s="440"/>
      <c r="AJ886" s="506"/>
      <c r="AK886" s="506"/>
      <c r="AL886" s="506"/>
      <c r="AM886" s="506"/>
      <c r="BB886" s="436"/>
      <c r="BC886" s="120"/>
      <c r="BD886" s="120"/>
      <c r="BE886" s="120"/>
      <c r="BF886" s="440"/>
    </row>
    <row r="887" spans="28:58">
      <c r="AB887" s="436"/>
      <c r="AC887" s="120"/>
      <c r="AD887" s="120"/>
      <c r="AE887" s="120"/>
      <c r="AF887" s="440"/>
      <c r="AJ887" s="513"/>
      <c r="AK887" s="513"/>
      <c r="AL887" s="513"/>
      <c r="AM887" s="513"/>
      <c r="BB887" s="436"/>
      <c r="BC887" s="120"/>
      <c r="BD887" s="120"/>
      <c r="BE887" s="120"/>
      <c r="BF887" s="440"/>
    </row>
    <row r="888" spans="28:58">
      <c r="AB888" s="436"/>
      <c r="AC888" s="120"/>
      <c r="AD888" s="120"/>
      <c r="AE888" s="120"/>
      <c r="AF888" s="440"/>
      <c r="AJ888" s="420"/>
      <c r="AK888" s="420"/>
      <c r="AL888" s="420"/>
      <c r="AM888" s="420"/>
      <c r="BB888" s="436"/>
      <c r="BC888" s="120"/>
      <c r="BD888" s="120"/>
      <c r="BE888" s="120"/>
      <c r="BF888" s="440"/>
    </row>
    <row r="889" spans="28:58">
      <c r="AB889" s="436"/>
      <c r="AC889" s="120"/>
      <c r="AD889" s="120"/>
      <c r="AE889" s="120"/>
      <c r="AF889" s="440"/>
      <c r="BB889" s="436"/>
      <c r="BC889" s="120"/>
      <c r="BD889" s="120"/>
      <c r="BE889" s="120"/>
      <c r="BF889" s="440"/>
    </row>
    <row r="890" spans="28:58">
      <c r="AB890" s="436"/>
      <c r="AC890" s="120"/>
      <c r="AD890" s="120"/>
      <c r="AE890" s="120"/>
      <c r="AF890" s="440"/>
      <c r="BB890" s="436"/>
      <c r="BC890" s="120"/>
      <c r="BD890" s="120"/>
      <c r="BE890" s="120"/>
      <c r="BF890" s="440"/>
    </row>
    <row r="891" spans="28:58">
      <c r="AB891" s="436"/>
      <c r="AC891" s="120"/>
      <c r="AD891" s="120"/>
      <c r="AE891" s="120"/>
      <c r="AF891" s="440"/>
      <c r="BB891" s="436"/>
      <c r="BC891" s="120"/>
      <c r="BD891" s="120"/>
      <c r="BE891" s="120"/>
      <c r="BF891" s="440"/>
    </row>
    <row r="892" spans="28:58">
      <c r="AB892" s="436"/>
      <c r="AC892" s="120"/>
      <c r="AD892" s="120"/>
      <c r="AE892" s="120"/>
      <c r="AF892" s="440"/>
      <c r="BB892" s="436"/>
      <c r="BC892" s="120"/>
      <c r="BD892" s="120"/>
      <c r="BE892" s="120"/>
      <c r="BF892" s="440"/>
    </row>
    <row r="893" spans="28:58">
      <c r="AB893" s="436"/>
      <c r="AC893" s="120"/>
      <c r="AD893" s="120"/>
      <c r="AE893" s="120"/>
      <c r="AF893" s="440"/>
      <c r="BB893" s="436"/>
      <c r="BC893" s="120"/>
      <c r="BD893" s="120"/>
      <c r="BE893" s="120"/>
      <c r="BF893" s="440"/>
    </row>
    <row r="894" spans="28:58">
      <c r="AB894" s="436"/>
      <c r="AC894" s="120"/>
      <c r="AD894" s="120"/>
      <c r="AE894" s="120"/>
      <c r="AF894" s="440"/>
      <c r="BB894" s="436"/>
      <c r="BC894" s="120"/>
      <c r="BD894" s="120"/>
      <c r="BE894" s="120"/>
      <c r="BF894" s="440"/>
    </row>
    <row r="895" spans="28:58">
      <c r="AB895" s="436"/>
      <c r="AC895" s="120"/>
      <c r="AD895" s="120"/>
      <c r="AE895" s="120"/>
      <c r="AF895" s="440"/>
      <c r="BB895" s="436"/>
      <c r="BC895" s="120"/>
      <c r="BD895" s="120"/>
      <c r="BE895" s="120"/>
      <c r="BF895" s="440"/>
    </row>
    <row r="896" spans="28:58">
      <c r="AB896" s="436"/>
      <c r="AC896" s="120"/>
      <c r="AD896" s="120"/>
      <c r="AE896" s="120"/>
      <c r="AF896" s="440"/>
      <c r="BB896" s="436"/>
      <c r="BC896" s="120"/>
      <c r="BD896" s="120"/>
      <c r="BE896" s="120"/>
      <c r="BF896" s="440"/>
    </row>
    <row r="897" spans="27:59" ht="14.5" thickBot="1">
      <c r="AB897" s="492"/>
      <c r="AC897" s="493"/>
      <c r="AD897" s="493"/>
      <c r="AE897" s="493"/>
      <c r="AF897" s="453"/>
      <c r="BB897" s="492"/>
      <c r="BC897" s="493"/>
      <c r="BD897" s="493"/>
      <c r="BE897" s="493"/>
      <c r="BF897" s="453"/>
    </row>
    <row r="900" spans="27:59" ht="14.5" thickBot="1"/>
    <row r="901" spans="27:59">
      <c r="AA901" s="114" t="s">
        <v>478</v>
      </c>
      <c r="AB901" s="431" t="str">
        <f>AB48</f>
        <v>Conveyor</v>
      </c>
      <c r="AC901" s="432"/>
      <c r="AD901" s="433"/>
      <c r="AE901" s="434"/>
      <c r="AF901" s="435"/>
      <c r="AG901" s="507"/>
      <c r="BB901" s="431" t="str">
        <f>BB49</f>
        <v>Select Equipment</v>
      </c>
      <c r="BC901" s="432"/>
      <c r="BD901" s="433"/>
      <c r="BE901" s="434"/>
      <c r="BF901" s="435"/>
    </row>
    <row r="902" spans="27:59">
      <c r="AA902" s="114" t="s">
        <v>5</v>
      </c>
      <c r="AB902" s="436" t="s">
        <v>1</v>
      </c>
      <c r="AC902" s="437">
        <f>AC$14/AC$11/AC$10*VLOOKUP(AB901,'Unit Ops'!$B$140:$J$209,2,FALSE)</f>
        <v>0</v>
      </c>
      <c r="AD902" s="438" t="s">
        <v>586</v>
      </c>
      <c r="AE902" s="1027">
        <f>AC902*AC$306*AC$307</f>
        <v>0</v>
      </c>
      <c r="AF902" s="439" t="s">
        <v>585</v>
      </c>
      <c r="AG902" s="119"/>
      <c r="BA902" s="114" t="s">
        <v>478</v>
      </c>
      <c r="BB902" s="436" t="s">
        <v>1</v>
      </c>
      <c r="BC902" s="437">
        <f>BC$15/BC$11/BC$12*VLOOKUP(BB901,'Unit Ops'!$B$140:$J$209,2,FALSE)</f>
        <v>0</v>
      </c>
      <c r="BD902" s="438" t="s">
        <v>586</v>
      </c>
      <c r="BE902" s="1027">
        <f>BC902*BC$306*BC$307</f>
        <v>0</v>
      </c>
      <c r="BF902" s="439" t="s">
        <v>585</v>
      </c>
      <c r="BG902" s="507"/>
    </row>
    <row r="903" spans="27:59">
      <c r="AA903" s="114" t="str">
        <f>$AB$44</f>
        <v>Hopper</v>
      </c>
      <c r="AB903" s="436" t="s">
        <v>505</v>
      </c>
      <c r="AC903" s="437">
        <f>ROUNDUP(AC902*IF(VLOOKUP(AB901,'Unit Ops'!$B$140:$L$209,11,FALSE)=1,1.5,0.75),1)</f>
        <v>0</v>
      </c>
      <c r="AD903" s="438" t="s">
        <v>586</v>
      </c>
      <c r="AE903" s="120">
        <f>AC903*AC$306*AC$307</f>
        <v>0</v>
      </c>
      <c r="AF903" s="439" t="s">
        <v>585</v>
      </c>
      <c r="AG903" s="460"/>
      <c r="BA903" s="114" t="s">
        <v>5</v>
      </c>
      <c r="BB903" s="436" t="s">
        <v>505</v>
      </c>
      <c r="BC903" s="437">
        <f>ROUNDUP(BC902*IF(VLOOKUP(BB901,'Unit Ops'!$B$140:$L$209,11,FALSE)=1,1.5,0.75),1)</f>
        <v>0</v>
      </c>
      <c r="BD903" s="438" t="s">
        <v>586</v>
      </c>
      <c r="BE903" s="120">
        <f>BC903*BC$306*BC$307</f>
        <v>0</v>
      </c>
      <c r="BF903" s="439" t="s">
        <v>585</v>
      </c>
      <c r="BG903" s="119"/>
    </row>
    <row r="904" spans="27:59">
      <c r="AA904" s="114" t="str">
        <f>$AB$45</f>
        <v>Conveyor</v>
      </c>
      <c r="AB904" s="441" t="s">
        <v>521</v>
      </c>
      <c r="AC904" s="442" t="e">
        <f>AC902/AC903</f>
        <v>#DIV/0!</v>
      </c>
      <c r="AD904" s="438"/>
      <c r="AE904" s="443"/>
      <c r="AF904" s="440"/>
      <c r="AG904" s="409"/>
      <c r="BA904" s="114" t="str">
        <f>$BB$45</f>
        <v>Select Equipment</v>
      </c>
      <c r="BB904" s="441" t="s">
        <v>521</v>
      </c>
      <c r="BC904" s="442" t="e">
        <f>BC902/BC903</f>
        <v>#DIV/0!</v>
      </c>
      <c r="BD904" s="438"/>
      <c r="BE904" s="443"/>
      <c r="BF904" s="440"/>
      <c r="BG904" s="460"/>
    </row>
    <row r="905" spans="27:59">
      <c r="AA905" s="114" t="str">
        <f>$AB$46</f>
        <v>Crusher</v>
      </c>
      <c r="AB905" s="441" t="s">
        <v>506</v>
      </c>
      <c r="AC905" s="445"/>
      <c r="AD905" s="438" t="s">
        <v>454</v>
      </c>
      <c r="AE905" s="443"/>
      <c r="AF905" s="440"/>
      <c r="AG905" s="409"/>
      <c r="BA905" s="114" t="str">
        <f>$BB$46</f>
        <v>Select Equipment</v>
      </c>
      <c r="BB905" s="441" t="s">
        <v>506</v>
      </c>
      <c r="BC905" s="445"/>
      <c r="BD905" s="438" t="s">
        <v>454</v>
      </c>
      <c r="BE905" s="443"/>
      <c r="BF905" s="440"/>
      <c r="BG905" s="409"/>
    </row>
    <row r="906" spans="27:59">
      <c r="AA906" s="114" t="str">
        <f>$AB$47</f>
        <v>Screen, vibrating</v>
      </c>
      <c r="AB906" s="436" t="s">
        <v>507</v>
      </c>
      <c r="AC906" s="225" t="e">
        <f>(VLOOKUP(AB901,'Unit Ops'!$B$140:$J$209,7,FALSE)*AC903^VLOOKUP(AB901,'Unit Ops'!$B$140:$J$209,8,FALSE)+VLOOKUP(AB901,'Unit Ops'!$B$140:$J$209,9,FALSE))*IF(VLOOKUP(AB901,'Unit Ops'!$B$140:$L$209,11,FALSE)=1,1,2)</f>
        <v>#NUM!</v>
      </c>
      <c r="AD906" s="446" t="s">
        <v>454</v>
      </c>
      <c r="AE906" s="443"/>
      <c r="AF906" s="440"/>
      <c r="AG906" s="409"/>
      <c r="BA906" s="114" t="str">
        <f>$BB$47</f>
        <v>Select Equipment</v>
      </c>
      <c r="BB906" s="436" t="s">
        <v>507</v>
      </c>
      <c r="BC906" s="225" t="e">
        <f>(VLOOKUP(BB901,'Unit Ops'!$B$140:$J$209,7,FALSE)*BC903^VLOOKUP(BB901,'Unit Ops'!$B$140:$J$209,8,FALSE)+VLOOKUP(BB901,'Unit Ops'!$B$140:$J$209,9,FALSE))*IF(VLOOKUP(BB901,'Unit Ops'!$B$140:$L$209,11,FALSE)=1,1,2)</f>
        <v>#NUM!</v>
      </c>
      <c r="BD906" s="446" t="s">
        <v>454</v>
      </c>
      <c r="BE906" s="443"/>
      <c r="BF906" s="440"/>
      <c r="BG906" s="409"/>
    </row>
    <row r="907" spans="27:59">
      <c r="AA907" s="114" t="str">
        <f>$AB$48</f>
        <v>Conveyor</v>
      </c>
      <c r="AB907" s="441"/>
      <c r="AC907" s="445"/>
      <c r="AD907" s="447"/>
      <c r="AE907" s="443"/>
      <c r="AF907" s="440"/>
      <c r="AG907" s="482"/>
      <c r="BA907" s="114" t="str">
        <f>$BB$48</f>
        <v>Select Equipment</v>
      </c>
      <c r="BB907" s="441"/>
      <c r="BC907" s="445"/>
      <c r="BD907" s="447"/>
      <c r="BE907" s="443"/>
      <c r="BF907" s="440"/>
      <c r="BG907" s="409"/>
    </row>
    <row r="908" spans="27:59">
      <c r="AA908" s="114" t="str">
        <f>$AB$49</f>
        <v>Heat treatment furnace</v>
      </c>
      <c r="AB908" s="441"/>
      <c r="AC908" s="445"/>
      <c r="AD908" s="447"/>
      <c r="AE908" s="443"/>
      <c r="AF908" s="440"/>
      <c r="AG908" s="465"/>
      <c r="BA908" s="114" t="str">
        <f>$BB$49</f>
        <v>Select Equipment</v>
      </c>
      <c r="BB908" s="441"/>
      <c r="BC908" s="445"/>
      <c r="BD908" s="447"/>
      <c r="BE908" s="443"/>
      <c r="BF908" s="440"/>
      <c r="BG908" s="482"/>
    </row>
    <row r="909" spans="27:59">
      <c r="AA909" s="114" t="str">
        <f>$AB$50</f>
        <v>Cyclone</v>
      </c>
      <c r="AB909" s="449"/>
      <c r="AC909" s="445"/>
      <c r="AD909" s="447"/>
      <c r="AE909" s="443"/>
      <c r="AF909" s="440"/>
      <c r="AG909" s="499"/>
      <c r="BA909" s="114" t="str">
        <f>$BB$50</f>
        <v>Select Equipment</v>
      </c>
      <c r="BB909" s="449"/>
      <c r="BC909" s="445"/>
      <c r="BD909" s="447"/>
      <c r="BE909" s="443"/>
      <c r="BF909" s="440"/>
      <c r="BG909" s="465"/>
    </row>
    <row r="910" spans="27:59" ht="14.5" thickBot="1">
      <c r="AA910" s="114" t="str">
        <f>$AB$51</f>
        <v>Conveyor</v>
      </c>
      <c r="AB910" s="450"/>
      <c r="AC910" s="451"/>
      <c r="AD910" s="451"/>
      <c r="AE910" s="452"/>
      <c r="AF910" s="453"/>
      <c r="AG910" s="409"/>
      <c r="BA910" s="114" t="str">
        <f>$BB$51</f>
        <v>Select Equipment</v>
      </c>
      <c r="BB910" s="450"/>
      <c r="BC910" s="451"/>
      <c r="BD910" s="451"/>
      <c r="BE910" s="452"/>
      <c r="BF910" s="453"/>
      <c r="BG910" s="499"/>
    </row>
    <row r="911" spans="27:59">
      <c r="AA911" s="114" t="str">
        <f>$AB$52</f>
        <v>Eddy current separator</v>
      </c>
      <c r="AB911" s="449" t="s">
        <v>470</v>
      </c>
      <c r="AC911" s="120"/>
      <c r="AD911" s="454"/>
      <c r="AE911" s="120"/>
      <c r="AF911" s="440"/>
      <c r="AG911" s="503"/>
      <c r="BA911" s="114" t="str">
        <f>$BB$52</f>
        <v>Select Equipment</v>
      </c>
      <c r="BB911" s="449" t="s">
        <v>470</v>
      </c>
      <c r="BC911" s="120"/>
      <c r="BD911" s="454"/>
      <c r="BE911" s="120"/>
      <c r="BF911" s="440"/>
      <c r="BG911" s="409"/>
    </row>
    <row r="912" spans="27:59" ht="14.5" customHeight="1">
      <c r="AA912" s="114" t="str">
        <f>$AB$53</f>
        <v>Conveyor</v>
      </c>
      <c r="AB912" s="1698"/>
      <c r="AC912" s="1699"/>
      <c r="AD912" s="1699"/>
      <c r="AE912" s="1699"/>
      <c r="AF912" s="1700"/>
      <c r="AG912" s="503"/>
      <c r="BA912" s="114" t="str">
        <f>$BB$53</f>
        <v>Select Equipment</v>
      </c>
      <c r="BB912" s="1698"/>
      <c r="BC912" s="1699"/>
      <c r="BD912" s="1699"/>
      <c r="BE912" s="1699"/>
      <c r="BF912" s="1700"/>
      <c r="BG912" s="503"/>
    </row>
    <row r="913" spans="27:59">
      <c r="AA913" s="114" t="str">
        <f>$AB$54</f>
        <v>Air classifier</v>
      </c>
      <c r="AB913" s="436"/>
      <c r="AC913" s="120"/>
      <c r="AD913" s="455"/>
      <c r="AE913" s="120"/>
      <c r="AF913" s="440"/>
      <c r="AG913" s="503"/>
      <c r="BA913" s="114" t="str">
        <f>$BB$54</f>
        <v>Select Equipment</v>
      </c>
      <c r="BB913" s="436"/>
      <c r="BC913" s="120"/>
      <c r="BD913" s="455"/>
      <c r="BE913" s="120"/>
      <c r="BF913" s="440"/>
      <c r="BG913" s="503"/>
    </row>
    <row r="914" spans="27:59">
      <c r="AA914" s="114" t="str">
        <f>$AB$55</f>
        <v>Gas treatment</v>
      </c>
      <c r="AB914" s="436"/>
      <c r="AC914" s="120"/>
      <c r="AD914" s="455"/>
      <c r="AE914" s="120"/>
      <c r="AF914" s="440"/>
      <c r="AG914" s="503"/>
      <c r="BA914" s="114" t="str">
        <f>$BB$55</f>
        <v>Select Equipment</v>
      </c>
      <c r="BB914" s="436"/>
      <c r="BC914" s="120"/>
      <c r="BD914" s="455"/>
      <c r="BE914" s="120"/>
      <c r="BF914" s="440"/>
      <c r="BG914" s="503"/>
    </row>
    <row r="915" spans="27:59">
      <c r="AA915" s="114" t="str">
        <f>$AB$56</f>
        <v>Wheel loader</v>
      </c>
      <c r="AB915" s="456"/>
      <c r="AC915" s="457"/>
      <c r="AD915" s="457"/>
      <c r="AE915" s="457"/>
      <c r="AF915" s="458"/>
      <c r="BA915" s="114" t="str">
        <f>$BB$56</f>
        <v>Select Equipment</v>
      </c>
      <c r="BB915" s="456"/>
      <c r="BC915" s="457"/>
      <c r="BD915" s="457"/>
      <c r="BE915" s="457"/>
      <c r="BF915" s="458"/>
      <c r="BG915" s="503"/>
    </row>
    <row r="916" spans="27:59">
      <c r="AA916" s="114" t="str">
        <f>$AB$57</f>
        <v>Select Equipment</v>
      </c>
      <c r="AB916" s="449" t="s">
        <v>471</v>
      </c>
      <c r="AC916" s="120"/>
      <c r="AD916" s="454"/>
      <c r="AE916" s="120"/>
      <c r="AF916" s="440"/>
      <c r="BA916" s="114" t="str">
        <f>$BB$57</f>
        <v>Select Equipment</v>
      </c>
      <c r="BB916" s="449" t="s">
        <v>471</v>
      </c>
      <c r="BC916" s="120"/>
      <c r="BD916" s="454"/>
      <c r="BE916" s="120"/>
      <c r="BF916" s="440"/>
    </row>
    <row r="917" spans="27:59">
      <c r="AA917" s="114" t="str">
        <f>$AB$58</f>
        <v>Select Equipment</v>
      </c>
      <c r="AB917" s="436" t="s">
        <v>577</v>
      </c>
      <c r="AC917" s="225" t="e">
        <f>AC906*IF(AC904&gt;1,1,AC904)</f>
        <v>#NUM!</v>
      </c>
      <c r="AD917" s="446" t="s">
        <v>454</v>
      </c>
      <c r="AE917" s="120"/>
      <c r="AF917" s="440"/>
      <c r="AG917" s="409"/>
      <c r="BA917" s="114" t="str">
        <f>$BB$58</f>
        <v>Select Equipment</v>
      </c>
      <c r="BB917" s="436" t="s">
        <v>577</v>
      </c>
      <c r="BC917" s="225" t="e">
        <f>BC906*IF(BC904&gt;1,1,BC904)</f>
        <v>#NUM!</v>
      </c>
      <c r="BD917" s="446" t="s">
        <v>454</v>
      </c>
      <c r="BE917" s="120"/>
      <c r="BF917" s="440"/>
    </row>
    <row r="918" spans="27:59">
      <c r="AA918" s="114" t="str">
        <f>$AB$59</f>
        <v>Select Equipment</v>
      </c>
      <c r="AB918" s="436" t="s">
        <v>578</v>
      </c>
      <c r="AC918" s="225"/>
      <c r="AD918" s="446" t="s">
        <v>579</v>
      </c>
      <c r="AE918" s="120"/>
      <c r="AF918" s="440"/>
      <c r="AG918" s="409"/>
      <c r="BA918" s="114" t="str">
        <f>$BB$59</f>
        <v>Select Equipment</v>
      </c>
      <c r="BB918" s="436" t="s">
        <v>578</v>
      </c>
      <c r="BC918" s="225"/>
      <c r="BD918" s="446" t="s">
        <v>579</v>
      </c>
      <c r="BE918" s="120"/>
      <c r="BF918" s="440"/>
      <c r="BG918" s="409"/>
    </row>
    <row r="919" spans="27:59">
      <c r="AA919" s="114" t="str">
        <f>$AB$60</f>
        <v>Select Equipment</v>
      </c>
      <c r="AB919" s="436"/>
      <c r="AC919" s="120"/>
      <c r="AD919" s="446"/>
      <c r="AE919" s="120"/>
      <c r="AF919" s="440"/>
      <c r="AG919" s="409"/>
      <c r="BA919" s="114" t="str">
        <f>$BB$60</f>
        <v>Select Equipment</v>
      </c>
      <c r="BB919" s="436"/>
      <c r="BC919" s="120"/>
      <c r="BD919" s="446"/>
      <c r="BE919" s="120"/>
      <c r="BF919" s="440"/>
      <c r="BG919" s="409"/>
    </row>
    <row r="920" spans="27:59">
      <c r="AA920" s="114" t="str">
        <f>$AB$61</f>
        <v>Select Equipment</v>
      </c>
      <c r="AB920" s="436" t="s">
        <v>8</v>
      </c>
      <c r="AC920" s="120"/>
      <c r="AD920" s="459" t="s">
        <v>564</v>
      </c>
      <c r="AE920" s="120"/>
      <c r="AF920" s="440"/>
      <c r="AG920" s="409"/>
      <c r="BA920" s="114" t="str">
        <f>$BB$61</f>
        <v>Select Equipment</v>
      </c>
      <c r="BB920" s="436" t="s">
        <v>8</v>
      </c>
      <c r="BC920" s="120"/>
      <c r="BD920" s="459" t="s">
        <v>564</v>
      </c>
      <c r="BE920" s="120"/>
      <c r="BF920" s="440"/>
      <c r="BG920" s="409"/>
    </row>
    <row r="921" spans="27:59">
      <c r="AA921" s="114" t="str">
        <f>$AB$62</f>
        <v>Select Equipment</v>
      </c>
      <c r="AB921" s="436"/>
      <c r="AC921" s="120"/>
      <c r="AD921" s="459"/>
      <c r="AE921" s="120"/>
      <c r="AF921" s="440"/>
      <c r="AG921" s="409"/>
      <c r="BA921" s="114" t="str">
        <f>$BB$62</f>
        <v>Select Equipment</v>
      </c>
      <c r="BB921" s="436"/>
      <c r="BC921" s="120"/>
      <c r="BD921" s="459"/>
      <c r="BE921" s="120"/>
      <c r="BF921" s="440"/>
      <c r="BG921" s="409"/>
    </row>
    <row r="922" spans="27:59">
      <c r="AA922" s="114" t="str">
        <f>$AB$63</f>
        <v>Select Equipment</v>
      </c>
      <c r="AB922" s="436" t="s">
        <v>7</v>
      </c>
      <c r="AC922" s="120"/>
      <c r="AD922" s="459" t="s">
        <v>564</v>
      </c>
      <c r="AE922" s="120"/>
      <c r="AF922" s="440"/>
      <c r="AG922" s="474"/>
      <c r="BA922" s="114" t="str">
        <f>$BB$63</f>
        <v>Select Equipment</v>
      </c>
      <c r="BB922" s="436" t="s">
        <v>7</v>
      </c>
      <c r="BC922" s="120"/>
      <c r="BD922" s="459" t="s">
        <v>564</v>
      </c>
      <c r="BE922" s="120"/>
      <c r="BF922" s="440"/>
      <c r="BG922" s="409"/>
    </row>
    <row r="923" spans="27:59">
      <c r="AA923"/>
      <c r="AB923" s="436"/>
      <c r="AC923" s="120"/>
      <c r="AD923" s="459"/>
      <c r="AE923" s="120"/>
      <c r="AF923" s="440"/>
      <c r="AG923" s="474"/>
      <c r="BA923" s="114" t="str">
        <f>$BB$64</f>
        <v>Select Equipment</v>
      </c>
      <c r="BB923" s="436"/>
      <c r="BC923" s="120"/>
      <c r="BD923" s="459"/>
      <c r="BE923" s="120"/>
      <c r="BF923" s="440"/>
      <c r="BG923" s="474"/>
    </row>
    <row r="924" spans="27:59">
      <c r="AA924"/>
      <c r="AB924" s="436" t="s">
        <v>9</v>
      </c>
      <c r="AC924" s="120"/>
      <c r="AD924" s="459" t="s">
        <v>564</v>
      </c>
      <c r="AE924" s="120"/>
      <c r="AF924" s="440"/>
      <c r="AG924" s="474"/>
      <c r="BA924"/>
      <c r="BB924" s="436" t="s">
        <v>9</v>
      </c>
      <c r="BC924" s="120"/>
      <c r="BD924" s="459" t="s">
        <v>564</v>
      </c>
      <c r="BE924" s="120"/>
      <c r="BF924" s="440"/>
      <c r="BG924" s="474"/>
    </row>
    <row r="925" spans="27:59">
      <c r="AA925"/>
      <c r="AB925" s="436"/>
      <c r="AC925" s="120"/>
      <c r="AD925" s="459"/>
      <c r="AE925" s="120"/>
      <c r="AF925" s="440"/>
      <c r="AG925" s="505"/>
      <c r="BA925"/>
      <c r="BB925" s="436"/>
      <c r="BC925" s="120"/>
      <c r="BD925" s="459"/>
      <c r="BE925" s="120"/>
      <c r="BF925" s="440"/>
      <c r="BG925" s="474"/>
    </row>
    <row r="926" spans="27:59">
      <c r="AA926"/>
      <c r="AB926" s="436" t="s">
        <v>324</v>
      </c>
      <c r="AC926" s="120"/>
      <c r="AD926" s="459" t="s">
        <v>564</v>
      </c>
      <c r="AE926" s="120"/>
      <c r="AF926" s="440" t="s">
        <v>569</v>
      </c>
      <c r="AG926" s="474"/>
      <c r="BA926"/>
      <c r="BB926" s="436" t="s">
        <v>324</v>
      </c>
      <c r="BC926" s="120"/>
      <c r="BD926" s="459" t="s">
        <v>564</v>
      </c>
      <c r="BE926" s="120"/>
      <c r="BF926" s="440" t="s">
        <v>569</v>
      </c>
      <c r="BG926" s="505"/>
    </row>
    <row r="927" spans="27:59">
      <c r="AA927"/>
      <c r="AB927" s="436"/>
      <c r="AC927" s="120"/>
      <c r="AD927" s="468"/>
      <c r="AE927" s="469"/>
      <c r="AF927" s="440"/>
      <c r="AG927" s="474"/>
      <c r="BA927"/>
      <c r="BB927" s="436"/>
      <c r="BC927" s="120"/>
      <c r="BD927" s="468"/>
      <c r="BE927" s="469"/>
      <c r="BF927" s="440"/>
      <c r="BG927" s="474"/>
    </row>
    <row r="928" spans="27:59">
      <c r="AA928"/>
      <c r="AB928" s="436" t="s">
        <v>374</v>
      </c>
      <c r="AC928" s="120"/>
      <c r="AD928" s="459" t="s">
        <v>564</v>
      </c>
      <c r="AE928" s="469"/>
      <c r="AF928" s="440" t="s">
        <v>569</v>
      </c>
      <c r="AG928" s="409"/>
      <c r="BA928"/>
      <c r="BB928" s="436" t="s">
        <v>374</v>
      </c>
      <c r="BC928" s="120"/>
      <c r="BD928" s="459" t="s">
        <v>564</v>
      </c>
      <c r="BE928" s="469"/>
      <c r="BF928" s="440" t="s">
        <v>569</v>
      </c>
      <c r="BG928" s="474"/>
    </row>
    <row r="929" spans="27:59">
      <c r="AA929"/>
      <c r="AB929" s="436"/>
      <c r="AC929" s="120"/>
      <c r="AD929" s="472"/>
      <c r="AE929" s="473"/>
      <c r="AF929" s="440"/>
      <c r="BA929"/>
      <c r="BB929" s="436"/>
      <c r="BC929" s="120"/>
      <c r="BD929" s="472"/>
      <c r="BE929" s="473"/>
      <c r="BF929" s="440"/>
      <c r="BG929" s="409"/>
    </row>
    <row r="930" spans="27:59">
      <c r="AA930"/>
      <c r="AB930" s="436" t="s">
        <v>580</v>
      </c>
      <c r="AC930" s="120"/>
      <c r="AD930" s="459" t="s">
        <v>564</v>
      </c>
      <c r="AE930" s="473"/>
      <c r="AF930" s="440" t="s">
        <v>569</v>
      </c>
      <c r="BA930"/>
      <c r="BB930" s="436" t="s">
        <v>580</v>
      </c>
      <c r="BC930" s="120"/>
      <c r="BD930" s="459" t="s">
        <v>564</v>
      </c>
      <c r="BE930" s="473"/>
      <c r="BF930" s="440" t="s">
        <v>569</v>
      </c>
    </row>
    <row r="931" spans="27:59">
      <c r="AA931"/>
      <c r="AB931" s="476"/>
      <c r="AC931" s="477"/>
      <c r="AD931" s="478"/>
      <c r="AE931" s="479"/>
      <c r="AF931" s="458"/>
      <c r="BA931"/>
      <c r="BB931" s="476"/>
      <c r="BC931" s="477"/>
      <c r="BD931" s="478"/>
      <c r="BE931" s="479"/>
      <c r="BF931" s="458"/>
    </row>
    <row r="932" spans="27:59">
      <c r="AA932"/>
      <c r="AB932" s="449" t="s">
        <v>473</v>
      </c>
      <c r="AC932" s="467" t="s">
        <v>508</v>
      </c>
      <c r="AD932" s="480"/>
      <c r="AE932" s="481" t="s">
        <v>308</v>
      </c>
      <c r="AF932" s="440"/>
      <c r="BA932"/>
      <c r="BB932" s="449" t="s">
        <v>473</v>
      </c>
      <c r="BC932" s="467" t="s">
        <v>508</v>
      </c>
      <c r="BD932" s="480"/>
      <c r="BE932" s="481" t="s">
        <v>308</v>
      </c>
      <c r="BF932" s="440"/>
    </row>
    <row r="933" spans="27:59">
      <c r="AB933" s="436"/>
      <c r="AC933" s="483"/>
      <c r="AD933" s="480"/>
      <c r="AE933" s="484"/>
      <c r="AF933" s="440"/>
      <c r="BA933"/>
      <c r="BB933" s="436"/>
      <c r="BC933" s="483"/>
      <c r="BD933" s="480"/>
      <c r="BE933" s="484"/>
      <c r="BF933" s="440"/>
    </row>
    <row r="934" spans="27:59">
      <c r="AB934" s="436"/>
      <c r="AC934" s="120"/>
      <c r="AD934" s="223"/>
      <c r="AE934" s="467"/>
      <c r="AF934" s="440"/>
      <c r="BB934" s="436"/>
      <c r="BC934" s="120"/>
      <c r="BD934" s="223"/>
      <c r="BE934" s="467"/>
      <c r="BF934" s="440"/>
    </row>
    <row r="935" spans="27:59">
      <c r="AB935" s="436"/>
      <c r="AC935" s="120"/>
      <c r="AD935" s="466"/>
      <c r="AE935" s="467"/>
      <c r="AF935" s="440"/>
      <c r="BB935" s="436"/>
      <c r="BC935" s="120"/>
      <c r="BD935" s="466"/>
      <c r="BE935" s="467"/>
      <c r="BF935" s="440"/>
    </row>
    <row r="936" spans="27:59">
      <c r="AB936" s="436"/>
      <c r="AC936" s="120"/>
      <c r="AD936" s="223"/>
      <c r="AE936" s="467"/>
      <c r="AF936" s="440"/>
      <c r="BB936" s="436"/>
      <c r="BC936" s="120"/>
      <c r="BD936" s="223"/>
      <c r="BE936" s="467"/>
      <c r="BF936" s="440"/>
    </row>
    <row r="937" spans="27:59">
      <c r="AB937" s="436"/>
      <c r="AC937" s="120"/>
      <c r="AD937" s="223"/>
      <c r="AE937" s="467"/>
      <c r="AF937" s="440"/>
      <c r="BB937" s="436"/>
      <c r="BC937" s="120"/>
      <c r="BD937" s="223"/>
      <c r="BE937" s="467"/>
      <c r="BF937" s="440"/>
    </row>
    <row r="938" spans="27:59">
      <c r="AB938" s="436"/>
      <c r="AC938" s="120"/>
      <c r="AD938" s="471"/>
      <c r="AE938" s="467"/>
      <c r="AF938" s="440"/>
      <c r="BB938" s="436"/>
      <c r="BC938" s="120"/>
      <c r="BD938" s="471"/>
      <c r="BE938" s="467"/>
      <c r="BF938" s="440"/>
    </row>
    <row r="939" spans="27:59">
      <c r="AB939" s="436"/>
      <c r="AC939" s="120"/>
      <c r="AD939" s="223"/>
      <c r="AE939" s="467"/>
      <c r="AF939" s="440"/>
      <c r="BB939" s="436"/>
      <c r="BC939" s="120"/>
      <c r="BD939" s="223"/>
      <c r="BE939" s="467"/>
      <c r="BF939" s="440"/>
    </row>
    <row r="940" spans="27:59">
      <c r="AB940" s="436"/>
      <c r="AC940" s="120"/>
      <c r="AD940" s="475"/>
      <c r="AE940" s="467"/>
      <c r="AF940" s="440"/>
      <c r="BB940" s="436"/>
      <c r="BC940" s="120"/>
      <c r="BD940" s="475"/>
      <c r="BE940" s="467"/>
      <c r="BF940" s="440"/>
    </row>
    <row r="941" spans="27:59">
      <c r="AB941" s="436"/>
      <c r="AC941" s="120"/>
      <c r="AD941" s="223"/>
      <c r="AE941" s="467"/>
      <c r="AF941" s="440"/>
      <c r="BB941" s="436"/>
      <c r="BC941" s="120"/>
      <c r="BD941" s="223"/>
      <c r="BE941" s="467"/>
      <c r="BF941" s="440"/>
    </row>
    <row r="942" spans="27:59">
      <c r="AB942" s="436"/>
      <c r="AC942" s="120"/>
      <c r="AD942" s="223"/>
      <c r="AE942" s="467"/>
      <c r="AF942" s="440"/>
      <c r="BB942" s="436"/>
      <c r="BC942" s="120"/>
      <c r="BD942" s="223"/>
      <c r="BE942" s="467"/>
      <c r="BF942" s="440"/>
    </row>
    <row r="943" spans="27:59">
      <c r="AB943" s="436"/>
      <c r="AC943" s="120"/>
      <c r="AD943" s="223"/>
      <c r="AE943" s="467"/>
      <c r="AF943" s="440"/>
      <c r="BB943" s="436"/>
      <c r="BC943" s="120"/>
      <c r="BD943" s="223"/>
      <c r="BE943" s="467"/>
      <c r="BF943" s="440"/>
    </row>
    <row r="944" spans="27:59">
      <c r="AB944" s="436"/>
      <c r="AC944" s="120"/>
      <c r="AD944" s="223"/>
      <c r="AE944" s="467"/>
      <c r="AF944" s="440"/>
      <c r="BB944" s="436"/>
      <c r="BC944" s="120"/>
      <c r="BD944" s="223"/>
      <c r="BE944" s="467"/>
      <c r="BF944" s="440"/>
    </row>
    <row r="945" spans="28:58">
      <c r="AB945" s="436"/>
      <c r="AC945" s="120"/>
      <c r="AD945" s="120"/>
      <c r="AE945" s="467"/>
      <c r="AF945" s="440"/>
      <c r="BB945" s="436"/>
      <c r="BC945" s="120"/>
      <c r="BD945" s="120"/>
      <c r="BE945" s="467"/>
      <c r="BF945" s="440"/>
    </row>
    <row r="946" spans="28:58">
      <c r="AB946" s="456"/>
      <c r="AC946" s="457"/>
      <c r="AD946" s="457"/>
      <c r="AE946" s="477"/>
      <c r="AF946" s="458"/>
      <c r="BB946" s="456"/>
      <c r="BC946" s="457"/>
      <c r="BD946" s="457"/>
      <c r="BE946" s="477"/>
      <c r="BF946" s="458"/>
    </row>
    <row r="947" spans="28:58">
      <c r="AB947" s="449" t="s">
        <v>474</v>
      </c>
      <c r="AC947" s="120"/>
      <c r="AD947" s="120" t="s">
        <v>1</v>
      </c>
      <c r="AE947" s="310" t="s">
        <v>307</v>
      </c>
      <c r="AF947" s="440"/>
      <c r="BB947" s="449" t="s">
        <v>474</v>
      </c>
      <c r="BC947" s="120"/>
      <c r="BD947" s="120" t="s">
        <v>1</v>
      </c>
      <c r="BE947" s="310" t="s">
        <v>307</v>
      </c>
      <c r="BF947" s="440"/>
    </row>
    <row r="948" spans="28:58">
      <c r="AB948" s="436"/>
      <c r="AC948" s="223"/>
      <c r="AD948" s="480"/>
      <c r="AE948" s="484"/>
      <c r="AF948" s="440"/>
      <c r="BB948" s="436"/>
      <c r="BC948" s="223"/>
      <c r="BD948" s="480"/>
      <c r="BE948" s="484"/>
      <c r="BF948" s="440"/>
    </row>
    <row r="949" spans="28:58">
      <c r="AB949" s="436"/>
      <c r="AC949" s="120"/>
      <c r="AD949" s="120"/>
      <c r="AE949" s="467"/>
      <c r="AF949" s="440"/>
      <c r="BB949" s="436"/>
      <c r="BC949" s="120"/>
      <c r="BD949" s="120"/>
      <c r="BE949" s="467"/>
      <c r="BF949" s="440"/>
    </row>
    <row r="950" spans="28:58">
      <c r="AB950" s="436"/>
      <c r="AC950" s="120"/>
      <c r="AD950" s="120"/>
      <c r="AE950" s="467"/>
      <c r="AF950" s="440"/>
      <c r="BB950" s="436"/>
      <c r="BC950" s="120"/>
      <c r="BD950" s="120"/>
      <c r="BE950" s="467"/>
      <c r="BF950" s="440"/>
    </row>
    <row r="951" spans="28:58">
      <c r="AB951" s="436"/>
      <c r="AC951" s="120"/>
      <c r="AD951" s="120"/>
      <c r="AE951" s="467"/>
      <c r="AF951" s="440"/>
      <c r="BB951" s="436"/>
      <c r="BC951" s="120"/>
      <c r="BD951" s="120"/>
      <c r="BE951" s="467"/>
      <c r="BF951" s="440"/>
    </row>
    <row r="952" spans="28:58">
      <c r="AB952" s="436"/>
      <c r="AC952" s="120"/>
      <c r="AD952" s="120"/>
      <c r="AE952" s="467"/>
      <c r="AF952" s="440"/>
      <c r="BB952" s="436"/>
      <c r="BC952" s="120"/>
      <c r="BD952" s="120"/>
      <c r="BE952" s="467"/>
      <c r="BF952" s="440"/>
    </row>
    <row r="953" spans="28:58">
      <c r="AB953" s="436"/>
      <c r="AC953" s="120"/>
      <c r="AD953" s="120"/>
      <c r="AE953" s="467"/>
      <c r="AF953" s="440"/>
      <c r="BB953" s="436"/>
      <c r="BC953" s="120"/>
      <c r="BD953" s="120"/>
      <c r="BE953" s="467"/>
      <c r="BF953" s="440"/>
    </row>
    <row r="954" spans="28:58">
      <c r="AB954" s="436"/>
      <c r="AC954" s="120"/>
      <c r="AD954" s="120"/>
      <c r="AE954" s="467"/>
      <c r="AF954" s="440"/>
      <c r="BB954" s="436"/>
      <c r="BC954" s="120"/>
      <c r="BD954" s="120"/>
      <c r="BE954" s="467"/>
      <c r="BF954" s="440"/>
    </row>
    <row r="955" spans="28:58">
      <c r="AB955" s="436"/>
      <c r="AC955" s="120"/>
      <c r="AD955" s="120"/>
      <c r="AE955" s="467"/>
      <c r="AF955" s="440"/>
      <c r="BB955" s="436"/>
      <c r="BC955" s="120"/>
      <c r="BD955" s="120"/>
      <c r="BE955" s="467"/>
      <c r="BF955" s="440"/>
    </row>
    <row r="956" spans="28:58">
      <c r="AB956" s="436"/>
      <c r="AC956" s="120"/>
      <c r="AD956" s="120"/>
      <c r="AE956" s="467"/>
      <c r="AF956" s="440"/>
      <c r="BB956" s="436"/>
      <c r="BC956" s="120"/>
      <c r="BD956" s="120"/>
      <c r="BE956" s="467"/>
      <c r="BF956" s="440"/>
    </row>
    <row r="957" spans="28:58">
      <c r="AB957" s="436"/>
      <c r="AC957" s="120"/>
      <c r="AD957" s="120"/>
      <c r="AE957" s="467"/>
      <c r="AF957" s="440"/>
      <c r="BB957" s="436"/>
      <c r="BC957" s="120"/>
      <c r="BD957" s="120"/>
      <c r="BE957" s="467"/>
      <c r="BF957" s="440"/>
    </row>
    <row r="958" spans="28:58">
      <c r="AB958" s="436"/>
      <c r="AC958" s="120"/>
      <c r="AD958" s="120"/>
      <c r="AE958" s="467"/>
      <c r="AF958" s="440"/>
      <c r="BB958" s="436"/>
      <c r="BC958" s="120"/>
      <c r="BD958" s="120"/>
      <c r="BE958" s="467"/>
      <c r="BF958" s="440"/>
    </row>
    <row r="959" spans="28:58">
      <c r="AB959" s="436"/>
      <c r="AC959" s="120"/>
      <c r="AD959" s="120"/>
      <c r="AE959" s="467"/>
      <c r="AF959" s="440"/>
      <c r="BB959" s="436"/>
      <c r="BC959" s="120"/>
      <c r="BD959" s="120"/>
      <c r="BE959" s="467"/>
      <c r="BF959" s="440"/>
    </row>
    <row r="960" spans="28:58">
      <c r="AB960" s="456"/>
      <c r="AC960" s="457"/>
      <c r="AD960" s="457"/>
      <c r="AE960" s="477"/>
      <c r="AF960" s="458"/>
      <c r="BB960" s="456"/>
      <c r="BC960" s="457"/>
      <c r="BD960" s="457"/>
      <c r="BE960" s="477"/>
      <c r="BF960" s="458"/>
    </row>
    <row r="961" spans="28:58">
      <c r="AB961" s="456"/>
      <c r="AC961" s="457"/>
      <c r="AD961" s="457"/>
      <c r="AE961" s="457"/>
      <c r="AF961" s="458"/>
      <c r="BB961" s="456"/>
      <c r="BC961" s="457"/>
      <c r="BD961" s="457"/>
      <c r="BE961" s="457"/>
      <c r="BF961" s="458"/>
    </row>
    <row r="962" spans="28:58">
      <c r="AB962" s="449" t="s">
        <v>475</v>
      </c>
      <c r="AC962" s="120"/>
      <c r="AD962" s="120"/>
      <c r="AE962" s="120"/>
      <c r="AF962" s="440"/>
      <c r="BB962" s="449" t="s">
        <v>475</v>
      </c>
      <c r="BC962" s="120"/>
      <c r="BD962" s="120"/>
      <c r="BE962" s="120"/>
      <c r="BF962" s="440"/>
    </row>
    <row r="963" spans="28:58">
      <c r="AB963" s="436" t="s">
        <v>509</v>
      </c>
      <c r="AC963" s="120"/>
      <c r="AD963" s="120"/>
      <c r="AE963" s="120"/>
      <c r="AF963" s="440"/>
      <c r="BB963" s="436" t="s">
        <v>509</v>
      </c>
      <c r="BC963" s="120"/>
      <c r="BD963" s="120"/>
      <c r="BE963" s="120"/>
      <c r="BF963" s="440"/>
    </row>
    <row r="964" spans="28:58">
      <c r="AB964" s="436" t="s">
        <v>510</v>
      </c>
      <c r="AC964" s="120"/>
      <c r="AD964" s="120"/>
      <c r="AE964" s="120"/>
      <c r="AF964" s="440"/>
      <c r="BB964" s="436" t="s">
        <v>510</v>
      </c>
      <c r="BC964" s="120"/>
      <c r="BD964" s="120"/>
      <c r="BE964" s="120"/>
      <c r="BF964" s="440"/>
    </row>
    <row r="965" spans="28:58">
      <c r="AB965" s="436"/>
      <c r="AC965" s="120"/>
      <c r="AD965" s="120"/>
      <c r="AE965" s="120"/>
      <c r="AF965" s="440"/>
      <c r="BB965" s="436"/>
      <c r="BC965" s="120"/>
      <c r="BD965" s="120"/>
      <c r="BE965" s="120"/>
      <c r="BF965" s="440"/>
    </row>
    <row r="966" spans="28:58">
      <c r="AB966" s="436"/>
      <c r="AC966" s="120"/>
      <c r="AD966" s="120"/>
      <c r="AE966" s="120"/>
      <c r="AF966" s="440"/>
      <c r="BB966" s="436"/>
      <c r="BC966" s="120"/>
      <c r="BD966" s="120"/>
      <c r="BE966" s="120"/>
      <c r="BF966" s="440"/>
    </row>
    <row r="967" spans="28:58">
      <c r="AB967" s="436"/>
      <c r="AC967" s="120"/>
      <c r="AD967" s="120"/>
      <c r="AE967" s="120"/>
      <c r="AF967" s="440"/>
      <c r="BB967" s="436"/>
      <c r="BC967" s="120"/>
      <c r="BD967" s="120"/>
      <c r="BE967" s="120"/>
      <c r="BF967" s="440"/>
    </row>
    <row r="968" spans="28:58">
      <c r="AB968" s="436"/>
      <c r="AC968" s="120"/>
      <c r="AD968" s="120"/>
      <c r="AE968" s="120"/>
      <c r="AF968" s="440"/>
      <c r="BB968" s="436"/>
      <c r="BC968" s="120"/>
      <c r="BD968" s="120"/>
      <c r="BE968" s="120"/>
      <c r="BF968" s="440"/>
    </row>
    <row r="969" spans="28:58">
      <c r="AB969" s="436" t="s">
        <v>511</v>
      </c>
      <c r="AC969" s="120">
        <v>0</v>
      </c>
      <c r="AD969" s="120" t="s">
        <v>512</v>
      </c>
      <c r="AE969" s="120"/>
      <c r="AF969" s="440"/>
      <c r="BB969" s="436" t="s">
        <v>511</v>
      </c>
      <c r="BC969" s="120">
        <v>0</v>
      </c>
      <c r="BD969" s="120" t="s">
        <v>512</v>
      </c>
      <c r="BE969" s="120"/>
      <c r="BF969" s="440"/>
    </row>
    <row r="970" spans="28:58">
      <c r="AB970" s="436" t="s">
        <v>513</v>
      </c>
      <c r="AC970" s="120">
        <v>0</v>
      </c>
      <c r="AD970" s="120" t="s">
        <v>512</v>
      </c>
      <c r="AE970" s="120"/>
      <c r="AF970" s="440"/>
      <c r="BB970" s="436" t="s">
        <v>513</v>
      </c>
      <c r="BC970" s="120">
        <v>0</v>
      </c>
      <c r="BD970" s="120" t="s">
        <v>512</v>
      </c>
      <c r="BE970" s="120"/>
      <c r="BF970" s="440"/>
    </row>
    <row r="971" spans="28:58">
      <c r="AB971" s="456"/>
      <c r="AC971" s="457"/>
      <c r="AD971" s="457"/>
      <c r="AE971" s="457"/>
      <c r="AF971" s="458"/>
      <c r="BB971" s="456"/>
      <c r="BC971" s="457"/>
      <c r="BD971" s="457"/>
      <c r="BE971" s="457"/>
      <c r="BF971" s="458"/>
    </row>
    <row r="972" spans="28:58">
      <c r="AB972" s="449" t="s">
        <v>461</v>
      </c>
      <c r="AC972" s="120"/>
      <c r="AD972" s="120"/>
      <c r="AE972" s="120"/>
      <c r="AF972" s="440"/>
      <c r="BB972" s="449" t="s">
        <v>461</v>
      </c>
      <c r="BC972" s="120"/>
      <c r="BD972" s="120"/>
      <c r="BE972" s="120"/>
      <c r="BF972" s="440"/>
    </row>
    <row r="973" spans="28:58">
      <c r="AB973" s="436" t="s">
        <v>514</v>
      </c>
      <c r="AC973" s="120">
        <f>VLOOKUP(AB901,'Unit Ops'!$B$140:$K$209,10,FALSE)</f>
        <v>2</v>
      </c>
      <c r="AD973" s="120" t="s">
        <v>515</v>
      </c>
      <c r="AE973" s="120"/>
      <c r="AF973" s="440"/>
      <c r="BB973" s="436" t="s">
        <v>514</v>
      </c>
      <c r="BC973" s="120">
        <f>VLOOKUP(BB901,'Unit Ops'!$B$140:$K$209,10,FALSE)</f>
        <v>0</v>
      </c>
      <c r="BD973" s="120" t="s">
        <v>515</v>
      </c>
      <c r="BE973" s="120"/>
      <c r="BF973" s="440"/>
    </row>
    <row r="974" spans="28:58">
      <c r="AB974" s="436" t="s">
        <v>516</v>
      </c>
      <c r="AC974" s="120">
        <v>0</v>
      </c>
      <c r="AD974" s="120" t="s">
        <v>515</v>
      </c>
      <c r="AE974" s="120"/>
      <c r="AF974" s="440"/>
      <c r="BB974" s="436" t="s">
        <v>516</v>
      </c>
      <c r="BC974" s="120">
        <v>0</v>
      </c>
      <c r="BD974" s="120" t="s">
        <v>515</v>
      </c>
      <c r="BE974" s="120"/>
      <c r="BF974" s="440"/>
    </row>
    <row r="975" spans="28:58">
      <c r="AB975" s="436"/>
      <c r="AC975" s="120"/>
      <c r="AD975" s="120"/>
      <c r="AE975" s="120"/>
      <c r="AF975" s="440"/>
      <c r="BB975" s="436"/>
      <c r="BC975" s="120"/>
      <c r="BD975" s="120"/>
      <c r="BE975" s="120"/>
      <c r="BF975" s="440"/>
    </row>
    <row r="976" spans="28:58">
      <c r="AB976" s="436"/>
      <c r="AC976" s="120"/>
      <c r="AD976" s="120"/>
      <c r="AE976" s="120"/>
      <c r="AF976" s="440"/>
      <c r="BB976" s="436"/>
      <c r="BC976" s="120"/>
      <c r="BD976" s="120"/>
      <c r="BE976" s="120"/>
      <c r="BF976" s="440"/>
    </row>
    <row r="977" spans="28:58">
      <c r="AB977" s="436"/>
      <c r="AC977" s="120"/>
      <c r="AD977" s="120"/>
      <c r="AE977" s="120"/>
      <c r="AF977" s="440"/>
      <c r="BB977" s="436"/>
      <c r="BC977" s="120"/>
      <c r="BD977" s="120"/>
      <c r="BE977" s="120"/>
      <c r="BF977" s="440"/>
    </row>
    <row r="978" spans="28:58">
      <c r="AB978" s="436"/>
      <c r="AC978" s="120"/>
      <c r="AD978" s="120"/>
      <c r="AE978" s="120"/>
      <c r="AF978" s="440"/>
      <c r="BB978" s="436"/>
      <c r="BC978" s="120"/>
      <c r="BD978" s="120"/>
      <c r="BE978" s="120"/>
      <c r="BF978" s="440"/>
    </row>
    <row r="979" spans="28:58">
      <c r="AB979" s="436"/>
      <c r="AC979" s="120"/>
      <c r="AD979" s="120"/>
      <c r="AE979" s="120"/>
      <c r="AF979" s="440"/>
      <c r="BB979" s="436"/>
      <c r="BC979" s="120"/>
      <c r="BD979" s="120"/>
      <c r="BE979" s="120"/>
      <c r="BF979" s="440"/>
    </row>
    <row r="980" spans="28:58">
      <c r="AB980" s="436" t="s">
        <v>464</v>
      </c>
      <c r="AC980" s="120"/>
      <c r="AD980" s="120"/>
      <c r="AE980" s="120"/>
      <c r="AF980" s="440"/>
      <c r="BB980" s="436" t="s">
        <v>464</v>
      </c>
      <c r="BC980" s="120"/>
      <c r="BD980" s="120"/>
      <c r="BE980" s="120"/>
      <c r="BF980" s="440"/>
    </row>
    <row r="981" spans="28:58">
      <c r="AB981" s="456"/>
      <c r="AC981" s="457"/>
      <c r="AD981" s="457"/>
      <c r="AE981" s="457"/>
      <c r="AF981" s="458"/>
      <c r="BB981" s="456"/>
      <c r="BC981" s="457"/>
      <c r="BD981" s="457"/>
      <c r="BE981" s="457"/>
      <c r="BF981" s="458"/>
    </row>
    <row r="982" spans="28:58">
      <c r="AB982" s="449" t="s">
        <v>472</v>
      </c>
      <c r="AC982" s="467" t="s">
        <v>517</v>
      </c>
      <c r="AD982" s="120" t="s">
        <v>518</v>
      </c>
      <c r="AE982" s="467" t="s">
        <v>519</v>
      </c>
      <c r="AF982" s="440" t="s">
        <v>518</v>
      </c>
      <c r="BB982" s="449" t="s">
        <v>472</v>
      </c>
      <c r="BC982" s="467" t="s">
        <v>517</v>
      </c>
      <c r="BD982" s="120" t="s">
        <v>518</v>
      </c>
      <c r="BE982" s="467" t="s">
        <v>519</v>
      </c>
      <c r="BF982" s="440" t="s">
        <v>518</v>
      </c>
    </row>
    <row r="983" spans="28:58">
      <c r="AB983" s="436" t="s">
        <v>520</v>
      </c>
      <c r="AC983" s="120"/>
      <c r="AD983" s="120"/>
      <c r="AE983" s="472" t="e">
        <f>((VLOOKUP(AB901,'Unit Ops'!$B$140:$J$209,3,FALSE)*AC903^VLOOKUP(AB901,'Unit Ops'!$B$140:$J$209,4,FALSE)+VLOOKUP(AB901,'Unit Ops'!$B$140:$J$209,5,FALSE))*VLOOKUP(AB901,'Unit Ops'!$B$140:$J$209,6,FALSE))*IF(VLOOKUP(AB901,'Unit Ops'!$B$140:$L$209,11,FALSE)=1,1,2)</f>
        <v>#NUM!</v>
      </c>
      <c r="AF983" s="490">
        <f>'CM Rec Par.'!$C$7</f>
        <v>2022</v>
      </c>
      <c r="BB983" s="436" t="s">
        <v>520</v>
      </c>
      <c r="BC983" s="120"/>
      <c r="BD983" s="120"/>
      <c r="BE983" s="472">
        <f>((VLOOKUP(BB901,'Unit Ops'!$B$140:$J$209,3,FALSE)*BC903^VLOOKUP(BB901,'Unit Ops'!$B$140:$J$209,4,FALSE)+VLOOKUP(BB901,'Unit Ops'!$B$140:$J$209,5,FALSE))*VLOOKUP(BB901,'Unit Ops'!$B$140:$J$209,6,FALSE))*IF(VLOOKUP(BB901,'Unit Ops'!$B$140:$L$209,11,FALSE)=1,1,2)</f>
        <v>0</v>
      </c>
      <c r="BF983" s="490">
        <f>'CM Rec Par.'!$C$7</f>
        <v>2022</v>
      </c>
    </row>
    <row r="984" spans="28:58">
      <c r="AB984" s="436"/>
      <c r="AC984" s="120"/>
      <c r="AD984" s="120"/>
      <c r="AE984" s="120"/>
      <c r="AF984" s="440"/>
      <c r="BB984" s="436"/>
      <c r="BC984" s="120"/>
      <c r="BD984" s="120"/>
      <c r="BE984" s="120"/>
      <c r="BF984" s="440"/>
    </row>
    <row r="985" spans="28:58">
      <c r="AB985" s="436"/>
      <c r="AC985" s="120"/>
      <c r="AD985" s="120"/>
      <c r="AE985" s="120"/>
      <c r="AF985" s="440"/>
      <c r="BB985" s="436"/>
      <c r="BC985" s="120"/>
      <c r="BD985" s="120"/>
      <c r="BE985" s="120"/>
      <c r="BF985" s="440"/>
    </row>
    <row r="986" spans="28:58">
      <c r="AB986" s="436"/>
      <c r="AC986" s="120"/>
      <c r="AD986" s="120"/>
      <c r="AE986" s="120"/>
      <c r="AF986" s="440"/>
      <c r="BB986" s="436"/>
      <c r="BC986" s="120"/>
      <c r="BD986" s="120"/>
      <c r="BE986" s="120"/>
      <c r="BF986" s="440"/>
    </row>
    <row r="987" spans="28:58">
      <c r="AB987" s="436"/>
      <c r="AC987" s="120"/>
      <c r="AD987" s="120"/>
      <c r="AE987" s="120"/>
      <c r="AF987" s="440"/>
      <c r="BB987" s="436"/>
      <c r="BC987" s="120"/>
      <c r="BD987" s="120"/>
      <c r="BE987" s="120"/>
      <c r="BF987" s="440"/>
    </row>
    <row r="988" spans="28:58">
      <c r="AB988" s="436"/>
      <c r="AC988" s="120"/>
      <c r="AD988" s="120"/>
      <c r="AE988" s="120"/>
      <c r="AF988" s="440"/>
      <c r="BB988" s="436"/>
      <c r="BC988" s="120"/>
      <c r="BD988" s="120"/>
      <c r="BE988" s="120"/>
      <c r="BF988" s="440"/>
    </row>
    <row r="989" spans="28:58">
      <c r="AB989" s="436"/>
      <c r="AC989" s="120"/>
      <c r="AD989" s="120"/>
      <c r="AE989" s="120"/>
      <c r="AF989" s="440"/>
      <c r="BB989" s="436"/>
      <c r="BC989" s="120"/>
      <c r="BD989" s="120"/>
      <c r="BE989" s="120"/>
      <c r="BF989" s="440"/>
    </row>
    <row r="990" spans="28:58">
      <c r="AB990" s="436"/>
      <c r="AC990" s="120"/>
      <c r="AD990" s="120"/>
      <c r="AE990" s="120"/>
      <c r="AF990" s="440"/>
      <c r="BB990" s="436"/>
      <c r="BC990" s="120"/>
      <c r="BD990" s="120"/>
      <c r="BE990" s="120"/>
      <c r="BF990" s="440"/>
    </row>
    <row r="991" spans="28:58">
      <c r="AB991" s="436"/>
      <c r="AC991" s="120"/>
      <c r="AD991" s="120"/>
      <c r="AE991" s="120"/>
      <c r="AF991" s="440"/>
      <c r="BB991" s="436"/>
      <c r="BC991" s="120"/>
      <c r="BD991" s="120"/>
      <c r="BE991" s="120"/>
      <c r="BF991" s="440"/>
    </row>
    <row r="992" spans="28:58">
      <c r="AB992" s="436"/>
      <c r="AC992" s="120"/>
      <c r="AD992" s="120"/>
      <c r="AE992" s="120"/>
      <c r="AF992" s="440"/>
      <c r="BB992" s="436"/>
      <c r="BC992" s="120"/>
      <c r="BD992" s="120"/>
      <c r="BE992" s="120"/>
      <c r="BF992" s="440"/>
    </row>
    <row r="993" spans="27:59">
      <c r="AB993" s="436"/>
      <c r="AC993" s="120"/>
      <c r="AD993" s="120"/>
      <c r="AE993" s="120"/>
      <c r="AF993" s="440"/>
      <c r="BB993" s="436"/>
      <c r="BC993" s="120"/>
      <c r="BD993" s="120"/>
      <c r="BE993" s="120"/>
      <c r="BF993" s="440"/>
    </row>
    <row r="994" spans="27:59">
      <c r="AB994" s="436"/>
      <c r="AC994" s="120"/>
      <c r="AD994" s="120"/>
      <c r="AE994" s="120"/>
      <c r="AF994" s="440"/>
      <c r="BB994" s="436"/>
      <c r="BC994" s="120"/>
      <c r="BD994" s="120"/>
      <c r="BE994" s="120"/>
      <c r="BF994" s="440"/>
    </row>
    <row r="995" spans="27:59">
      <c r="AB995" s="436"/>
      <c r="AC995" s="120"/>
      <c r="AD995" s="120"/>
      <c r="AE995" s="120"/>
      <c r="AF995" s="440"/>
      <c r="BB995" s="436"/>
      <c r="BC995" s="120"/>
      <c r="BD995" s="120"/>
      <c r="BE995" s="120"/>
      <c r="BF995" s="440"/>
    </row>
    <row r="996" spans="27:59">
      <c r="AB996" s="436"/>
      <c r="AC996" s="120"/>
      <c r="AD996" s="120"/>
      <c r="AE996" s="120"/>
      <c r="AF996" s="440"/>
      <c r="BB996" s="436"/>
      <c r="BC996" s="120"/>
      <c r="BD996" s="120"/>
      <c r="BE996" s="120"/>
      <c r="BF996" s="440"/>
    </row>
    <row r="997" spans="27:59" ht="14.5" thickBot="1">
      <c r="AB997" s="492"/>
      <c r="AC997" s="493"/>
      <c r="AD997" s="493"/>
      <c r="AE997" s="493"/>
      <c r="AF997" s="453"/>
      <c r="BB997" s="492"/>
      <c r="BC997" s="493"/>
      <c r="BD997" s="493"/>
      <c r="BE997" s="493"/>
      <c r="BF997" s="453"/>
    </row>
    <row r="1000" spans="27:59" ht="14.5" thickBot="1"/>
    <row r="1001" spans="27:59">
      <c r="AA1001" s="114" t="s">
        <v>478</v>
      </c>
      <c r="AB1001" s="431" t="str">
        <f>AB49</f>
        <v>Heat treatment furnace</v>
      </c>
      <c r="AC1001" s="432"/>
      <c r="AD1001" s="433"/>
      <c r="AE1001" s="434"/>
      <c r="AF1001" s="435"/>
      <c r="AG1001" s="409"/>
      <c r="BB1001" s="431" t="str">
        <f>BB50</f>
        <v>Select Equipment</v>
      </c>
      <c r="BC1001" s="432"/>
      <c r="BD1001" s="433"/>
      <c r="BE1001" s="434"/>
      <c r="BF1001" s="435"/>
    </row>
    <row r="1002" spans="27:59">
      <c r="AA1002" s="114" t="s">
        <v>5</v>
      </c>
      <c r="AB1002" s="436" t="s">
        <v>1</v>
      </c>
      <c r="AC1002" s="437">
        <f>AC$14/AC$11/AC$10*VLOOKUP(AB1001,'Unit Ops'!$B$140:$J$209,2,FALSE)</f>
        <v>0</v>
      </c>
      <c r="AD1002" s="438" t="s">
        <v>586</v>
      </c>
      <c r="AE1002" s="1027">
        <f>AC1002*AC$306*AC$307</f>
        <v>0</v>
      </c>
      <c r="AF1002" s="439" t="s">
        <v>585</v>
      </c>
      <c r="AG1002" s="496"/>
      <c r="BA1002" s="114" t="s">
        <v>478</v>
      </c>
      <c r="BB1002" s="436" t="s">
        <v>1</v>
      </c>
      <c r="BC1002" s="437">
        <f>BC$15/BC$11/BC$12*VLOOKUP(BB1001,'Unit Ops'!$B$140:$J$209,2,FALSE)</f>
        <v>0</v>
      </c>
      <c r="BD1002" s="438" t="s">
        <v>586</v>
      </c>
      <c r="BE1002" s="1027">
        <f>BC1002*BC$306*BC$307</f>
        <v>0</v>
      </c>
      <c r="BF1002" s="439" t="s">
        <v>585</v>
      </c>
      <c r="BG1002" s="409"/>
    </row>
    <row r="1003" spans="27:59">
      <c r="AA1003" s="114" t="str">
        <f>$AB$44</f>
        <v>Hopper</v>
      </c>
      <c r="AB1003" s="436" t="s">
        <v>505</v>
      </c>
      <c r="AC1003" s="437">
        <f>ROUNDUP(AC1002*IF(VLOOKUP(AB1001,'Unit Ops'!$B$140:$L$209,11,FALSE)=1,1.5,0.75),1)</f>
        <v>0</v>
      </c>
      <c r="AD1003" s="438" t="s">
        <v>586</v>
      </c>
      <c r="AE1003" s="120">
        <f>AC1003*AC$306*AC$307</f>
        <v>0</v>
      </c>
      <c r="AF1003" s="439" t="s">
        <v>585</v>
      </c>
      <c r="AG1003" s="409"/>
      <c r="BA1003" s="114" t="s">
        <v>5</v>
      </c>
      <c r="BB1003" s="436" t="s">
        <v>505</v>
      </c>
      <c r="BC1003" s="437">
        <f>ROUNDUP(BC1002*IF(VLOOKUP(BB1001,'Unit Ops'!$B$140:$L$209,11,FALSE)=1,1.5,0.75),1)</f>
        <v>0</v>
      </c>
      <c r="BD1003" s="438" t="s">
        <v>586</v>
      </c>
      <c r="BE1003" s="120">
        <f>BC1003*BC$306*BC$307</f>
        <v>0</v>
      </c>
      <c r="BF1003" s="439" t="s">
        <v>585</v>
      </c>
      <c r="BG1003" s="496"/>
    </row>
    <row r="1004" spans="27:59">
      <c r="AA1004" s="114" t="str">
        <f>$AB$45</f>
        <v>Conveyor</v>
      </c>
      <c r="AB1004" s="441" t="s">
        <v>521</v>
      </c>
      <c r="AC1004" s="442" t="e">
        <f>AC1002/AC1003</f>
        <v>#DIV/0!</v>
      </c>
      <c r="AD1004" s="438"/>
      <c r="AE1004" s="443"/>
      <c r="AF1004" s="440"/>
      <c r="AG1004" s="482"/>
      <c r="BA1004" s="114" t="str">
        <f>$BB$45</f>
        <v>Select Equipment</v>
      </c>
      <c r="BB1004" s="441" t="s">
        <v>521</v>
      </c>
      <c r="BC1004" s="442" t="e">
        <f>BC1002/BC1003</f>
        <v>#DIV/0!</v>
      </c>
      <c r="BD1004" s="438"/>
      <c r="BE1004" s="443"/>
      <c r="BF1004" s="440"/>
      <c r="BG1004" s="409"/>
    </row>
    <row r="1005" spans="27:59">
      <c r="AA1005" s="114" t="str">
        <f>$AB$46</f>
        <v>Crusher</v>
      </c>
      <c r="AB1005" s="441" t="s">
        <v>506</v>
      </c>
      <c r="AC1005" s="445"/>
      <c r="AD1005" s="438" t="s">
        <v>454</v>
      </c>
      <c r="AE1005" s="443"/>
      <c r="AF1005" s="440"/>
      <c r="AG1005" s="470"/>
      <c r="BA1005" s="114" t="str">
        <f>$BB$46</f>
        <v>Select Equipment</v>
      </c>
      <c r="BB1005" s="441" t="s">
        <v>506</v>
      </c>
      <c r="BC1005" s="445"/>
      <c r="BD1005" s="438" t="s">
        <v>454</v>
      </c>
      <c r="BE1005" s="443"/>
      <c r="BF1005" s="440"/>
      <c r="BG1005" s="482"/>
    </row>
    <row r="1006" spans="27:59">
      <c r="AA1006" s="114" t="str">
        <f>$AB$47</f>
        <v>Screen, vibrating</v>
      </c>
      <c r="AB1006" s="436" t="s">
        <v>507</v>
      </c>
      <c r="AC1006" s="225" t="e">
        <f>(VLOOKUP(AB1001,'Unit Ops'!$B$140:$J$209,7,FALSE)*AC1003^VLOOKUP(AB1001,'Unit Ops'!$B$140:$J$209,8,FALSE)+VLOOKUP(AB1001,'Unit Ops'!$B$140:$J$209,9,FALSE))*IF(VLOOKUP(AB1001,'Unit Ops'!$B$140:$L$209,11,FALSE)=1,1,2)</f>
        <v>#NUM!</v>
      </c>
      <c r="AD1006" s="446" t="s">
        <v>454</v>
      </c>
      <c r="AE1006" s="443"/>
      <c r="AF1006" s="440"/>
      <c r="AG1006" s="496"/>
      <c r="BA1006" s="114" t="str">
        <f>$BB$47</f>
        <v>Select Equipment</v>
      </c>
      <c r="BB1006" s="436" t="s">
        <v>507</v>
      </c>
      <c r="BC1006" s="225" t="e">
        <f>(VLOOKUP(BB1001,'Unit Ops'!$B$140:$J$209,7,FALSE)*BC1003^VLOOKUP(BB1001,'Unit Ops'!$B$140:$J$209,8,FALSE)+VLOOKUP(BB1001,'Unit Ops'!$B$140:$J$209,9,FALSE))*IF(VLOOKUP(BB1001,'Unit Ops'!$B$140:$L$209,11,FALSE)=1,1,2)</f>
        <v>#NUM!</v>
      </c>
      <c r="BD1006" s="446" t="s">
        <v>454</v>
      </c>
      <c r="BE1006" s="443"/>
      <c r="BF1006" s="440"/>
      <c r="BG1006" s="470"/>
    </row>
    <row r="1007" spans="27:59">
      <c r="AA1007" s="114" t="str">
        <f>$AB$48</f>
        <v>Conveyor</v>
      </c>
      <c r="AB1007" s="441"/>
      <c r="AC1007" s="445"/>
      <c r="AD1007" s="447"/>
      <c r="AE1007" s="443"/>
      <c r="AF1007" s="440"/>
      <c r="AG1007" s="503"/>
      <c r="BA1007" s="114" t="str">
        <f>$BB$48</f>
        <v>Select Equipment</v>
      </c>
      <c r="BB1007" s="441"/>
      <c r="BC1007" s="445"/>
      <c r="BD1007" s="447"/>
      <c r="BE1007" s="443"/>
      <c r="BF1007" s="440"/>
      <c r="BG1007" s="496"/>
    </row>
    <row r="1008" spans="27:59">
      <c r="AA1008" s="114" t="str">
        <f>$AB$49</f>
        <v>Heat treatment furnace</v>
      </c>
      <c r="AB1008" s="441"/>
      <c r="AC1008" s="445"/>
      <c r="AD1008" s="447"/>
      <c r="AE1008" s="443"/>
      <c r="AF1008" s="440"/>
      <c r="AG1008" s="409"/>
      <c r="BA1008" s="114" t="str">
        <f>$BB$49</f>
        <v>Select Equipment</v>
      </c>
      <c r="BB1008" s="441"/>
      <c r="BC1008" s="445"/>
      <c r="BD1008" s="447"/>
      <c r="BE1008" s="443"/>
      <c r="BF1008" s="440"/>
      <c r="BG1008" s="503"/>
    </row>
    <row r="1009" spans="27:59">
      <c r="AA1009" s="114" t="str">
        <f>$AB$50</f>
        <v>Cyclone</v>
      </c>
      <c r="AB1009" s="449"/>
      <c r="AC1009" s="445"/>
      <c r="AD1009" s="447"/>
      <c r="AE1009" s="443"/>
      <c r="AF1009" s="440"/>
      <c r="AG1009" s="514"/>
      <c r="BA1009" s="114" t="str">
        <f>$BB$50</f>
        <v>Select Equipment</v>
      </c>
      <c r="BB1009" s="449"/>
      <c r="BC1009" s="445"/>
      <c r="BD1009" s="447"/>
      <c r="BE1009" s="443"/>
      <c r="BF1009" s="440"/>
      <c r="BG1009" s="409"/>
    </row>
    <row r="1010" spans="27:59" ht="14.5" thickBot="1">
      <c r="AA1010" s="114" t="str">
        <f>$AB$51</f>
        <v>Conveyor</v>
      </c>
      <c r="AB1010" s="450"/>
      <c r="AC1010" s="451"/>
      <c r="AD1010" s="451"/>
      <c r="AE1010" s="452"/>
      <c r="AF1010" s="453"/>
      <c r="AG1010" s="514"/>
      <c r="BA1010" s="114" t="str">
        <f>$BB$51</f>
        <v>Select Equipment</v>
      </c>
      <c r="BB1010" s="450"/>
      <c r="BC1010" s="451"/>
      <c r="BD1010" s="451"/>
      <c r="BE1010" s="452"/>
      <c r="BF1010" s="453"/>
      <c r="BG1010" s="514"/>
    </row>
    <row r="1011" spans="27:59">
      <c r="AA1011" s="114" t="str">
        <f>$AB$52</f>
        <v>Eddy current separator</v>
      </c>
      <c r="AB1011" s="449" t="s">
        <v>470</v>
      </c>
      <c r="AC1011" s="120"/>
      <c r="AD1011" s="454"/>
      <c r="AE1011" s="120"/>
      <c r="AF1011" s="440"/>
      <c r="AG1011" s="474"/>
      <c r="BA1011" s="114" t="str">
        <f>$BB$52</f>
        <v>Select Equipment</v>
      </c>
      <c r="BB1011" s="449" t="s">
        <v>470</v>
      </c>
      <c r="BC1011" s="120"/>
      <c r="BD1011" s="454"/>
      <c r="BE1011" s="120"/>
      <c r="BF1011" s="440"/>
      <c r="BG1011" s="514"/>
    </row>
    <row r="1012" spans="27:59" ht="14.5" customHeight="1">
      <c r="AA1012" s="114" t="str">
        <f>$AB$53</f>
        <v>Conveyor</v>
      </c>
      <c r="AB1012" s="1698"/>
      <c r="AC1012" s="1699"/>
      <c r="AD1012" s="1699"/>
      <c r="AE1012" s="1699"/>
      <c r="AF1012" s="1700"/>
      <c r="AG1012" s="474"/>
      <c r="BA1012" s="114" t="str">
        <f>$BB$53</f>
        <v>Select Equipment</v>
      </c>
      <c r="BB1012" s="1698"/>
      <c r="BC1012" s="1699"/>
      <c r="BD1012" s="1699"/>
      <c r="BE1012" s="1699"/>
      <c r="BF1012" s="1700"/>
      <c r="BG1012" s="474"/>
    </row>
    <row r="1013" spans="27:59">
      <c r="AA1013" s="114" t="str">
        <f>$AB$54</f>
        <v>Air classifier</v>
      </c>
      <c r="AB1013" s="436"/>
      <c r="AC1013" s="120"/>
      <c r="AD1013" s="455"/>
      <c r="AE1013" s="120"/>
      <c r="AF1013" s="440"/>
      <c r="AG1013" s="474"/>
      <c r="BA1013" s="114" t="str">
        <f>$BB$54</f>
        <v>Select Equipment</v>
      </c>
      <c r="BB1013" s="436"/>
      <c r="BC1013" s="120"/>
      <c r="BD1013" s="455"/>
      <c r="BE1013" s="120"/>
      <c r="BF1013" s="440"/>
      <c r="BG1013" s="474"/>
    </row>
    <row r="1014" spans="27:59">
      <c r="AA1014" s="114" t="str">
        <f>$AB$55</f>
        <v>Gas treatment</v>
      </c>
      <c r="AB1014" s="436"/>
      <c r="AC1014" s="120"/>
      <c r="AD1014" s="455"/>
      <c r="AE1014" s="120"/>
      <c r="AF1014" s="440"/>
      <c r="AG1014" s="474"/>
      <c r="BA1014" s="114" t="str">
        <f>$BB$55</f>
        <v>Select Equipment</v>
      </c>
      <c r="BB1014" s="436"/>
      <c r="BC1014" s="120"/>
      <c r="BD1014" s="455"/>
      <c r="BE1014" s="120"/>
      <c r="BF1014" s="440"/>
      <c r="BG1014" s="474"/>
    </row>
    <row r="1015" spans="27:59">
      <c r="AA1015" s="114" t="str">
        <f>$AB$56</f>
        <v>Wheel loader</v>
      </c>
      <c r="AB1015" s="456"/>
      <c r="AC1015" s="457"/>
      <c r="AD1015" s="457"/>
      <c r="AE1015" s="457"/>
      <c r="AF1015" s="458"/>
      <c r="AG1015" s="460"/>
      <c r="BA1015" s="114" t="str">
        <f>$BB$56</f>
        <v>Select Equipment</v>
      </c>
      <c r="BB1015" s="456"/>
      <c r="BC1015" s="457"/>
      <c r="BD1015" s="457"/>
      <c r="BE1015" s="457"/>
      <c r="BF1015" s="458"/>
      <c r="BG1015" s="474"/>
    </row>
    <row r="1016" spans="27:59">
      <c r="AA1016" s="114" t="str">
        <f>$AB$57</f>
        <v>Select Equipment</v>
      </c>
      <c r="AB1016" s="449" t="s">
        <v>471</v>
      </c>
      <c r="AC1016" s="120"/>
      <c r="AD1016" s="454"/>
      <c r="AE1016" s="120"/>
      <c r="AF1016" s="440"/>
      <c r="AG1016" s="505"/>
      <c r="BA1016" s="114" t="str">
        <f>$BB$57</f>
        <v>Select Equipment</v>
      </c>
      <c r="BB1016" s="449" t="s">
        <v>471</v>
      </c>
      <c r="BC1016" s="120"/>
      <c r="BD1016" s="454"/>
      <c r="BE1016" s="120"/>
      <c r="BF1016" s="440"/>
      <c r="BG1016" s="460"/>
    </row>
    <row r="1017" spans="27:59">
      <c r="AA1017" s="114" t="str">
        <f>$AB$58</f>
        <v>Select Equipment</v>
      </c>
      <c r="AB1017" s="436" t="s">
        <v>577</v>
      </c>
      <c r="AC1017" s="225" t="e">
        <f>AC1006*IF(AC1004&gt;1,1,AC1004)</f>
        <v>#NUM!</v>
      </c>
      <c r="AD1017" s="446" t="s">
        <v>454</v>
      </c>
      <c r="AE1017" s="120"/>
      <c r="AF1017" s="440"/>
      <c r="AG1017" s="507"/>
      <c r="BA1017" s="114" t="str">
        <f>$BB$58</f>
        <v>Select Equipment</v>
      </c>
      <c r="BB1017" s="436" t="s">
        <v>577</v>
      </c>
      <c r="BC1017" s="225" t="e">
        <f>BC1006*IF(BC1004&gt;1,1,BC1004)</f>
        <v>#NUM!</v>
      </c>
      <c r="BD1017" s="446" t="s">
        <v>454</v>
      </c>
      <c r="BE1017" s="120"/>
      <c r="BF1017" s="440"/>
      <c r="BG1017" s="505"/>
    </row>
    <row r="1018" spans="27:59">
      <c r="AA1018" s="114" t="str">
        <f>$AB$59</f>
        <v>Select Equipment</v>
      </c>
      <c r="AB1018" s="436" t="s">
        <v>578</v>
      </c>
      <c r="AC1018" s="225"/>
      <c r="AD1018" s="446" t="s">
        <v>579</v>
      </c>
      <c r="AE1018" s="120"/>
      <c r="AF1018" s="440"/>
      <c r="AG1018" s="409"/>
      <c r="BA1018" s="114" t="str">
        <f>$BB$59</f>
        <v>Select Equipment</v>
      </c>
      <c r="BB1018" s="436" t="s">
        <v>578</v>
      </c>
      <c r="BC1018" s="225"/>
      <c r="BD1018" s="446" t="s">
        <v>579</v>
      </c>
      <c r="BE1018" s="120"/>
      <c r="BF1018" s="440"/>
      <c r="BG1018" s="507"/>
    </row>
    <row r="1019" spans="27:59">
      <c r="AA1019" s="114" t="str">
        <f>$AB$60</f>
        <v>Select Equipment</v>
      </c>
      <c r="AB1019" s="436"/>
      <c r="AC1019" s="120"/>
      <c r="AD1019" s="446"/>
      <c r="AE1019" s="120"/>
      <c r="AF1019" s="440"/>
      <c r="BA1019" s="114" t="str">
        <f>$BB$60</f>
        <v>Select Equipment</v>
      </c>
      <c r="BB1019" s="436"/>
      <c r="BC1019" s="120"/>
      <c r="BD1019" s="446"/>
      <c r="BE1019" s="120"/>
      <c r="BF1019" s="440"/>
      <c r="BG1019" s="409"/>
    </row>
    <row r="1020" spans="27:59">
      <c r="AA1020" s="114" t="str">
        <f>$AB$61</f>
        <v>Select Equipment</v>
      </c>
      <c r="AB1020" s="436" t="s">
        <v>8</v>
      </c>
      <c r="AC1020" s="120"/>
      <c r="AD1020" s="459" t="s">
        <v>564</v>
      </c>
      <c r="AE1020" s="120"/>
      <c r="AF1020" s="440"/>
      <c r="BA1020" s="114" t="str">
        <f>$BB$61</f>
        <v>Select Equipment</v>
      </c>
      <c r="BB1020" s="436" t="s">
        <v>8</v>
      </c>
      <c r="BC1020" s="120"/>
      <c r="BD1020" s="459" t="s">
        <v>564</v>
      </c>
      <c r="BE1020" s="120"/>
      <c r="BF1020" s="440"/>
    </row>
    <row r="1021" spans="27:59">
      <c r="AA1021" s="114" t="str">
        <f>$AB$62</f>
        <v>Select Equipment</v>
      </c>
      <c r="AB1021" s="436"/>
      <c r="AC1021" s="120"/>
      <c r="AD1021" s="459"/>
      <c r="AE1021" s="120"/>
      <c r="AF1021" s="440"/>
      <c r="BA1021" s="114" t="str">
        <f>$BB$62</f>
        <v>Select Equipment</v>
      </c>
      <c r="BB1021" s="436"/>
      <c r="BC1021" s="120"/>
      <c r="BD1021" s="459"/>
      <c r="BE1021" s="120"/>
      <c r="BF1021" s="440"/>
    </row>
    <row r="1022" spans="27:59">
      <c r="AA1022" s="114" t="str">
        <f>$AB$63</f>
        <v>Select Equipment</v>
      </c>
      <c r="AB1022" s="436" t="s">
        <v>7</v>
      </c>
      <c r="AC1022" s="120"/>
      <c r="AD1022" s="459" t="s">
        <v>564</v>
      </c>
      <c r="AE1022" s="120"/>
      <c r="AF1022" s="440"/>
      <c r="BA1022" s="114" t="str">
        <f>$BB$63</f>
        <v>Select Equipment</v>
      </c>
      <c r="BB1022" s="436" t="s">
        <v>7</v>
      </c>
      <c r="BC1022" s="120"/>
      <c r="BD1022" s="459" t="s">
        <v>564</v>
      </c>
      <c r="BE1022" s="120"/>
      <c r="BF1022" s="440"/>
    </row>
    <row r="1023" spans="27:59">
      <c r="AA1023"/>
      <c r="AB1023" s="436"/>
      <c r="AC1023" s="120"/>
      <c r="AD1023" s="459"/>
      <c r="AE1023" s="120"/>
      <c r="AF1023" s="440"/>
      <c r="BA1023" s="114" t="str">
        <f>$BB$64</f>
        <v>Select Equipment</v>
      </c>
      <c r="BB1023" s="436"/>
      <c r="BC1023" s="120"/>
      <c r="BD1023" s="459"/>
      <c r="BE1023" s="120"/>
      <c r="BF1023" s="440"/>
    </row>
    <row r="1024" spans="27:59">
      <c r="AA1024"/>
      <c r="AB1024" s="436" t="s">
        <v>9</v>
      </c>
      <c r="AC1024" s="120"/>
      <c r="AD1024" s="459" t="s">
        <v>564</v>
      </c>
      <c r="AE1024" s="120"/>
      <c r="AF1024" s="440"/>
      <c r="BA1024"/>
      <c r="BB1024" s="436" t="s">
        <v>9</v>
      </c>
      <c r="BC1024" s="120"/>
      <c r="BD1024" s="459" t="s">
        <v>564</v>
      </c>
      <c r="BE1024" s="120"/>
      <c r="BF1024" s="440"/>
    </row>
    <row r="1025" spans="27:58">
      <c r="AA1025"/>
      <c r="AB1025" s="436"/>
      <c r="AC1025" s="120"/>
      <c r="AD1025" s="459"/>
      <c r="AE1025" s="120"/>
      <c r="AF1025" s="440"/>
      <c r="BA1025"/>
      <c r="BB1025" s="436"/>
      <c r="BC1025" s="120"/>
      <c r="BD1025" s="459"/>
      <c r="BE1025" s="120"/>
      <c r="BF1025" s="440"/>
    </row>
    <row r="1026" spans="27:58">
      <c r="AA1026"/>
      <c r="AB1026" s="436" t="s">
        <v>324</v>
      </c>
      <c r="AC1026" s="120"/>
      <c r="AD1026" s="459" t="s">
        <v>564</v>
      </c>
      <c r="AE1026" s="120"/>
      <c r="AF1026" s="440" t="s">
        <v>569</v>
      </c>
      <c r="BA1026"/>
      <c r="BB1026" s="436" t="s">
        <v>324</v>
      </c>
      <c r="BC1026" s="120"/>
      <c r="BD1026" s="459" t="s">
        <v>564</v>
      </c>
      <c r="BE1026" s="120"/>
      <c r="BF1026" s="440" t="s">
        <v>569</v>
      </c>
    </row>
    <row r="1027" spans="27:58">
      <c r="AA1027"/>
      <c r="AB1027" s="436"/>
      <c r="AC1027" s="120"/>
      <c r="AD1027" s="468"/>
      <c r="AE1027" s="469"/>
      <c r="AF1027" s="440"/>
      <c r="BA1027"/>
      <c r="BB1027" s="436"/>
      <c r="BC1027" s="120"/>
      <c r="BD1027" s="468"/>
      <c r="BE1027" s="469"/>
      <c r="BF1027" s="440"/>
    </row>
    <row r="1028" spans="27:58">
      <c r="AA1028"/>
      <c r="AB1028" s="436" t="s">
        <v>374</v>
      </c>
      <c r="AC1028" s="120"/>
      <c r="AD1028" s="459" t="s">
        <v>564</v>
      </c>
      <c r="AE1028" s="469"/>
      <c r="AF1028" s="440" t="s">
        <v>569</v>
      </c>
      <c r="BA1028"/>
      <c r="BB1028" s="436" t="s">
        <v>374</v>
      </c>
      <c r="BC1028" s="120"/>
      <c r="BD1028" s="459" t="s">
        <v>564</v>
      </c>
      <c r="BE1028" s="469"/>
      <c r="BF1028" s="440" t="s">
        <v>569</v>
      </c>
    </row>
    <row r="1029" spans="27:58">
      <c r="AA1029"/>
      <c r="AB1029" s="436"/>
      <c r="AC1029" s="120"/>
      <c r="AD1029" s="472"/>
      <c r="AE1029" s="473"/>
      <c r="AF1029" s="440"/>
      <c r="BA1029"/>
      <c r="BB1029" s="436"/>
      <c r="BC1029" s="120"/>
      <c r="BD1029" s="472"/>
      <c r="BE1029" s="473"/>
      <c r="BF1029" s="440"/>
    </row>
    <row r="1030" spans="27:58">
      <c r="AA1030"/>
      <c r="AB1030" s="436" t="s">
        <v>580</v>
      </c>
      <c r="AC1030" s="120"/>
      <c r="AD1030" s="459" t="s">
        <v>564</v>
      </c>
      <c r="AE1030" s="473"/>
      <c r="AF1030" s="440" t="s">
        <v>569</v>
      </c>
      <c r="BA1030"/>
      <c r="BB1030" s="436" t="s">
        <v>580</v>
      </c>
      <c r="BC1030" s="120"/>
      <c r="BD1030" s="459" t="s">
        <v>564</v>
      </c>
      <c r="BE1030" s="473"/>
      <c r="BF1030" s="440" t="s">
        <v>569</v>
      </c>
    </row>
    <row r="1031" spans="27:58">
      <c r="AA1031"/>
      <c r="AB1031" s="476"/>
      <c r="AC1031" s="477"/>
      <c r="AD1031" s="478"/>
      <c r="AE1031" s="479"/>
      <c r="AF1031" s="458"/>
      <c r="BA1031"/>
      <c r="BB1031" s="476"/>
      <c r="BC1031" s="477"/>
      <c r="BD1031" s="478"/>
      <c r="BE1031" s="479"/>
      <c r="BF1031" s="458"/>
    </row>
    <row r="1032" spans="27:58">
      <c r="AA1032"/>
      <c r="AB1032" s="449" t="s">
        <v>473</v>
      </c>
      <c r="AC1032" s="467" t="s">
        <v>508</v>
      </c>
      <c r="AD1032" s="480"/>
      <c r="AE1032" s="481" t="s">
        <v>308</v>
      </c>
      <c r="AF1032" s="440"/>
      <c r="BA1032"/>
      <c r="BB1032" s="449" t="s">
        <v>473</v>
      </c>
      <c r="BC1032" s="467" t="s">
        <v>508</v>
      </c>
      <c r="BD1032" s="480"/>
      <c r="BE1032" s="481" t="s">
        <v>308</v>
      </c>
      <c r="BF1032" s="440"/>
    </row>
    <row r="1033" spans="27:58">
      <c r="AB1033" s="436"/>
      <c r="AC1033" s="483"/>
      <c r="AD1033" s="480"/>
      <c r="AE1033" s="484"/>
      <c r="AF1033" s="440"/>
      <c r="BA1033"/>
      <c r="BB1033" s="436"/>
      <c r="BC1033" s="483"/>
      <c r="BD1033" s="480"/>
      <c r="BE1033" s="484"/>
      <c r="BF1033" s="440"/>
    </row>
    <row r="1034" spans="27:58">
      <c r="AB1034" s="436"/>
      <c r="AC1034" s="120"/>
      <c r="AD1034" s="223"/>
      <c r="AE1034" s="467"/>
      <c r="AF1034" s="440"/>
      <c r="BB1034" s="436"/>
      <c r="BC1034" s="120"/>
      <c r="BD1034" s="223"/>
      <c r="BE1034" s="467"/>
      <c r="BF1034" s="440"/>
    </row>
    <row r="1035" spans="27:58">
      <c r="AB1035" s="436"/>
      <c r="AC1035" s="120"/>
      <c r="AD1035" s="466"/>
      <c r="AE1035" s="467"/>
      <c r="AF1035" s="440"/>
      <c r="BB1035" s="436"/>
      <c r="BC1035" s="120"/>
      <c r="BD1035" s="466"/>
      <c r="BE1035" s="467"/>
      <c r="BF1035" s="440"/>
    </row>
    <row r="1036" spans="27:58">
      <c r="AB1036" s="436"/>
      <c r="AC1036" s="120"/>
      <c r="AD1036" s="223"/>
      <c r="AE1036" s="467"/>
      <c r="AF1036" s="440"/>
      <c r="BB1036" s="436"/>
      <c r="BC1036" s="120"/>
      <c r="BD1036" s="223"/>
      <c r="BE1036" s="467"/>
      <c r="BF1036" s="440"/>
    </row>
    <row r="1037" spans="27:58">
      <c r="AB1037" s="436"/>
      <c r="AC1037" s="120"/>
      <c r="AD1037" s="223"/>
      <c r="AE1037" s="467"/>
      <c r="AF1037" s="440"/>
      <c r="BB1037" s="436"/>
      <c r="BC1037" s="120"/>
      <c r="BD1037" s="223"/>
      <c r="BE1037" s="467"/>
      <c r="BF1037" s="440"/>
    </row>
    <row r="1038" spans="27:58">
      <c r="AB1038" s="436"/>
      <c r="AC1038" s="120"/>
      <c r="AD1038" s="471"/>
      <c r="AE1038" s="467"/>
      <c r="AF1038" s="440"/>
      <c r="BB1038" s="436"/>
      <c r="BC1038" s="120"/>
      <c r="BD1038" s="471"/>
      <c r="BE1038" s="467"/>
      <c r="BF1038" s="440"/>
    </row>
    <row r="1039" spans="27:58">
      <c r="AB1039" s="436"/>
      <c r="AC1039" s="120"/>
      <c r="AD1039" s="223"/>
      <c r="AE1039" s="467"/>
      <c r="AF1039" s="440"/>
      <c r="BB1039" s="436"/>
      <c r="BC1039" s="120"/>
      <c r="BD1039" s="223"/>
      <c r="BE1039" s="467"/>
      <c r="BF1039" s="440"/>
    </row>
    <row r="1040" spans="27:58">
      <c r="AB1040" s="436"/>
      <c r="AC1040" s="120"/>
      <c r="AD1040" s="475"/>
      <c r="AE1040" s="467"/>
      <c r="AF1040" s="440"/>
      <c r="BB1040" s="436"/>
      <c r="BC1040" s="120"/>
      <c r="BD1040" s="475"/>
      <c r="BE1040" s="467"/>
      <c r="BF1040" s="440"/>
    </row>
    <row r="1041" spans="28:58">
      <c r="AB1041" s="436"/>
      <c r="AC1041" s="120"/>
      <c r="AD1041" s="223"/>
      <c r="AE1041" s="467"/>
      <c r="AF1041" s="440"/>
      <c r="BB1041" s="436"/>
      <c r="BC1041" s="120"/>
      <c r="BD1041" s="223"/>
      <c r="BE1041" s="467"/>
      <c r="BF1041" s="440"/>
    </row>
    <row r="1042" spans="28:58">
      <c r="AB1042" s="436"/>
      <c r="AC1042" s="120"/>
      <c r="AD1042" s="223"/>
      <c r="AE1042" s="467"/>
      <c r="AF1042" s="440"/>
      <c r="BB1042" s="436"/>
      <c r="BC1042" s="120"/>
      <c r="BD1042" s="223"/>
      <c r="BE1042" s="467"/>
      <c r="BF1042" s="440"/>
    </row>
    <row r="1043" spans="28:58">
      <c r="AB1043" s="436"/>
      <c r="AC1043" s="120"/>
      <c r="AD1043" s="223"/>
      <c r="AE1043" s="467"/>
      <c r="AF1043" s="440"/>
      <c r="BB1043" s="436"/>
      <c r="BC1043" s="120"/>
      <c r="BD1043" s="223"/>
      <c r="BE1043" s="467"/>
      <c r="BF1043" s="440"/>
    </row>
    <row r="1044" spans="28:58">
      <c r="AB1044" s="436"/>
      <c r="AC1044" s="120"/>
      <c r="AD1044" s="223"/>
      <c r="AE1044" s="467"/>
      <c r="AF1044" s="440"/>
      <c r="BB1044" s="436"/>
      <c r="BC1044" s="120"/>
      <c r="BD1044" s="223"/>
      <c r="BE1044" s="467"/>
      <c r="BF1044" s="440"/>
    </row>
    <row r="1045" spans="28:58">
      <c r="AB1045" s="436"/>
      <c r="AC1045" s="120"/>
      <c r="AD1045" s="120"/>
      <c r="AE1045" s="467"/>
      <c r="AF1045" s="440"/>
      <c r="BB1045" s="436"/>
      <c r="BC1045" s="120"/>
      <c r="BD1045" s="120"/>
      <c r="BE1045" s="467"/>
      <c r="BF1045" s="440"/>
    </row>
    <row r="1046" spans="28:58">
      <c r="AB1046" s="456"/>
      <c r="AC1046" s="457"/>
      <c r="AD1046" s="457"/>
      <c r="AE1046" s="477"/>
      <c r="AF1046" s="458"/>
      <c r="BB1046" s="456"/>
      <c r="BC1046" s="457"/>
      <c r="BD1046" s="457"/>
      <c r="BE1046" s="477"/>
      <c r="BF1046" s="458"/>
    </row>
    <row r="1047" spans="28:58">
      <c r="AB1047" s="449" t="s">
        <v>474</v>
      </c>
      <c r="AC1047" s="120"/>
      <c r="AD1047" s="120" t="s">
        <v>1</v>
      </c>
      <c r="AE1047" s="310" t="s">
        <v>307</v>
      </c>
      <c r="AF1047" s="440"/>
      <c r="BB1047" s="449" t="s">
        <v>474</v>
      </c>
      <c r="BC1047" s="120"/>
      <c r="BD1047" s="120" t="s">
        <v>1</v>
      </c>
      <c r="BE1047" s="310" t="s">
        <v>307</v>
      </c>
      <c r="BF1047" s="440"/>
    </row>
    <row r="1048" spans="28:58">
      <c r="AB1048" s="436"/>
      <c r="AC1048" s="223"/>
      <c r="AD1048" s="480"/>
      <c r="AE1048" s="484"/>
      <c r="AF1048" s="440"/>
      <c r="BB1048" s="436"/>
      <c r="BC1048" s="223"/>
      <c r="BD1048" s="480"/>
      <c r="BE1048" s="484"/>
      <c r="BF1048" s="440"/>
    </row>
    <row r="1049" spans="28:58">
      <c r="AB1049" s="436"/>
      <c r="AC1049" s="120"/>
      <c r="AD1049" s="120"/>
      <c r="AE1049" s="467"/>
      <c r="AF1049" s="440"/>
      <c r="BB1049" s="436"/>
      <c r="BC1049" s="120"/>
      <c r="BD1049" s="120"/>
      <c r="BE1049" s="467"/>
      <c r="BF1049" s="440"/>
    </row>
    <row r="1050" spans="28:58">
      <c r="AB1050" s="436"/>
      <c r="AC1050" s="120"/>
      <c r="AD1050" s="120"/>
      <c r="AE1050" s="467"/>
      <c r="AF1050" s="440"/>
      <c r="BB1050" s="436"/>
      <c r="BC1050" s="120"/>
      <c r="BD1050" s="120"/>
      <c r="BE1050" s="467"/>
      <c r="BF1050" s="440"/>
    </row>
    <row r="1051" spans="28:58">
      <c r="AB1051" s="436"/>
      <c r="AC1051" s="120"/>
      <c r="AD1051" s="120"/>
      <c r="AE1051" s="467"/>
      <c r="AF1051" s="440"/>
      <c r="BB1051" s="436"/>
      <c r="BC1051" s="120"/>
      <c r="BD1051" s="120"/>
      <c r="BE1051" s="467"/>
      <c r="BF1051" s="440"/>
    </row>
    <row r="1052" spans="28:58">
      <c r="AB1052" s="436"/>
      <c r="AC1052" s="120"/>
      <c r="AD1052" s="120"/>
      <c r="AE1052" s="467"/>
      <c r="AF1052" s="440"/>
      <c r="BB1052" s="436"/>
      <c r="BC1052" s="120"/>
      <c r="BD1052" s="120"/>
      <c r="BE1052" s="467"/>
      <c r="BF1052" s="440"/>
    </row>
    <row r="1053" spans="28:58">
      <c r="AB1053" s="436"/>
      <c r="AC1053" s="120"/>
      <c r="AD1053" s="120"/>
      <c r="AE1053" s="467"/>
      <c r="AF1053" s="440"/>
      <c r="BB1053" s="436"/>
      <c r="BC1053" s="120"/>
      <c r="BD1053" s="120"/>
      <c r="BE1053" s="467"/>
      <c r="BF1053" s="440"/>
    </row>
    <row r="1054" spans="28:58">
      <c r="AB1054" s="436"/>
      <c r="AC1054" s="120"/>
      <c r="AD1054" s="120"/>
      <c r="AE1054" s="467"/>
      <c r="AF1054" s="440"/>
      <c r="BB1054" s="436"/>
      <c r="BC1054" s="120"/>
      <c r="BD1054" s="120"/>
      <c r="BE1054" s="467"/>
      <c r="BF1054" s="440"/>
    </row>
    <row r="1055" spans="28:58">
      <c r="AB1055" s="436"/>
      <c r="AC1055" s="120"/>
      <c r="AD1055" s="120"/>
      <c r="AE1055" s="467"/>
      <c r="AF1055" s="440"/>
      <c r="BB1055" s="436"/>
      <c r="BC1055" s="120"/>
      <c r="BD1055" s="120"/>
      <c r="BE1055" s="467"/>
      <c r="BF1055" s="440"/>
    </row>
    <row r="1056" spans="28:58">
      <c r="AB1056" s="436"/>
      <c r="AC1056" s="120"/>
      <c r="AD1056" s="120"/>
      <c r="AE1056" s="467"/>
      <c r="AF1056" s="440"/>
      <c r="BB1056" s="436"/>
      <c r="BC1056" s="120"/>
      <c r="BD1056" s="120"/>
      <c r="BE1056" s="467"/>
      <c r="BF1056" s="440"/>
    </row>
    <row r="1057" spans="28:58">
      <c r="AB1057" s="436"/>
      <c r="AC1057" s="120"/>
      <c r="AD1057" s="120"/>
      <c r="AE1057" s="467"/>
      <c r="AF1057" s="440"/>
      <c r="BB1057" s="436"/>
      <c r="BC1057" s="120"/>
      <c r="BD1057" s="120"/>
      <c r="BE1057" s="467"/>
      <c r="BF1057" s="440"/>
    </row>
    <row r="1058" spans="28:58">
      <c r="AB1058" s="436"/>
      <c r="AC1058" s="120"/>
      <c r="AD1058" s="120"/>
      <c r="AE1058" s="467"/>
      <c r="AF1058" s="440"/>
      <c r="BB1058" s="436"/>
      <c r="BC1058" s="120"/>
      <c r="BD1058" s="120"/>
      <c r="BE1058" s="467"/>
      <c r="BF1058" s="440"/>
    </row>
    <row r="1059" spans="28:58">
      <c r="AB1059" s="436"/>
      <c r="AC1059" s="120"/>
      <c r="AD1059" s="120"/>
      <c r="AE1059" s="467"/>
      <c r="AF1059" s="440"/>
      <c r="BB1059" s="436"/>
      <c r="BC1059" s="120"/>
      <c r="BD1059" s="120"/>
      <c r="BE1059" s="467"/>
      <c r="BF1059" s="440"/>
    </row>
    <row r="1060" spans="28:58">
      <c r="AB1060" s="456"/>
      <c r="AC1060" s="457"/>
      <c r="AD1060" s="457"/>
      <c r="AE1060" s="477"/>
      <c r="AF1060" s="458"/>
      <c r="BB1060" s="456"/>
      <c r="BC1060" s="457"/>
      <c r="BD1060" s="457"/>
      <c r="BE1060" s="477"/>
      <c r="BF1060" s="458"/>
    </row>
    <row r="1061" spans="28:58">
      <c r="AB1061" s="456"/>
      <c r="AC1061" s="457"/>
      <c r="AD1061" s="457"/>
      <c r="AE1061" s="457"/>
      <c r="AF1061" s="458"/>
      <c r="BB1061" s="456"/>
      <c r="BC1061" s="457"/>
      <c r="BD1061" s="457"/>
      <c r="BE1061" s="457"/>
      <c r="BF1061" s="458"/>
    </row>
    <row r="1062" spans="28:58">
      <c r="AB1062" s="449" t="s">
        <v>475</v>
      </c>
      <c r="AC1062" s="120"/>
      <c r="AD1062" s="120"/>
      <c r="AE1062" s="120"/>
      <c r="AF1062" s="440"/>
      <c r="BB1062" s="449" t="s">
        <v>475</v>
      </c>
      <c r="BC1062" s="120"/>
      <c r="BD1062" s="120"/>
      <c r="BE1062" s="120"/>
      <c r="BF1062" s="440"/>
    </row>
    <row r="1063" spans="28:58">
      <c r="AB1063" s="436" t="s">
        <v>509</v>
      </c>
      <c r="AC1063" s="120"/>
      <c r="AD1063" s="120"/>
      <c r="AE1063" s="120"/>
      <c r="AF1063" s="440"/>
      <c r="BB1063" s="436" t="s">
        <v>509</v>
      </c>
      <c r="BC1063" s="120"/>
      <c r="BD1063" s="120"/>
      <c r="BE1063" s="120"/>
      <c r="BF1063" s="440"/>
    </row>
    <row r="1064" spans="28:58">
      <c r="AB1064" s="436" t="s">
        <v>510</v>
      </c>
      <c r="AC1064" s="120"/>
      <c r="AD1064" s="120"/>
      <c r="AE1064" s="120"/>
      <c r="AF1064" s="440"/>
      <c r="BB1064" s="436" t="s">
        <v>510</v>
      </c>
      <c r="BC1064" s="120"/>
      <c r="BD1064" s="120"/>
      <c r="BE1064" s="120"/>
      <c r="BF1064" s="440"/>
    </row>
    <row r="1065" spans="28:58">
      <c r="AB1065" s="436"/>
      <c r="AC1065" s="120"/>
      <c r="AD1065" s="120"/>
      <c r="AE1065" s="120"/>
      <c r="AF1065" s="440"/>
      <c r="BB1065" s="436"/>
      <c r="BC1065" s="120"/>
      <c r="BD1065" s="120"/>
      <c r="BE1065" s="120"/>
      <c r="BF1065" s="440"/>
    </row>
    <row r="1066" spans="28:58">
      <c r="AB1066" s="436"/>
      <c r="AC1066" s="120"/>
      <c r="AD1066" s="120"/>
      <c r="AE1066" s="120"/>
      <c r="AF1066" s="440"/>
      <c r="BB1066" s="436"/>
      <c r="BC1066" s="120"/>
      <c r="BD1066" s="120"/>
      <c r="BE1066" s="120"/>
      <c r="BF1066" s="440"/>
    </row>
    <row r="1067" spans="28:58">
      <c r="AB1067" s="436"/>
      <c r="AC1067" s="120"/>
      <c r="AD1067" s="120"/>
      <c r="AE1067" s="120"/>
      <c r="AF1067" s="440"/>
      <c r="BB1067" s="436"/>
      <c r="BC1067" s="120"/>
      <c r="BD1067" s="120"/>
      <c r="BE1067" s="120"/>
      <c r="BF1067" s="440"/>
    </row>
    <row r="1068" spans="28:58">
      <c r="AB1068" s="436"/>
      <c r="AC1068" s="120"/>
      <c r="AD1068" s="120"/>
      <c r="AE1068" s="120"/>
      <c r="AF1068" s="440"/>
      <c r="BB1068" s="436"/>
      <c r="BC1068" s="120"/>
      <c r="BD1068" s="120"/>
      <c r="BE1068" s="120"/>
      <c r="BF1068" s="440"/>
    </row>
    <row r="1069" spans="28:58">
      <c r="AB1069" s="436" t="s">
        <v>511</v>
      </c>
      <c r="AC1069" s="120">
        <v>0</v>
      </c>
      <c r="AD1069" s="120" t="s">
        <v>512</v>
      </c>
      <c r="AE1069" s="120"/>
      <c r="AF1069" s="440"/>
      <c r="BB1069" s="436" t="s">
        <v>511</v>
      </c>
      <c r="BC1069" s="120">
        <v>0</v>
      </c>
      <c r="BD1069" s="120" t="s">
        <v>512</v>
      </c>
      <c r="BE1069" s="120"/>
      <c r="BF1069" s="440"/>
    </row>
    <row r="1070" spans="28:58">
      <c r="AB1070" s="436" t="s">
        <v>513</v>
      </c>
      <c r="AC1070" s="120">
        <v>0</v>
      </c>
      <c r="AD1070" s="120" t="s">
        <v>512</v>
      </c>
      <c r="AE1070" s="120"/>
      <c r="AF1070" s="440"/>
      <c r="BB1070" s="436" t="s">
        <v>513</v>
      </c>
      <c r="BC1070" s="120">
        <v>0</v>
      </c>
      <c r="BD1070" s="120" t="s">
        <v>512</v>
      </c>
      <c r="BE1070" s="120"/>
      <c r="BF1070" s="440"/>
    </row>
    <row r="1071" spans="28:58">
      <c r="AB1071" s="456"/>
      <c r="AC1071" s="457"/>
      <c r="AD1071" s="457"/>
      <c r="AE1071" s="457"/>
      <c r="AF1071" s="458"/>
      <c r="BB1071" s="456"/>
      <c r="BC1071" s="457"/>
      <c r="BD1071" s="457"/>
      <c r="BE1071" s="457"/>
      <c r="BF1071" s="458"/>
    </row>
    <row r="1072" spans="28:58">
      <c r="AB1072" s="449" t="s">
        <v>461</v>
      </c>
      <c r="AC1072" s="120"/>
      <c r="AD1072" s="120"/>
      <c r="AE1072" s="120"/>
      <c r="AF1072" s="440"/>
      <c r="BB1072" s="449" t="s">
        <v>461</v>
      </c>
      <c r="BC1072" s="120"/>
      <c r="BD1072" s="120"/>
      <c r="BE1072" s="120"/>
      <c r="BF1072" s="440"/>
    </row>
    <row r="1073" spans="28:58">
      <c r="AB1073" s="436" t="s">
        <v>514</v>
      </c>
      <c r="AC1073" s="120">
        <f>VLOOKUP(AB1001,'Unit Ops'!$B$140:$K$209,10,FALSE)</f>
        <v>12</v>
      </c>
      <c r="AD1073" s="120" t="s">
        <v>515</v>
      </c>
      <c r="AE1073" s="120"/>
      <c r="AF1073" s="440"/>
      <c r="BB1073" s="436" t="s">
        <v>514</v>
      </c>
      <c r="BC1073" s="120">
        <f>VLOOKUP(BB1001,'Unit Ops'!$B$140:$K$209,10,FALSE)</f>
        <v>0</v>
      </c>
      <c r="BD1073" s="120" t="s">
        <v>515</v>
      </c>
      <c r="BE1073" s="120"/>
      <c r="BF1073" s="440"/>
    </row>
    <row r="1074" spans="28:58">
      <c r="AB1074" s="436" t="s">
        <v>516</v>
      </c>
      <c r="AC1074" s="120">
        <v>0</v>
      </c>
      <c r="AD1074" s="120" t="s">
        <v>515</v>
      </c>
      <c r="AE1074" s="120"/>
      <c r="AF1074" s="440"/>
      <c r="BB1074" s="436" t="s">
        <v>516</v>
      </c>
      <c r="BC1074" s="120">
        <v>0</v>
      </c>
      <c r="BD1074" s="120" t="s">
        <v>515</v>
      </c>
      <c r="BE1074" s="120"/>
      <c r="BF1074" s="440"/>
    </row>
    <row r="1075" spans="28:58">
      <c r="AB1075" s="436"/>
      <c r="AC1075" s="120"/>
      <c r="AD1075" s="120"/>
      <c r="AE1075" s="120"/>
      <c r="AF1075" s="440"/>
      <c r="BB1075" s="436"/>
      <c r="BC1075" s="120"/>
      <c r="BD1075" s="120"/>
      <c r="BE1075" s="120"/>
      <c r="BF1075" s="440"/>
    </row>
    <row r="1076" spans="28:58">
      <c r="AB1076" s="436"/>
      <c r="AC1076" s="120"/>
      <c r="AD1076" s="120"/>
      <c r="AE1076" s="120"/>
      <c r="AF1076" s="440"/>
      <c r="BB1076" s="436"/>
      <c r="BC1076" s="120"/>
      <c r="BD1076" s="120"/>
      <c r="BE1076" s="120"/>
      <c r="BF1076" s="440"/>
    </row>
    <row r="1077" spans="28:58">
      <c r="AB1077" s="436"/>
      <c r="AC1077" s="120"/>
      <c r="AD1077" s="120"/>
      <c r="AE1077" s="120"/>
      <c r="AF1077" s="440"/>
      <c r="BB1077" s="436"/>
      <c r="BC1077" s="120"/>
      <c r="BD1077" s="120"/>
      <c r="BE1077" s="120"/>
      <c r="BF1077" s="440"/>
    </row>
    <row r="1078" spans="28:58">
      <c r="AB1078" s="436"/>
      <c r="AC1078" s="120"/>
      <c r="AD1078" s="120"/>
      <c r="AE1078" s="120"/>
      <c r="AF1078" s="440"/>
      <c r="BB1078" s="436"/>
      <c r="BC1078" s="120"/>
      <c r="BD1078" s="120"/>
      <c r="BE1078" s="120"/>
      <c r="BF1078" s="440"/>
    </row>
    <row r="1079" spans="28:58">
      <c r="AB1079" s="436"/>
      <c r="AC1079" s="120"/>
      <c r="AD1079" s="120"/>
      <c r="AE1079" s="120"/>
      <c r="AF1079" s="440"/>
      <c r="BB1079" s="436"/>
      <c r="BC1079" s="120"/>
      <c r="BD1079" s="120"/>
      <c r="BE1079" s="120"/>
      <c r="BF1079" s="440"/>
    </row>
    <row r="1080" spans="28:58">
      <c r="AB1080" s="436" t="s">
        <v>464</v>
      </c>
      <c r="AC1080" s="120"/>
      <c r="AD1080" s="120"/>
      <c r="AE1080" s="120"/>
      <c r="AF1080" s="440"/>
      <c r="BB1080" s="436" t="s">
        <v>464</v>
      </c>
      <c r="BC1080" s="120"/>
      <c r="BD1080" s="120"/>
      <c r="BE1080" s="120"/>
      <c r="BF1080" s="440"/>
    </row>
    <row r="1081" spans="28:58">
      <c r="AB1081" s="456"/>
      <c r="AC1081" s="457"/>
      <c r="AD1081" s="457"/>
      <c r="AE1081" s="457"/>
      <c r="AF1081" s="458"/>
      <c r="BB1081" s="456"/>
      <c r="BC1081" s="457"/>
      <c r="BD1081" s="457"/>
      <c r="BE1081" s="457"/>
      <c r="BF1081" s="458"/>
    </row>
    <row r="1082" spans="28:58">
      <c r="AB1082" s="449" t="s">
        <v>472</v>
      </c>
      <c r="AC1082" s="467" t="s">
        <v>517</v>
      </c>
      <c r="AD1082" s="120" t="s">
        <v>518</v>
      </c>
      <c r="AE1082" s="467" t="s">
        <v>519</v>
      </c>
      <c r="AF1082" s="440" t="s">
        <v>518</v>
      </c>
      <c r="BB1082" s="449" t="s">
        <v>472</v>
      </c>
      <c r="BC1082" s="467" t="s">
        <v>517</v>
      </c>
      <c r="BD1082" s="120" t="s">
        <v>518</v>
      </c>
      <c r="BE1082" s="467" t="s">
        <v>519</v>
      </c>
      <c r="BF1082" s="440" t="s">
        <v>518</v>
      </c>
    </row>
    <row r="1083" spans="28:58">
      <c r="AB1083" s="436" t="s">
        <v>520</v>
      </c>
      <c r="AC1083" s="120"/>
      <c r="AD1083" s="120"/>
      <c r="AE1083" s="472">
        <f>((VLOOKUP(AB1001,'Unit Ops'!$B$140:$J$209,3,FALSE)*AC1003^VLOOKUP(AB1001,'Unit Ops'!$B$140:$J$209,4,FALSE)+VLOOKUP(AB1001,'Unit Ops'!$B$140:$J$209,5,FALSE))*VLOOKUP(AB1001,'Unit Ops'!$B$140:$J$209,6,FALSE))*IF(VLOOKUP(AB1001,'Unit Ops'!$B$140:$L$209,11,FALSE)=1,1,2)</f>
        <v>0</v>
      </c>
      <c r="AF1083" s="490">
        <f>'CM Rec Par.'!$C$7</f>
        <v>2022</v>
      </c>
      <c r="BB1083" s="436" t="s">
        <v>520</v>
      </c>
      <c r="BC1083" s="120"/>
      <c r="BD1083" s="120"/>
      <c r="BE1083" s="472">
        <f>((VLOOKUP(BB1001,'Unit Ops'!$B$140:$J$209,3,FALSE)*BC1003^VLOOKUP(BB1001,'Unit Ops'!$B$140:$J$209,4,FALSE)+VLOOKUP(BB1001,'Unit Ops'!$B$140:$J$209,5,FALSE))*VLOOKUP(BB1001,'Unit Ops'!$B$140:$J$209,6,FALSE))*IF(VLOOKUP(BB1001,'Unit Ops'!$B$140:$L$209,11,FALSE)=1,1,2)</f>
        <v>0</v>
      </c>
      <c r="BF1083" s="490">
        <f>'CM Rec Par.'!$C$7</f>
        <v>2022</v>
      </c>
    </row>
    <row r="1084" spans="28:58">
      <c r="AB1084" s="436"/>
      <c r="AC1084" s="120"/>
      <c r="AD1084" s="120"/>
      <c r="AE1084" s="120"/>
      <c r="AF1084" s="440"/>
      <c r="BB1084" s="436"/>
      <c r="BC1084" s="120"/>
      <c r="BD1084" s="120"/>
      <c r="BE1084" s="120"/>
      <c r="BF1084" s="440"/>
    </row>
    <row r="1085" spans="28:58">
      <c r="AB1085" s="436"/>
      <c r="AC1085" s="120"/>
      <c r="AD1085" s="120"/>
      <c r="AE1085" s="120"/>
      <c r="AF1085" s="440"/>
      <c r="BB1085" s="436"/>
      <c r="BC1085" s="120"/>
      <c r="BD1085" s="120"/>
      <c r="BE1085" s="120"/>
      <c r="BF1085" s="440"/>
    </row>
    <row r="1086" spans="28:58">
      <c r="AB1086" s="436"/>
      <c r="AC1086" s="120"/>
      <c r="AD1086" s="120"/>
      <c r="AE1086" s="120"/>
      <c r="AF1086" s="440"/>
      <c r="BB1086" s="436"/>
      <c r="BC1086" s="120"/>
      <c r="BD1086" s="120"/>
      <c r="BE1086" s="120"/>
      <c r="BF1086" s="440"/>
    </row>
    <row r="1087" spans="28:58">
      <c r="AB1087" s="436"/>
      <c r="AC1087" s="120"/>
      <c r="AD1087" s="120"/>
      <c r="AE1087" s="120"/>
      <c r="AF1087" s="440"/>
      <c r="BB1087" s="436"/>
      <c r="BC1087" s="120"/>
      <c r="BD1087" s="120"/>
      <c r="BE1087" s="120"/>
      <c r="BF1087" s="440"/>
    </row>
    <row r="1088" spans="28:58">
      <c r="AB1088" s="436"/>
      <c r="AC1088" s="120"/>
      <c r="AD1088" s="120"/>
      <c r="AE1088" s="120"/>
      <c r="AF1088" s="440"/>
      <c r="BB1088" s="436"/>
      <c r="BC1088" s="120"/>
      <c r="BD1088" s="120"/>
      <c r="BE1088" s="120"/>
      <c r="BF1088" s="440"/>
    </row>
    <row r="1089" spans="27:59">
      <c r="AB1089" s="436"/>
      <c r="AC1089" s="120"/>
      <c r="AD1089" s="120"/>
      <c r="AE1089" s="120"/>
      <c r="AF1089" s="440"/>
      <c r="BB1089" s="436"/>
      <c r="BC1089" s="120"/>
      <c r="BD1089" s="120"/>
      <c r="BE1089" s="120"/>
      <c r="BF1089" s="440"/>
    </row>
    <row r="1090" spans="27:59">
      <c r="AB1090" s="436"/>
      <c r="AC1090" s="120"/>
      <c r="AD1090" s="120"/>
      <c r="AE1090" s="120"/>
      <c r="AF1090" s="440"/>
      <c r="BB1090" s="436"/>
      <c r="BC1090" s="120"/>
      <c r="BD1090" s="120"/>
      <c r="BE1090" s="120"/>
      <c r="BF1090" s="440"/>
    </row>
    <row r="1091" spans="27:59">
      <c r="AB1091" s="436"/>
      <c r="AC1091" s="120"/>
      <c r="AD1091" s="120"/>
      <c r="AE1091" s="120"/>
      <c r="AF1091" s="440"/>
      <c r="BB1091" s="436"/>
      <c r="BC1091" s="120"/>
      <c r="BD1091" s="120"/>
      <c r="BE1091" s="120"/>
      <c r="BF1091" s="440"/>
    </row>
    <row r="1092" spans="27:59">
      <c r="AB1092" s="436"/>
      <c r="AC1092" s="120"/>
      <c r="AD1092" s="120"/>
      <c r="AE1092" s="120"/>
      <c r="AF1092" s="440"/>
      <c r="BB1092" s="436"/>
      <c r="BC1092" s="120"/>
      <c r="BD1092" s="120"/>
      <c r="BE1092" s="120"/>
      <c r="BF1092" s="440"/>
    </row>
    <row r="1093" spans="27:59">
      <c r="AB1093" s="436"/>
      <c r="AC1093" s="120"/>
      <c r="AD1093" s="120"/>
      <c r="AE1093" s="120"/>
      <c r="AF1093" s="440"/>
      <c r="BB1093" s="436"/>
      <c r="BC1093" s="120"/>
      <c r="BD1093" s="120"/>
      <c r="BE1093" s="120"/>
      <c r="BF1093" s="440"/>
    </row>
    <row r="1094" spans="27:59">
      <c r="AB1094" s="436"/>
      <c r="AC1094" s="120"/>
      <c r="AD1094" s="120"/>
      <c r="AE1094" s="120"/>
      <c r="AF1094" s="440"/>
      <c r="BB1094" s="436"/>
      <c r="BC1094" s="120"/>
      <c r="BD1094" s="120"/>
      <c r="BE1094" s="120"/>
      <c r="BF1094" s="440"/>
    </row>
    <row r="1095" spans="27:59">
      <c r="AB1095" s="436"/>
      <c r="AC1095" s="120"/>
      <c r="AD1095" s="120"/>
      <c r="AE1095" s="120"/>
      <c r="AF1095" s="440"/>
      <c r="BB1095" s="436"/>
      <c r="BC1095" s="120"/>
      <c r="BD1095" s="120"/>
      <c r="BE1095" s="120"/>
      <c r="BF1095" s="440"/>
    </row>
    <row r="1096" spans="27:59">
      <c r="AB1096" s="436"/>
      <c r="AC1096" s="120"/>
      <c r="AD1096" s="120"/>
      <c r="AE1096" s="120"/>
      <c r="AF1096" s="440"/>
      <c r="BB1096" s="436"/>
      <c r="BC1096" s="120"/>
      <c r="BD1096" s="120"/>
      <c r="BE1096" s="120"/>
      <c r="BF1096" s="440"/>
    </row>
    <row r="1097" spans="27:59" ht="14.5" thickBot="1">
      <c r="AB1097" s="492"/>
      <c r="AC1097" s="493"/>
      <c r="AD1097" s="493"/>
      <c r="AE1097" s="493"/>
      <c r="AF1097" s="453"/>
      <c r="BB1097" s="492"/>
      <c r="BC1097" s="493"/>
      <c r="BD1097" s="493"/>
      <c r="BE1097" s="493"/>
      <c r="BF1097" s="453"/>
    </row>
    <row r="1100" spans="27:59" ht="14.5" thickBot="1"/>
    <row r="1101" spans="27:59">
      <c r="AA1101" s="114" t="s">
        <v>478</v>
      </c>
      <c r="AB1101" s="431" t="str">
        <f>AB50</f>
        <v>Cyclone</v>
      </c>
      <c r="AC1101" s="432"/>
      <c r="AD1101" s="433"/>
      <c r="AE1101" s="434"/>
      <c r="AF1101" s="435"/>
      <c r="BB1101" s="431" t="str">
        <f>BB51</f>
        <v>Select Equipment</v>
      </c>
      <c r="BC1101" s="432"/>
      <c r="BD1101" s="433"/>
      <c r="BE1101" s="434"/>
      <c r="BF1101" s="435"/>
    </row>
    <row r="1102" spans="27:59">
      <c r="AA1102" s="114" t="s">
        <v>5</v>
      </c>
      <c r="AB1102" s="436" t="s">
        <v>1</v>
      </c>
      <c r="AC1102" s="437">
        <f>AC$14/AC$11/AC$10*VLOOKUP(AB1101,'Unit Ops'!$B$140:$J$209,2,FALSE)</f>
        <v>0</v>
      </c>
      <c r="AD1102" s="438" t="s">
        <v>586</v>
      </c>
      <c r="AE1102" s="1027">
        <f>AC1102*AC$306*AC$307</f>
        <v>0</v>
      </c>
      <c r="AF1102" s="439" t="s">
        <v>585</v>
      </c>
      <c r="AG1102" s="515"/>
      <c r="BA1102" s="114" t="s">
        <v>478</v>
      </c>
      <c r="BB1102" s="436" t="s">
        <v>1</v>
      </c>
      <c r="BC1102" s="437">
        <f>BC$15/BC$11/BC$12*VLOOKUP(BB1101,'Unit Ops'!$B$140:$J$209,2,FALSE)</f>
        <v>0</v>
      </c>
      <c r="BD1102" s="438" t="s">
        <v>586</v>
      </c>
      <c r="BE1102" s="1027">
        <f>BC1102*BC$306*BC$307</f>
        <v>0</v>
      </c>
      <c r="BF1102" s="439" t="s">
        <v>585</v>
      </c>
    </row>
    <row r="1103" spans="27:59">
      <c r="AA1103" s="114" t="str">
        <f>$AB$44</f>
        <v>Hopper</v>
      </c>
      <c r="AB1103" s="436" t="s">
        <v>505</v>
      </c>
      <c r="AC1103" s="437">
        <f>ROUNDUP(AC1102*IF(VLOOKUP(AB1101,'Unit Ops'!$B$140:$L$209,11,FALSE)=1,1.5,0.75),1)</f>
        <v>0</v>
      </c>
      <c r="AD1103" s="438" t="s">
        <v>586</v>
      </c>
      <c r="AE1103" s="120">
        <f>AC1103*AC$306*AC$307</f>
        <v>0</v>
      </c>
      <c r="AF1103" s="439" t="s">
        <v>585</v>
      </c>
      <c r="AG1103" s="180"/>
      <c r="BA1103" s="114" t="s">
        <v>5</v>
      </c>
      <c r="BB1103" s="436" t="s">
        <v>505</v>
      </c>
      <c r="BC1103" s="437">
        <f>ROUNDUP(BC1102*IF(VLOOKUP(BB1101,'Unit Ops'!$B$140:$L$209,11,FALSE)=1,1.5,0.75),1)</f>
        <v>0</v>
      </c>
      <c r="BD1103" s="438" t="s">
        <v>586</v>
      </c>
      <c r="BE1103" s="120">
        <f>BC1103*BC$306*BC$307</f>
        <v>0</v>
      </c>
      <c r="BF1103" s="439" t="s">
        <v>585</v>
      </c>
      <c r="BG1103" s="515"/>
    </row>
    <row r="1104" spans="27:59">
      <c r="AA1104" s="114" t="str">
        <f>$AB$45</f>
        <v>Conveyor</v>
      </c>
      <c r="AB1104" s="441" t="s">
        <v>521</v>
      </c>
      <c r="AC1104" s="442" t="e">
        <f>AC1102/AC1103</f>
        <v>#DIV/0!</v>
      </c>
      <c r="AD1104" s="438"/>
      <c r="AE1104" s="443"/>
      <c r="AF1104" s="440"/>
      <c r="AG1104" s="465"/>
      <c r="BA1104" s="114" t="str">
        <f>$BB$45</f>
        <v>Select Equipment</v>
      </c>
      <c r="BB1104" s="441" t="s">
        <v>521</v>
      </c>
      <c r="BC1104" s="442" t="e">
        <f>BC1102/BC1103</f>
        <v>#DIV/0!</v>
      </c>
      <c r="BD1104" s="438"/>
      <c r="BE1104" s="443"/>
      <c r="BF1104" s="440"/>
      <c r="BG1104" s="180"/>
    </row>
    <row r="1105" spans="27:59">
      <c r="AA1105" s="114" t="str">
        <f>$AB$46</f>
        <v>Crusher</v>
      </c>
      <c r="AB1105" s="441" t="s">
        <v>506</v>
      </c>
      <c r="AC1105" s="445"/>
      <c r="AD1105" s="438" t="s">
        <v>454</v>
      </c>
      <c r="AE1105" s="443"/>
      <c r="AF1105" s="440"/>
      <c r="AG1105" s="505"/>
      <c r="BA1105" s="114" t="str">
        <f>$BB$46</f>
        <v>Select Equipment</v>
      </c>
      <c r="BB1105" s="441" t="s">
        <v>506</v>
      </c>
      <c r="BC1105" s="445"/>
      <c r="BD1105" s="438" t="s">
        <v>454</v>
      </c>
      <c r="BE1105" s="443"/>
      <c r="BF1105" s="440"/>
      <c r="BG1105" s="465"/>
    </row>
    <row r="1106" spans="27:59">
      <c r="AA1106" s="114" t="str">
        <f>$AB$47</f>
        <v>Screen, vibrating</v>
      </c>
      <c r="AB1106" s="436" t="s">
        <v>507</v>
      </c>
      <c r="AC1106" s="225" t="e">
        <f>(VLOOKUP(AB1101,'Unit Ops'!$B$140:$J$209,7,FALSE)*AC1103^VLOOKUP(AB1101,'Unit Ops'!$B$140:$J$209,8,FALSE)+VLOOKUP(AB1101,'Unit Ops'!$B$140:$J$209,9,FALSE))*IF(VLOOKUP(AB1101,'Unit Ops'!$B$140:$L$209,11,FALSE)=1,1,2)</f>
        <v>#NUM!</v>
      </c>
      <c r="AD1106" s="446" t="s">
        <v>454</v>
      </c>
      <c r="AE1106" s="443"/>
      <c r="AF1106" s="440"/>
      <c r="AG1106" s="180"/>
      <c r="BA1106" s="114" t="str">
        <f>$BB$47</f>
        <v>Select Equipment</v>
      </c>
      <c r="BB1106" s="436" t="s">
        <v>507</v>
      </c>
      <c r="BC1106" s="225" t="e">
        <f>(VLOOKUP(BB1101,'Unit Ops'!$B$140:$J$209,7,FALSE)*BC1103^VLOOKUP(BB1101,'Unit Ops'!$B$140:$J$209,8,FALSE)+VLOOKUP(BB1101,'Unit Ops'!$B$140:$J$209,9,FALSE))*IF(VLOOKUP(BB1101,'Unit Ops'!$B$140:$L$209,11,FALSE)=1,1,2)</f>
        <v>#NUM!</v>
      </c>
      <c r="BD1106" s="446" t="s">
        <v>454</v>
      </c>
      <c r="BE1106" s="443"/>
      <c r="BF1106" s="440"/>
      <c r="BG1106" s="505"/>
    </row>
    <row r="1107" spans="27:59">
      <c r="AA1107" s="114" t="str">
        <f>$AB$48</f>
        <v>Conveyor</v>
      </c>
      <c r="AB1107" s="441"/>
      <c r="AC1107" s="445"/>
      <c r="AD1107" s="447"/>
      <c r="AE1107" s="443"/>
      <c r="AF1107" s="440"/>
      <c r="AG1107" s="474"/>
      <c r="BA1107" s="114" t="str">
        <f>$BB$48</f>
        <v>Select Equipment</v>
      </c>
      <c r="BB1107" s="441"/>
      <c r="BC1107" s="445"/>
      <c r="BD1107" s="447"/>
      <c r="BE1107" s="443"/>
      <c r="BF1107" s="440"/>
      <c r="BG1107" s="180"/>
    </row>
    <row r="1108" spans="27:59">
      <c r="AA1108" s="114" t="str">
        <f>$AB$49</f>
        <v>Heat treatment furnace</v>
      </c>
      <c r="AB1108" s="441"/>
      <c r="AC1108" s="445"/>
      <c r="AD1108" s="447"/>
      <c r="AE1108" s="443"/>
      <c r="AF1108" s="440"/>
      <c r="AG1108" s="474"/>
      <c r="BA1108" s="114" t="str">
        <f>$BB$49</f>
        <v>Select Equipment</v>
      </c>
      <c r="BB1108" s="441"/>
      <c r="BC1108" s="445"/>
      <c r="BD1108" s="447"/>
      <c r="BE1108" s="443"/>
      <c r="BF1108" s="440"/>
      <c r="BG1108" s="474"/>
    </row>
    <row r="1109" spans="27:59">
      <c r="AA1109" s="114" t="str">
        <f>$AB$50</f>
        <v>Cyclone</v>
      </c>
      <c r="AB1109" s="449"/>
      <c r="AC1109" s="445"/>
      <c r="AD1109" s="447"/>
      <c r="AE1109" s="443"/>
      <c r="AF1109" s="440"/>
      <c r="AG1109" s="180"/>
      <c r="BA1109" s="114" t="str">
        <f>$BB$50</f>
        <v>Select Equipment</v>
      </c>
      <c r="BB1109" s="449"/>
      <c r="BC1109" s="445"/>
      <c r="BD1109" s="447"/>
      <c r="BE1109" s="443"/>
      <c r="BF1109" s="440"/>
      <c r="BG1109" s="474"/>
    </row>
    <row r="1110" spans="27:59" ht="14.5" thickBot="1">
      <c r="AA1110" s="114" t="str">
        <f>$AB$51</f>
        <v>Conveyor</v>
      </c>
      <c r="AB1110" s="450"/>
      <c r="AC1110" s="451"/>
      <c r="AD1110" s="451"/>
      <c r="AE1110" s="452"/>
      <c r="AF1110" s="453"/>
      <c r="BA1110" s="114" t="str">
        <f>$BB$51</f>
        <v>Select Equipment</v>
      </c>
      <c r="BB1110" s="450"/>
      <c r="BC1110" s="451"/>
      <c r="BD1110" s="451"/>
      <c r="BE1110" s="452"/>
      <c r="BF1110" s="453"/>
      <c r="BG1110" s="180"/>
    </row>
    <row r="1111" spans="27:59">
      <c r="AA1111" s="114" t="str">
        <f>$AB$52</f>
        <v>Eddy current separator</v>
      </c>
      <c r="AB1111" s="449" t="s">
        <v>470</v>
      </c>
      <c r="AC1111" s="120"/>
      <c r="AD1111" s="454"/>
      <c r="AE1111" s="120"/>
      <c r="AF1111" s="440"/>
      <c r="BA1111" s="114" t="str">
        <f>$BB$52</f>
        <v>Select Equipment</v>
      </c>
      <c r="BB1111" s="449" t="s">
        <v>470</v>
      </c>
      <c r="BC1111" s="120"/>
      <c r="BD1111" s="454"/>
      <c r="BE1111" s="120"/>
      <c r="BF1111" s="440"/>
    </row>
    <row r="1112" spans="27:59" ht="14.5" customHeight="1">
      <c r="AA1112" s="114" t="str">
        <f>$AB$53</f>
        <v>Conveyor</v>
      </c>
      <c r="AB1112" s="1698"/>
      <c r="AC1112" s="1699"/>
      <c r="AD1112" s="1699"/>
      <c r="AE1112" s="1699"/>
      <c r="AF1112" s="1700"/>
      <c r="BA1112" s="114" t="str">
        <f>$BB$53</f>
        <v>Select Equipment</v>
      </c>
      <c r="BB1112" s="1698"/>
      <c r="BC1112" s="1699"/>
      <c r="BD1112" s="1699"/>
      <c r="BE1112" s="1699"/>
      <c r="BF1112" s="1700"/>
    </row>
    <row r="1113" spans="27:59">
      <c r="AA1113" s="114" t="str">
        <f>$AB$54</f>
        <v>Air classifier</v>
      </c>
      <c r="AB1113" s="436"/>
      <c r="AC1113" s="120"/>
      <c r="AD1113" s="455"/>
      <c r="AE1113" s="120"/>
      <c r="AF1113" s="440"/>
      <c r="BA1113" s="114" t="str">
        <f>$BB$54</f>
        <v>Select Equipment</v>
      </c>
      <c r="BB1113" s="436"/>
      <c r="BC1113" s="120"/>
      <c r="BD1113" s="455"/>
      <c r="BE1113" s="120"/>
      <c r="BF1113" s="440"/>
    </row>
    <row r="1114" spans="27:59">
      <c r="AA1114" s="114" t="str">
        <f>$AB$55</f>
        <v>Gas treatment</v>
      </c>
      <c r="AB1114" s="436"/>
      <c r="AC1114" s="120"/>
      <c r="AD1114" s="455"/>
      <c r="AE1114" s="120"/>
      <c r="AF1114" s="440"/>
      <c r="BA1114" s="114" t="str">
        <f>$BB$55</f>
        <v>Select Equipment</v>
      </c>
      <c r="BB1114" s="436"/>
      <c r="BC1114" s="120"/>
      <c r="BD1114" s="455"/>
      <c r="BE1114" s="120"/>
      <c r="BF1114" s="440"/>
    </row>
    <row r="1115" spans="27:59">
      <c r="AA1115" s="114" t="str">
        <f>$AB$56</f>
        <v>Wheel loader</v>
      </c>
      <c r="AB1115" s="456"/>
      <c r="AC1115" s="457"/>
      <c r="AD1115" s="457"/>
      <c r="AE1115" s="457"/>
      <c r="AF1115" s="458"/>
      <c r="BA1115" s="114" t="str">
        <f>$BB$56</f>
        <v>Select Equipment</v>
      </c>
      <c r="BB1115" s="456"/>
      <c r="BC1115" s="457"/>
      <c r="BD1115" s="457"/>
      <c r="BE1115" s="457"/>
      <c r="BF1115" s="458"/>
    </row>
    <row r="1116" spans="27:59">
      <c r="AA1116" s="114" t="str">
        <f>$AB$57</f>
        <v>Select Equipment</v>
      </c>
      <c r="AB1116" s="449" t="s">
        <v>471</v>
      </c>
      <c r="AC1116" s="120"/>
      <c r="AD1116" s="454"/>
      <c r="AE1116" s="120"/>
      <c r="AF1116" s="440"/>
      <c r="BA1116" s="114" t="str">
        <f>$BB$57</f>
        <v>Select Equipment</v>
      </c>
      <c r="BB1116" s="449" t="s">
        <v>471</v>
      </c>
      <c r="BC1116" s="120"/>
      <c r="BD1116" s="454"/>
      <c r="BE1116" s="120"/>
      <c r="BF1116" s="440"/>
    </row>
    <row r="1117" spans="27:59">
      <c r="AA1117" s="114" t="str">
        <f>$AB$58</f>
        <v>Select Equipment</v>
      </c>
      <c r="AB1117" s="436" t="s">
        <v>577</v>
      </c>
      <c r="AC1117" s="225" t="e">
        <f>AC1106*IF(AC1104&gt;1,1,AC1104)</f>
        <v>#NUM!</v>
      </c>
      <c r="AD1117" s="446" t="s">
        <v>454</v>
      </c>
      <c r="AE1117" s="120"/>
      <c r="AF1117" s="440"/>
      <c r="BA1117" s="114" t="str">
        <f>$BB$58</f>
        <v>Select Equipment</v>
      </c>
      <c r="BB1117" s="436" t="s">
        <v>577</v>
      </c>
      <c r="BC1117" s="225" t="e">
        <f>BC1106*IF(BC1104&gt;1,1,BC1104)</f>
        <v>#NUM!</v>
      </c>
      <c r="BD1117" s="446" t="s">
        <v>454</v>
      </c>
      <c r="BE1117" s="120"/>
      <c r="BF1117" s="440"/>
    </row>
    <row r="1118" spans="27:59">
      <c r="AA1118" s="114" t="str">
        <f>$AB$59</f>
        <v>Select Equipment</v>
      </c>
      <c r="AB1118" s="436" t="s">
        <v>578</v>
      </c>
      <c r="AC1118" s="225"/>
      <c r="AD1118" s="446" t="s">
        <v>579</v>
      </c>
      <c r="AE1118" s="120"/>
      <c r="AF1118" s="440"/>
      <c r="BA1118" s="114" t="str">
        <f>$BB$59</f>
        <v>Select Equipment</v>
      </c>
      <c r="BB1118" s="436" t="s">
        <v>578</v>
      </c>
      <c r="BC1118" s="225"/>
      <c r="BD1118" s="446" t="s">
        <v>579</v>
      </c>
      <c r="BE1118" s="120"/>
      <c r="BF1118" s="440"/>
    </row>
    <row r="1119" spans="27:59">
      <c r="AA1119" s="114" t="str">
        <f>$AB$60</f>
        <v>Select Equipment</v>
      </c>
      <c r="AB1119" s="436"/>
      <c r="AC1119" s="120"/>
      <c r="AD1119" s="446"/>
      <c r="AE1119" s="120"/>
      <c r="AF1119" s="440"/>
      <c r="BA1119" s="114" t="str">
        <f>$BB$60</f>
        <v>Select Equipment</v>
      </c>
      <c r="BB1119" s="436"/>
      <c r="BC1119" s="120"/>
      <c r="BD1119" s="446"/>
      <c r="BE1119" s="120"/>
      <c r="BF1119" s="440"/>
    </row>
    <row r="1120" spans="27:59">
      <c r="AA1120" s="114" t="str">
        <f>$AB$61</f>
        <v>Select Equipment</v>
      </c>
      <c r="AB1120" s="436" t="s">
        <v>8</v>
      </c>
      <c r="AC1120" s="120"/>
      <c r="AD1120" s="459" t="s">
        <v>564</v>
      </c>
      <c r="AE1120" s="120"/>
      <c r="AF1120" s="440"/>
      <c r="BA1120" s="114" t="str">
        <f>$BB$61</f>
        <v>Select Equipment</v>
      </c>
      <c r="BB1120" s="436" t="s">
        <v>8</v>
      </c>
      <c r="BC1120" s="120"/>
      <c r="BD1120" s="459" t="s">
        <v>564</v>
      </c>
      <c r="BE1120" s="120"/>
      <c r="BF1120" s="440"/>
    </row>
    <row r="1121" spans="27:58">
      <c r="AA1121" s="114" t="str">
        <f>$AB$62</f>
        <v>Select Equipment</v>
      </c>
      <c r="AB1121" s="436"/>
      <c r="AC1121" s="120"/>
      <c r="AD1121" s="459"/>
      <c r="AE1121" s="120"/>
      <c r="AF1121" s="440"/>
      <c r="BA1121" s="114" t="str">
        <f>$BB$62</f>
        <v>Select Equipment</v>
      </c>
      <c r="BB1121" s="436"/>
      <c r="BC1121" s="120"/>
      <c r="BD1121" s="459"/>
      <c r="BE1121" s="120"/>
      <c r="BF1121" s="440"/>
    </row>
    <row r="1122" spans="27:58">
      <c r="AA1122" s="114" t="str">
        <f>$AB$63</f>
        <v>Select Equipment</v>
      </c>
      <c r="AB1122" s="436" t="s">
        <v>7</v>
      </c>
      <c r="AC1122" s="120"/>
      <c r="AD1122" s="459" t="s">
        <v>564</v>
      </c>
      <c r="AE1122" s="120"/>
      <c r="AF1122" s="440"/>
      <c r="BA1122" s="114" t="str">
        <f>$BB$63</f>
        <v>Select Equipment</v>
      </c>
      <c r="BB1122" s="436" t="s">
        <v>7</v>
      </c>
      <c r="BC1122" s="120"/>
      <c r="BD1122" s="459" t="s">
        <v>564</v>
      </c>
      <c r="BE1122" s="120"/>
      <c r="BF1122" s="440"/>
    </row>
    <row r="1123" spans="27:58">
      <c r="AA1123"/>
      <c r="AB1123" s="436"/>
      <c r="AC1123" s="120"/>
      <c r="AD1123" s="459"/>
      <c r="AE1123" s="120"/>
      <c r="AF1123" s="440"/>
      <c r="BA1123" s="114" t="str">
        <f>$BB$64</f>
        <v>Select Equipment</v>
      </c>
      <c r="BB1123" s="436"/>
      <c r="BC1123" s="120"/>
      <c r="BD1123" s="459"/>
      <c r="BE1123" s="120"/>
      <c r="BF1123" s="440"/>
    </row>
    <row r="1124" spans="27:58">
      <c r="AA1124"/>
      <c r="AB1124" s="436" t="s">
        <v>9</v>
      </c>
      <c r="AC1124" s="120"/>
      <c r="AD1124" s="459" t="s">
        <v>564</v>
      </c>
      <c r="AE1124" s="120"/>
      <c r="AF1124" s="440"/>
      <c r="BA1124"/>
      <c r="BB1124" s="436" t="s">
        <v>9</v>
      </c>
      <c r="BC1124" s="120"/>
      <c r="BD1124" s="459" t="s">
        <v>564</v>
      </c>
      <c r="BE1124" s="120"/>
      <c r="BF1124" s="440"/>
    </row>
    <row r="1125" spans="27:58">
      <c r="AA1125"/>
      <c r="AB1125" s="436"/>
      <c r="AC1125" s="120"/>
      <c r="AD1125" s="459"/>
      <c r="AE1125" s="120"/>
      <c r="AF1125" s="440"/>
      <c r="BA1125"/>
      <c r="BB1125" s="436"/>
      <c r="BC1125" s="120"/>
      <c r="BD1125" s="459"/>
      <c r="BE1125" s="120"/>
      <c r="BF1125" s="440"/>
    </row>
    <row r="1126" spans="27:58">
      <c r="AA1126"/>
      <c r="AB1126" s="436" t="s">
        <v>324</v>
      </c>
      <c r="AC1126" s="120"/>
      <c r="AD1126" s="459" t="s">
        <v>564</v>
      </c>
      <c r="AE1126" s="120"/>
      <c r="AF1126" s="440" t="s">
        <v>569</v>
      </c>
      <c r="BA1126"/>
      <c r="BB1126" s="436" t="s">
        <v>324</v>
      </c>
      <c r="BC1126" s="120"/>
      <c r="BD1126" s="459" t="s">
        <v>564</v>
      </c>
      <c r="BE1126" s="120"/>
      <c r="BF1126" s="440" t="s">
        <v>569</v>
      </c>
    </row>
    <row r="1127" spans="27:58">
      <c r="AA1127"/>
      <c r="AB1127" s="436"/>
      <c r="AC1127" s="120"/>
      <c r="AD1127" s="468"/>
      <c r="AE1127" s="469"/>
      <c r="AF1127" s="440"/>
      <c r="BA1127"/>
      <c r="BB1127" s="436"/>
      <c r="BC1127" s="120"/>
      <c r="BD1127" s="468"/>
      <c r="BE1127" s="469"/>
      <c r="BF1127" s="440"/>
    </row>
    <row r="1128" spans="27:58">
      <c r="AA1128"/>
      <c r="AB1128" s="436" t="s">
        <v>374</v>
      </c>
      <c r="AC1128" s="120"/>
      <c r="AD1128" s="459" t="s">
        <v>564</v>
      </c>
      <c r="AE1128" s="469"/>
      <c r="AF1128" s="440" t="s">
        <v>569</v>
      </c>
      <c r="BA1128"/>
      <c r="BB1128" s="436" t="s">
        <v>374</v>
      </c>
      <c r="BC1128" s="120"/>
      <c r="BD1128" s="459" t="s">
        <v>564</v>
      </c>
      <c r="BE1128" s="469"/>
      <c r="BF1128" s="440" t="s">
        <v>569</v>
      </c>
    </row>
    <row r="1129" spans="27:58">
      <c r="AA1129"/>
      <c r="AB1129" s="436"/>
      <c r="AC1129" s="120"/>
      <c r="AD1129" s="472"/>
      <c r="AE1129" s="473"/>
      <c r="AF1129" s="440"/>
      <c r="BA1129"/>
      <c r="BB1129" s="436"/>
      <c r="BC1129" s="120"/>
      <c r="BD1129" s="472"/>
      <c r="BE1129" s="473"/>
      <c r="BF1129" s="440"/>
    </row>
    <row r="1130" spans="27:58">
      <c r="AA1130"/>
      <c r="AB1130" s="436" t="s">
        <v>580</v>
      </c>
      <c r="AC1130" s="120"/>
      <c r="AD1130" s="459" t="s">
        <v>564</v>
      </c>
      <c r="AE1130" s="473"/>
      <c r="AF1130" s="440" t="s">
        <v>569</v>
      </c>
      <c r="BA1130"/>
      <c r="BB1130" s="436" t="s">
        <v>580</v>
      </c>
      <c r="BC1130" s="120"/>
      <c r="BD1130" s="459" t="s">
        <v>564</v>
      </c>
      <c r="BE1130" s="473"/>
      <c r="BF1130" s="440" t="s">
        <v>569</v>
      </c>
    </row>
    <row r="1131" spans="27:58">
      <c r="AA1131"/>
      <c r="AB1131" s="476"/>
      <c r="AC1131" s="477"/>
      <c r="AD1131" s="478"/>
      <c r="AE1131" s="479"/>
      <c r="AF1131" s="458"/>
      <c r="BA1131"/>
      <c r="BB1131" s="476"/>
      <c r="BC1131" s="477"/>
      <c r="BD1131" s="478"/>
      <c r="BE1131" s="479"/>
      <c r="BF1131" s="458"/>
    </row>
    <row r="1132" spans="27:58">
      <c r="AA1132"/>
      <c r="AB1132" s="449" t="s">
        <v>473</v>
      </c>
      <c r="AC1132" s="467" t="s">
        <v>508</v>
      </c>
      <c r="AD1132" s="480"/>
      <c r="AE1132" s="481" t="s">
        <v>308</v>
      </c>
      <c r="AF1132" s="440"/>
      <c r="BA1132"/>
      <c r="BB1132" s="449" t="s">
        <v>473</v>
      </c>
      <c r="BC1132" s="467" t="s">
        <v>508</v>
      </c>
      <c r="BD1132" s="480"/>
      <c r="BE1132" s="481" t="s">
        <v>308</v>
      </c>
      <c r="BF1132" s="440"/>
    </row>
    <row r="1133" spans="27:58">
      <c r="AB1133" s="436"/>
      <c r="AC1133" s="483"/>
      <c r="AD1133" s="480"/>
      <c r="AE1133" s="484"/>
      <c r="AF1133" s="440"/>
      <c r="BA1133"/>
      <c r="BB1133" s="436"/>
      <c r="BC1133" s="483"/>
      <c r="BD1133" s="480"/>
      <c r="BE1133" s="484"/>
      <c r="BF1133" s="440"/>
    </row>
    <row r="1134" spans="27:58">
      <c r="AB1134" s="436"/>
      <c r="AC1134" s="120"/>
      <c r="AD1134" s="223"/>
      <c r="AE1134" s="467"/>
      <c r="AF1134" s="440"/>
      <c r="BB1134" s="436"/>
      <c r="BC1134" s="120"/>
      <c r="BD1134" s="223"/>
      <c r="BE1134" s="467"/>
      <c r="BF1134" s="440"/>
    </row>
    <row r="1135" spans="27:58">
      <c r="AB1135" s="436"/>
      <c r="AC1135" s="120"/>
      <c r="AD1135" s="466"/>
      <c r="AE1135" s="467"/>
      <c r="AF1135" s="440"/>
      <c r="BB1135" s="436"/>
      <c r="BC1135" s="120"/>
      <c r="BD1135" s="466"/>
      <c r="BE1135" s="467"/>
      <c r="BF1135" s="440"/>
    </row>
    <row r="1136" spans="27:58">
      <c r="AB1136" s="436"/>
      <c r="AC1136" s="120"/>
      <c r="AD1136" s="223"/>
      <c r="AE1136" s="467"/>
      <c r="AF1136" s="440"/>
      <c r="BB1136" s="436"/>
      <c r="BC1136" s="120"/>
      <c r="BD1136" s="223"/>
      <c r="BE1136" s="467"/>
      <c r="BF1136" s="440"/>
    </row>
    <row r="1137" spans="28:58">
      <c r="AB1137" s="436"/>
      <c r="AC1137" s="120"/>
      <c r="AD1137" s="223"/>
      <c r="AE1137" s="467"/>
      <c r="AF1137" s="440"/>
      <c r="BB1137" s="436"/>
      <c r="BC1137" s="120"/>
      <c r="BD1137" s="223"/>
      <c r="BE1137" s="467"/>
      <c r="BF1137" s="440"/>
    </row>
    <row r="1138" spans="28:58">
      <c r="AB1138" s="436"/>
      <c r="AC1138" s="120"/>
      <c r="AD1138" s="471"/>
      <c r="AE1138" s="467"/>
      <c r="AF1138" s="440"/>
      <c r="BB1138" s="436"/>
      <c r="BC1138" s="120"/>
      <c r="BD1138" s="471"/>
      <c r="BE1138" s="467"/>
      <c r="BF1138" s="440"/>
    </row>
    <row r="1139" spans="28:58">
      <c r="AB1139" s="436"/>
      <c r="AC1139" s="120"/>
      <c r="AD1139" s="223"/>
      <c r="AE1139" s="467"/>
      <c r="AF1139" s="440"/>
      <c r="BB1139" s="436"/>
      <c r="BC1139" s="120"/>
      <c r="BD1139" s="223"/>
      <c r="BE1139" s="467"/>
      <c r="BF1139" s="440"/>
    </row>
    <row r="1140" spans="28:58">
      <c r="AB1140" s="436"/>
      <c r="AC1140" s="120"/>
      <c r="AD1140" s="475"/>
      <c r="AE1140" s="467"/>
      <c r="AF1140" s="440"/>
      <c r="BB1140" s="436"/>
      <c r="BC1140" s="120"/>
      <c r="BD1140" s="475"/>
      <c r="BE1140" s="467"/>
      <c r="BF1140" s="440"/>
    </row>
    <row r="1141" spans="28:58">
      <c r="AB1141" s="436"/>
      <c r="AC1141" s="120"/>
      <c r="AD1141" s="223"/>
      <c r="AE1141" s="467"/>
      <c r="AF1141" s="440"/>
      <c r="BB1141" s="436"/>
      <c r="BC1141" s="120"/>
      <c r="BD1141" s="223"/>
      <c r="BE1141" s="467"/>
      <c r="BF1141" s="440"/>
    </row>
    <row r="1142" spans="28:58">
      <c r="AB1142" s="436"/>
      <c r="AC1142" s="120"/>
      <c r="AD1142" s="223"/>
      <c r="AE1142" s="467"/>
      <c r="AF1142" s="440"/>
      <c r="BB1142" s="436"/>
      <c r="BC1142" s="120"/>
      <c r="BD1142" s="223"/>
      <c r="BE1142" s="467"/>
      <c r="BF1142" s="440"/>
    </row>
    <row r="1143" spans="28:58">
      <c r="AB1143" s="436"/>
      <c r="AC1143" s="120"/>
      <c r="AD1143" s="223"/>
      <c r="AE1143" s="467"/>
      <c r="AF1143" s="440"/>
      <c r="BB1143" s="436"/>
      <c r="BC1143" s="120"/>
      <c r="BD1143" s="223"/>
      <c r="BE1143" s="467"/>
      <c r="BF1143" s="440"/>
    </row>
    <row r="1144" spans="28:58">
      <c r="AB1144" s="436"/>
      <c r="AC1144" s="120"/>
      <c r="AD1144" s="223"/>
      <c r="AE1144" s="467"/>
      <c r="AF1144" s="440"/>
      <c r="BB1144" s="436"/>
      <c r="BC1144" s="120"/>
      <c r="BD1144" s="223"/>
      <c r="BE1144" s="467"/>
      <c r="BF1144" s="440"/>
    </row>
    <row r="1145" spans="28:58">
      <c r="AB1145" s="436"/>
      <c r="AC1145" s="120"/>
      <c r="AD1145" s="120"/>
      <c r="AE1145" s="467"/>
      <c r="AF1145" s="440"/>
      <c r="BB1145" s="436"/>
      <c r="BC1145" s="120"/>
      <c r="BD1145" s="120"/>
      <c r="BE1145" s="467"/>
      <c r="BF1145" s="440"/>
    </row>
    <row r="1146" spans="28:58">
      <c r="AB1146" s="456"/>
      <c r="AC1146" s="457"/>
      <c r="AD1146" s="457"/>
      <c r="AE1146" s="477"/>
      <c r="AF1146" s="458"/>
      <c r="BB1146" s="456"/>
      <c r="BC1146" s="457"/>
      <c r="BD1146" s="457"/>
      <c r="BE1146" s="477"/>
      <c r="BF1146" s="458"/>
    </row>
    <row r="1147" spans="28:58">
      <c r="AB1147" s="449" t="s">
        <v>474</v>
      </c>
      <c r="AC1147" s="120"/>
      <c r="AD1147" s="120" t="s">
        <v>1</v>
      </c>
      <c r="AE1147" s="310" t="s">
        <v>307</v>
      </c>
      <c r="AF1147" s="440"/>
      <c r="BB1147" s="449" t="s">
        <v>474</v>
      </c>
      <c r="BC1147" s="120"/>
      <c r="BD1147" s="120" t="s">
        <v>1</v>
      </c>
      <c r="BE1147" s="310" t="s">
        <v>307</v>
      </c>
      <c r="BF1147" s="440"/>
    </row>
    <row r="1148" spans="28:58">
      <c r="AB1148" s="436"/>
      <c r="AC1148" s="223"/>
      <c r="AD1148" s="480"/>
      <c r="AE1148" s="484"/>
      <c r="AF1148" s="440"/>
      <c r="BB1148" s="436"/>
      <c r="BC1148" s="223"/>
      <c r="BD1148" s="480"/>
      <c r="BE1148" s="484"/>
      <c r="BF1148" s="440"/>
    </row>
    <row r="1149" spans="28:58">
      <c r="AB1149" s="436"/>
      <c r="AC1149" s="120"/>
      <c r="AD1149" s="120"/>
      <c r="AE1149" s="467"/>
      <c r="AF1149" s="440"/>
      <c r="BB1149" s="436"/>
      <c r="BC1149" s="120"/>
      <c r="BD1149" s="120"/>
      <c r="BE1149" s="467"/>
      <c r="BF1149" s="440"/>
    </row>
    <row r="1150" spans="28:58">
      <c r="AB1150" s="436"/>
      <c r="AC1150" s="120"/>
      <c r="AD1150" s="120"/>
      <c r="AE1150" s="467"/>
      <c r="AF1150" s="440"/>
      <c r="BB1150" s="436"/>
      <c r="BC1150" s="120"/>
      <c r="BD1150" s="120"/>
      <c r="BE1150" s="467"/>
      <c r="BF1150" s="440"/>
    </row>
    <row r="1151" spans="28:58">
      <c r="AB1151" s="436"/>
      <c r="AC1151" s="120"/>
      <c r="AD1151" s="120"/>
      <c r="AE1151" s="467"/>
      <c r="AF1151" s="440"/>
      <c r="BB1151" s="436"/>
      <c r="BC1151" s="120"/>
      <c r="BD1151" s="120"/>
      <c r="BE1151" s="467"/>
      <c r="BF1151" s="440"/>
    </row>
    <row r="1152" spans="28:58">
      <c r="AB1152" s="436"/>
      <c r="AC1152" s="120"/>
      <c r="AD1152" s="120"/>
      <c r="AE1152" s="467"/>
      <c r="AF1152" s="440"/>
      <c r="BB1152" s="436"/>
      <c r="BC1152" s="120"/>
      <c r="BD1152" s="120"/>
      <c r="BE1152" s="467"/>
      <c r="BF1152" s="440"/>
    </row>
    <row r="1153" spans="28:58">
      <c r="AB1153" s="436"/>
      <c r="AC1153" s="120"/>
      <c r="AD1153" s="120"/>
      <c r="AE1153" s="467"/>
      <c r="AF1153" s="440"/>
      <c r="BB1153" s="436"/>
      <c r="BC1153" s="120"/>
      <c r="BD1153" s="120"/>
      <c r="BE1153" s="467"/>
      <c r="BF1153" s="440"/>
    </row>
    <row r="1154" spans="28:58">
      <c r="AB1154" s="436"/>
      <c r="AC1154" s="120"/>
      <c r="AD1154" s="120"/>
      <c r="AE1154" s="467"/>
      <c r="AF1154" s="440"/>
      <c r="BB1154" s="436"/>
      <c r="BC1154" s="120"/>
      <c r="BD1154" s="120"/>
      <c r="BE1154" s="467"/>
      <c r="BF1154" s="440"/>
    </row>
    <row r="1155" spans="28:58">
      <c r="AB1155" s="436"/>
      <c r="AC1155" s="120"/>
      <c r="AD1155" s="120"/>
      <c r="AE1155" s="467"/>
      <c r="AF1155" s="440"/>
      <c r="BB1155" s="436"/>
      <c r="BC1155" s="120"/>
      <c r="BD1155" s="120"/>
      <c r="BE1155" s="467"/>
      <c r="BF1155" s="440"/>
    </row>
    <row r="1156" spans="28:58">
      <c r="AB1156" s="436"/>
      <c r="AC1156" s="120"/>
      <c r="AD1156" s="120"/>
      <c r="AE1156" s="467"/>
      <c r="AF1156" s="440"/>
      <c r="BB1156" s="436"/>
      <c r="BC1156" s="120"/>
      <c r="BD1156" s="120"/>
      <c r="BE1156" s="467"/>
      <c r="BF1156" s="440"/>
    </row>
    <row r="1157" spans="28:58">
      <c r="AB1157" s="436"/>
      <c r="AC1157" s="120"/>
      <c r="AD1157" s="120"/>
      <c r="AE1157" s="467"/>
      <c r="AF1157" s="440"/>
      <c r="BB1157" s="436"/>
      <c r="BC1157" s="120"/>
      <c r="BD1157" s="120"/>
      <c r="BE1157" s="467"/>
      <c r="BF1157" s="440"/>
    </row>
    <row r="1158" spans="28:58">
      <c r="AB1158" s="436"/>
      <c r="AC1158" s="120"/>
      <c r="AD1158" s="120"/>
      <c r="AE1158" s="467"/>
      <c r="AF1158" s="440"/>
      <c r="BB1158" s="436"/>
      <c r="BC1158" s="120"/>
      <c r="BD1158" s="120"/>
      <c r="BE1158" s="467"/>
      <c r="BF1158" s="440"/>
    </row>
    <row r="1159" spans="28:58">
      <c r="AB1159" s="436"/>
      <c r="AC1159" s="120"/>
      <c r="AD1159" s="120"/>
      <c r="AE1159" s="467"/>
      <c r="AF1159" s="440"/>
      <c r="BB1159" s="436"/>
      <c r="BC1159" s="120"/>
      <c r="BD1159" s="120"/>
      <c r="BE1159" s="467"/>
      <c r="BF1159" s="440"/>
    </row>
    <row r="1160" spans="28:58">
      <c r="AB1160" s="456"/>
      <c r="AC1160" s="457"/>
      <c r="AD1160" s="457"/>
      <c r="AE1160" s="477"/>
      <c r="AF1160" s="458"/>
      <c r="BB1160" s="456"/>
      <c r="BC1160" s="457"/>
      <c r="BD1160" s="457"/>
      <c r="BE1160" s="477"/>
      <c r="BF1160" s="458"/>
    </row>
    <row r="1161" spans="28:58">
      <c r="AB1161" s="456"/>
      <c r="AC1161" s="457"/>
      <c r="AD1161" s="457"/>
      <c r="AE1161" s="457"/>
      <c r="AF1161" s="458"/>
      <c r="BB1161" s="456"/>
      <c r="BC1161" s="457"/>
      <c r="BD1161" s="457"/>
      <c r="BE1161" s="457"/>
      <c r="BF1161" s="458"/>
    </row>
    <row r="1162" spans="28:58">
      <c r="AB1162" s="449" t="s">
        <v>475</v>
      </c>
      <c r="AC1162" s="120"/>
      <c r="AD1162" s="120"/>
      <c r="AE1162" s="120"/>
      <c r="AF1162" s="440"/>
      <c r="BB1162" s="449" t="s">
        <v>475</v>
      </c>
      <c r="BC1162" s="120"/>
      <c r="BD1162" s="120"/>
      <c r="BE1162" s="120"/>
      <c r="BF1162" s="440"/>
    </row>
    <row r="1163" spans="28:58">
      <c r="AB1163" s="436" t="s">
        <v>509</v>
      </c>
      <c r="AC1163" s="120"/>
      <c r="AD1163" s="120"/>
      <c r="AE1163" s="120"/>
      <c r="AF1163" s="440"/>
      <c r="BB1163" s="436" t="s">
        <v>509</v>
      </c>
      <c r="BC1163" s="120"/>
      <c r="BD1163" s="120"/>
      <c r="BE1163" s="120"/>
      <c r="BF1163" s="440"/>
    </row>
    <row r="1164" spans="28:58">
      <c r="AB1164" s="436" t="s">
        <v>510</v>
      </c>
      <c r="AC1164" s="120"/>
      <c r="AD1164" s="120"/>
      <c r="AE1164" s="120"/>
      <c r="AF1164" s="440"/>
      <c r="BB1164" s="436" t="s">
        <v>510</v>
      </c>
      <c r="BC1164" s="120"/>
      <c r="BD1164" s="120"/>
      <c r="BE1164" s="120"/>
      <c r="BF1164" s="440"/>
    </row>
    <row r="1165" spans="28:58">
      <c r="AB1165" s="436"/>
      <c r="AC1165" s="120"/>
      <c r="AD1165" s="120"/>
      <c r="AE1165" s="120"/>
      <c r="AF1165" s="440"/>
      <c r="BB1165" s="436"/>
      <c r="BC1165" s="120"/>
      <c r="BD1165" s="120"/>
      <c r="BE1165" s="120"/>
      <c r="BF1165" s="440"/>
    </row>
    <row r="1166" spans="28:58">
      <c r="AB1166" s="436"/>
      <c r="AC1166" s="120"/>
      <c r="AD1166" s="120"/>
      <c r="AE1166" s="120"/>
      <c r="AF1166" s="440"/>
      <c r="BB1166" s="436"/>
      <c r="BC1166" s="120"/>
      <c r="BD1166" s="120"/>
      <c r="BE1166" s="120"/>
      <c r="BF1166" s="440"/>
    </row>
    <row r="1167" spans="28:58">
      <c r="AB1167" s="436"/>
      <c r="AC1167" s="120"/>
      <c r="AD1167" s="120"/>
      <c r="AE1167" s="120"/>
      <c r="AF1167" s="440"/>
      <c r="BB1167" s="436"/>
      <c r="BC1167" s="120"/>
      <c r="BD1167" s="120"/>
      <c r="BE1167" s="120"/>
      <c r="BF1167" s="440"/>
    </row>
    <row r="1168" spans="28:58">
      <c r="AB1168" s="436"/>
      <c r="AC1168" s="120"/>
      <c r="AD1168" s="120"/>
      <c r="AE1168" s="120"/>
      <c r="AF1168" s="440"/>
      <c r="BB1168" s="436"/>
      <c r="BC1168" s="120"/>
      <c r="BD1168" s="120"/>
      <c r="BE1168" s="120"/>
      <c r="BF1168" s="440"/>
    </row>
    <row r="1169" spans="28:58">
      <c r="AB1169" s="436" t="s">
        <v>511</v>
      </c>
      <c r="AC1169" s="120">
        <v>0</v>
      </c>
      <c r="AD1169" s="120" t="s">
        <v>512</v>
      </c>
      <c r="AE1169" s="120"/>
      <c r="AF1169" s="440"/>
      <c r="BB1169" s="436" t="s">
        <v>511</v>
      </c>
      <c r="BC1169" s="120">
        <v>0</v>
      </c>
      <c r="BD1169" s="120" t="s">
        <v>512</v>
      </c>
      <c r="BE1169" s="120"/>
      <c r="BF1169" s="440"/>
    </row>
    <row r="1170" spans="28:58">
      <c r="AB1170" s="436" t="s">
        <v>513</v>
      </c>
      <c r="AC1170" s="120">
        <v>0</v>
      </c>
      <c r="AD1170" s="120" t="s">
        <v>512</v>
      </c>
      <c r="AE1170" s="120"/>
      <c r="AF1170" s="440"/>
      <c r="BB1170" s="436" t="s">
        <v>513</v>
      </c>
      <c r="BC1170" s="120">
        <v>0</v>
      </c>
      <c r="BD1170" s="120" t="s">
        <v>512</v>
      </c>
      <c r="BE1170" s="120"/>
      <c r="BF1170" s="440"/>
    </row>
    <row r="1171" spans="28:58">
      <c r="AB1171" s="456"/>
      <c r="AC1171" s="457"/>
      <c r="AD1171" s="457"/>
      <c r="AE1171" s="457"/>
      <c r="AF1171" s="458"/>
      <c r="BB1171" s="456"/>
      <c r="BC1171" s="457"/>
      <c r="BD1171" s="457"/>
      <c r="BE1171" s="457"/>
      <c r="BF1171" s="458"/>
    </row>
    <row r="1172" spans="28:58">
      <c r="AB1172" s="449" t="s">
        <v>461</v>
      </c>
      <c r="AC1172" s="120"/>
      <c r="AD1172" s="120"/>
      <c r="AE1172" s="120"/>
      <c r="AF1172" s="440"/>
      <c r="BB1172" s="449" t="s">
        <v>461</v>
      </c>
      <c r="BC1172" s="120"/>
      <c r="BD1172" s="120"/>
      <c r="BE1172" s="120"/>
      <c r="BF1172" s="440"/>
    </row>
    <row r="1173" spans="28:58">
      <c r="AB1173" s="436" t="s">
        <v>514</v>
      </c>
      <c r="AC1173" s="120">
        <f>VLOOKUP(AB1101,'Unit Ops'!$B$140:$K$209,10,FALSE)</f>
        <v>6</v>
      </c>
      <c r="AD1173" s="120" t="s">
        <v>515</v>
      </c>
      <c r="AE1173" s="120"/>
      <c r="AF1173" s="440"/>
      <c r="BB1173" s="436" t="s">
        <v>514</v>
      </c>
      <c r="BC1173" s="120">
        <f>VLOOKUP(BB1101,'Unit Ops'!$B$140:$K$209,10,FALSE)</f>
        <v>0</v>
      </c>
      <c r="BD1173" s="120" t="s">
        <v>515</v>
      </c>
      <c r="BE1173" s="120"/>
      <c r="BF1173" s="440"/>
    </row>
    <row r="1174" spans="28:58">
      <c r="AB1174" s="436" t="s">
        <v>516</v>
      </c>
      <c r="AC1174" s="120">
        <v>0</v>
      </c>
      <c r="AD1174" s="120" t="s">
        <v>515</v>
      </c>
      <c r="AE1174" s="120"/>
      <c r="AF1174" s="440"/>
      <c r="BB1174" s="436" t="s">
        <v>516</v>
      </c>
      <c r="BC1174" s="120">
        <v>0</v>
      </c>
      <c r="BD1174" s="120" t="s">
        <v>515</v>
      </c>
      <c r="BE1174" s="120"/>
      <c r="BF1174" s="440"/>
    </row>
    <row r="1175" spans="28:58">
      <c r="AB1175" s="436"/>
      <c r="AC1175" s="120"/>
      <c r="AD1175" s="120"/>
      <c r="AE1175" s="120"/>
      <c r="AF1175" s="440"/>
      <c r="BB1175" s="436"/>
      <c r="BC1175" s="120"/>
      <c r="BD1175" s="120"/>
      <c r="BE1175" s="120"/>
      <c r="BF1175" s="440"/>
    </row>
    <row r="1176" spans="28:58">
      <c r="AB1176" s="436"/>
      <c r="AC1176" s="120"/>
      <c r="AD1176" s="120"/>
      <c r="AE1176" s="120"/>
      <c r="AF1176" s="440"/>
      <c r="BB1176" s="436"/>
      <c r="BC1176" s="120"/>
      <c r="BD1176" s="120"/>
      <c r="BE1176" s="120"/>
      <c r="BF1176" s="440"/>
    </row>
    <row r="1177" spans="28:58">
      <c r="AB1177" s="436"/>
      <c r="AC1177" s="120"/>
      <c r="AD1177" s="120"/>
      <c r="AE1177" s="120"/>
      <c r="AF1177" s="440"/>
      <c r="BB1177" s="436"/>
      <c r="BC1177" s="120"/>
      <c r="BD1177" s="120"/>
      <c r="BE1177" s="120"/>
      <c r="BF1177" s="440"/>
    </row>
    <row r="1178" spans="28:58">
      <c r="AB1178" s="436"/>
      <c r="AC1178" s="120"/>
      <c r="AD1178" s="120"/>
      <c r="AE1178" s="120"/>
      <c r="AF1178" s="440"/>
      <c r="BB1178" s="436"/>
      <c r="BC1178" s="120"/>
      <c r="BD1178" s="120"/>
      <c r="BE1178" s="120"/>
      <c r="BF1178" s="440"/>
    </row>
    <row r="1179" spans="28:58">
      <c r="AB1179" s="436"/>
      <c r="AC1179" s="120"/>
      <c r="AD1179" s="120"/>
      <c r="AE1179" s="120"/>
      <c r="AF1179" s="440"/>
      <c r="BB1179" s="436"/>
      <c r="BC1179" s="120"/>
      <c r="BD1179" s="120"/>
      <c r="BE1179" s="120"/>
      <c r="BF1179" s="440"/>
    </row>
    <row r="1180" spans="28:58">
      <c r="AB1180" s="436" t="s">
        <v>464</v>
      </c>
      <c r="AC1180" s="120"/>
      <c r="AD1180" s="120"/>
      <c r="AE1180" s="120"/>
      <c r="AF1180" s="440"/>
      <c r="BB1180" s="436" t="s">
        <v>464</v>
      </c>
      <c r="BC1180" s="120"/>
      <c r="BD1180" s="120"/>
      <c r="BE1180" s="120"/>
      <c r="BF1180" s="440"/>
    </row>
    <row r="1181" spans="28:58">
      <c r="AB1181" s="456"/>
      <c r="AC1181" s="457"/>
      <c r="AD1181" s="457"/>
      <c r="AE1181" s="457"/>
      <c r="AF1181" s="458"/>
      <c r="BB1181" s="456"/>
      <c r="BC1181" s="457"/>
      <c r="BD1181" s="457"/>
      <c r="BE1181" s="457"/>
      <c r="BF1181" s="458"/>
    </row>
    <row r="1182" spans="28:58">
      <c r="AB1182" s="449" t="s">
        <v>472</v>
      </c>
      <c r="AC1182" s="467" t="s">
        <v>517</v>
      </c>
      <c r="AD1182" s="120" t="s">
        <v>518</v>
      </c>
      <c r="AE1182" s="467" t="s">
        <v>519</v>
      </c>
      <c r="AF1182" s="440" t="s">
        <v>518</v>
      </c>
      <c r="BB1182" s="449" t="s">
        <v>472</v>
      </c>
      <c r="BC1182" s="467" t="s">
        <v>517</v>
      </c>
      <c r="BD1182" s="120" t="s">
        <v>518</v>
      </c>
      <c r="BE1182" s="467" t="s">
        <v>519</v>
      </c>
      <c r="BF1182" s="440" t="s">
        <v>518</v>
      </c>
    </row>
    <row r="1183" spans="28:58">
      <c r="AB1183" s="436" t="s">
        <v>520</v>
      </c>
      <c r="AC1183" s="120"/>
      <c r="AD1183" s="120"/>
      <c r="AE1183" s="472">
        <f>((VLOOKUP(AB1101,'Unit Ops'!$B$140:$J$209,3,FALSE)*AC1103^VLOOKUP(AB1101,'Unit Ops'!$B$140:$J$209,4,FALSE)+VLOOKUP(AB1101,'Unit Ops'!$B$140:$J$209,5,FALSE))*VLOOKUP(AB1101,'Unit Ops'!$B$140:$J$209,6,FALSE))*IF(VLOOKUP(AB1101,'Unit Ops'!$B$140:$L$209,11,FALSE)=1,1,2)</f>
        <v>0</v>
      </c>
      <c r="AF1183" s="490">
        <f>'CM Rec Par.'!$C$7</f>
        <v>2022</v>
      </c>
      <c r="BB1183" s="436" t="s">
        <v>520</v>
      </c>
      <c r="BC1183" s="120"/>
      <c r="BD1183" s="120"/>
      <c r="BE1183" s="472">
        <f>((VLOOKUP(BB1101,'Unit Ops'!$B$140:$J$209,3,FALSE)*BC1103^VLOOKUP(BB1101,'Unit Ops'!$B$140:$J$209,4,FALSE)+VLOOKUP(BB1101,'Unit Ops'!$B$140:$J$209,5,FALSE))*VLOOKUP(BB1101,'Unit Ops'!$B$140:$J$209,6,FALSE))*IF(VLOOKUP(BB1101,'Unit Ops'!$B$140:$L$209,11,FALSE)=1,1,2)</f>
        <v>0</v>
      </c>
      <c r="BF1183" s="490">
        <f>'CM Rec Par.'!$C$7</f>
        <v>2022</v>
      </c>
    </row>
    <row r="1184" spans="28:58">
      <c r="AB1184" s="436"/>
      <c r="AC1184" s="120"/>
      <c r="AD1184" s="120"/>
      <c r="AE1184" s="120"/>
      <c r="AF1184" s="440"/>
      <c r="BB1184" s="436"/>
      <c r="BC1184" s="120"/>
      <c r="BD1184" s="120"/>
      <c r="BE1184" s="120"/>
      <c r="BF1184" s="440"/>
    </row>
    <row r="1185" spans="28:58">
      <c r="AB1185" s="436"/>
      <c r="AC1185" s="120"/>
      <c r="AD1185" s="120"/>
      <c r="AE1185" s="120"/>
      <c r="AF1185" s="440"/>
      <c r="BB1185" s="436"/>
      <c r="BC1185" s="120"/>
      <c r="BD1185" s="120"/>
      <c r="BE1185" s="120"/>
      <c r="BF1185" s="440"/>
    </row>
    <row r="1186" spans="28:58">
      <c r="AB1186" s="436"/>
      <c r="AC1186" s="120"/>
      <c r="AD1186" s="120"/>
      <c r="AE1186" s="120"/>
      <c r="AF1186" s="440"/>
      <c r="BB1186" s="436"/>
      <c r="BC1186" s="120"/>
      <c r="BD1186" s="120"/>
      <c r="BE1186" s="120"/>
      <c r="BF1186" s="440"/>
    </row>
    <row r="1187" spans="28:58">
      <c r="AB1187" s="436"/>
      <c r="AC1187" s="120"/>
      <c r="AD1187" s="120"/>
      <c r="AE1187" s="120"/>
      <c r="AF1187" s="440"/>
      <c r="BB1187" s="436"/>
      <c r="BC1187" s="120"/>
      <c r="BD1187" s="120"/>
      <c r="BE1187" s="120"/>
      <c r="BF1187" s="440"/>
    </row>
    <row r="1188" spans="28:58">
      <c r="AB1188" s="436"/>
      <c r="AC1188" s="120"/>
      <c r="AD1188" s="120"/>
      <c r="AE1188" s="120"/>
      <c r="AF1188" s="440"/>
      <c r="BB1188" s="436"/>
      <c r="BC1188" s="120"/>
      <c r="BD1188" s="120"/>
      <c r="BE1188" s="120"/>
      <c r="BF1188" s="440"/>
    </row>
    <row r="1189" spans="28:58">
      <c r="AB1189" s="436"/>
      <c r="AC1189" s="120"/>
      <c r="AD1189" s="120"/>
      <c r="AE1189" s="120"/>
      <c r="AF1189" s="440"/>
      <c r="BB1189" s="436"/>
      <c r="BC1189" s="120"/>
      <c r="BD1189" s="120"/>
      <c r="BE1189" s="120"/>
      <c r="BF1189" s="440"/>
    </row>
    <row r="1190" spans="28:58">
      <c r="AB1190" s="436"/>
      <c r="AC1190" s="120"/>
      <c r="AD1190" s="120"/>
      <c r="AE1190" s="120"/>
      <c r="AF1190" s="440"/>
      <c r="BB1190" s="436"/>
      <c r="BC1190" s="120"/>
      <c r="BD1190" s="120"/>
      <c r="BE1190" s="120"/>
      <c r="BF1190" s="440"/>
    </row>
    <row r="1191" spans="28:58">
      <c r="AB1191" s="436"/>
      <c r="AC1191" s="120"/>
      <c r="AD1191" s="120"/>
      <c r="AE1191" s="120"/>
      <c r="AF1191" s="440"/>
      <c r="BB1191" s="436"/>
      <c r="BC1191" s="120"/>
      <c r="BD1191" s="120"/>
      <c r="BE1191" s="120"/>
      <c r="BF1191" s="440"/>
    </row>
    <row r="1192" spans="28:58">
      <c r="AB1192" s="436"/>
      <c r="AC1192" s="120"/>
      <c r="AD1192" s="120"/>
      <c r="AE1192" s="120"/>
      <c r="AF1192" s="440"/>
      <c r="BB1192" s="436"/>
      <c r="BC1192" s="120"/>
      <c r="BD1192" s="120"/>
      <c r="BE1192" s="120"/>
      <c r="BF1192" s="440"/>
    </row>
    <row r="1193" spans="28:58">
      <c r="AB1193" s="436"/>
      <c r="AC1193" s="120"/>
      <c r="AD1193" s="120"/>
      <c r="AE1193" s="120"/>
      <c r="AF1193" s="440"/>
      <c r="BB1193" s="436"/>
      <c r="BC1193" s="120"/>
      <c r="BD1193" s="120"/>
      <c r="BE1193" s="120"/>
      <c r="BF1193" s="440"/>
    </row>
    <row r="1194" spans="28:58">
      <c r="AB1194" s="436"/>
      <c r="AC1194" s="120"/>
      <c r="AD1194" s="120"/>
      <c r="AE1194" s="120"/>
      <c r="AF1194" s="440"/>
      <c r="BB1194" s="436"/>
      <c r="BC1194" s="120"/>
      <c r="BD1194" s="120"/>
      <c r="BE1194" s="120"/>
      <c r="BF1194" s="440"/>
    </row>
    <row r="1195" spans="28:58">
      <c r="AB1195" s="436"/>
      <c r="AC1195" s="120"/>
      <c r="AD1195" s="120"/>
      <c r="AE1195" s="120"/>
      <c r="AF1195" s="440"/>
      <c r="BB1195" s="436"/>
      <c r="BC1195" s="120"/>
      <c r="BD1195" s="120"/>
      <c r="BE1195" s="120"/>
      <c r="BF1195" s="440"/>
    </row>
    <row r="1196" spans="28:58">
      <c r="AB1196" s="436"/>
      <c r="AC1196" s="120"/>
      <c r="AD1196" s="120"/>
      <c r="AE1196" s="120"/>
      <c r="AF1196" s="440"/>
      <c r="BB1196" s="436"/>
      <c r="BC1196" s="120"/>
      <c r="BD1196" s="120"/>
      <c r="BE1196" s="120"/>
      <c r="BF1196" s="440"/>
    </row>
    <row r="1197" spans="28:58" ht="14.5" thickBot="1">
      <c r="AB1197" s="492"/>
      <c r="AC1197" s="493"/>
      <c r="AD1197" s="493"/>
      <c r="AE1197" s="493"/>
      <c r="AF1197" s="453"/>
      <c r="BB1197" s="492"/>
      <c r="BC1197" s="493"/>
      <c r="BD1197" s="493"/>
      <c r="BE1197" s="493"/>
      <c r="BF1197" s="453"/>
    </row>
    <row r="1200" spans="28:58" ht="14.5" thickBot="1"/>
    <row r="1201" spans="27:59">
      <c r="AA1201" s="114" t="s">
        <v>478</v>
      </c>
      <c r="AB1201" s="431" t="str">
        <f>AB51</f>
        <v>Conveyor</v>
      </c>
      <c r="AC1201" s="432"/>
      <c r="AD1201" s="433"/>
      <c r="AE1201" s="434"/>
      <c r="AF1201" s="435"/>
      <c r="AG1201" s="180"/>
      <c r="BB1201" s="431" t="str">
        <f>BB52</f>
        <v>Select Equipment</v>
      </c>
      <c r="BC1201" s="432"/>
      <c r="BD1201" s="433"/>
      <c r="BE1201" s="434"/>
      <c r="BF1201" s="435"/>
    </row>
    <row r="1202" spans="27:59">
      <c r="AA1202" s="114" t="s">
        <v>5</v>
      </c>
      <c r="AB1202" s="436" t="s">
        <v>1</v>
      </c>
      <c r="AC1202" s="437">
        <f>AC$14/AC$11/AC$10*VLOOKUP(AB1201,'Unit Ops'!$B$140:$J$209,2,FALSE)</f>
        <v>0</v>
      </c>
      <c r="AD1202" s="438" t="s">
        <v>586</v>
      </c>
      <c r="AE1202" s="1027">
        <f>AC1202*AC$306*AC$307</f>
        <v>0</v>
      </c>
      <c r="AF1202" s="439" t="s">
        <v>585</v>
      </c>
      <c r="AG1202" s="516"/>
      <c r="BA1202" s="114" t="s">
        <v>478</v>
      </c>
      <c r="BB1202" s="436" t="s">
        <v>1</v>
      </c>
      <c r="BC1202" s="437">
        <f>BC$15/BC$11/BC$12*VLOOKUP(BB1201,'Unit Ops'!$B$140:$J$209,2,FALSE)</f>
        <v>0</v>
      </c>
      <c r="BD1202" s="438" t="s">
        <v>586</v>
      </c>
      <c r="BE1202" s="1027">
        <f>BC1202*BC$306*BC$307</f>
        <v>0</v>
      </c>
      <c r="BF1202" s="439" t="s">
        <v>585</v>
      </c>
      <c r="BG1202" s="180"/>
    </row>
    <row r="1203" spans="27:59">
      <c r="AA1203" s="114" t="str">
        <f>$AB$44</f>
        <v>Hopper</v>
      </c>
      <c r="AB1203" s="436" t="s">
        <v>505</v>
      </c>
      <c r="AC1203" s="437">
        <f>ROUNDUP(AC1202*IF(VLOOKUP(AB1201,'Unit Ops'!$B$140:$L$209,11,FALSE)=1,1.5,0.75),1)</f>
        <v>0</v>
      </c>
      <c r="AD1203" s="438" t="s">
        <v>586</v>
      </c>
      <c r="AE1203" s="120">
        <f>AC1203*AC$306*AC$307</f>
        <v>0</v>
      </c>
      <c r="AF1203" s="439" t="s">
        <v>585</v>
      </c>
      <c r="AG1203" s="409"/>
      <c r="BA1203" s="114" t="s">
        <v>5</v>
      </c>
      <c r="BB1203" s="436" t="s">
        <v>505</v>
      </c>
      <c r="BC1203" s="437">
        <f>ROUNDUP(BC1202*IF(VLOOKUP(BB1201,'Unit Ops'!$B$140:$L$209,11,FALSE)=1,1.5,0.75),1)</f>
        <v>0</v>
      </c>
      <c r="BD1203" s="438" t="s">
        <v>586</v>
      </c>
      <c r="BE1203" s="120">
        <f>BC1203*BC$306*BC$307</f>
        <v>0</v>
      </c>
      <c r="BF1203" s="439" t="s">
        <v>585</v>
      </c>
      <c r="BG1203" s="516"/>
    </row>
    <row r="1204" spans="27:59">
      <c r="AA1204" s="114" t="str">
        <f>$AB$45</f>
        <v>Conveyor</v>
      </c>
      <c r="AB1204" s="441" t="s">
        <v>521</v>
      </c>
      <c r="AC1204" s="442" t="e">
        <f>AC1202/AC1203</f>
        <v>#DIV/0!</v>
      </c>
      <c r="AD1204" s="438"/>
      <c r="AE1204" s="443"/>
      <c r="AF1204" s="440"/>
      <c r="AG1204" s="409"/>
      <c r="BA1204" s="114" t="str">
        <f>$BB$45</f>
        <v>Select Equipment</v>
      </c>
      <c r="BB1204" s="441" t="s">
        <v>521</v>
      </c>
      <c r="BC1204" s="442" t="e">
        <f>BC1202/BC1203</f>
        <v>#DIV/0!</v>
      </c>
      <c r="BD1204" s="438"/>
      <c r="BE1204" s="443"/>
      <c r="BF1204" s="440"/>
      <c r="BG1204" s="409"/>
    </row>
    <row r="1205" spans="27:59">
      <c r="AA1205" s="114" t="str">
        <f>$AB$46</f>
        <v>Crusher</v>
      </c>
      <c r="AB1205" s="441" t="s">
        <v>506</v>
      </c>
      <c r="AC1205" s="445"/>
      <c r="AD1205" s="438" t="s">
        <v>454</v>
      </c>
      <c r="AE1205" s="443"/>
      <c r="AF1205" s="440"/>
      <c r="AG1205" s="517"/>
      <c r="BA1205" s="114" t="str">
        <f>$BB$46</f>
        <v>Select Equipment</v>
      </c>
      <c r="BB1205" s="441" t="s">
        <v>506</v>
      </c>
      <c r="BC1205" s="445"/>
      <c r="BD1205" s="438" t="s">
        <v>454</v>
      </c>
      <c r="BE1205" s="443"/>
      <c r="BF1205" s="440"/>
      <c r="BG1205" s="409"/>
    </row>
    <row r="1206" spans="27:59">
      <c r="AA1206" s="114" t="str">
        <f>$AB$47</f>
        <v>Screen, vibrating</v>
      </c>
      <c r="AB1206" s="436" t="s">
        <v>507</v>
      </c>
      <c r="AC1206" s="225" t="e">
        <f>(VLOOKUP(AB1201,'Unit Ops'!$B$140:$J$209,7,FALSE)*AC1203^VLOOKUP(AB1201,'Unit Ops'!$B$140:$J$209,8,FALSE)+VLOOKUP(AB1201,'Unit Ops'!$B$140:$J$209,9,FALSE))*IF(VLOOKUP(AB1201,'Unit Ops'!$B$140:$L$209,11,FALSE)=1,1,2)</f>
        <v>#NUM!</v>
      </c>
      <c r="AD1206" s="446" t="s">
        <v>454</v>
      </c>
      <c r="AE1206" s="443"/>
      <c r="AF1206" s="440"/>
      <c r="AG1206" s="482"/>
      <c r="BA1206" s="114" t="str">
        <f>$BB$47</f>
        <v>Select Equipment</v>
      </c>
      <c r="BB1206" s="436" t="s">
        <v>507</v>
      </c>
      <c r="BC1206" s="225" t="e">
        <f>(VLOOKUP(BB1201,'Unit Ops'!$B$140:$J$209,7,FALSE)*BC1203^VLOOKUP(BB1201,'Unit Ops'!$B$140:$J$209,8,FALSE)+VLOOKUP(BB1201,'Unit Ops'!$B$140:$J$209,9,FALSE))*IF(VLOOKUP(BB1201,'Unit Ops'!$B$140:$L$209,11,FALSE)=1,1,2)</f>
        <v>#NUM!</v>
      </c>
      <c r="BD1206" s="446" t="s">
        <v>454</v>
      </c>
      <c r="BE1206" s="443"/>
      <c r="BF1206" s="440"/>
      <c r="BG1206" s="517"/>
    </row>
    <row r="1207" spans="27:59">
      <c r="AA1207" s="114" t="str">
        <f>$AB$48</f>
        <v>Conveyor</v>
      </c>
      <c r="AB1207" s="441"/>
      <c r="AC1207" s="445"/>
      <c r="AD1207" s="447"/>
      <c r="AE1207" s="443"/>
      <c r="AF1207" s="440"/>
      <c r="AG1207" s="470"/>
      <c r="BA1207" s="114" t="str">
        <f>$BB$48</f>
        <v>Select Equipment</v>
      </c>
      <c r="BB1207" s="441"/>
      <c r="BC1207" s="445"/>
      <c r="BD1207" s="447"/>
      <c r="BE1207" s="443"/>
      <c r="BF1207" s="440"/>
      <c r="BG1207" s="482"/>
    </row>
    <row r="1208" spans="27:59">
      <c r="AA1208" s="114" t="str">
        <f>$AB$49</f>
        <v>Heat treatment furnace</v>
      </c>
      <c r="AB1208" s="441"/>
      <c r="AC1208" s="445"/>
      <c r="AD1208" s="447"/>
      <c r="AE1208" s="443"/>
      <c r="AF1208" s="440"/>
      <c r="AG1208" s="461"/>
      <c r="BA1208" s="114" t="str">
        <f>$BB$49</f>
        <v>Select Equipment</v>
      </c>
      <c r="BB1208" s="441"/>
      <c r="BC1208" s="445"/>
      <c r="BD1208" s="447"/>
      <c r="BE1208" s="443"/>
      <c r="BF1208" s="440"/>
      <c r="BG1208" s="470"/>
    </row>
    <row r="1209" spans="27:59">
      <c r="AA1209" s="114" t="str">
        <f>$AB$50</f>
        <v>Cyclone</v>
      </c>
      <c r="AB1209" s="449"/>
      <c r="AC1209" s="445"/>
      <c r="AD1209" s="447"/>
      <c r="AE1209" s="443"/>
      <c r="AF1209" s="440"/>
      <c r="AG1209" s="482"/>
      <c r="BA1209" s="114" t="str">
        <f>$BB$50</f>
        <v>Select Equipment</v>
      </c>
      <c r="BB1209" s="449"/>
      <c r="BC1209" s="445"/>
      <c r="BD1209" s="447"/>
      <c r="BE1209" s="443"/>
      <c r="BF1209" s="440"/>
      <c r="BG1209" s="461"/>
    </row>
    <row r="1210" spans="27:59" ht="14.5" thickBot="1">
      <c r="AA1210" s="114" t="str">
        <f>$AB$51</f>
        <v>Conveyor</v>
      </c>
      <c r="AB1210" s="450"/>
      <c r="AC1210" s="451"/>
      <c r="AD1210" s="451"/>
      <c r="AE1210" s="452"/>
      <c r="AF1210" s="453"/>
      <c r="AG1210" s="496"/>
      <c r="BA1210" s="114" t="str">
        <f>$BB$51</f>
        <v>Select Equipment</v>
      </c>
      <c r="BB1210" s="450"/>
      <c r="BC1210" s="451"/>
      <c r="BD1210" s="451"/>
      <c r="BE1210" s="452"/>
      <c r="BF1210" s="453"/>
      <c r="BG1210" s="482"/>
    </row>
    <row r="1211" spans="27:59">
      <c r="AA1211" s="114" t="str">
        <f>$AB$52</f>
        <v>Eddy current separator</v>
      </c>
      <c r="AB1211" s="449" t="s">
        <v>470</v>
      </c>
      <c r="AC1211" s="120"/>
      <c r="AD1211" s="454"/>
      <c r="AE1211" s="120"/>
      <c r="AF1211" s="440"/>
      <c r="AG1211" s="474"/>
      <c r="BA1211" s="114" t="str">
        <f>$BB$52</f>
        <v>Select Equipment</v>
      </c>
      <c r="BB1211" s="449" t="s">
        <v>470</v>
      </c>
      <c r="BC1211" s="120"/>
      <c r="BD1211" s="454"/>
      <c r="BE1211" s="120"/>
      <c r="BF1211" s="440"/>
      <c r="BG1211" s="496"/>
    </row>
    <row r="1212" spans="27:59" ht="14.5" customHeight="1">
      <c r="AA1212" s="114" t="str">
        <f>$AB$53</f>
        <v>Conveyor</v>
      </c>
      <c r="AB1212" s="1698"/>
      <c r="AC1212" s="1699"/>
      <c r="AD1212" s="1699"/>
      <c r="AE1212" s="1699"/>
      <c r="AF1212" s="1700"/>
      <c r="AG1212" s="474"/>
      <c r="BA1212" s="114" t="str">
        <f>$BB$53</f>
        <v>Select Equipment</v>
      </c>
      <c r="BB1212" s="1698"/>
      <c r="BC1212" s="1699"/>
      <c r="BD1212" s="1699"/>
      <c r="BE1212" s="1699"/>
      <c r="BF1212" s="1700"/>
      <c r="BG1212" s="474"/>
    </row>
    <row r="1213" spans="27:59">
      <c r="AA1213" s="114" t="str">
        <f>$AB$54</f>
        <v>Air classifier</v>
      </c>
      <c r="AB1213" s="436"/>
      <c r="AC1213" s="120"/>
      <c r="AD1213" s="455"/>
      <c r="AE1213" s="120"/>
      <c r="AF1213" s="440"/>
      <c r="AG1213" s="180"/>
      <c r="BA1213" s="114" t="str">
        <f>$BB$54</f>
        <v>Select Equipment</v>
      </c>
      <c r="BB1213" s="436"/>
      <c r="BC1213" s="120"/>
      <c r="BD1213" s="455"/>
      <c r="BE1213" s="120"/>
      <c r="BF1213" s="440"/>
      <c r="BG1213" s="474"/>
    </row>
    <row r="1214" spans="27:59">
      <c r="AA1214" s="114" t="str">
        <f>$AB$55</f>
        <v>Gas treatment</v>
      </c>
      <c r="AB1214" s="436"/>
      <c r="AC1214" s="120"/>
      <c r="AD1214" s="455"/>
      <c r="AE1214" s="120"/>
      <c r="AF1214" s="440"/>
      <c r="BA1214" s="114" t="str">
        <f>$BB$55</f>
        <v>Select Equipment</v>
      </c>
      <c r="BB1214" s="436"/>
      <c r="BC1214" s="120"/>
      <c r="BD1214" s="455"/>
      <c r="BE1214" s="120"/>
      <c r="BF1214" s="440"/>
      <c r="BG1214" s="180"/>
    </row>
    <row r="1215" spans="27:59">
      <c r="AA1215" s="114" t="str">
        <f>$AB$56</f>
        <v>Wheel loader</v>
      </c>
      <c r="AB1215" s="456"/>
      <c r="AC1215" s="457"/>
      <c r="AD1215" s="457"/>
      <c r="AE1215" s="457"/>
      <c r="AF1215" s="458"/>
      <c r="BA1215" s="114" t="str">
        <f>$BB$56</f>
        <v>Select Equipment</v>
      </c>
      <c r="BB1215" s="456"/>
      <c r="BC1215" s="457"/>
      <c r="BD1215" s="457"/>
      <c r="BE1215" s="457"/>
      <c r="BF1215" s="458"/>
    </row>
    <row r="1216" spans="27:59">
      <c r="AA1216" s="114" t="str">
        <f>$AB$57</f>
        <v>Select Equipment</v>
      </c>
      <c r="AB1216" s="449" t="s">
        <v>471</v>
      </c>
      <c r="AC1216" s="120"/>
      <c r="AD1216" s="454"/>
      <c r="AE1216" s="120"/>
      <c r="AF1216" s="440"/>
      <c r="BA1216" s="114" t="str">
        <f>$BB$57</f>
        <v>Select Equipment</v>
      </c>
      <c r="BB1216" s="449" t="s">
        <v>471</v>
      </c>
      <c r="BC1216" s="120"/>
      <c r="BD1216" s="454"/>
      <c r="BE1216" s="120"/>
      <c r="BF1216" s="440"/>
    </row>
    <row r="1217" spans="27:58">
      <c r="AA1217" s="114" t="str">
        <f>$AB$58</f>
        <v>Select Equipment</v>
      </c>
      <c r="AB1217" s="436" t="s">
        <v>577</v>
      </c>
      <c r="AC1217" s="225" t="e">
        <f>AC1206*IF(AC1204&gt;1,1,AC1204)</f>
        <v>#NUM!</v>
      </c>
      <c r="AD1217" s="446" t="s">
        <v>454</v>
      </c>
      <c r="AE1217" s="120"/>
      <c r="AF1217" s="440"/>
      <c r="BA1217" s="114" t="str">
        <f>$BB$58</f>
        <v>Select Equipment</v>
      </c>
      <c r="BB1217" s="436" t="s">
        <v>577</v>
      </c>
      <c r="BC1217" s="225" t="e">
        <f>BC1206*IF(BC1204&gt;1,1,BC1204)</f>
        <v>#NUM!</v>
      </c>
      <c r="BD1217" s="446" t="s">
        <v>454</v>
      </c>
      <c r="BE1217" s="120"/>
      <c r="BF1217" s="440"/>
    </row>
    <row r="1218" spans="27:58">
      <c r="AA1218" s="114" t="str">
        <f>$AB$59</f>
        <v>Select Equipment</v>
      </c>
      <c r="AB1218" s="436" t="s">
        <v>578</v>
      </c>
      <c r="AC1218" s="225"/>
      <c r="AD1218" s="446" t="s">
        <v>579</v>
      </c>
      <c r="AE1218" s="120"/>
      <c r="AF1218" s="440"/>
      <c r="BA1218" s="114" t="str">
        <f>$BB$59</f>
        <v>Select Equipment</v>
      </c>
      <c r="BB1218" s="436" t="s">
        <v>578</v>
      </c>
      <c r="BC1218" s="225"/>
      <c r="BD1218" s="446" t="s">
        <v>579</v>
      </c>
      <c r="BE1218" s="120"/>
      <c r="BF1218" s="440"/>
    </row>
    <row r="1219" spans="27:58">
      <c r="AA1219" s="114" t="str">
        <f>$AB$60</f>
        <v>Select Equipment</v>
      </c>
      <c r="AB1219" s="436"/>
      <c r="AC1219" s="120"/>
      <c r="AD1219" s="446"/>
      <c r="AE1219" s="120"/>
      <c r="AF1219" s="440"/>
      <c r="BA1219" s="114" t="str">
        <f>$BB$60</f>
        <v>Select Equipment</v>
      </c>
      <c r="BB1219" s="436"/>
      <c r="BC1219" s="120"/>
      <c r="BD1219" s="446"/>
      <c r="BE1219" s="120"/>
      <c r="BF1219" s="440"/>
    </row>
    <row r="1220" spans="27:58">
      <c r="AA1220" s="114" t="str">
        <f>$AB$61</f>
        <v>Select Equipment</v>
      </c>
      <c r="AB1220" s="436" t="s">
        <v>8</v>
      </c>
      <c r="AC1220" s="120"/>
      <c r="AD1220" s="459" t="s">
        <v>564</v>
      </c>
      <c r="AE1220" s="120"/>
      <c r="AF1220" s="440"/>
      <c r="BA1220" s="114" t="str">
        <f>$BB$61</f>
        <v>Select Equipment</v>
      </c>
      <c r="BB1220" s="436" t="s">
        <v>8</v>
      </c>
      <c r="BC1220" s="120"/>
      <c r="BD1220" s="459" t="s">
        <v>564</v>
      </c>
      <c r="BE1220" s="120"/>
      <c r="BF1220" s="440"/>
    </row>
    <row r="1221" spans="27:58">
      <c r="AA1221" s="114" t="str">
        <f>$AB$62</f>
        <v>Select Equipment</v>
      </c>
      <c r="AB1221" s="436"/>
      <c r="AC1221" s="120"/>
      <c r="AD1221" s="459"/>
      <c r="AE1221" s="120"/>
      <c r="AF1221" s="440"/>
      <c r="BA1221" s="114" t="str">
        <f>$BB$62</f>
        <v>Select Equipment</v>
      </c>
      <c r="BB1221" s="436"/>
      <c r="BC1221" s="120"/>
      <c r="BD1221" s="459"/>
      <c r="BE1221" s="120"/>
      <c r="BF1221" s="440"/>
    </row>
    <row r="1222" spans="27:58">
      <c r="AA1222" s="114" t="str">
        <f>$AB$63</f>
        <v>Select Equipment</v>
      </c>
      <c r="AB1222" s="436" t="s">
        <v>7</v>
      </c>
      <c r="AC1222" s="120"/>
      <c r="AD1222" s="459" t="s">
        <v>564</v>
      </c>
      <c r="AE1222" s="120"/>
      <c r="AF1222" s="440"/>
      <c r="BA1222" s="114" t="str">
        <f>$BB$63</f>
        <v>Select Equipment</v>
      </c>
      <c r="BB1222" s="436" t="s">
        <v>7</v>
      </c>
      <c r="BC1222" s="120"/>
      <c r="BD1222" s="459" t="s">
        <v>564</v>
      </c>
      <c r="BE1222" s="120"/>
      <c r="BF1222" s="440"/>
    </row>
    <row r="1223" spans="27:58">
      <c r="AA1223"/>
      <c r="AB1223" s="436"/>
      <c r="AC1223" s="120"/>
      <c r="AD1223" s="459"/>
      <c r="AE1223" s="120"/>
      <c r="AF1223" s="440"/>
      <c r="BA1223" s="114" t="str">
        <f>$BB$64</f>
        <v>Select Equipment</v>
      </c>
      <c r="BB1223" s="436"/>
      <c r="BC1223" s="120"/>
      <c r="BD1223" s="459"/>
      <c r="BE1223" s="120"/>
      <c r="BF1223" s="440"/>
    </row>
    <row r="1224" spans="27:58">
      <c r="AA1224"/>
      <c r="AB1224" s="436" t="s">
        <v>9</v>
      </c>
      <c r="AC1224" s="120"/>
      <c r="AD1224" s="459" t="s">
        <v>564</v>
      </c>
      <c r="AE1224" s="120"/>
      <c r="AF1224" s="440"/>
      <c r="BA1224"/>
      <c r="BB1224" s="436" t="s">
        <v>9</v>
      </c>
      <c r="BC1224" s="120"/>
      <c r="BD1224" s="459" t="s">
        <v>564</v>
      </c>
      <c r="BE1224" s="120"/>
      <c r="BF1224" s="440"/>
    </row>
    <row r="1225" spans="27:58">
      <c r="AA1225"/>
      <c r="AB1225" s="436"/>
      <c r="AC1225" s="120"/>
      <c r="AD1225" s="459"/>
      <c r="AE1225" s="120"/>
      <c r="AF1225" s="440"/>
      <c r="BA1225"/>
      <c r="BB1225" s="436"/>
      <c r="BC1225" s="120"/>
      <c r="BD1225" s="459"/>
      <c r="BE1225" s="120"/>
      <c r="BF1225" s="440"/>
    </row>
    <row r="1226" spans="27:58">
      <c r="AA1226"/>
      <c r="AB1226" s="436" t="s">
        <v>324</v>
      </c>
      <c r="AC1226" s="120"/>
      <c r="AD1226" s="459" t="s">
        <v>564</v>
      </c>
      <c r="AE1226" s="120"/>
      <c r="AF1226" s="440" t="s">
        <v>569</v>
      </c>
      <c r="BA1226"/>
      <c r="BB1226" s="436" t="s">
        <v>324</v>
      </c>
      <c r="BC1226" s="120"/>
      <c r="BD1226" s="459" t="s">
        <v>564</v>
      </c>
      <c r="BE1226" s="120"/>
      <c r="BF1226" s="440" t="s">
        <v>569</v>
      </c>
    </row>
    <row r="1227" spans="27:58">
      <c r="AA1227"/>
      <c r="AB1227" s="436"/>
      <c r="AC1227" s="120"/>
      <c r="AD1227" s="468"/>
      <c r="AE1227" s="469"/>
      <c r="AF1227" s="440"/>
      <c r="BA1227"/>
      <c r="BB1227" s="436"/>
      <c r="BC1227" s="120"/>
      <c r="BD1227" s="468"/>
      <c r="BE1227" s="469"/>
      <c r="BF1227" s="440"/>
    </row>
    <row r="1228" spans="27:58">
      <c r="AA1228"/>
      <c r="AB1228" s="436" t="s">
        <v>374</v>
      </c>
      <c r="AC1228" s="120"/>
      <c r="AD1228" s="459" t="s">
        <v>564</v>
      </c>
      <c r="AE1228" s="469"/>
      <c r="AF1228" s="440" t="s">
        <v>569</v>
      </c>
      <c r="BA1228"/>
      <c r="BB1228" s="436" t="s">
        <v>374</v>
      </c>
      <c r="BC1228" s="120"/>
      <c r="BD1228" s="459" t="s">
        <v>564</v>
      </c>
      <c r="BE1228" s="469"/>
      <c r="BF1228" s="440" t="s">
        <v>569</v>
      </c>
    </row>
    <row r="1229" spans="27:58">
      <c r="AA1229"/>
      <c r="AB1229" s="436"/>
      <c r="AC1229" s="120"/>
      <c r="AD1229" s="472"/>
      <c r="AE1229" s="473"/>
      <c r="AF1229" s="440"/>
      <c r="BA1229"/>
      <c r="BB1229" s="436"/>
      <c r="BC1229" s="120"/>
      <c r="BD1229" s="472"/>
      <c r="BE1229" s="473"/>
      <c r="BF1229" s="440"/>
    </row>
    <row r="1230" spans="27:58">
      <c r="AA1230"/>
      <c r="AB1230" s="436" t="s">
        <v>580</v>
      </c>
      <c r="AC1230" s="120"/>
      <c r="AD1230" s="459" t="s">
        <v>564</v>
      </c>
      <c r="AE1230" s="473"/>
      <c r="AF1230" s="440" t="s">
        <v>569</v>
      </c>
      <c r="BA1230"/>
      <c r="BB1230" s="436" t="s">
        <v>580</v>
      </c>
      <c r="BC1230" s="120"/>
      <c r="BD1230" s="459" t="s">
        <v>564</v>
      </c>
      <c r="BE1230" s="473"/>
      <c r="BF1230" s="440" t="s">
        <v>569</v>
      </c>
    </row>
    <row r="1231" spans="27:58">
      <c r="AA1231"/>
      <c r="AB1231" s="476"/>
      <c r="AC1231" s="477"/>
      <c r="AD1231" s="478"/>
      <c r="AE1231" s="479"/>
      <c r="AF1231" s="458"/>
      <c r="BA1231"/>
      <c r="BB1231" s="476"/>
      <c r="BC1231" s="477"/>
      <c r="BD1231" s="478"/>
      <c r="BE1231" s="479"/>
      <c r="BF1231" s="458"/>
    </row>
    <row r="1232" spans="27:58">
      <c r="AA1232"/>
      <c r="AB1232" s="449" t="s">
        <v>473</v>
      </c>
      <c r="AC1232" s="467" t="s">
        <v>508</v>
      </c>
      <c r="AD1232" s="480"/>
      <c r="AE1232" s="481" t="s">
        <v>308</v>
      </c>
      <c r="AF1232" s="440"/>
      <c r="BA1232"/>
      <c r="BB1232" s="449" t="s">
        <v>473</v>
      </c>
      <c r="BC1232" s="467" t="s">
        <v>508</v>
      </c>
      <c r="BD1232" s="480"/>
      <c r="BE1232" s="481" t="s">
        <v>308</v>
      </c>
      <c r="BF1232" s="440"/>
    </row>
    <row r="1233" spans="28:58">
      <c r="AB1233" s="436"/>
      <c r="AC1233" s="483"/>
      <c r="AD1233" s="480"/>
      <c r="AE1233" s="484"/>
      <c r="AF1233" s="440"/>
      <c r="BA1233"/>
      <c r="BB1233" s="436"/>
      <c r="BC1233" s="483"/>
      <c r="BD1233" s="480"/>
      <c r="BE1233" s="484"/>
      <c r="BF1233" s="440"/>
    </row>
    <row r="1234" spans="28:58">
      <c r="AB1234" s="436"/>
      <c r="AC1234" s="120"/>
      <c r="AD1234" s="223"/>
      <c r="AE1234" s="467"/>
      <c r="AF1234" s="440"/>
      <c r="BB1234" s="436"/>
      <c r="BC1234" s="120"/>
      <c r="BD1234" s="223"/>
      <c r="BE1234" s="467"/>
      <c r="BF1234" s="440"/>
    </row>
    <row r="1235" spans="28:58">
      <c r="AB1235" s="436"/>
      <c r="AC1235" s="120"/>
      <c r="AD1235" s="466"/>
      <c r="AE1235" s="467"/>
      <c r="AF1235" s="440"/>
      <c r="BB1235" s="436"/>
      <c r="BC1235" s="120"/>
      <c r="BD1235" s="466"/>
      <c r="BE1235" s="467"/>
      <c r="BF1235" s="440"/>
    </row>
    <row r="1236" spans="28:58">
      <c r="AB1236" s="436"/>
      <c r="AC1236" s="120"/>
      <c r="AD1236" s="223"/>
      <c r="AE1236" s="467"/>
      <c r="AF1236" s="440"/>
      <c r="BB1236" s="436"/>
      <c r="BC1236" s="120"/>
      <c r="BD1236" s="223"/>
      <c r="BE1236" s="467"/>
      <c r="BF1236" s="440"/>
    </row>
    <row r="1237" spans="28:58">
      <c r="AB1237" s="436"/>
      <c r="AC1237" s="120"/>
      <c r="AD1237" s="223"/>
      <c r="AE1237" s="467"/>
      <c r="AF1237" s="440"/>
      <c r="BB1237" s="436"/>
      <c r="BC1237" s="120"/>
      <c r="BD1237" s="223"/>
      <c r="BE1237" s="467"/>
      <c r="BF1237" s="440"/>
    </row>
    <row r="1238" spans="28:58">
      <c r="AB1238" s="436"/>
      <c r="AC1238" s="120"/>
      <c r="AD1238" s="471"/>
      <c r="AE1238" s="467"/>
      <c r="AF1238" s="440"/>
      <c r="BB1238" s="436"/>
      <c r="BC1238" s="120"/>
      <c r="BD1238" s="471"/>
      <c r="BE1238" s="467"/>
      <c r="BF1238" s="440"/>
    </row>
    <row r="1239" spans="28:58">
      <c r="AB1239" s="436"/>
      <c r="AC1239" s="120"/>
      <c r="AD1239" s="223"/>
      <c r="AE1239" s="467"/>
      <c r="AF1239" s="440"/>
      <c r="BB1239" s="436"/>
      <c r="BC1239" s="120"/>
      <c r="BD1239" s="223"/>
      <c r="BE1239" s="467"/>
      <c r="BF1239" s="440"/>
    </row>
    <row r="1240" spans="28:58">
      <c r="AB1240" s="436"/>
      <c r="AC1240" s="120"/>
      <c r="AD1240" s="475"/>
      <c r="AE1240" s="467"/>
      <c r="AF1240" s="440"/>
      <c r="BB1240" s="436"/>
      <c r="BC1240" s="120"/>
      <c r="BD1240" s="475"/>
      <c r="BE1240" s="467"/>
      <c r="BF1240" s="440"/>
    </row>
    <row r="1241" spans="28:58">
      <c r="AB1241" s="436"/>
      <c r="AC1241" s="120"/>
      <c r="AD1241" s="223"/>
      <c r="AE1241" s="467"/>
      <c r="AF1241" s="440"/>
      <c r="BB1241" s="436"/>
      <c r="BC1241" s="120"/>
      <c r="BD1241" s="223"/>
      <c r="BE1241" s="467"/>
      <c r="BF1241" s="440"/>
    </row>
    <row r="1242" spans="28:58">
      <c r="AB1242" s="436"/>
      <c r="AC1242" s="120"/>
      <c r="AD1242" s="223"/>
      <c r="AE1242" s="467"/>
      <c r="AF1242" s="440"/>
      <c r="BB1242" s="436"/>
      <c r="BC1242" s="120"/>
      <c r="BD1242" s="223"/>
      <c r="BE1242" s="467"/>
      <c r="BF1242" s="440"/>
    </row>
    <row r="1243" spans="28:58">
      <c r="AB1243" s="436"/>
      <c r="AC1243" s="120"/>
      <c r="AD1243" s="223"/>
      <c r="AE1243" s="467"/>
      <c r="AF1243" s="440"/>
      <c r="BB1243" s="436"/>
      <c r="BC1243" s="120"/>
      <c r="BD1243" s="223"/>
      <c r="BE1243" s="467"/>
      <c r="BF1243" s="440"/>
    </row>
    <row r="1244" spans="28:58">
      <c r="AB1244" s="436"/>
      <c r="AC1244" s="120"/>
      <c r="AD1244" s="223"/>
      <c r="AE1244" s="467"/>
      <c r="AF1244" s="440"/>
      <c r="BB1244" s="436"/>
      <c r="BC1244" s="120"/>
      <c r="BD1244" s="223"/>
      <c r="BE1244" s="467"/>
      <c r="BF1244" s="440"/>
    </row>
    <row r="1245" spans="28:58">
      <c r="AB1245" s="436"/>
      <c r="AC1245" s="120"/>
      <c r="AD1245" s="120"/>
      <c r="AE1245" s="467"/>
      <c r="AF1245" s="440"/>
      <c r="BB1245" s="436"/>
      <c r="BC1245" s="120"/>
      <c r="BD1245" s="120"/>
      <c r="BE1245" s="467"/>
      <c r="BF1245" s="440"/>
    </row>
    <row r="1246" spans="28:58">
      <c r="AB1246" s="456"/>
      <c r="AC1246" s="457"/>
      <c r="AD1246" s="457"/>
      <c r="AE1246" s="477"/>
      <c r="AF1246" s="458"/>
      <c r="BB1246" s="456"/>
      <c r="BC1246" s="457"/>
      <c r="BD1246" s="457"/>
      <c r="BE1246" s="477"/>
      <c r="BF1246" s="458"/>
    </row>
    <row r="1247" spans="28:58">
      <c r="AB1247" s="449" t="s">
        <v>474</v>
      </c>
      <c r="AC1247" s="120"/>
      <c r="AD1247" s="120" t="s">
        <v>1</v>
      </c>
      <c r="AE1247" s="310" t="s">
        <v>307</v>
      </c>
      <c r="AF1247" s="440"/>
      <c r="BB1247" s="449" t="s">
        <v>474</v>
      </c>
      <c r="BC1247" s="120"/>
      <c r="BD1247" s="120" t="s">
        <v>1</v>
      </c>
      <c r="BE1247" s="310" t="s">
        <v>307</v>
      </c>
      <c r="BF1247" s="440"/>
    </row>
    <row r="1248" spans="28:58">
      <c r="AB1248" s="436"/>
      <c r="AC1248" s="223"/>
      <c r="AD1248" s="480"/>
      <c r="AE1248" s="484"/>
      <c r="AF1248" s="440"/>
      <c r="BB1248" s="436"/>
      <c r="BC1248" s="223"/>
      <c r="BD1248" s="480"/>
      <c r="BE1248" s="484"/>
      <c r="BF1248" s="440"/>
    </row>
    <row r="1249" spans="28:58">
      <c r="AB1249" s="436"/>
      <c r="AC1249" s="120"/>
      <c r="AD1249" s="120"/>
      <c r="AE1249" s="467"/>
      <c r="AF1249" s="440"/>
      <c r="BB1249" s="436"/>
      <c r="BC1249" s="120"/>
      <c r="BD1249" s="120"/>
      <c r="BE1249" s="467"/>
      <c r="BF1249" s="440"/>
    </row>
    <row r="1250" spans="28:58">
      <c r="AB1250" s="436"/>
      <c r="AC1250" s="120"/>
      <c r="AD1250" s="120"/>
      <c r="AE1250" s="467"/>
      <c r="AF1250" s="440"/>
      <c r="BB1250" s="436"/>
      <c r="BC1250" s="120"/>
      <c r="BD1250" s="120"/>
      <c r="BE1250" s="467"/>
      <c r="BF1250" s="440"/>
    </row>
    <row r="1251" spans="28:58">
      <c r="AB1251" s="436"/>
      <c r="AC1251" s="120"/>
      <c r="AD1251" s="120"/>
      <c r="AE1251" s="467"/>
      <c r="AF1251" s="440"/>
      <c r="BB1251" s="436"/>
      <c r="BC1251" s="120"/>
      <c r="BD1251" s="120"/>
      <c r="BE1251" s="467"/>
      <c r="BF1251" s="440"/>
    </row>
    <row r="1252" spans="28:58">
      <c r="AB1252" s="436"/>
      <c r="AC1252" s="120"/>
      <c r="AD1252" s="120"/>
      <c r="AE1252" s="467"/>
      <c r="AF1252" s="440"/>
      <c r="BB1252" s="436"/>
      <c r="BC1252" s="120"/>
      <c r="BD1252" s="120"/>
      <c r="BE1252" s="467"/>
      <c r="BF1252" s="440"/>
    </row>
    <row r="1253" spans="28:58">
      <c r="AB1253" s="436"/>
      <c r="AC1253" s="120"/>
      <c r="AD1253" s="120"/>
      <c r="AE1253" s="467"/>
      <c r="AF1253" s="440"/>
      <c r="BB1253" s="436"/>
      <c r="BC1253" s="120"/>
      <c r="BD1253" s="120"/>
      <c r="BE1253" s="467"/>
      <c r="BF1253" s="440"/>
    </row>
    <row r="1254" spans="28:58">
      <c r="AB1254" s="436"/>
      <c r="AC1254" s="120"/>
      <c r="AD1254" s="120"/>
      <c r="AE1254" s="467"/>
      <c r="AF1254" s="440"/>
      <c r="BB1254" s="436"/>
      <c r="BC1254" s="120"/>
      <c r="BD1254" s="120"/>
      <c r="BE1254" s="467"/>
      <c r="BF1254" s="440"/>
    </row>
    <row r="1255" spans="28:58">
      <c r="AB1255" s="436"/>
      <c r="AC1255" s="120"/>
      <c r="AD1255" s="120"/>
      <c r="AE1255" s="467"/>
      <c r="AF1255" s="440"/>
      <c r="BB1255" s="436"/>
      <c r="BC1255" s="120"/>
      <c r="BD1255" s="120"/>
      <c r="BE1255" s="467"/>
      <c r="BF1255" s="440"/>
    </row>
    <row r="1256" spans="28:58">
      <c r="AB1256" s="436"/>
      <c r="AC1256" s="120"/>
      <c r="AD1256" s="120"/>
      <c r="AE1256" s="467"/>
      <c r="AF1256" s="440"/>
      <c r="BB1256" s="436"/>
      <c r="BC1256" s="120"/>
      <c r="BD1256" s="120"/>
      <c r="BE1256" s="467"/>
      <c r="BF1256" s="440"/>
    </row>
    <row r="1257" spans="28:58">
      <c r="AB1257" s="436"/>
      <c r="AC1257" s="120"/>
      <c r="AD1257" s="120"/>
      <c r="AE1257" s="467"/>
      <c r="AF1257" s="440"/>
      <c r="BB1257" s="436"/>
      <c r="BC1257" s="120"/>
      <c r="BD1257" s="120"/>
      <c r="BE1257" s="467"/>
      <c r="BF1257" s="440"/>
    </row>
    <row r="1258" spans="28:58">
      <c r="AB1258" s="436"/>
      <c r="AC1258" s="120"/>
      <c r="AD1258" s="120"/>
      <c r="AE1258" s="467"/>
      <c r="AF1258" s="440"/>
      <c r="BB1258" s="436"/>
      <c r="BC1258" s="120"/>
      <c r="BD1258" s="120"/>
      <c r="BE1258" s="467"/>
      <c r="BF1258" s="440"/>
    </row>
    <row r="1259" spans="28:58">
      <c r="AB1259" s="436"/>
      <c r="AC1259" s="120"/>
      <c r="AD1259" s="120"/>
      <c r="AE1259" s="467"/>
      <c r="AF1259" s="440"/>
      <c r="BB1259" s="436"/>
      <c r="BC1259" s="120"/>
      <c r="BD1259" s="120"/>
      <c r="BE1259" s="467"/>
      <c r="BF1259" s="440"/>
    </row>
    <row r="1260" spans="28:58">
      <c r="AB1260" s="456"/>
      <c r="AC1260" s="457"/>
      <c r="AD1260" s="457"/>
      <c r="AE1260" s="477"/>
      <c r="AF1260" s="458"/>
      <c r="BB1260" s="456"/>
      <c r="BC1260" s="457"/>
      <c r="BD1260" s="457"/>
      <c r="BE1260" s="477"/>
      <c r="BF1260" s="458"/>
    </row>
    <row r="1261" spans="28:58">
      <c r="AB1261" s="456"/>
      <c r="AC1261" s="457"/>
      <c r="AD1261" s="457"/>
      <c r="AE1261" s="457"/>
      <c r="AF1261" s="458"/>
      <c r="BB1261" s="456"/>
      <c r="BC1261" s="457"/>
      <c r="BD1261" s="457"/>
      <c r="BE1261" s="457"/>
      <c r="BF1261" s="458"/>
    </row>
    <row r="1262" spans="28:58">
      <c r="AB1262" s="449" t="s">
        <v>475</v>
      </c>
      <c r="AC1262" s="120"/>
      <c r="AD1262" s="120"/>
      <c r="AE1262" s="120"/>
      <c r="AF1262" s="440"/>
      <c r="BB1262" s="449" t="s">
        <v>475</v>
      </c>
      <c r="BC1262" s="120"/>
      <c r="BD1262" s="120"/>
      <c r="BE1262" s="120"/>
      <c r="BF1262" s="440"/>
    </row>
    <row r="1263" spans="28:58">
      <c r="AB1263" s="436" t="s">
        <v>509</v>
      </c>
      <c r="AC1263" s="120"/>
      <c r="AD1263" s="120"/>
      <c r="AE1263" s="120"/>
      <c r="AF1263" s="440"/>
      <c r="BB1263" s="436" t="s">
        <v>509</v>
      </c>
      <c r="BC1263" s="120"/>
      <c r="BD1263" s="120"/>
      <c r="BE1263" s="120"/>
      <c r="BF1263" s="440"/>
    </row>
    <row r="1264" spans="28:58">
      <c r="AB1264" s="436" t="s">
        <v>510</v>
      </c>
      <c r="AC1264" s="120"/>
      <c r="AD1264" s="120"/>
      <c r="AE1264" s="120"/>
      <c r="AF1264" s="440"/>
      <c r="BB1264" s="436" t="s">
        <v>510</v>
      </c>
      <c r="BC1264" s="120"/>
      <c r="BD1264" s="120"/>
      <c r="BE1264" s="120"/>
      <c r="BF1264" s="440"/>
    </row>
    <row r="1265" spans="28:58">
      <c r="AB1265" s="436"/>
      <c r="AC1265" s="120"/>
      <c r="AD1265" s="120"/>
      <c r="AE1265" s="120"/>
      <c r="AF1265" s="440"/>
      <c r="BB1265" s="436"/>
      <c r="BC1265" s="120"/>
      <c r="BD1265" s="120"/>
      <c r="BE1265" s="120"/>
      <c r="BF1265" s="440"/>
    </row>
    <row r="1266" spans="28:58">
      <c r="AB1266" s="436"/>
      <c r="AC1266" s="120"/>
      <c r="AD1266" s="120"/>
      <c r="AE1266" s="120"/>
      <c r="AF1266" s="440"/>
      <c r="BB1266" s="436"/>
      <c r="BC1266" s="120"/>
      <c r="BD1266" s="120"/>
      <c r="BE1266" s="120"/>
      <c r="BF1266" s="440"/>
    </row>
    <row r="1267" spans="28:58">
      <c r="AB1267" s="436"/>
      <c r="AC1267" s="120"/>
      <c r="AD1267" s="120"/>
      <c r="AE1267" s="120"/>
      <c r="AF1267" s="440"/>
      <c r="BB1267" s="436"/>
      <c r="BC1267" s="120"/>
      <c r="BD1267" s="120"/>
      <c r="BE1267" s="120"/>
      <c r="BF1267" s="440"/>
    </row>
    <row r="1268" spans="28:58">
      <c r="AB1268" s="436"/>
      <c r="AC1268" s="120"/>
      <c r="AD1268" s="120"/>
      <c r="AE1268" s="120"/>
      <c r="AF1268" s="440"/>
      <c r="BB1268" s="436"/>
      <c r="BC1268" s="120"/>
      <c r="BD1268" s="120"/>
      <c r="BE1268" s="120"/>
      <c r="BF1268" s="440"/>
    </row>
    <row r="1269" spans="28:58">
      <c r="AB1269" s="436" t="s">
        <v>511</v>
      </c>
      <c r="AC1269" s="120">
        <v>0</v>
      </c>
      <c r="AD1269" s="120" t="s">
        <v>512</v>
      </c>
      <c r="AE1269" s="120"/>
      <c r="AF1269" s="440"/>
      <c r="BB1269" s="436" t="s">
        <v>511</v>
      </c>
      <c r="BC1269" s="120">
        <v>0</v>
      </c>
      <c r="BD1269" s="120" t="s">
        <v>512</v>
      </c>
      <c r="BE1269" s="120"/>
      <c r="BF1269" s="440"/>
    </row>
    <row r="1270" spans="28:58">
      <c r="AB1270" s="436" t="s">
        <v>513</v>
      </c>
      <c r="AC1270" s="120">
        <v>0</v>
      </c>
      <c r="AD1270" s="120" t="s">
        <v>512</v>
      </c>
      <c r="AE1270" s="120"/>
      <c r="AF1270" s="440"/>
      <c r="BB1270" s="436" t="s">
        <v>513</v>
      </c>
      <c r="BC1270" s="120">
        <v>0</v>
      </c>
      <c r="BD1270" s="120" t="s">
        <v>512</v>
      </c>
      <c r="BE1270" s="120"/>
      <c r="BF1270" s="440"/>
    </row>
    <row r="1271" spans="28:58">
      <c r="AB1271" s="456"/>
      <c r="AC1271" s="457"/>
      <c r="AD1271" s="457"/>
      <c r="AE1271" s="457"/>
      <c r="AF1271" s="458"/>
      <c r="BB1271" s="456"/>
      <c r="BC1271" s="457"/>
      <c r="BD1271" s="457"/>
      <c r="BE1271" s="457"/>
      <c r="BF1271" s="458"/>
    </row>
    <row r="1272" spans="28:58">
      <c r="AB1272" s="449" t="s">
        <v>461</v>
      </c>
      <c r="AC1272" s="120"/>
      <c r="AD1272" s="120"/>
      <c r="AE1272" s="120"/>
      <c r="AF1272" s="440"/>
      <c r="BB1272" s="449" t="s">
        <v>461</v>
      </c>
      <c r="BC1272" s="120"/>
      <c r="BD1272" s="120"/>
      <c r="BE1272" s="120"/>
      <c r="BF1272" s="440"/>
    </row>
    <row r="1273" spans="28:58">
      <c r="AB1273" s="436" t="s">
        <v>514</v>
      </c>
      <c r="AC1273" s="120">
        <f>VLOOKUP(AB1201,'Unit Ops'!$B$140:$K$209,10,FALSE)</f>
        <v>2</v>
      </c>
      <c r="AD1273" s="120" t="s">
        <v>515</v>
      </c>
      <c r="AE1273" s="120"/>
      <c r="AF1273" s="440"/>
      <c r="BB1273" s="436" t="s">
        <v>514</v>
      </c>
      <c r="BC1273" s="120">
        <f>VLOOKUP(BB1201,'Unit Ops'!$B$140:$K$209,10,FALSE)</f>
        <v>0</v>
      </c>
      <c r="BD1273" s="120" t="s">
        <v>515</v>
      </c>
      <c r="BE1273" s="120"/>
      <c r="BF1273" s="440"/>
    </row>
    <row r="1274" spans="28:58">
      <c r="AB1274" s="436" t="s">
        <v>516</v>
      </c>
      <c r="AC1274" s="120">
        <v>0</v>
      </c>
      <c r="AD1274" s="120" t="s">
        <v>515</v>
      </c>
      <c r="AE1274" s="120"/>
      <c r="AF1274" s="440"/>
      <c r="BB1274" s="436" t="s">
        <v>516</v>
      </c>
      <c r="BC1274" s="120">
        <v>0</v>
      </c>
      <c r="BD1274" s="120" t="s">
        <v>515</v>
      </c>
      <c r="BE1274" s="120"/>
      <c r="BF1274" s="440"/>
    </row>
    <row r="1275" spans="28:58">
      <c r="AB1275" s="436"/>
      <c r="AC1275" s="120"/>
      <c r="AD1275" s="120"/>
      <c r="AE1275" s="120"/>
      <c r="AF1275" s="440"/>
      <c r="BB1275" s="436"/>
      <c r="BC1275" s="120"/>
      <c r="BD1275" s="120"/>
      <c r="BE1275" s="120"/>
      <c r="BF1275" s="440"/>
    </row>
    <row r="1276" spans="28:58">
      <c r="AB1276" s="436"/>
      <c r="AC1276" s="120"/>
      <c r="AD1276" s="120"/>
      <c r="AE1276" s="120"/>
      <c r="AF1276" s="440"/>
      <c r="BB1276" s="436"/>
      <c r="BC1276" s="120"/>
      <c r="BD1276" s="120"/>
      <c r="BE1276" s="120"/>
      <c r="BF1276" s="440"/>
    </row>
    <row r="1277" spans="28:58">
      <c r="AB1277" s="436"/>
      <c r="AC1277" s="120"/>
      <c r="AD1277" s="120"/>
      <c r="AE1277" s="120"/>
      <c r="AF1277" s="440"/>
      <c r="BB1277" s="436"/>
      <c r="BC1277" s="120"/>
      <c r="BD1277" s="120"/>
      <c r="BE1277" s="120"/>
      <c r="BF1277" s="440"/>
    </row>
    <row r="1278" spans="28:58">
      <c r="AB1278" s="436"/>
      <c r="AC1278" s="120"/>
      <c r="AD1278" s="120"/>
      <c r="AE1278" s="120"/>
      <c r="AF1278" s="440"/>
      <c r="BB1278" s="436"/>
      <c r="BC1278" s="120"/>
      <c r="BD1278" s="120"/>
      <c r="BE1278" s="120"/>
      <c r="BF1278" s="440"/>
    </row>
    <row r="1279" spans="28:58">
      <c r="AB1279" s="436"/>
      <c r="AC1279" s="120"/>
      <c r="AD1279" s="120"/>
      <c r="AE1279" s="120"/>
      <c r="AF1279" s="440"/>
      <c r="BB1279" s="436"/>
      <c r="BC1279" s="120"/>
      <c r="BD1279" s="120"/>
      <c r="BE1279" s="120"/>
      <c r="BF1279" s="440"/>
    </row>
    <row r="1280" spans="28:58">
      <c r="AB1280" s="436" t="s">
        <v>464</v>
      </c>
      <c r="AC1280" s="120"/>
      <c r="AD1280" s="120"/>
      <c r="AE1280" s="120"/>
      <c r="AF1280" s="440"/>
      <c r="BB1280" s="436" t="s">
        <v>464</v>
      </c>
      <c r="BC1280" s="120"/>
      <c r="BD1280" s="120"/>
      <c r="BE1280" s="120"/>
      <c r="BF1280" s="440"/>
    </row>
    <row r="1281" spans="28:58">
      <c r="AB1281" s="456"/>
      <c r="AC1281" s="457"/>
      <c r="AD1281" s="457"/>
      <c r="AE1281" s="457"/>
      <c r="AF1281" s="458"/>
      <c r="BB1281" s="456"/>
      <c r="BC1281" s="457"/>
      <c r="BD1281" s="457"/>
      <c r="BE1281" s="457"/>
      <c r="BF1281" s="458"/>
    </row>
    <row r="1282" spans="28:58">
      <c r="AB1282" s="449" t="s">
        <v>472</v>
      </c>
      <c r="AC1282" s="467" t="s">
        <v>517</v>
      </c>
      <c r="AD1282" s="120" t="s">
        <v>518</v>
      </c>
      <c r="AE1282" s="467" t="s">
        <v>519</v>
      </c>
      <c r="AF1282" s="440" t="s">
        <v>518</v>
      </c>
      <c r="BB1282" s="449" t="s">
        <v>472</v>
      </c>
      <c r="BC1282" s="467" t="s">
        <v>517</v>
      </c>
      <c r="BD1282" s="120" t="s">
        <v>518</v>
      </c>
      <c r="BE1282" s="467" t="s">
        <v>519</v>
      </c>
      <c r="BF1282" s="440" t="s">
        <v>518</v>
      </c>
    </row>
    <row r="1283" spans="28:58">
      <c r="AB1283" s="436" t="s">
        <v>520</v>
      </c>
      <c r="AC1283" s="120"/>
      <c r="AD1283" s="120"/>
      <c r="AE1283" s="472" t="e">
        <f>((VLOOKUP(AB1201,'Unit Ops'!$B$140:$J$209,3,FALSE)*AC1203^VLOOKUP(AB1201,'Unit Ops'!$B$140:$J$209,4,FALSE)+VLOOKUP(AB1201,'Unit Ops'!$B$140:$J$209,5,FALSE))*VLOOKUP(AB1201,'Unit Ops'!$B$140:$J$209,6,FALSE))*IF(VLOOKUP(AB1201,'Unit Ops'!$B$140:$L$209,11,FALSE)=1,1,2)</f>
        <v>#NUM!</v>
      </c>
      <c r="AF1283" s="490">
        <f>'CM Rec Par.'!$C$7</f>
        <v>2022</v>
      </c>
      <c r="BB1283" s="436" t="s">
        <v>520</v>
      </c>
      <c r="BC1283" s="120"/>
      <c r="BD1283" s="120"/>
      <c r="BE1283" s="472">
        <f>((VLOOKUP(BB1201,'Unit Ops'!$B$140:$J$209,3,FALSE)*BC1203^VLOOKUP(BB1201,'Unit Ops'!$B$140:$J$209,4,FALSE)+VLOOKUP(BB1201,'Unit Ops'!$B$140:$J$209,5,FALSE))*VLOOKUP(BB1201,'Unit Ops'!$B$140:$J$209,6,FALSE))*IF(VLOOKUP(BB1201,'Unit Ops'!$B$140:$L$209,11,FALSE)=1,1,2)</f>
        <v>0</v>
      </c>
      <c r="BF1283" s="490">
        <f>'CM Rec Par.'!$C$7</f>
        <v>2022</v>
      </c>
    </row>
    <row r="1284" spans="28:58">
      <c r="AB1284" s="436"/>
      <c r="AC1284" s="120"/>
      <c r="AD1284" s="120"/>
      <c r="AE1284" s="120"/>
      <c r="AF1284" s="440"/>
      <c r="BB1284" s="436"/>
      <c r="BC1284" s="120"/>
      <c r="BD1284" s="120"/>
      <c r="BE1284" s="120"/>
      <c r="BF1284" s="440"/>
    </row>
    <row r="1285" spans="28:58">
      <c r="AB1285" s="436"/>
      <c r="AC1285" s="120"/>
      <c r="AD1285" s="120"/>
      <c r="AE1285" s="120"/>
      <c r="AF1285" s="440"/>
      <c r="BB1285" s="436"/>
      <c r="BC1285" s="120"/>
      <c r="BD1285" s="120"/>
      <c r="BE1285" s="120"/>
      <c r="BF1285" s="440"/>
    </row>
    <row r="1286" spans="28:58">
      <c r="AB1286" s="436"/>
      <c r="AC1286" s="120"/>
      <c r="AD1286" s="120"/>
      <c r="AE1286" s="120"/>
      <c r="AF1286" s="440"/>
      <c r="BB1286" s="436"/>
      <c r="BC1286" s="120"/>
      <c r="BD1286" s="120"/>
      <c r="BE1286" s="120"/>
      <c r="BF1286" s="440"/>
    </row>
    <row r="1287" spans="28:58">
      <c r="AB1287" s="436"/>
      <c r="AC1287" s="120"/>
      <c r="AD1287" s="120"/>
      <c r="AE1287" s="120"/>
      <c r="AF1287" s="440"/>
      <c r="BB1287" s="436"/>
      <c r="BC1287" s="120"/>
      <c r="BD1287" s="120"/>
      <c r="BE1287" s="120"/>
      <c r="BF1287" s="440"/>
    </row>
    <row r="1288" spans="28:58">
      <c r="AB1288" s="436"/>
      <c r="AC1288" s="120"/>
      <c r="AD1288" s="120"/>
      <c r="AE1288" s="120"/>
      <c r="AF1288" s="440"/>
      <c r="BB1288" s="436"/>
      <c r="BC1288" s="120"/>
      <c r="BD1288" s="120"/>
      <c r="BE1288" s="120"/>
      <c r="BF1288" s="440"/>
    </row>
    <row r="1289" spans="28:58">
      <c r="AB1289" s="436"/>
      <c r="AC1289" s="120"/>
      <c r="AD1289" s="120"/>
      <c r="AE1289" s="120"/>
      <c r="AF1289" s="440"/>
      <c r="BB1289" s="436"/>
      <c r="BC1289" s="120"/>
      <c r="BD1289" s="120"/>
      <c r="BE1289" s="120"/>
      <c r="BF1289" s="440"/>
    </row>
    <row r="1290" spans="28:58">
      <c r="AB1290" s="436"/>
      <c r="AC1290" s="120"/>
      <c r="AD1290" s="120"/>
      <c r="AE1290" s="120"/>
      <c r="AF1290" s="440"/>
      <c r="BB1290" s="436"/>
      <c r="BC1290" s="120"/>
      <c r="BD1290" s="120"/>
      <c r="BE1290" s="120"/>
      <c r="BF1290" s="440"/>
    </row>
    <row r="1291" spans="28:58">
      <c r="AB1291" s="436"/>
      <c r="AC1291" s="120"/>
      <c r="AD1291" s="120"/>
      <c r="AE1291" s="120"/>
      <c r="AF1291" s="440"/>
      <c r="BB1291" s="436"/>
      <c r="BC1291" s="120"/>
      <c r="BD1291" s="120"/>
      <c r="BE1291" s="120"/>
      <c r="BF1291" s="440"/>
    </row>
    <row r="1292" spans="28:58">
      <c r="AB1292" s="436"/>
      <c r="AC1292" s="120"/>
      <c r="AD1292" s="120"/>
      <c r="AE1292" s="120"/>
      <c r="AF1292" s="440"/>
      <c r="BB1292" s="436"/>
      <c r="BC1292" s="120"/>
      <c r="BD1292" s="120"/>
      <c r="BE1292" s="120"/>
      <c r="BF1292" s="440"/>
    </row>
    <row r="1293" spans="28:58">
      <c r="AB1293" s="436"/>
      <c r="AC1293" s="120"/>
      <c r="AD1293" s="120"/>
      <c r="AE1293" s="120"/>
      <c r="AF1293" s="440"/>
      <c r="BB1293" s="436"/>
      <c r="BC1293" s="120"/>
      <c r="BD1293" s="120"/>
      <c r="BE1293" s="120"/>
      <c r="BF1293" s="440"/>
    </row>
    <row r="1294" spans="28:58">
      <c r="AB1294" s="436"/>
      <c r="AC1294" s="120"/>
      <c r="AD1294" s="120"/>
      <c r="AE1294" s="120"/>
      <c r="AF1294" s="440"/>
      <c r="BB1294" s="436"/>
      <c r="BC1294" s="120"/>
      <c r="BD1294" s="120"/>
      <c r="BE1294" s="120"/>
      <c r="BF1294" s="440"/>
    </row>
    <row r="1295" spans="28:58">
      <c r="AB1295" s="436"/>
      <c r="AC1295" s="120"/>
      <c r="AD1295" s="120"/>
      <c r="AE1295" s="120"/>
      <c r="AF1295" s="440"/>
      <c r="BB1295" s="436"/>
      <c r="BC1295" s="120"/>
      <c r="BD1295" s="120"/>
      <c r="BE1295" s="120"/>
      <c r="BF1295" s="440"/>
    </row>
    <row r="1296" spans="28:58">
      <c r="AB1296" s="436"/>
      <c r="AC1296" s="120"/>
      <c r="AD1296" s="120"/>
      <c r="AE1296" s="120"/>
      <c r="AF1296" s="440"/>
      <c r="BB1296" s="436"/>
      <c r="BC1296" s="120"/>
      <c r="BD1296" s="120"/>
      <c r="BE1296" s="120"/>
      <c r="BF1296" s="440"/>
    </row>
    <row r="1297" spans="27:59" ht="14.5" thickBot="1">
      <c r="AB1297" s="492"/>
      <c r="AC1297" s="493"/>
      <c r="AD1297" s="493"/>
      <c r="AE1297" s="493"/>
      <c r="AF1297" s="453"/>
      <c r="BB1297" s="492"/>
      <c r="BC1297" s="493"/>
      <c r="BD1297" s="493"/>
      <c r="BE1297" s="493"/>
      <c r="BF1297" s="453"/>
    </row>
    <row r="1300" spans="27:59" ht="14.5" thickBot="1"/>
    <row r="1301" spans="27:59">
      <c r="AA1301" s="114" t="s">
        <v>478</v>
      </c>
      <c r="AB1301" s="431" t="str">
        <f>AB52</f>
        <v>Eddy current separator</v>
      </c>
      <c r="AC1301" s="432"/>
      <c r="AD1301" s="433"/>
      <c r="AE1301" s="434"/>
      <c r="AF1301" s="435"/>
      <c r="BB1301" s="431" t="str">
        <f>BB53</f>
        <v>Select Equipment</v>
      </c>
      <c r="BC1301" s="432"/>
      <c r="BD1301" s="433"/>
      <c r="BE1301" s="434"/>
      <c r="BF1301" s="435"/>
    </row>
    <row r="1302" spans="27:59">
      <c r="AA1302" s="114" t="s">
        <v>5</v>
      </c>
      <c r="AB1302" s="436" t="s">
        <v>1</v>
      </c>
      <c r="AC1302" s="437">
        <f>AC$14/AC$11/AC$10*VLOOKUP(AB1301,'Unit Ops'!$B$140:$J$209,2,FALSE)</f>
        <v>0</v>
      </c>
      <c r="AD1302" s="438" t="s">
        <v>586</v>
      </c>
      <c r="AE1302" s="1027">
        <f>AC1302*AC$306*AC$307</f>
        <v>0</v>
      </c>
      <c r="AF1302" s="439" t="s">
        <v>585</v>
      </c>
      <c r="BA1302" s="114" t="s">
        <v>478</v>
      </c>
      <c r="BB1302" s="436" t="s">
        <v>1</v>
      </c>
      <c r="BC1302" s="437">
        <f>BC$15/BC$11/BC$12*VLOOKUP(BB1301,'Unit Ops'!$B$140:$J$209,2,FALSE)</f>
        <v>0</v>
      </c>
      <c r="BD1302" s="438" t="s">
        <v>586</v>
      </c>
      <c r="BE1302" s="1027">
        <f>BC1302*BC$306*BC$307</f>
        <v>0</v>
      </c>
      <c r="BF1302" s="439" t="s">
        <v>585</v>
      </c>
    </row>
    <row r="1303" spans="27:59">
      <c r="AA1303" s="114" t="str">
        <f>$AB$44</f>
        <v>Hopper</v>
      </c>
      <c r="AB1303" s="436" t="s">
        <v>505</v>
      </c>
      <c r="AC1303" s="437">
        <f>ROUNDUP(AC1302*IF(VLOOKUP(AB1301,'Unit Ops'!$B$140:$L$209,11,FALSE)=1,1.5,0.75),1)</f>
        <v>0</v>
      </c>
      <c r="AD1303" s="438" t="s">
        <v>586</v>
      </c>
      <c r="AE1303" s="120">
        <f>AC1303*AC$306*AC$307</f>
        <v>0</v>
      </c>
      <c r="AF1303" s="439" t="s">
        <v>585</v>
      </c>
      <c r="AG1303" s="409"/>
      <c r="BA1303" s="114" t="s">
        <v>5</v>
      </c>
      <c r="BB1303" s="436" t="s">
        <v>505</v>
      </c>
      <c r="BC1303" s="437">
        <f>ROUNDUP(BC1302*IF(VLOOKUP(BB1301,'Unit Ops'!$B$140:$L$209,11,FALSE)=1,1.5,0.75),1)</f>
        <v>0</v>
      </c>
      <c r="BD1303" s="438" t="s">
        <v>586</v>
      </c>
      <c r="BE1303" s="120">
        <f>BC1303*BC$306*BC$307</f>
        <v>0</v>
      </c>
      <c r="BF1303" s="439" t="s">
        <v>585</v>
      </c>
    </row>
    <row r="1304" spans="27:59">
      <c r="AA1304" s="114" t="str">
        <f>$AB$45</f>
        <v>Conveyor</v>
      </c>
      <c r="AB1304" s="441" t="s">
        <v>521</v>
      </c>
      <c r="AC1304" s="442" t="e">
        <f>AC1302/AC1303</f>
        <v>#DIV/0!</v>
      </c>
      <c r="AD1304" s="438"/>
      <c r="AE1304" s="443"/>
      <c r="AF1304" s="440"/>
      <c r="AG1304" s="409"/>
      <c r="BA1304" s="114" t="str">
        <f>$BB$45</f>
        <v>Select Equipment</v>
      </c>
      <c r="BB1304" s="441" t="s">
        <v>521</v>
      </c>
      <c r="BC1304" s="442" t="e">
        <f>BC1302/BC1303</f>
        <v>#DIV/0!</v>
      </c>
      <c r="BD1304" s="438"/>
      <c r="BE1304" s="443"/>
      <c r="BF1304" s="440"/>
      <c r="BG1304" s="409"/>
    </row>
    <row r="1305" spans="27:59">
      <c r="AA1305" s="114" t="str">
        <f>$AB$46</f>
        <v>Crusher</v>
      </c>
      <c r="AB1305" s="441" t="s">
        <v>506</v>
      </c>
      <c r="AC1305" s="445"/>
      <c r="AD1305" s="438" t="s">
        <v>454</v>
      </c>
      <c r="AE1305" s="443"/>
      <c r="AF1305" s="440"/>
      <c r="BA1305" s="114" t="str">
        <f>$BB$46</f>
        <v>Select Equipment</v>
      </c>
      <c r="BB1305" s="441" t="s">
        <v>506</v>
      </c>
      <c r="BC1305" s="445"/>
      <c r="BD1305" s="438" t="s">
        <v>454</v>
      </c>
      <c r="BE1305" s="443"/>
      <c r="BF1305" s="440"/>
      <c r="BG1305" s="409"/>
    </row>
    <row r="1306" spans="27:59">
      <c r="AA1306" s="114" t="str">
        <f>$AB$47</f>
        <v>Screen, vibrating</v>
      </c>
      <c r="AB1306" s="436" t="s">
        <v>507</v>
      </c>
      <c r="AC1306" s="225" t="e">
        <f>(VLOOKUP(AB1301,'Unit Ops'!$B$140:$J$209,7,FALSE)*AC1303^VLOOKUP(AB1301,'Unit Ops'!$B$140:$J$209,8,FALSE)+VLOOKUP(AB1301,'Unit Ops'!$B$140:$J$209,9,FALSE))*IF(VLOOKUP(AB1301,'Unit Ops'!$B$140:$L$209,11,FALSE)=1,1,2)</f>
        <v>#NUM!</v>
      </c>
      <c r="AD1306" s="446" t="s">
        <v>454</v>
      </c>
      <c r="AE1306" s="443"/>
      <c r="AF1306" s="440"/>
      <c r="BA1306" s="114" t="str">
        <f>$BB$47</f>
        <v>Select Equipment</v>
      </c>
      <c r="BB1306" s="436" t="s">
        <v>507</v>
      </c>
      <c r="BC1306" s="225" t="e">
        <f>(VLOOKUP(BB1301,'Unit Ops'!$B$140:$J$209,7,FALSE)*BC1303^VLOOKUP(BB1301,'Unit Ops'!$B$140:$J$209,8,FALSE)+VLOOKUP(BB1301,'Unit Ops'!$B$140:$J$209,9,FALSE))*IF(VLOOKUP(BB1301,'Unit Ops'!$B$140:$L$209,11,FALSE)=1,1,2)</f>
        <v>#NUM!</v>
      </c>
      <c r="BD1306" s="446" t="s">
        <v>454</v>
      </c>
      <c r="BE1306" s="443"/>
      <c r="BF1306" s="440"/>
    </row>
    <row r="1307" spans="27:59">
      <c r="AA1307" s="114" t="str">
        <f>$AB$48</f>
        <v>Conveyor</v>
      </c>
      <c r="AB1307" s="441"/>
      <c r="AC1307" s="445"/>
      <c r="AD1307" s="447"/>
      <c r="AE1307" s="443"/>
      <c r="AF1307" s="440"/>
      <c r="AG1307" s="409"/>
      <c r="BA1307" s="114" t="str">
        <f>$BB$48</f>
        <v>Select Equipment</v>
      </c>
      <c r="BB1307" s="441"/>
      <c r="BC1307" s="445"/>
      <c r="BD1307" s="447"/>
      <c r="BE1307" s="443"/>
      <c r="BF1307" s="440"/>
    </row>
    <row r="1308" spans="27:59">
      <c r="AA1308" s="114" t="str">
        <f>$AB$49</f>
        <v>Heat treatment furnace</v>
      </c>
      <c r="AB1308" s="441"/>
      <c r="AC1308" s="445"/>
      <c r="AD1308" s="447"/>
      <c r="AE1308" s="443"/>
      <c r="AF1308" s="440"/>
      <c r="AG1308" s="409"/>
      <c r="BA1308" s="114" t="str">
        <f>$BB$49</f>
        <v>Select Equipment</v>
      </c>
      <c r="BB1308" s="441"/>
      <c r="BC1308" s="445"/>
      <c r="BD1308" s="447"/>
      <c r="BE1308" s="443"/>
      <c r="BF1308" s="440"/>
      <c r="BG1308" s="409"/>
    </row>
    <row r="1309" spans="27:59">
      <c r="AA1309" s="114" t="str">
        <f>$AB$50</f>
        <v>Cyclone</v>
      </c>
      <c r="AB1309" s="449"/>
      <c r="AC1309" s="445"/>
      <c r="AD1309" s="447"/>
      <c r="AE1309" s="443"/>
      <c r="AF1309" s="440"/>
      <c r="AG1309" s="409"/>
      <c r="BA1309" s="114" t="str">
        <f>$BB$50</f>
        <v>Select Equipment</v>
      </c>
      <c r="BB1309" s="449"/>
      <c r="BC1309" s="445"/>
      <c r="BD1309" s="447"/>
      <c r="BE1309" s="443"/>
      <c r="BF1309" s="440"/>
      <c r="BG1309" s="409"/>
    </row>
    <row r="1310" spans="27:59" ht="14.5" thickBot="1">
      <c r="AA1310" s="114" t="str">
        <f>$AB$51</f>
        <v>Conveyor</v>
      </c>
      <c r="AB1310" s="450"/>
      <c r="AC1310" s="451"/>
      <c r="AD1310" s="451"/>
      <c r="AE1310" s="452"/>
      <c r="AF1310" s="453"/>
      <c r="AG1310" s="409"/>
      <c r="BA1310" s="114" t="str">
        <f>$BB$51</f>
        <v>Select Equipment</v>
      </c>
      <c r="BB1310" s="450"/>
      <c r="BC1310" s="451"/>
      <c r="BD1310" s="451"/>
      <c r="BE1310" s="452"/>
      <c r="BF1310" s="453"/>
      <c r="BG1310" s="409"/>
    </row>
    <row r="1311" spans="27:59">
      <c r="AA1311" s="114" t="str">
        <f>$AB$52</f>
        <v>Eddy current separator</v>
      </c>
      <c r="AB1311" s="449" t="s">
        <v>470</v>
      </c>
      <c r="AC1311" s="120"/>
      <c r="AD1311" s="454"/>
      <c r="AE1311" s="120"/>
      <c r="AF1311" s="440"/>
      <c r="AG1311" s="409"/>
      <c r="BA1311" s="114" t="str">
        <f>$BB$52</f>
        <v>Select Equipment</v>
      </c>
      <c r="BB1311" s="449" t="s">
        <v>470</v>
      </c>
      <c r="BC1311" s="120"/>
      <c r="BD1311" s="454"/>
      <c r="BE1311" s="120"/>
      <c r="BF1311" s="440"/>
      <c r="BG1311" s="409"/>
    </row>
    <row r="1312" spans="27:59" ht="14.5" customHeight="1">
      <c r="AA1312" s="114" t="str">
        <f>$AB$53</f>
        <v>Conveyor</v>
      </c>
      <c r="AB1312" s="1698"/>
      <c r="AC1312" s="1699"/>
      <c r="AD1312" s="1699"/>
      <c r="AE1312" s="1699"/>
      <c r="AF1312" s="1700"/>
      <c r="AG1312" s="409"/>
      <c r="BA1312" s="114" t="str">
        <f>$BB$53</f>
        <v>Select Equipment</v>
      </c>
      <c r="BB1312" s="1698"/>
      <c r="BC1312" s="1699"/>
      <c r="BD1312" s="1699"/>
      <c r="BE1312" s="1699"/>
      <c r="BF1312" s="1700"/>
      <c r="BG1312" s="409"/>
    </row>
    <row r="1313" spans="27:59">
      <c r="AA1313" s="114" t="str">
        <f>$AB$54</f>
        <v>Air classifier</v>
      </c>
      <c r="AB1313" s="436"/>
      <c r="AC1313" s="120"/>
      <c r="AD1313" s="455"/>
      <c r="AE1313" s="120"/>
      <c r="AF1313" s="440"/>
      <c r="AG1313" s="409"/>
      <c r="BA1313" s="114" t="str">
        <f>$BB$54</f>
        <v>Select Equipment</v>
      </c>
      <c r="BB1313" s="436"/>
      <c r="BC1313" s="120"/>
      <c r="BD1313" s="455"/>
      <c r="BE1313" s="120"/>
      <c r="BF1313" s="440"/>
      <c r="BG1313" s="409"/>
    </row>
    <row r="1314" spans="27:59">
      <c r="AA1314" s="114" t="str">
        <f>$AB$55</f>
        <v>Gas treatment</v>
      </c>
      <c r="AB1314" s="436"/>
      <c r="AC1314" s="120"/>
      <c r="AD1314" s="455"/>
      <c r="AE1314" s="120"/>
      <c r="AF1314" s="440"/>
      <c r="AG1314" s="409"/>
      <c r="BA1314" s="114" t="str">
        <f>$BB$55</f>
        <v>Select Equipment</v>
      </c>
      <c r="BB1314" s="436"/>
      <c r="BC1314" s="120"/>
      <c r="BD1314" s="455"/>
      <c r="BE1314" s="120"/>
      <c r="BF1314" s="440"/>
      <c r="BG1314" s="409"/>
    </row>
    <row r="1315" spans="27:59">
      <c r="AA1315" s="114" t="str">
        <f>$AB$56</f>
        <v>Wheel loader</v>
      </c>
      <c r="AB1315" s="456"/>
      <c r="AC1315" s="457"/>
      <c r="AD1315" s="457"/>
      <c r="AE1315" s="457"/>
      <c r="AF1315" s="458"/>
      <c r="BA1315" s="114" t="str">
        <f>$BB$56</f>
        <v>Select Equipment</v>
      </c>
      <c r="BB1315" s="456"/>
      <c r="BC1315" s="457"/>
      <c r="BD1315" s="457"/>
      <c r="BE1315" s="457"/>
      <c r="BF1315" s="458"/>
      <c r="BG1315" s="409"/>
    </row>
    <row r="1316" spans="27:59">
      <c r="AA1316" s="114" t="str">
        <f>$AB$57</f>
        <v>Select Equipment</v>
      </c>
      <c r="AB1316" s="449" t="s">
        <v>471</v>
      </c>
      <c r="AC1316" s="120"/>
      <c r="AD1316" s="454"/>
      <c r="AE1316" s="120"/>
      <c r="AF1316" s="440"/>
      <c r="AG1316" s="266"/>
      <c r="BA1316" s="114" t="str">
        <f>$BB$57</f>
        <v>Select Equipment</v>
      </c>
      <c r="BB1316" s="449" t="s">
        <v>471</v>
      </c>
      <c r="BC1316" s="120"/>
      <c r="BD1316" s="454"/>
      <c r="BE1316" s="120"/>
      <c r="BF1316" s="440"/>
    </row>
    <row r="1317" spans="27:59">
      <c r="AA1317" s="114" t="str">
        <f>$AB$58</f>
        <v>Select Equipment</v>
      </c>
      <c r="AB1317" s="436" t="s">
        <v>577</v>
      </c>
      <c r="AC1317" s="225" t="e">
        <f>AC1306*IF(AC1304&gt;1,1,AC1304)</f>
        <v>#NUM!</v>
      </c>
      <c r="AD1317" s="446" t="s">
        <v>454</v>
      </c>
      <c r="AE1317" s="120"/>
      <c r="AF1317" s="440"/>
      <c r="AG1317" s="518"/>
      <c r="BA1317" s="114" t="str">
        <f>$BB$58</f>
        <v>Select Equipment</v>
      </c>
      <c r="BB1317" s="436" t="s">
        <v>577</v>
      </c>
      <c r="BC1317" s="225" t="e">
        <f>BC1306*IF(BC1304&gt;1,1,BC1304)</f>
        <v>#NUM!</v>
      </c>
      <c r="BD1317" s="446" t="s">
        <v>454</v>
      </c>
      <c r="BE1317" s="120"/>
      <c r="BF1317" s="440"/>
      <c r="BG1317" s="266"/>
    </row>
    <row r="1318" spans="27:59">
      <c r="AA1318" s="114" t="str">
        <f>$AB$59</f>
        <v>Select Equipment</v>
      </c>
      <c r="AB1318" s="436" t="s">
        <v>578</v>
      </c>
      <c r="AC1318" s="225"/>
      <c r="AD1318" s="446" t="s">
        <v>579</v>
      </c>
      <c r="AE1318" s="120"/>
      <c r="AF1318" s="440"/>
      <c r="AG1318" s="519"/>
      <c r="BA1318" s="114" t="str">
        <f>$BB$59</f>
        <v>Select Equipment</v>
      </c>
      <c r="BB1318" s="436" t="s">
        <v>578</v>
      </c>
      <c r="BC1318" s="225"/>
      <c r="BD1318" s="446" t="s">
        <v>579</v>
      </c>
      <c r="BE1318" s="120"/>
      <c r="BF1318" s="440"/>
      <c r="BG1318" s="518"/>
    </row>
    <row r="1319" spans="27:59">
      <c r="AA1319" s="114" t="str">
        <f>$AB$60</f>
        <v>Select Equipment</v>
      </c>
      <c r="AB1319" s="436"/>
      <c r="AC1319" s="120"/>
      <c r="AD1319" s="446"/>
      <c r="AE1319" s="120"/>
      <c r="AF1319" s="440"/>
      <c r="AG1319" s="519"/>
      <c r="BA1319" s="114" t="str">
        <f>$BB$60</f>
        <v>Select Equipment</v>
      </c>
      <c r="BB1319" s="436"/>
      <c r="BC1319" s="120"/>
      <c r="BD1319" s="446"/>
      <c r="BE1319" s="120"/>
      <c r="BF1319" s="440"/>
      <c r="BG1319" s="519"/>
    </row>
    <row r="1320" spans="27:59">
      <c r="AA1320" s="114" t="str">
        <f>$AB$61</f>
        <v>Select Equipment</v>
      </c>
      <c r="AB1320" s="436" t="s">
        <v>8</v>
      </c>
      <c r="AC1320" s="120"/>
      <c r="AD1320" s="459" t="s">
        <v>564</v>
      </c>
      <c r="AE1320" s="120"/>
      <c r="AF1320" s="440"/>
      <c r="AG1320" s="518"/>
      <c r="BA1320" s="114" t="str">
        <f>$BB$61</f>
        <v>Select Equipment</v>
      </c>
      <c r="BB1320" s="436" t="s">
        <v>8</v>
      </c>
      <c r="BC1320" s="120"/>
      <c r="BD1320" s="459" t="s">
        <v>564</v>
      </c>
      <c r="BE1320" s="120"/>
      <c r="BF1320" s="440"/>
      <c r="BG1320" s="519"/>
    </row>
    <row r="1321" spans="27:59">
      <c r="AA1321" s="114" t="str">
        <f>$AB$62</f>
        <v>Select Equipment</v>
      </c>
      <c r="AB1321" s="436"/>
      <c r="AC1321" s="120"/>
      <c r="AD1321" s="459"/>
      <c r="AE1321" s="120"/>
      <c r="AF1321" s="440"/>
      <c r="AG1321" s="518"/>
      <c r="BA1321" s="114" t="str">
        <f>$BB$62</f>
        <v>Select Equipment</v>
      </c>
      <c r="BB1321" s="436"/>
      <c r="BC1321" s="120"/>
      <c r="BD1321" s="459"/>
      <c r="BE1321" s="120"/>
      <c r="BF1321" s="440"/>
      <c r="BG1321" s="518"/>
    </row>
    <row r="1322" spans="27:59">
      <c r="AA1322" s="114" t="str">
        <f>$AB$63</f>
        <v>Select Equipment</v>
      </c>
      <c r="AB1322" s="436" t="s">
        <v>7</v>
      </c>
      <c r="AC1322" s="120"/>
      <c r="AD1322" s="459" t="s">
        <v>564</v>
      </c>
      <c r="AE1322" s="120"/>
      <c r="AF1322" s="440"/>
      <c r="AG1322" s="518"/>
      <c r="BA1322" s="114" t="str">
        <f>$BB$63</f>
        <v>Select Equipment</v>
      </c>
      <c r="BB1322" s="436" t="s">
        <v>7</v>
      </c>
      <c r="BC1322" s="120"/>
      <c r="BD1322" s="459" t="s">
        <v>564</v>
      </c>
      <c r="BE1322" s="120"/>
      <c r="BF1322" s="440"/>
      <c r="BG1322" s="518"/>
    </row>
    <row r="1323" spans="27:59">
      <c r="AA1323"/>
      <c r="AB1323" s="436"/>
      <c r="AC1323" s="120"/>
      <c r="AD1323" s="459"/>
      <c r="AE1323" s="120"/>
      <c r="AF1323" s="440"/>
      <c r="AG1323" s="518"/>
      <c r="BA1323" s="114" t="str">
        <f>$BB$64</f>
        <v>Select Equipment</v>
      </c>
      <c r="BB1323" s="436"/>
      <c r="BC1323" s="120"/>
      <c r="BD1323" s="459"/>
      <c r="BE1323" s="120"/>
      <c r="BF1323" s="440"/>
      <c r="BG1323" s="518"/>
    </row>
    <row r="1324" spans="27:59">
      <c r="AA1324"/>
      <c r="AB1324" s="436" t="s">
        <v>9</v>
      </c>
      <c r="AC1324" s="120"/>
      <c r="AD1324" s="459" t="s">
        <v>564</v>
      </c>
      <c r="AE1324" s="120"/>
      <c r="AF1324" s="440"/>
      <c r="AG1324" s="518"/>
      <c r="BA1324"/>
      <c r="BB1324" s="436" t="s">
        <v>9</v>
      </c>
      <c r="BC1324" s="120"/>
      <c r="BD1324" s="459" t="s">
        <v>564</v>
      </c>
      <c r="BE1324" s="120"/>
      <c r="BF1324" s="440"/>
      <c r="BG1324" s="518"/>
    </row>
    <row r="1325" spans="27:59">
      <c r="AA1325"/>
      <c r="AB1325" s="436"/>
      <c r="AC1325" s="120"/>
      <c r="AD1325" s="459"/>
      <c r="AE1325" s="120"/>
      <c r="AF1325" s="440"/>
      <c r="AG1325" s="518"/>
      <c r="BA1325"/>
      <c r="BB1325" s="436"/>
      <c r="BC1325" s="120"/>
      <c r="BD1325" s="459"/>
      <c r="BE1325" s="120"/>
      <c r="BF1325" s="440"/>
      <c r="BG1325" s="518"/>
    </row>
    <row r="1326" spans="27:59">
      <c r="AA1326"/>
      <c r="AB1326" s="436" t="s">
        <v>324</v>
      </c>
      <c r="AC1326" s="120"/>
      <c r="AD1326" s="459" t="s">
        <v>564</v>
      </c>
      <c r="AE1326" s="120"/>
      <c r="AF1326" s="440" t="s">
        <v>569</v>
      </c>
      <c r="AG1326" s="507"/>
      <c r="BA1326"/>
      <c r="BB1326" s="436" t="s">
        <v>324</v>
      </c>
      <c r="BC1326" s="120"/>
      <c r="BD1326" s="459" t="s">
        <v>564</v>
      </c>
      <c r="BE1326" s="120"/>
      <c r="BF1326" s="440" t="s">
        <v>569</v>
      </c>
      <c r="BG1326" s="518"/>
    </row>
    <row r="1327" spans="27:59">
      <c r="AA1327"/>
      <c r="AB1327" s="436"/>
      <c r="AC1327" s="120"/>
      <c r="AD1327" s="468"/>
      <c r="AE1327" s="469"/>
      <c r="AF1327" s="440"/>
      <c r="AG1327" s="507"/>
      <c r="BA1327"/>
      <c r="BB1327" s="436"/>
      <c r="BC1327" s="120"/>
      <c r="BD1327" s="468"/>
      <c r="BE1327" s="469"/>
      <c r="BF1327" s="440"/>
      <c r="BG1327" s="507"/>
    </row>
    <row r="1328" spans="27:59">
      <c r="AA1328"/>
      <c r="AB1328" s="436" t="s">
        <v>374</v>
      </c>
      <c r="AC1328" s="120"/>
      <c r="AD1328" s="459" t="s">
        <v>564</v>
      </c>
      <c r="AE1328" s="469"/>
      <c r="AF1328" s="440" t="s">
        <v>569</v>
      </c>
      <c r="AG1328" s="507"/>
      <c r="BA1328"/>
      <c r="BB1328" s="436" t="s">
        <v>374</v>
      </c>
      <c r="BC1328" s="120"/>
      <c r="BD1328" s="459" t="s">
        <v>564</v>
      </c>
      <c r="BE1328" s="469"/>
      <c r="BF1328" s="440" t="s">
        <v>569</v>
      </c>
      <c r="BG1328" s="507"/>
    </row>
    <row r="1329" spans="27:59">
      <c r="AA1329"/>
      <c r="AB1329" s="436"/>
      <c r="AC1329" s="120"/>
      <c r="AD1329" s="472"/>
      <c r="AE1329" s="473"/>
      <c r="AF1329" s="440"/>
      <c r="AG1329" s="507"/>
      <c r="BA1329"/>
      <c r="BB1329" s="436"/>
      <c r="BC1329" s="120"/>
      <c r="BD1329" s="472"/>
      <c r="BE1329" s="473"/>
      <c r="BF1329" s="440"/>
      <c r="BG1329" s="507"/>
    </row>
    <row r="1330" spans="27:59">
      <c r="AA1330"/>
      <c r="AB1330" s="436" t="s">
        <v>580</v>
      </c>
      <c r="AC1330" s="120"/>
      <c r="AD1330" s="459" t="s">
        <v>564</v>
      </c>
      <c r="AE1330" s="473"/>
      <c r="AF1330" s="440" t="s">
        <v>569</v>
      </c>
      <c r="AG1330" s="474"/>
      <c r="BA1330"/>
      <c r="BB1330" s="436" t="s">
        <v>580</v>
      </c>
      <c r="BC1330" s="120"/>
      <c r="BD1330" s="459" t="s">
        <v>564</v>
      </c>
      <c r="BE1330" s="473"/>
      <c r="BF1330" s="440" t="s">
        <v>569</v>
      </c>
      <c r="BG1330" s="507"/>
    </row>
    <row r="1331" spans="27:59">
      <c r="AA1331"/>
      <c r="AB1331" s="476"/>
      <c r="AC1331" s="477"/>
      <c r="AD1331" s="478"/>
      <c r="AE1331" s="479"/>
      <c r="AF1331" s="458"/>
      <c r="AG1331" s="474"/>
      <c r="BA1331"/>
      <c r="BB1331" s="476"/>
      <c r="BC1331" s="477"/>
      <c r="BD1331" s="478"/>
      <c r="BE1331" s="479"/>
      <c r="BF1331" s="458"/>
      <c r="BG1331" s="474"/>
    </row>
    <row r="1332" spans="27:59">
      <c r="AA1332"/>
      <c r="AB1332" s="449" t="s">
        <v>473</v>
      </c>
      <c r="AC1332" s="467" t="s">
        <v>508</v>
      </c>
      <c r="AD1332" s="480"/>
      <c r="AE1332" s="481" t="s">
        <v>308</v>
      </c>
      <c r="AF1332" s="440"/>
      <c r="AG1332" s="474"/>
      <c r="BA1332"/>
      <c r="BB1332" s="449" t="s">
        <v>473</v>
      </c>
      <c r="BC1332" s="467" t="s">
        <v>508</v>
      </c>
      <c r="BD1332" s="480"/>
      <c r="BE1332" s="481" t="s">
        <v>308</v>
      </c>
      <c r="BF1332" s="440"/>
      <c r="BG1332" s="474"/>
    </row>
    <row r="1333" spans="27:59">
      <c r="AB1333" s="436"/>
      <c r="AC1333" s="483"/>
      <c r="AD1333" s="480"/>
      <c r="AE1333" s="484"/>
      <c r="AF1333" s="440"/>
      <c r="AG1333" s="474"/>
      <c r="BA1333"/>
      <c r="BB1333" s="436"/>
      <c r="BC1333" s="483"/>
      <c r="BD1333" s="480"/>
      <c r="BE1333" s="484"/>
      <c r="BF1333" s="440"/>
      <c r="BG1333" s="474"/>
    </row>
    <row r="1334" spans="27:59">
      <c r="AB1334" s="436"/>
      <c r="AC1334" s="120"/>
      <c r="AD1334" s="223"/>
      <c r="AE1334" s="467"/>
      <c r="AF1334" s="440"/>
      <c r="AG1334" s="474"/>
      <c r="BB1334" s="436"/>
      <c r="BC1334" s="120"/>
      <c r="BD1334" s="223"/>
      <c r="BE1334" s="467"/>
      <c r="BF1334" s="440"/>
      <c r="BG1334" s="474"/>
    </row>
    <row r="1335" spans="27:59">
      <c r="AB1335" s="436"/>
      <c r="AC1335" s="120"/>
      <c r="AD1335" s="466"/>
      <c r="AE1335" s="467"/>
      <c r="AF1335" s="440"/>
      <c r="AG1335" s="474"/>
      <c r="BB1335" s="436"/>
      <c r="BC1335" s="120"/>
      <c r="BD1335" s="466"/>
      <c r="BE1335" s="467"/>
      <c r="BF1335" s="440"/>
      <c r="BG1335" s="474"/>
    </row>
    <row r="1336" spans="27:59">
      <c r="AB1336" s="436"/>
      <c r="AC1336" s="120"/>
      <c r="AD1336" s="223"/>
      <c r="AE1336" s="467"/>
      <c r="AF1336" s="440"/>
      <c r="AG1336" s="474"/>
      <c r="BB1336" s="436"/>
      <c r="BC1336" s="120"/>
      <c r="BD1336" s="223"/>
      <c r="BE1336" s="467"/>
      <c r="BF1336" s="440"/>
      <c r="BG1336" s="474"/>
    </row>
    <row r="1337" spans="27:59">
      <c r="AB1337" s="436"/>
      <c r="AC1337" s="120"/>
      <c r="AD1337" s="223"/>
      <c r="AE1337" s="467"/>
      <c r="AF1337" s="440"/>
      <c r="BB1337" s="436"/>
      <c r="BC1337" s="120"/>
      <c r="BD1337" s="223"/>
      <c r="BE1337" s="467"/>
      <c r="BF1337" s="440"/>
      <c r="BG1337" s="474"/>
    </row>
    <row r="1338" spans="27:59">
      <c r="AB1338" s="436"/>
      <c r="AC1338" s="120"/>
      <c r="AD1338" s="471"/>
      <c r="AE1338" s="467"/>
      <c r="AF1338" s="440"/>
      <c r="BB1338" s="436"/>
      <c r="BC1338" s="120"/>
      <c r="BD1338" s="471"/>
      <c r="BE1338" s="467"/>
      <c r="BF1338" s="440"/>
    </row>
    <row r="1339" spans="27:59">
      <c r="AB1339" s="436"/>
      <c r="AC1339" s="120"/>
      <c r="AD1339" s="223"/>
      <c r="AE1339" s="467"/>
      <c r="AF1339" s="440"/>
      <c r="BB1339" s="436"/>
      <c r="BC1339" s="120"/>
      <c r="BD1339" s="223"/>
      <c r="BE1339" s="467"/>
      <c r="BF1339" s="440"/>
    </row>
    <row r="1340" spans="27:59">
      <c r="AB1340" s="436"/>
      <c r="AC1340" s="120"/>
      <c r="AD1340" s="475"/>
      <c r="AE1340" s="467"/>
      <c r="AF1340" s="440"/>
      <c r="BB1340" s="436"/>
      <c r="BC1340" s="120"/>
      <c r="BD1340" s="475"/>
      <c r="BE1340" s="467"/>
      <c r="BF1340" s="440"/>
    </row>
    <row r="1341" spans="27:59">
      <c r="AB1341" s="436"/>
      <c r="AC1341" s="120"/>
      <c r="AD1341" s="223"/>
      <c r="AE1341" s="467"/>
      <c r="AF1341" s="440"/>
      <c r="BB1341" s="436"/>
      <c r="BC1341" s="120"/>
      <c r="BD1341" s="223"/>
      <c r="BE1341" s="467"/>
      <c r="BF1341" s="440"/>
    </row>
    <row r="1342" spans="27:59">
      <c r="AB1342" s="436"/>
      <c r="AC1342" s="120"/>
      <c r="AD1342" s="223"/>
      <c r="AE1342" s="467"/>
      <c r="AF1342" s="440"/>
      <c r="BB1342" s="436"/>
      <c r="BC1342" s="120"/>
      <c r="BD1342" s="223"/>
      <c r="BE1342" s="467"/>
      <c r="BF1342" s="440"/>
    </row>
    <row r="1343" spans="27:59">
      <c r="AB1343" s="436"/>
      <c r="AC1343" s="120"/>
      <c r="AD1343" s="223"/>
      <c r="AE1343" s="467"/>
      <c r="AF1343" s="440"/>
      <c r="BB1343" s="436"/>
      <c r="BC1343" s="120"/>
      <c r="BD1343" s="223"/>
      <c r="BE1343" s="467"/>
      <c r="BF1343" s="440"/>
    </row>
    <row r="1344" spans="27:59">
      <c r="AB1344" s="436"/>
      <c r="AC1344" s="120"/>
      <c r="AD1344" s="223"/>
      <c r="AE1344" s="467"/>
      <c r="AF1344" s="440"/>
      <c r="BB1344" s="436"/>
      <c r="BC1344" s="120"/>
      <c r="BD1344" s="223"/>
      <c r="BE1344" s="467"/>
      <c r="BF1344" s="440"/>
    </row>
    <row r="1345" spans="28:58">
      <c r="AB1345" s="436"/>
      <c r="AC1345" s="120"/>
      <c r="AD1345" s="120"/>
      <c r="AE1345" s="467"/>
      <c r="AF1345" s="440"/>
      <c r="BB1345" s="436"/>
      <c r="BC1345" s="120"/>
      <c r="BD1345" s="120"/>
      <c r="BE1345" s="467"/>
      <c r="BF1345" s="440"/>
    </row>
    <row r="1346" spans="28:58">
      <c r="AB1346" s="456"/>
      <c r="AC1346" s="457"/>
      <c r="AD1346" s="457"/>
      <c r="AE1346" s="477"/>
      <c r="AF1346" s="458"/>
      <c r="BB1346" s="456"/>
      <c r="BC1346" s="457"/>
      <c r="BD1346" s="457"/>
      <c r="BE1346" s="477"/>
      <c r="BF1346" s="458"/>
    </row>
    <row r="1347" spans="28:58">
      <c r="AB1347" s="449" t="s">
        <v>474</v>
      </c>
      <c r="AC1347" s="120"/>
      <c r="AD1347" s="120" t="s">
        <v>1</v>
      </c>
      <c r="AE1347" s="310" t="s">
        <v>307</v>
      </c>
      <c r="AF1347" s="440"/>
      <c r="BB1347" s="449" t="s">
        <v>474</v>
      </c>
      <c r="BC1347" s="120"/>
      <c r="BD1347" s="120" t="s">
        <v>1</v>
      </c>
      <c r="BE1347" s="310" t="s">
        <v>307</v>
      </c>
      <c r="BF1347" s="440"/>
    </row>
    <row r="1348" spans="28:58">
      <c r="AB1348" s="436"/>
      <c r="AC1348" s="223"/>
      <c r="AD1348" s="480"/>
      <c r="AE1348" s="484"/>
      <c r="AF1348" s="440"/>
      <c r="BB1348" s="436"/>
      <c r="BC1348" s="223"/>
      <c r="BD1348" s="480"/>
      <c r="BE1348" s="484"/>
      <c r="BF1348" s="440"/>
    </row>
    <row r="1349" spans="28:58">
      <c r="AB1349" s="436"/>
      <c r="AC1349" s="120"/>
      <c r="AD1349" s="120"/>
      <c r="AE1349" s="467"/>
      <c r="AF1349" s="440"/>
      <c r="BB1349" s="436"/>
      <c r="BC1349" s="120"/>
      <c r="BD1349" s="120"/>
      <c r="BE1349" s="467"/>
      <c r="BF1349" s="440"/>
    </row>
    <row r="1350" spans="28:58">
      <c r="AB1350" s="436"/>
      <c r="AC1350" s="120"/>
      <c r="AD1350" s="120"/>
      <c r="AE1350" s="467"/>
      <c r="AF1350" s="440"/>
      <c r="BB1350" s="436"/>
      <c r="BC1350" s="120"/>
      <c r="BD1350" s="120"/>
      <c r="BE1350" s="467"/>
      <c r="BF1350" s="440"/>
    </row>
    <row r="1351" spans="28:58">
      <c r="AB1351" s="436"/>
      <c r="AC1351" s="120"/>
      <c r="AD1351" s="120"/>
      <c r="AE1351" s="467"/>
      <c r="AF1351" s="440"/>
      <c r="BB1351" s="436"/>
      <c r="BC1351" s="120"/>
      <c r="BD1351" s="120"/>
      <c r="BE1351" s="467"/>
      <c r="BF1351" s="440"/>
    </row>
    <row r="1352" spans="28:58">
      <c r="AB1352" s="436"/>
      <c r="AC1352" s="120"/>
      <c r="AD1352" s="120"/>
      <c r="AE1352" s="467"/>
      <c r="AF1352" s="440"/>
      <c r="BB1352" s="436"/>
      <c r="BC1352" s="120"/>
      <c r="BD1352" s="120"/>
      <c r="BE1352" s="467"/>
      <c r="BF1352" s="440"/>
    </row>
    <row r="1353" spans="28:58">
      <c r="AB1353" s="436"/>
      <c r="AC1353" s="120"/>
      <c r="AD1353" s="120"/>
      <c r="AE1353" s="467"/>
      <c r="AF1353" s="440"/>
      <c r="BB1353" s="436"/>
      <c r="BC1353" s="120"/>
      <c r="BD1353" s="120"/>
      <c r="BE1353" s="467"/>
      <c r="BF1353" s="440"/>
    </row>
    <row r="1354" spans="28:58">
      <c r="AB1354" s="436"/>
      <c r="AC1354" s="120"/>
      <c r="AD1354" s="120"/>
      <c r="AE1354" s="467"/>
      <c r="AF1354" s="440"/>
      <c r="BB1354" s="436"/>
      <c r="BC1354" s="120"/>
      <c r="BD1354" s="120"/>
      <c r="BE1354" s="467"/>
      <c r="BF1354" s="440"/>
    </row>
    <row r="1355" spans="28:58">
      <c r="AB1355" s="436"/>
      <c r="AC1355" s="120"/>
      <c r="AD1355" s="120"/>
      <c r="AE1355" s="467"/>
      <c r="AF1355" s="440"/>
      <c r="BB1355" s="436"/>
      <c r="BC1355" s="120"/>
      <c r="BD1355" s="120"/>
      <c r="BE1355" s="467"/>
      <c r="BF1355" s="440"/>
    </row>
    <row r="1356" spans="28:58">
      <c r="AB1356" s="436"/>
      <c r="AC1356" s="120"/>
      <c r="AD1356" s="120"/>
      <c r="AE1356" s="467"/>
      <c r="AF1356" s="440"/>
      <c r="BB1356" s="436"/>
      <c r="BC1356" s="120"/>
      <c r="BD1356" s="120"/>
      <c r="BE1356" s="467"/>
      <c r="BF1356" s="440"/>
    </row>
    <row r="1357" spans="28:58">
      <c r="AB1357" s="436"/>
      <c r="AC1357" s="120"/>
      <c r="AD1357" s="120"/>
      <c r="AE1357" s="467"/>
      <c r="AF1357" s="440"/>
      <c r="BB1357" s="436"/>
      <c r="BC1357" s="120"/>
      <c r="BD1357" s="120"/>
      <c r="BE1357" s="467"/>
      <c r="BF1357" s="440"/>
    </row>
    <row r="1358" spans="28:58">
      <c r="AB1358" s="436"/>
      <c r="AC1358" s="120"/>
      <c r="AD1358" s="120"/>
      <c r="AE1358" s="467"/>
      <c r="AF1358" s="440"/>
      <c r="BB1358" s="436"/>
      <c r="BC1358" s="120"/>
      <c r="BD1358" s="120"/>
      <c r="BE1358" s="467"/>
      <c r="BF1358" s="440"/>
    </row>
    <row r="1359" spans="28:58">
      <c r="AB1359" s="436"/>
      <c r="AC1359" s="120"/>
      <c r="AD1359" s="120"/>
      <c r="AE1359" s="467"/>
      <c r="AF1359" s="440"/>
      <c r="BB1359" s="436"/>
      <c r="BC1359" s="120"/>
      <c r="BD1359" s="120"/>
      <c r="BE1359" s="467"/>
      <c r="BF1359" s="440"/>
    </row>
    <row r="1360" spans="28:58">
      <c r="AB1360" s="456"/>
      <c r="AC1360" s="457"/>
      <c r="AD1360" s="457"/>
      <c r="AE1360" s="477"/>
      <c r="AF1360" s="458"/>
      <c r="BB1360" s="456"/>
      <c r="BC1360" s="457"/>
      <c r="BD1360" s="457"/>
      <c r="BE1360" s="477"/>
      <c r="BF1360" s="458"/>
    </row>
    <row r="1361" spans="28:58">
      <c r="AB1361" s="456"/>
      <c r="AC1361" s="457"/>
      <c r="AD1361" s="457"/>
      <c r="AE1361" s="457"/>
      <c r="AF1361" s="458"/>
      <c r="BB1361" s="456"/>
      <c r="BC1361" s="457"/>
      <c r="BD1361" s="457"/>
      <c r="BE1361" s="457"/>
      <c r="BF1361" s="458"/>
    </row>
    <row r="1362" spans="28:58">
      <c r="AB1362" s="449" t="s">
        <v>475</v>
      </c>
      <c r="AC1362" s="120"/>
      <c r="AD1362" s="120"/>
      <c r="AE1362" s="120"/>
      <c r="AF1362" s="440"/>
      <c r="BB1362" s="449" t="s">
        <v>475</v>
      </c>
      <c r="BC1362" s="120"/>
      <c r="BD1362" s="120"/>
      <c r="BE1362" s="120"/>
      <c r="BF1362" s="440"/>
    </row>
    <row r="1363" spans="28:58">
      <c r="AB1363" s="436" t="s">
        <v>509</v>
      </c>
      <c r="AC1363" s="120"/>
      <c r="AD1363" s="120"/>
      <c r="AE1363" s="120"/>
      <c r="AF1363" s="440"/>
      <c r="BB1363" s="436" t="s">
        <v>509</v>
      </c>
      <c r="BC1363" s="120"/>
      <c r="BD1363" s="120"/>
      <c r="BE1363" s="120"/>
      <c r="BF1363" s="440"/>
    </row>
    <row r="1364" spans="28:58">
      <c r="AB1364" s="436" t="s">
        <v>510</v>
      </c>
      <c r="AC1364" s="120"/>
      <c r="AD1364" s="120"/>
      <c r="AE1364" s="120"/>
      <c r="AF1364" s="440"/>
      <c r="BB1364" s="436" t="s">
        <v>510</v>
      </c>
      <c r="BC1364" s="120"/>
      <c r="BD1364" s="120"/>
      <c r="BE1364" s="120"/>
      <c r="BF1364" s="440"/>
    </row>
    <row r="1365" spans="28:58">
      <c r="AB1365" s="436"/>
      <c r="AC1365" s="120"/>
      <c r="AD1365" s="120"/>
      <c r="AE1365" s="120"/>
      <c r="AF1365" s="440"/>
      <c r="BB1365" s="436"/>
      <c r="BC1365" s="120"/>
      <c r="BD1365" s="120"/>
      <c r="BE1365" s="120"/>
      <c r="BF1365" s="440"/>
    </row>
    <row r="1366" spans="28:58">
      <c r="AB1366" s="436"/>
      <c r="AC1366" s="120"/>
      <c r="AD1366" s="120"/>
      <c r="AE1366" s="120"/>
      <c r="AF1366" s="440"/>
      <c r="BB1366" s="436"/>
      <c r="BC1366" s="120"/>
      <c r="BD1366" s="120"/>
      <c r="BE1366" s="120"/>
      <c r="BF1366" s="440"/>
    </row>
    <row r="1367" spans="28:58">
      <c r="AB1367" s="436"/>
      <c r="AC1367" s="120"/>
      <c r="AD1367" s="120"/>
      <c r="AE1367" s="120"/>
      <c r="AF1367" s="440"/>
      <c r="BB1367" s="436"/>
      <c r="BC1367" s="120"/>
      <c r="BD1367" s="120"/>
      <c r="BE1367" s="120"/>
      <c r="BF1367" s="440"/>
    </row>
    <row r="1368" spans="28:58">
      <c r="AB1368" s="436"/>
      <c r="AC1368" s="120"/>
      <c r="AD1368" s="120"/>
      <c r="AE1368" s="120"/>
      <c r="AF1368" s="440"/>
      <c r="BB1368" s="436"/>
      <c r="BC1368" s="120"/>
      <c r="BD1368" s="120"/>
      <c r="BE1368" s="120"/>
      <c r="BF1368" s="440"/>
    </row>
    <row r="1369" spans="28:58">
      <c r="AB1369" s="436" t="s">
        <v>511</v>
      </c>
      <c r="AC1369" s="120">
        <v>0</v>
      </c>
      <c r="AD1369" s="120" t="s">
        <v>512</v>
      </c>
      <c r="AE1369" s="120"/>
      <c r="AF1369" s="440"/>
      <c r="BB1369" s="436" t="s">
        <v>511</v>
      </c>
      <c r="BC1369" s="120">
        <v>0</v>
      </c>
      <c r="BD1369" s="120" t="s">
        <v>512</v>
      </c>
      <c r="BE1369" s="120"/>
      <c r="BF1369" s="440"/>
    </row>
    <row r="1370" spans="28:58">
      <c r="AB1370" s="436" t="s">
        <v>513</v>
      </c>
      <c r="AC1370" s="120">
        <v>0</v>
      </c>
      <c r="AD1370" s="120" t="s">
        <v>512</v>
      </c>
      <c r="AE1370" s="120"/>
      <c r="AF1370" s="440"/>
      <c r="BB1370" s="436" t="s">
        <v>513</v>
      </c>
      <c r="BC1370" s="120">
        <v>0</v>
      </c>
      <c r="BD1370" s="120" t="s">
        <v>512</v>
      </c>
      <c r="BE1370" s="120"/>
      <c r="BF1370" s="440"/>
    </row>
    <row r="1371" spans="28:58">
      <c r="AB1371" s="456"/>
      <c r="AC1371" s="457"/>
      <c r="AD1371" s="457"/>
      <c r="AE1371" s="457"/>
      <c r="AF1371" s="458"/>
      <c r="BB1371" s="456"/>
      <c r="BC1371" s="457"/>
      <c r="BD1371" s="457"/>
      <c r="BE1371" s="457"/>
      <c r="BF1371" s="458"/>
    </row>
    <row r="1372" spans="28:58">
      <c r="AB1372" s="449" t="s">
        <v>461</v>
      </c>
      <c r="AC1372" s="120"/>
      <c r="AD1372" s="120"/>
      <c r="AE1372" s="120"/>
      <c r="AF1372" s="440"/>
      <c r="BB1372" s="449" t="s">
        <v>461</v>
      </c>
      <c r="BC1372" s="120"/>
      <c r="BD1372" s="120"/>
      <c r="BE1372" s="120"/>
      <c r="BF1372" s="440"/>
    </row>
    <row r="1373" spans="28:58">
      <c r="AB1373" s="436" t="s">
        <v>514</v>
      </c>
      <c r="AC1373" s="120">
        <f>VLOOKUP(AB1301,'Unit Ops'!$B$140:$K$209,10,FALSE)</f>
        <v>0</v>
      </c>
      <c r="AD1373" s="120" t="s">
        <v>515</v>
      </c>
      <c r="AE1373" s="120"/>
      <c r="AF1373" s="440"/>
      <c r="BB1373" s="436" t="s">
        <v>514</v>
      </c>
      <c r="BC1373" s="120">
        <f>VLOOKUP(BB1301,'Unit Ops'!$B$140:$K$209,10,FALSE)</f>
        <v>0</v>
      </c>
      <c r="BD1373" s="120" t="s">
        <v>515</v>
      </c>
      <c r="BE1373" s="120"/>
      <c r="BF1373" s="440"/>
    </row>
    <row r="1374" spans="28:58">
      <c r="AB1374" s="436" t="s">
        <v>516</v>
      </c>
      <c r="AC1374" s="120">
        <v>0</v>
      </c>
      <c r="AD1374" s="120" t="s">
        <v>515</v>
      </c>
      <c r="AE1374" s="120"/>
      <c r="AF1374" s="440"/>
      <c r="BB1374" s="436" t="s">
        <v>516</v>
      </c>
      <c r="BC1374" s="120">
        <v>0</v>
      </c>
      <c r="BD1374" s="120" t="s">
        <v>515</v>
      </c>
      <c r="BE1374" s="120"/>
      <c r="BF1374" s="440"/>
    </row>
    <row r="1375" spans="28:58">
      <c r="AB1375" s="436"/>
      <c r="AC1375" s="120"/>
      <c r="AD1375" s="120"/>
      <c r="AE1375" s="120"/>
      <c r="AF1375" s="440"/>
      <c r="BB1375" s="436"/>
      <c r="BC1375" s="120"/>
      <c r="BD1375" s="120"/>
      <c r="BE1375" s="120"/>
      <c r="BF1375" s="440"/>
    </row>
    <row r="1376" spans="28:58">
      <c r="AB1376" s="436"/>
      <c r="AC1376" s="120"/>
      <c r="AD1376" s="120"/>
      <c r="AE1376" s="120"/>
      <c r="AF1376" s="440"/>
      <c r="BB1376" s="436"/>
      <c r="BC1376" s="120"/>
      <c r="BD1376" s="120"/>
      <c r="BE1376" s="120"/>
      <c r="BF1376" s="440"/>
    </row>
    <row r="1377" spans="28:58">
      <c r="AB1377" s="436"/>
      <c r="AC1377" s="120"/>
      <c r="AD1377" s="120"/>
      <c r="AE1377" s="120"/>
      <c r="AF1377" s="440"/>
      <c r="BB1377" s="436"/>
      <c r="BC1377" s="120"/>
      <c r="BD1377" s="120"/>
      <c r="BE1377" s="120"/>
      <c r="BF1377" s="440"/>
    </row>
    <row r="1378" spans="28:58">
      <c r="AB1378" s="436"/>
      <c r="AC1378" s="120"/>
      <c r="AD1378" s="120"/>
      <c r="AE1378" s="120"/>
      <c r="AF1378" s="440"/>
      <c r="BB1378" s="436"/>
      <c r="BC1378" s="120"/>
      <c r="BD1378" s="120"/>
      <c r="BE1378" s="120"/>
      <c r="BF1378" s="440"/>
    </row>
    <row r="1379" spans="28:58">
      <c r="AB1379" s="436"/>
      <c r="AC1379" s="120"/>
      <c r="AD1379" s="120"/>
      <c r="AE1379" s="120"/>
      <c r="AF1379" s="440"/>
      <c r="BB1379" s="436"/>
      <c r="BC1379" s="120"/>
      <c r="BD1379" s="120"/>
      <c r="BE1379" s="120"/>
      <c r="BF1379" s="440"/>
    </row>
    <row r="1380" spans="28:58">
      <c r="AB1380" s="436" t="s">
        <v>464</v>
      </c>
      <c r="AC1380" s="120"/>
      <c r="AD1380" s="120"/>
      <c r="AE1380" s="120"/>
      <c r="AF1380" s="440"/>
      <c r="BB1380" s="436" t="s">
        <v>464</v>
      </c>
      <c r="BC1380" s="120"/>
      <c r="BD1380" s="120"/>
      <c r="BE1380" s="120"/>
      <c r="BF1380" s="440"/>
    </row>
    <row r="1381" spans="28:58">
      <c r="AB1381" s="456"/>
      <c r="AC1381" s="457"/>
      <c r="AD1381" s="457"/>
      <c r="AE1381" s="457"/>
      <c r="AF1381" s="458"/>
      <c r="BB1381" s="456"/>
      <c r="BC1381" s="457"/>
      <c r="BD1381" s="457"/>
      <c r="BE1381" s="457"/>
      <c r="BF1381" s="458"/>
    </row>
    <row r="1382" spans="28:58">
      <c r="AB1382" s="449" t="s">
        <v>472</v>
      </c>
      <c r="AC1382" s="467" t="s">
        <v>517</v>
      </c>
      <c r="AD1382" s="120" t="s">
        <v>518</v>
      </c>
      <c r="AE1382" s="467" t="s">
        <v>519</v>
      </c>
      <c r="AF1382" s="440" t="s">
        <v>518</v>
      </c>
      <c r="BB1382" s="449" t="s">
        <v>472</v>
      </c>
      <c r="BC1382" s="467" t="s">
        <v>517</v>
      </c>
      <c r="BD1382" s="120" t="s">
        <v>518</v>
      </c>
      <c r="BE1382" s="467" t="s">
        <v>519</v>
      </c>
      <c r="BF1382" s="440" t="s">
        <v>518</v>
      </c>
    </row>
    <row r="1383" spans="28:58">
      <c r="AB1383" s="436" t="s">
        <v>520</v>
      </c>
      <c r="AC1383" s="120"/>
      <c r="AD1383" s="120"/>
      <c r="AE1383" s="472" t="e">
        <f>((VLOOKUP(AB1301,'Unit Ops'!$B$140:$J$209,3,FALSE)*AC1303^VLOOKUP(AB1301,'Unit Ops'!$B$140:$J$209,4,FALSE)+VLOOKUP(AB1301,'Unit Ops'!$B$140:$J$209,5,FALSE))*VLOOKUP(AB1301,'Unit Ops'!$B$140:$J$209,6,FALSE))*IF(VLOOKUP(AB1301,'Unit Ops'!$B$140:$L$209,11,FALSE)=1,1,2)</f>
        <v>#NUM!</v>
      </c>
      <c r="AF1383" s="490">
        <f>'CM Rec Par.'!$C$7</f>
        <v>2022</v>
      </c>
      <c r="BB1383" s="436" t="s">
        <v>520</v>
      </c>
      <c r="BC1383" s="120"/>
      <c r="BD1383" s="120"/>
      <c r="BE1383" s="472">
        <f>((VLOOKUP(BB1301,'Unit Ops'!$B$140:$J$209,3,FALSE)*BC1303^VLOOKUP(BB1301,'Unit Ops'!$B$140:$J$209,4,FALSE)+VLOOKUP(BB1301,'Unit Ops'!$B$140:$J$209,5,FALSE))*VLOOKUP(BB1301,'Unit Ops'!$B$140:$J$209,6,FALSE))*IF(VLOOKUP(BB1301,'Unit Ops'!$B$140:$L$209,11,FALSE)=1,1,2)</f>
        <v>0</v>
      </c>
      <c r="BF1383" s="490">
        <f>'CM Rec Par.'!$C$7</f>
        <v>2022</v>
      </c>
    </row>
    <row r="1384" spans="28:58">
      <c r="AB1384" s="436"/>
      <c r="AC1384" s="120"/>
      <c r="AD1384" s="120"/>
      <c r="AE1384" s="120"/>
      <c r="AF1384" s="440"/>
      <c r="BB1384" s="436"/>
      <c r="BC1384" s="120"/>
      <c r="BD1384" s="120"/>
      <c r="BE1384" s="120"/>
      <c r="BF1384" s="440"/>
    </row>
    <row r="1385" spans="28:58">
      <c r="AB1385" s="436"/>
      <c r="AC1385" s="120"/>
      <c r="AD1385" s="120"/>
      <c r="AE1385" s="120"/>
      <c r="AF1385" s="440"/>
      <c r="BB1385" s="436"/>
      <c r="BC1385" s="120"/>
      <c r="BD1385" s="120"/>
      <c r="BE1385" s="120"/>
      <c r="BF1385" s="440"/>
    </row>
    <row r="1386" spans="28:58">
      <c r="AB1386" s="436"/>
      <c r="AC1386" s="120"/>
      <c r="AD1386" s="120"/>
      <c r="AE1386" s="120"/>
      <c r="AF1386" s="440"/>
      <c r="BB1386" s="436"/>
      <c r="BC1386" s="120"/>
      <c r="BD1386" s="120"/>
      <c r="BE1386" s="120"/>
      <c r="BF1386" s="440"/>
    </row>
    <row r="1387" spans="28:58">
      <c r="AB1387" s="436"/>
      <c r="AC1387" s="120"/>
      <c r="AD1387" s="120"/>
      <c r="AE1387" s="120"/>
      <c r="AF1387" s="440"/>
      <c r="BB1387" s="436"/>
      <c r="BC1387" s="120"/>
      <c r="BD1387" s="120"/>
      <c r="BE1387" s="120"/>
      <c r="BF1387" s="440"/>
    </row>
    <row r="1388" spans="28:58">
      <c r="AB1388" s="436"/>
      <c r="AC1388" s="120"/>
      <c r="AD1388" s="120"/>
      <c r="AE1388" s="120"/>
      <c r="AF1388" s="440"/>
      <c r="BB1388" s="436"/>
      <c r="BC1388" s="120"/>
      <c r="BD1388" s="120"/>
      <c r="BE1388" s="120"/>
      <c r="BF1388" s="440"/>
    </row>
    <row r="1389" spans="28:58">
      <c r="AB1389" s="436"/>
      <c r="AC1389" s="120"/>
      <c r="AD1389" s="120"/>
      <c r="AE1389" s="120"/>
      <c r="AF1389" s="440"/>
      <c r="BB1389" s="436"/>
      <c r="BC1389" s="120"/>
      <c r="BD1389" s="120"/>
      <c r="BE1389" s="120"/>
      <c r="BF1389" s="440"/>
    </row>
    <row r="1390" spans="28:58">
      <c r="AB1390" s="436"/>
      <c r="AC1390" s="120"/>
      <c r="AD1390" s="120"/>
      <c r="AE1390" s="120"/>
      <c r="AF1390" s="440"/>
      <c r="BB1390" s="436"/>
      <c r="BC1390" s="120"/>
      <c r="BD1390" s="120"/>
      <c r="BE1390" s="120"/>
      <c r="BF1390" s="440"/>
    </row>
    <row r="1391" spans="28:58">
      <c r="AB1391" s="436"/>
      <c r="AC1391" s="120"/>
      <c r="AD1391" s="120"/>
      <c r="AE1391" s="120"/>
      <c r="AF1391" s="440"/>
      <c r="BB1391" s="436"/>
      <c r="BC1391" s="120"/>
      <c r="BD1391" s="120"/>
      <c r="BE1391" s="120"/>
      <c r="BF1391" s="440"/>
    </row>
    <row r="1392" spans="28:58">
      <c r="AB1392" s="436"/>
      <c r="AC1392" s="120"/>
      <c r="AD1392" s="120"/>
      <c r="AE1392" s="120"/>
      <c r="AF1392" s="440"/>
      <c r="BB1392" s="436"/>
      <c r="BC1392" s="120"/>
      <c r="BD1392" s="120"/>
      <c r="BE1392" s="120"/>
      <c r="BF1392" s="440"/>
    </row>
    <row r="1393" spans="27:59">
      <c r="AB1393" s="436"/>
      <c r="AC1393" s="120"/>
      <c r="AD1393" s="120"/>
      <c r="AE1393" s="120"/>
      <c r="AF1393" s="440"/>
      <c r="BB1393" s="436"/>
      <c r="BC1393" s="120"/>
      <c r="BD1393" s="120"/>
      <c r="BE1393" s="120"/>
      <c r="BF1393" s="440"/>
    </row>
    <row r="1394" spans="27:59">
      <c r="AB1394" s="436"/>
      <c r="AC1394" s="120"/>
      <c r="AD1394" s="120"/>
      <c r="AE1394" s="120"/>
      <c r="AF1394" s="440"/>
      <c r="BB1394" s="436"/>
      <c r="BC1394" s="120"/>
      <c r="BD1394" s="120"/>
      <c r="BE1394" s="120"/>
      <c r="BF1394" s="440"/>
    </row>
    <row r="1395" spans="27:59">
      <c r="AB1395" s="436"/>
      <c r="AC1395" s="120"/>
      <c r="AD1395" s="120"/>
      <c r="AE1395" s="120"/>
      <c r="AF1395" s="440"/>
      <c r="BB1395" s="436"/>
      <c r="BC1395" s="120"/>
      <c r="BD1395" s="120"/>
      <c r="BE1395" s="120"/>
      <c r="BF1395" s="440"/>
    </row>
    <row r="1396" spans="27:59">
      <c r="AB1396" s="436"/>
      <c r="AC1396" s="120"/>
      <c r="AD1396" s="120"/>
      <c r="AE1396" s="120"/>
      <c r="AF1396" s="440"/>
      <c r="BB1396" s="436"/>
      <c r="BC1396" s="120"/>
      <c r="BD1396" s="120"/>
      <c r="BE1396" s="120"/>
      <c r="BF1396" s="440"/>
    </row>
    <row r="1397" spans="27:59" ht="14.5" thickBot="1">
      <c r="AB1397" s="492"/>
      <c r="AC1397" s="493"/>
      <c r="AD1397" s="493"/>
      <c r="AE1397" s="493"/>
      <c r="AF1397" s="453"/>
      <c r="BB1397" s="492"/>
      <c r="BC1397" s="493"/>
      <c r="BD1397" s="493"/>
      <c r="BE1397" s="493"/>
      <c r="BF1397" s="453"/>
    </row>
    <row r="1400" spans="27:59" ht="14.5" thickBot="1"/>
    <row r="1401" spans="27:59">
      <c r="AA1401" s="114" t="s">
        <v>478</v>
      </c>
      <c r="AB1401" s="431" t="str">
        <f>AB53</f>
        <v>Conveyor</v>
      </c>
      <c r="AC1401" s="432"/>
      <c r="AD1401" s="433"/>
      <c r="AE1401" s="434"/>
      <c r="AF1401" s="435"/>
      <c r="BB1401" s="431" t="str">
        <f>BB54</f>
        <v>Select Equipment</v>
      </c>
      <c r="BC1401" s="432"/>
      <c r="BD1401" s="433"/>
      <c r="BE1401" s="434"/>
      <c r="BF1401" s="435"/>
    </row>
    <row r="1402" spans="27:59">
      <c r="AA1402" s="114" t="s">
        <v>5</v>
      </c>
      <c r="AB1402" s="436" t="s">
        <v>1</v>
      </c>
      <c r="AC1402" s="437">
        <f>AC$14/AC$11/AC$10*VLOOKUP(AB1401,'Unit Ops'!$B$140:$J$209,2,FALSE)</f>
        <v>0</v>
      </c>
      <c r="AD1402" s="438" t="s">
        <v>586</v>
      </c>
      <c r="AE1402" s="1027">
        <f>AC1402*AC$306*AC$307</f>
        <v>0</v>
      </c>
      <c r="AF1402" s="439" t="s">
        <v>585</v>
      </c>
      <c r="AG1402" s="408"/>
      <c r="BA1402" s="114" t="s">
        <v>478</v>
      </c>
      <c r="BB1402" s="436" t="s">
        <v>1</v>
      </c>
      <c r="BC1402" s="437">
        <f>BC$15/BC$11/BC$12*VLOOKUP(BB1401,'Unit Ops'!$B$140:$J$209,2,FALSE)</f>
        <v>0</v>
      </c>
      <c r="BD1402" s="438" t="s">
        <v>586</v>
      </c>
      <c r="BE1402" s="1027">
        <f>BC1402*BC$306*BC$307</f>
        <v>0</v>
      </c>
      <c r="BF1402" s="439" t="s">
        <v>585</v>
      </c>
    </row>
    <row r="1403" spans="27:59">
      <c r="AA1403" s="114" t="str">
        <f>$AB$44</f>
        <v>Hopper</v>
      </c>
      <c r="AB1403" s="436" t="s">
        <v>505</v>
      </c>
      <c r="AC1403" s="437">
        <f>ROUNDUP(AC1402*IF(VLOOKUP(AB1401,'Unit Ops'!$B$140:$L$209,11,FALSE)=1,1.5,0.75),1)</f>
        <v>0</v>
      </c>
      <c r="AD1403" s="438" t="s">
        <v>586</v>
      </c>
      <c r="AE1403" s="120">
        <f>AC1403*AC$306*AC$307</f>
        <v>0</v>
      </c>
      <c r="AF1403" s="439" t="s">
        <v>585</v>
      </c>
      <c r="AG1403" s="520"/>
      <c r="BA1403" s="114" t="s">
        <v>5</v>
      </c>
      <c r="BB1403" s="436" t="s">
        <v>505</v>
      </c>
      <c r="BC1403" s="437">
        <f>ROUNDUP(BC1402*IF(VLOOKUP(BB1401,'Unit Ops'!$B$140:$L$209,11,FALSE)=1,1.5,0.75),1)</f>
        <v>0</v>
      </c>
      <c r="BD1403" s="438" t="s">
        <v>586</v>
      </c>
      <c r="BE1403" s="120">
        <f>BC1403*BC$306*BC$307</f>
        <v>0</v>
      </c>
      <c r="BF1403" s="439" t="s">
        <v>585</v>
      </c>
      <c r="BG1403" s="408"/>
    </row>
    <row r="1404" spans="27:59">
      <c r="AA1404" s="114" t="str">
        <f>$AB$45</f>
        <v>Conveyor</v>
      </c>
      <c r="AB1404" s="441" t="s">
        <v>521</v>
      </c>
      <c r="AC1404" s="442" t="e">
        <f>AC1402/AC1403</f>
        <v>#DIV/0!</v>
      </c>
      <c r="AD1404" s="438"/>
      <c r="AE1404" s="443"/>
      <c r="AF1404" s="440"/>
      <c r="AG1404" s="521"/>
      <c r="BA1404" s="114" t="str">
        <f>$BB$45</f>
        <v>Select Equipment</v>
      </c>
      <c r="BB1404" s="441" t="s">
        <v>521</v>
      </c>
      <c r="BC1404" s="442" t="e">
        <f>BC1402/BC1403</f>
        <v>#DIV/0!</v>
      </c>
      <c r="BD1404" s="438"/>
      <c r="BE1404" s="443"/>
      <c r="BF1404" s="440"/>
      <c r="BG1404" s="520"/>
    </row>
    <row r="1405" spans="27:59">
      <c r="AA1405" s="114" t="str">
        <f>$AB$46</f>
        <v>Crusher</v>
      </c>
      <c r="AB1405" s="441" t="s">
        <v>506</v>
      </c>
      <c r="AC1405" s="445"/>
      <c r="AD1405" s="438" t="s">
        <v>454</v>
      </c>
      <c r="AE1405" s="443"/>
      <c r="AF1405" s="440"/>
      <c r="AG1405" s="408"/>
      <c r="BA1405" s="114" t="str">
        <f>$BB$46</f>
        <v>Select Equipment</v>
      </c>
      <c r="BB1405" s="441" t="s">
        <v>506</v>
      </c>
      <c r="BC1405" s="445"/>
      <c r="BD1405" s="438" t="s">
        <v>454</v>
      </c>
      <c r="BE1405" s="443"/>
      <c r="BF1405" s="440"/>
      <c r="BG1405" s="521"/>
    </row>
    <row r="1406" spans="27:59">
      <c r="AA1406" s="114" t="str">
        <f>$AB$47</f>
        <v>Screen, vibrating</v>
      </c>
      <c r="AB1406" s="436" t="s">
        <v>507</v>
      </c>
      <c r="AC1406" s="225" t="e">
        <f>(VLOOKUP(AB1401,'Unit Ops'!$B$140:$J$209,7,FALSE)*AC1403^VLOOKUP(AB1401,'Unit Ops'!$B$140:$J$209,8,FALSE)+VLOOKUP(AB1401,'Unit Ops'!$B$140:$J$209,9,FALSE))*IF(VLOOKUP(AB1401,'Unit Ops'!$B$140:$L$209,11,FALSE)=1,1,2)</f>
        <v>#NUM!</v>
      </c>
      <c r="AD1406" s="446" t="s">
        <v>454</v>
      </c>
      <c r="AE1406" s="443"/>
      <c r="AF1406" s="440"/>
      <c r="AG1406" s="521"/>
      <c r="BA1406" s="114" t="str">
        <f>$BB$47</f>
        <v>Select Equipment</v>
      </c>
      <c r="BB1406" s="436" t="s">
        <v>507</v>
      </c>
      <c r="BC1406" s="225" t="e">
        <f>(VLOOKUP(BB1401,'Unit Ops'!$B$140:$J$209,7,FALSE)*BC1403^VLOOKUP(BB1401,'Unit Ops'!$B$140:$J$209,8,FALSE)+VLOOKUP(BB1401,'Unit Ops'!$B$140:$J$209,9,FALSE))*IF(VLOOKUP(BB1401,'Unit Ops'!$B$140:$L$209,11,FALSE)=1,1,2)</f>
        <v>#NUM!</v>
      </c>
      <c r="BD1406" s="446" t="s">
        <v>454</v>
      </c>
      <c r="BE1406" s="443"/>
      <c r="BF1406" s="440"/>
      <c r="BG1406" s="408"/>
    </row>
    <row r="1407" spans="27:59">
      <c r="AA1407" s="114" t="str">
        <f>$AB$48</f>
        <v>Conveyor</v>
      </c>
      <c r="AB1407" s="441"/>
      <c r="AC1407" s="445"/>
      <c r="AD1407" s="447"/>
      <c r="AE1407" s="443"/>
      <c r="AF1407" s="440"/>
      <c r="AG1407" s="470"/>
      <c r="BA1407" s="114" t="str">
        <f>$BB$48</f>
        <v>Select Equipment</v>
      </c>
      <c r="BB1407" s="441"/>
      <c r="BC1407" s="445"/>
      <c r="BD1407" s="447"/>
      <c r="BE1407" s="443"/>
      <c r="BF1407" s="440"/>
      <c r="BG1407" s="521"/>
    </row>
    <row r="1408" spans="27:59">
      <c r="AA1408" s="114" t="str">
        <f>$AB$49</f>
        <v>Heat treatment furnace</v>
      </c>
      <c r="AB1408" s="441"/>
      <c r="AC1408" s="445"/>
      <c r="AD1408" s="447"/>
      <c r="AE1408" s="443"/>
      <c r="AF1408" s="440"/>
      <c r="AG1408" s="521"/>
      <c r="BA1408" s="114" t="str">
        <f>$BB$49</f>
        <v>Select Equipment</v>
      </c>
      <c r="BB1408" s="441"/>
      <c r="BC1408" s="445"/>
      <c r="BD1408" s="447"/>
      <c r="BE1408" s="443"/>
      <c r="BF1408" s="440"/>
      <c r="BG1408" s="470"/>
    </row>
    <row r="1409" spans="27:59">
      <c r="AA1409" s="114" t="str">
        <f>$AB$50</f>
        <v>Cyclone</v>
      </c>
      <c r="AB1409" s="449"/>
      <c r="AC1409" s="445"/>
      <c r="AD1409" s="447"/>
      <c r="AE1409" s="443"/>
      <c r="AF1409" s="440"/>
      <c r="AG1409" s="507"/>
      <c r="BA1409" s="114" t="str">
        <f>$BB$50</f>
        <v>Select Equipment</v>
      </c>
      <c r="BB1409" s="449"/>
      <c r="BC1409" s="445"/>
      <c r="BD1409" s="447"/>
      <c r="BE1409" s="443"/>
      <c r="BF1409" s="440"/>
      <c r="BG1409" s="521"/>
    </row>
    <row r="1410" spans="27:59" ht="14.5" thickBot="1">
      <c r="AA1410" s="114" t="str">
        <f>$AB$51</f>
        <v>Conveyor</v>
      </c>
      <c r="AB1410" s="450"/>
      <c r="AC1410" s="451"/>
      <c r="AD1410" s="451"/>
      <c r="AE1410" s="452"/>
      <c r="AF1410" s="453"/>
      <c r="AG1410" s="521"/>
      <c r="BA1410" s="114" t="str">
        <f>$BB$51</f>
        <v>Select Equipment</v>
      </c>
      <c r="BB1410" s="450"/>
      <c r="BC1410" s="451"/>
      <c r="BD1410" s="451"/>
      <c r="BE1410" s="452"/>
      <c r="BF1410" s="453"/>
      <c r="BG1410" s="507"/>
    </row>
    <row r="1411" spans="27:59">
      <c r="AA1411" s="114" t="str">
        <f>$AB$52</f>
        <v>Eddy current separator</v>
      </c>
      <c r="AB1411" s="449" t="s">
        <v>470</v>
      </c>
      <c r="AC1411" s="120"/>
      <c r="AD1411" s="454"/>
      <c r="AE1411" s="120"/>
      <c r="AF1411" s="440"/>
      <c r="AG1411" s="474"/>
      <c r="BA1411" s="114" t="str">
        <f>$BB$52</f>
        <v>Select Equipment</v>
      </c>
      <c r="BB1411" s="449" t="s">
        <v>470</v>
      </c>
      <c r="BC1411" s="120"/>
      <c r="BD1411" s="454"/>
      <c r="BE1411" s="120"/>
      <c r="BF1411" s="440"/>
      <c r="BG1411" s="521"/>
    </row>
    <row r="1412" spans="27:59" ht="14.5" customHeight="1">
      <c r="AA1412" s="114" t="str">
        <f>$AB$53</f>
        <v>Conveyor</v>
      </c>
      <c r="AB1412" s="1698"/>
      <c r="AC1412" s="1699"/>
      <c r="AD1412" s="1699"/>
      <c r="AE1412" s="1699"/>
      <c r="AF1412" s="1700"/>
      <c r="AG1412" s="474"/>
      <c r="BA1412" s="114" t="str">
        <f>$BB$53</f>
        <v>Select Equipment</v>
      </c>
      <c r="BB1412" s="1698"/>
      <c r="BC1412" s="1699"/>
      <c r="BD1412" s="1699"/>
      <c r="BE1412" s="1699"/>
      <c r="BF1412" s="1700"/>
      <c r="BG1412" s="474"/>
    </row>
    <row r="1413" spans="27:59">
      <c r="AA1413" s="114" t="str">
        <f>$AB$54</f>
        <v>Air classifier</v>
      </c>
      <c r="AB1413" s="436"/>
      <c r="AC1413" s="120"/>
      <c r="AD1413" s="455"/>
      <c r="AE1413" s="120"/>
      <c r="AF1413" s="440"/>
      <c r="AG1413" s="474"/>
      <c r="BA1413" s="114" t="str">
        <f>$BB$54</f>
        <v>Select Equipment</v>
      </c>
      <c r="BB1413" s="436"/>
      <c r="BC1413" s="120"/>
      <c r="BD1413" s="455"/>
      <c r="BE1413" s="120"/>
      <c r="BF1413" s="440"/>
      <c r="BG1413" s="474"/>
    </row>
    <row r="1414" spans="27:59">
      <c r="AA1414" s="114" t="str">
        <f>$AB$55</f>
        <v>Gas treatment</v>
      </c>
      <c r="AB1414" s="436"/>
      <c r="AC1414" s="120"/>
      <c r="AD1414" s="455"/>
      <c r="AE1414" s="120"/>
      <c r="AF1414" s="440"/>
      <c r="AG1414" s="474"/>
      <c r="BA1414" s="114" t="str">
        <f>$BB$55</f>
        <v>Select Equipment</v>
      </c>
      <c r="BB1414" s="436"/>
      <c r="BC1414" s="120"/>
      <c r="BD1414" s="455"/>
      <c r="BE1414" s="120"/>
      <c r="BF1414" s="440"/>
      <c r="BG1414" s="474"/>
    </row>
    <row r="1415" spans="27:59">
      <c r="AA1415" s="114" t="str">
        <f>$AB$56</f>
        <v>Wheel loader</v>
      </c>
      <c r="AB1415" s="456"/>
      <c r="AC1415" s="457"/>
      <c r="AD1415" s="457"/>
      <c r="AE1415" s="457"/>
      <c r="AF1415" s="458"/>
      <c r="BA1415" s="114" t="str">
        <f>$BB$56</f>
        <v>Select Equipment</v>
      </c>
      <c r="BB1415" s="456"/>
      <c r="BC1415" s="457"/>
      <c r="BD1415" s="457"/>
      <c r="BE1415" s="457"/>
      <c r="BF1415" s="458"/>
      <c r="BG1415" s="474"/>
    </row>
    <row r="1416" spans="27:59">
      <c r="AA1416" s="114" t="str">
        <f>$AB$57</f>
        <v>Select Equipment</v>
      </c>
      <c r="AB1416" s="449" t="s">
        <v>471</v>
      </c>
      <c r="AC1416" s="120"/>
      <c r="AD1416" s="454"/>
      <c r="AE1416" s="120"/>
      <c r="AF1416" s="440"/>
      <c r="BA1416" s="114" t="str">
        <f>$BB$57</f>
        <v>Select Equipment</v>
      </c>
      <c r="BB1416" s="449" t="s">
        <v>471</v>
      </c>
      <c r="BC1416" s="120"/>
      <c r="BD1416" s="454"/>
      <c r="BE1416" s="120"/>
      <c r="BF1416" s="440"/>
    </row>
    <row r="1417" spans="27:59">
      <c r="AA1417" s="114" t="str">
        <f>$AB$58</f>
        <v>Select Equipment</v>
      </c>
      <c r="AB1417" s="436" t="s">
        <v>577</v>
      </c>
      <c r="AC1417" s="225" t="e">
        <f>AC1406*IF(AC1404&gt;1,1,AC1404)</f>
        <v>#NUM!</v>
      </c>
      <c r="AD1417" s="446" t="s">
        <v>454</v>
      </c>
      <c r="AE1417" s="120"/>
      <c r="AF1417" s="440"/>
      <c r="BA1417" s="114" t="str">
        <f>$BB$58</f>
        <v>Select Equipment</v>
      </c>
      <c r="BB1417" s="436" t="s">
        <v>577</v>
      </c>
      <c r="BC1417" s="225" t="e">
        <f>BC1406*IF(BC1404&gt;1,1,BC1404)</f>
        <v>#NUM!</v>
      </c>
      <c r="BD1417" s="446" t="s">
        <v>454</v>
      </c>
      <c r="BE1417" s="120"/>
      <c r="BF1417" s="440"/>
    </row>
    <row r="1418" spans="27:59">
      <c r="AA1418" s="114" t="str">
        <f>$AB$59</f>
        <v>Select Equipment</v>
      </c>
      <c r="AB1418" s="436" t="s">
        <v>578</v>
      </c>
      <c r="AC1418" s="225"/>
      <c r="AD1418" s="446" t="s">
        <v>579</v>
      </c>
      <c r="AE1418" s="120"/>
      <c r="AF1418" s="440"/>
      <c r="BA1418" s="114" t="str">
        <f>$BB$59</f>
        <v>Select Equipment</v>
      </c>
      <c r="BB1418" s="436" t="s">
        <v>578</v>
      </c>
      <c r="BC1418" s="225"/>
      <c r="BD1418" s="446" t="s">
        <v>579</v>
      </c>
      <c r="BE1418" s="120"/>
      <c r="BF1418" s="440"/>
    </row>
    <row r="1419" spans="27:59">
      <c r="AA1419" s="114" t="str">
        <f>$AB$60</f>
        <v>Select Equipment</v>
      </c>
      <c r="AB1419" s="436"/>
      <c r="AC1419" s="120"/>
      <c r="AD1419" s="446"/>
      <c r="AE1419" s="120"/>
      <c r="AF1419" s="440"/>
      <c r="BA1419" s="114" t="str">
        <f>$BB$60</f>
        <v>Select Equipment</v>
      </c>
      <c r="BB1419" s="436"/>
      <c r="BC1419" s="120"/>
      <c r="BD1419" s="446"/>
      <c r="BE1419" s="120"/>
      <c r="BF1419" s="440"/>
    </row>
    <row r="1420" spans="27:59">
      <c r="AA1420" s="114" t="str">
        <f>$AB$61</f>
        <v>Select Equipment</v>
      </c>
      <c r="AB1420" s="436" t="s">
        <v>8</v>
      </c>
      <c r="AC1420" s="120"/>
      <c r="AD1420" s="459" t="s">
        <v>564</v>
      </c>
      <c r="AE1420" s="120"/>
      <c r="AF1420" s="440"/>
      <c r="BA1420" s="114" t="str">
        <f>$BB$61</f>
        <v>Select Equipment</v>
      </c>
      <c r="BB1420" s="436" t="s">
        <v>8</v>
      </c>
      <c r="BC1420" s="120"/>
      <c r="BD1420" s="459" t="s">
        <v>564</v>
      </c>
      <c r="BE1420" s="120"/>
      <c r="BF1420" s="440"/>
    </row>
    <row r="1421" spans="27:59">
      <c r="AA1421" s="114" t="str">
        <f>$AB$62</f>
        <v>Select Equipment</v>
      </c>
      <c r="AB1421" s="436"/>
      <c r="AC1421" s="120"/>
      <c r="AD1421" s="459"/>
      <c r="AE1421" s="120"/>
      <c r="AF1421" s="440"/>
      <c r="BA1421" s="114" t="str">
        <f>$BB$62</f>
        <v>Select Equipment</v>
      </c>
      <c r="BB1421" s="436"/>
      <c r="BC1421" s="120"/>
      <c r="BD1421" s="459"/>
      <c r="BE1421" s="120"/>
      <c r="BF1421" s="440"/>
    </row>
    <row r="1422" spans="27:59">
      <c r="AA1422" s="114" t="str">
        <f>$AB$63</f>
        <v>Select Equipment</v>
      </c>
      <c r="AB1422" s="436" t="s">
        <v>7</v>
      </c>
      <c r="AC1422" s="120"/>
      <c r="AD1422" s="459" t="s">
        <v>564</v>
      </c>
      <c r="AE1422" s="120"/>
      <c r="AF1422" s="440"/>
      <c r="BA1422" s="114" t="str">
        <f>$BB$63</f>
        <v>Select Equipment</v>
      </c>
      <c r="BB1422" s="436" t="s">
        <v>7</v>
      </c>
      <c r="BC1422" s="120"/>
      <c r="BD1422" s="459" t="s">
        <v>564</v>
      </c>
      <c r="BE1422" s="120"/>
      <c r="BF1422" s="440"/>
    </row>
    <row r="1423" spans="27:59">
      <c r="AA1423"/>
      <c r="AB1423" s="436"/>
      <c r="AC1423" s="120"/>
      <c r="AD1423" s="459"/>
      <c r="AE1423" s="120"/>
      <c r="AF1423" s="440"/>
      <c r="BA1423" s="114" t="str">
        <f>$BB$64</f>
        <v>Select Equipment</v>
      </c>
      <c r="BB1423" s="436"/>
      <c r="BC1423" s="120"/>
      <c r="BD1423" s="459"/>
      <c r="BE1423" s="120"/>
      <c r="BF1423" s="440"/>
    </row>
    <row r="1424" spans="27:59">
      <c r="AA1424"/>
      <c r="AB1424" s="436" t="s">
        <v>9</v>
      </c>
      <c r="AC1424" s="120"/>
      <c r="AD1424" s="459" t="s">
        <v>564</v>
      </c>
      <c r="AE1424" s="120"/>
      <c r="AF1424" s="440"/>
      <c r="BA1424"/>
      <c r="BB1424" s="436" t="s">
        <v>9</v>
      </c>
      <c r="BC1424" s="120"/>
      <c r="BD1424" s="459" t="s">
        <v>564</v>
      </c>
      <c r="BE1424" s="120"/>
      <c r="BF1424" s="440"/>
    </row>
    <row r="1425" spans="27:58">
      <c r="AA1425"/>
      <c r="AB1425" s="436"/>
      <c r="AC1425" s="120"/>
      <c r="AD1425" s="459"/>
      <c r="AE1425" s="120"/>
      <c r="AF1425" s="440"/>
      <c r="BA1425"/>
      <c r="BB1425" s="436"/>
      <c r="BC1425" s="120"/>
      <c r="BD1425" s="459"/>
      <c r="BE1425" s="120"/>
      <c r="BF1425" s="440"/>
    </row>
    <row r="1426" spans="27:58">
      <c r="AA1426"/>
      <c r="AB1426" s="436" t="s">
        <v>324</v>
      </c>
      <c r="AC1426" s="120"/>
      <c r="AD1426" s="459" t="s">
        <v>564</v>
      </c>
      <c r="AE1426" s="120"/>
      <c r="AF1426" s="440" t="s">
        <v>569</v>
      </c>
      <c r="BA1426"/>
      <c r="BB1426" s="436" t="s">
        <v>324</v>
      </c>
      <c r="BC1426" s="120"/>
      <c r="BD1426" s="459" t="s">
        <v>564</v>
      </c>
      <c r="BE1426" s="120"/>
      <c r="BF1426" s="440" t="s">
        <v>569</v>
      </c>
    </row>
    <row r="1427" spans="27:58">
      <c r="AA1427"/>
      <c r="AB1427" s="436"/>
      <c r="AC1427" s="120"/>
      <c r="AD1427" s="468"/>
      <c r="AE1427" s="469"/>
      <c r="AF1427" s="440"/>
      <c r="BA1427"/>
      <c r="BB1427" s="436"/>
      <c r="BC1427" s="120"/>
      <c r="BD1427" s="468"/>
      <c r="BE1427" s="469"/>
      <c r="BF1427" s="440"/>
    </row>
    <row r="1428" spans="27:58">
      <c r="AA1428"/>
      <c r="AB1428" s="436" t="s">
        <v>374</v>
      </c>
      <c r="AC1428" s="120"/>
      <c r="AD1428" s="459" t="s">
        <v>564</v>
      </c>
      <c r="AE1428" s="469"/>
      <c r="AF1428" s="440" t="s">
        <v>569</v>
      </c>
      <c r="BA1428"/>
      <c r="BB1428" s="436" t="s">
        <v>374</v>
      </c>
      <c r="BC1428" s="120"/>
      <c r="BD1428" s="459" t="s">
        <v>564</v>
      </c>
      <c r="BE1428" s="469"/>
      <c r="BF1428" s="440" t="s">
        <v>569</v>
      </c>
    </row>
    <row r="1429" spans="27:58">
      <c r="AA1429"/>
      <c r="AB1429" s="436"/>
      <c r="AC1429" s="120"/>
      <c r="AD1429" s="472"/>
      <c r="AE1429" s="473"/>
      <c r="AF1429" s="440"/>
      <c r="BA1429"/>
      <c r="BB1429" s="436"/>
      <c r="BC1429" s="120"/>
      <c r="BD1429" s="472"/>
      <c r="BE1429" s="473"/>
      <c r="BF1429" s="440"/>
    </row>
    <row r="1430" spans="27:58">
      <c r="AA1430"/>
      <c r="AB1430" s="436" t="s">
        <v>580</v>
      </c>
      <c r="AC1430" s="120"/>
      <c r="AD1430" s="459" t="s">
        <v>564</v>
      </c>
      <c r="AE1430" s="473"/>
      <c r="AF1430" s="440" t="s">
        <v>569</v>
      </c>
      <c r="BA1430"/>
      <c r="BB1430" s="436" t="s">
        <v>580</v>
      </c>
      <c r="BC1430" s="120"/>
      <c r="BD1430" s="459" t="s">
        <v>564</v>
      </c>
      <c r="BE1430" s="473"/>
      <c r="BF1430" s="440" t="s">
        <v>569</v>
      </c>
    </row>
    <row r="1431" spans="27:58">
      <c r="AA1431"/>
      <c r="AB1431" s="476"/>
      <c r="AC1431" s="477"/>
      <c r="AD1431" s="478"/>
      <c r="AE1431" s="479"/>
      <c r="AF1431" s="458"/>
      <c r="BA1431"/>
      <c r="BB1431" s="476"/>
      <c r="BC1431" s="477"/>
      <c r="BD1431" s="478"/>
      <c r="BE1431" s="479"/>
      <c r="BF1431" s="458"/>
    </row>
    <row r="1432" spans="27:58">
      <c r="AA1432"/>
      <c r="AB1432" s="449" t="s">
        <v>473</v>
      </c>
      <c r="AC1432" s="467" t="s">
        <v>508</v>
      </c>
      <c r="AD1432" s="480"/>
      <c r="AE1432" s="481" t="s">
        <v>308</v>
      </c>
      <c r="AF1432" s="440"/>
      <c r="BA1432"/>
      <c r="BB1432" s="449" t="s">
        <v>473</v>
      </c>
      <c r="BC1432" s="467" t="s">
        <v>508</v>
      </c>
      <c r="BD1432" s="480"/>
      <c r="BE1432" s="481" t="s">
        <v>308</v>
      </c>
      <c r="BF1432" s="440"/>
    </row>
    <row r="1433" spans="27:58">
      <c r="AB1433" s="436"/>
      <c r="AC1433" s="483"/>
      <c r="AD1433" s="480"/>
      <c r="AE1433" s="484"/>
      <c r="AF1433" s="440"/>
      <c r="BA1433"/>
      <c r="BB1433" s="436"/>
      <c r="BC1433" s="483"/>
      <c r="BD1433" s="480"/>
      <c r="BE1433" s="484"/>
      <c r="BF1433" s="440"/>
    </row>
    <row r="1434" spans="27:58">
      <c r="AB1434" s="436"/>
      <c r="AC1434" s="120"/>
      <c r="AD1434" s="223"/>
      <c r="AE1434" s="467"/>
      <c r="AF1434" s="440"/>
      <c r="BB1434" s="436"/>
      <c r="BC1434" s="120"/>
      <c r="BD1434" s="223"/>
      <c r="BE1434" s="467"/>
      <c r="BF1434" s="440"/>
    </row>
    <row r="1435" spans="27:58">
      <c r="AB1435" s="436"/>
      <c r="AC1435" s="120"/>
      <c r="AD1435" s="466"/>
      <c r="AE1435" s="467"/>
      <c r="AF1435" s="440"/>
      <c r="BB1435" s="436"/>
      <c r="BC1435" s="120"/>
      <c r="BD1435" s="466"/>
      <c r="BE1435" s="467"/>
      <c r="BF1435" s="440"/>
    </row>
    <row r="1436" spans="27:58">
      <c r="AB1436" s="436"/>
      <c r="AC1436" s="120"/>
      <c r="AD1436" s="223"/>
      <c r="AE1436" s="467"/>
      <c r="AF1436" s="440"/>
      <c r="BB1436" s="436"/>
      <c r="BC1436" s="120"/>
      <c r="BD1436" s="223"/>
      <c r="BE1436" s="467"/>
      <c r="BF1436" s="440"/>
    </row>
    <row r="1437" spans="27:58">
      <c r="AB1437" s="436"/>
      <c r="AC1437" s="120"/>
      <c r="AD1437" s="223"/>
      <c r="AE1437" s="467"/>
      <c r="AF1437" s="440"/>
      <c r="BB1437" s="436"/>
      <c r="BC1437" s="120"/>
      <c r="BD1437" s="223"/>
      <c r="BE1437" s="467"/>
      <c r="BF1437" s="440"/>
    </row>
    <row r="1438" spans="27:58">
      <c r="AB1438" s="436"/>
      <c r="AC1438" s="120"/>
      <c r="AD1438" s="471"/>
      <c r="AE1438" s="467"/>
      <c r="AF1438" s="440"/>
      <c r="BB1438" s="436"/>
      <c r="BC1438" s="120"/>
      <c r="BD1438" s="471"/>
      <c r="BE1438" s="467"/>
      <c r="BF1438" s="440"/>
    </row>
    <row r="1439" spans="27:58">
      <c r="AB1439" s="436"/>
      <c r="AC1439" s="120"/>
      <c r="AD1439" s="223"/>
      <c r="AE1439" s="467"/>
      <c r="AF1439" s="440"/>
      <c r="BB1439" s="436"/>
      <c r="BC1439" s="120"/>
      <c r="BD1439" s="223"/>
      <c r="BE1439" s="467"/>
      <c r="BF1439" s="440"/>
    </row>
    <row r="1440" spans="27:58">
      <c r="AB1440" s="436"/>
      <c r="AC1440" s="120"/>
      <c r="AD1440" s="475"/>
      <c r="AE1440" s="467"/>
      <c r="AF1440" s="440"/>
      <c r="BB1440" s="436"/>
      <c r="BC1440" s="120"/>
      <c r="BD1440" s="475"/>
      <c r="BE1440" s="467"/>
      <c r="BF1440" s="440"/>
    </row>
    <row r="1441" spans="28:58">
      <c r="AB1441" s="436"/>
      <c r="AC1441" s="120"/>
      <c r="AD1441" s="223"/>
      <c r="AE1441" s="467"/>
      <c r="AF1441" s="440"/>
      <c r="BB1441" s="436"/>
      <c r="BC1441" s="120"/>
      <c r="BD1441" s="223"/>
      <c r="BE1441" s="467"/>
      <c r="BF1441" s="440"/>
    </row>
    <row r="1442" spans="28:58">
      <c r="AB1442" s="436"/>
      <c r="AC1442" s="120"/>
      <c r="AD1442" s="223"/>
      <c r="AE1442" s="467"/>
      <c r="AF1442" s="440"/>
      <c r="BB1442" s="436"/>
      <c r="BC1442" s="120"/>
      <c r="BD1442" s="223"/>
      <c r="BE1442" s="467"/>
      <c r="BF1442" s="440"/>
    </row>
    <row r="1443" spans="28:58">
      <c r="AB1443" s="436"/>
      <c r="AC1443" s="120"/>
      <c r="AD1443" s="223"/>
      <c r="AE1443" s="467"/>
      <c r="AF1443" s="440"/>
      <c r="BB1443" s="436"/>
      <c r="BC1443" s="120"/>
      <c r="BD1443" s="223"/>
      <c r="BE1443" s="467"/>
      <c r="BF1443" s="440"/>
    </row>
    <row r="1444" spans="28:58">
      <c r="AB1444" s="436"/>
      <c r="AC1444" s="120"/>
      <c r="AD1444" s="223"/>
      <c r="AE1444" s="467"/>
      <c r="AF1444" s="440"/>
      <c r="BB1444" s="436"/>
      <c r="BC1444" s="120"/>
      <c r="BD1444" s="223"/>
      <c r="BE1444" s="467"/>
      <c r="BF1444" s="440"/>
    </row>
    <row r="1445" spans="28:58">
      <c r="AB1445" s="436"/>
      <c r="AC1445" s="120"/>
      <c r="AD1445" s="120"/>
      <c r="AE1445" s="467"/>
      <c r="AF1445" s="440"/>
      <c r="BB1445" s="436"/>
      <c r="BC1445" s="120"/>
      <c r="BD1445" s="120"/>
      <c r="BE1445" s="467"/>
      <c r="BF1445" s="440"/>
    </row>
    <row r="1446" spans="28:58">
      <c r="AB1446" s="456"/>
      <c r="AC1446" s="457"/>
      <c r="AD1446" s="457"/>
      <c r="AE1446" s="477"/>
      <c r="AF1446" s="458"/>
      <c r="BB1446" s="456"/>
      <c r="BC1446" s="457"/>
      <c r="BD1446" s="457"/>
      <c r="BE1446" s="477"/>
      <c r="BF1446" s="458"/>
    </row>
    <row r="1447" spans="28:58">
      <c r="AB1447" s="449" t="s">
        <v>474</v>
      </c>
      <c r="AC1447" s="120"/>
      <c r="AD1447" s="120" t="s">
        <v>1</v>
      </c>
      <c r="AE1447" s="310" t="s">
        <v>307</v>
      </c>
      <c r="AF1447" s="440"/>
      <c r="BB1447" s="449" t="s">
        <v>474</v>
      </c>
      <c r="BC1447" s="120"/>
      <c r="BD1447" s="120" t="s">
        <v>1</v>
      </c>
      <c r="BE1447" s="310" t="s">
        <v>307</v>
      </c>
      <c r="BF1447" s="440"/>
    </row>
    <row r="1448" spans="28:58">
      <c r="AB1448" s="436"/>
      <c r="AC1448" s="223"/>
      <c r="AD1448" s="480"/>
      <c r="AE1448" s="484"/>
      <c r="AF1448" s="440"/>
      <c r="BB1448" s="436"/>
      <c r="BC1448" s="223"/>
      <c r="BD1448" s="480"/>
      <c r="BE1448" s="484"/>
      <c r="BF1448" s="440"/>
    </row>
    <row r="1449" spans="28:58">
      <c r="AB1449" s="436"/>
      <c r="AC1449" s="120"/>
      <c r="AD1449" s="120"/>
      <c r="AE1449" s="467"/>
      <c r="AF1449" s="440"/>
      <c r="BB1449" s="436"/>
      <c r="BC1449" s="120"/>
      <c r="BD1449" s="120"/>
      <c r="BE1449" s="467"/>
      <c r="BF1449" s="440"/>
    </row>
    <row r="1450" spans="28:58">
      <c r="AB1450" s="436"/>
      <c r="AC1450" s="120"/>
      <c r="AD1450" s="120"/>
      <c r="AE1450" s="467"/>
      <c r="AF1450" s="440"/>
      <c r="BB1450" s="436"/>
      <c r="BC1450" s="120"/>
      <c r="BD1450" s="120"/>
      <c r="BE1450" s="467"/>
      <c r="BF1450" s="440"/>
    </row>
    <row r="1451" spans="28:58">
      <c r="AB1451" s="436"/>
      <c r="AC1451" s="120"/>
      <c r="AD1451" s="120"/>
      <c r="AE1451" s="467"/>
      <c r="AF1451" s="440"/>
      <c r="BB1451" s="436"/>
      <c r="BC1451" s="120"/>
      <c r="BD1451" s="120"/>
      <c r="BE1451" s="467"/>
      <c r="BF1451" s="440"/>
    </row>
    <row r="1452" spans="28:58">
      <c r="AB1452" s="436"/>
      <c r="AC1452" s="120"/>
      <c r="AD1452" s="120"/>
      <c r="AE1452" s="467"/>
      <c r="AF1452" s="440"/>
      <c r="BB1452" s="436"/>
      <c r="BC1452" s="120"/>
      <c r="BD1452" s="120"/>
      <c r="BE1452" s="467"/>
      <c r="BF1452" s="440"/>
    </row>
    <row r="1453" spans="28:58">
      <c r="AB1453" s="436"/>
      <c r="AC1453" s="120"/>
      <c r="AD1453" s="120"/>
      <c r="AE1453" s="467"/>
      <c r="AF1453" s="440"/>
      <c r="BB1453" s="436"/>
      <c r="BC1453" s="120"/>
      <c r="BD1453" s="120"/>
      <c r="BE1453" s="467"/>
      <c r="BF1453" s="440"/>
    </row>
    <row r="1454" spans="28:58">
      <c r="AB1454" s="436"/>
      <c r="AC1454" s="120"/>
      <c r="AD1454" s="120"/>
      <c r="AE1454" s="467"/>
      <c r="AF1454" s="440"/>
      <c r="BB1454" s="436"/>
      <c r="BC1454" s="120"/>
      <c r="BD1454" s="120"/>
      <c r="BE1454" s="467"/>
      <c r="BF1454" s="440"/>
    </row>
    <row r="1455" spans="28:58">
      <c r="AB1455" s="436"/>
      <c r="AC1455" s="120"/>
      <c r="AD1455" s="120"/>
      <c r="AE1455" s="467"/>
      <c r="AF1455" s="440"/>
      <c r="BB1455" s="436"/>
      <c r="BC1455" s="120"/>
      <c r="BD1455" s="120"/>
      <c r="BE1455" s="467"/>
      <c r="BF1455" s="440"/>
    </row>
    <row r="1456" spans="28:58">
      <c r="AB1456" s="436"/>
      <c r="AC1456" s="120"/>
      <c r="AD1456" s="120"/>
      <c r="AE1456" s="467"/>
      <c r="AF1456" s="440"/>
      <c r="BB1456" s="436"/>
      <c r="BC1456" s="120"/>
      <c r="BD1456" s="120"/>
      <c r="BE1456" s="467"/>
      <c r="BF1456" s="440"/>
    </row>
    <row r="1457" spans="28:58">
      <c r="AB1457" s="436"/>
      <c r="AC1457" s="120"/>
      <c r="AD1457" s="120"/>
      <c r="AE1457" s="467"/>
      <c r="AF1457" s="440"/>
      <c r="BB1457" s="436"/>
      <c r="BC1457" s="120"/>
      <c r="BD1457" s="120"/>
      <c r="BE1457" s="467"/>
      <c r="BF1457" s="440"/>
    </row>
    <row r="1458" spans="28:58">
      <c r="AB1458" s="436"/>
      <c r="AC1458" s="120"/>
      <c r="AD1458" s="120"/>
      <c r="AE1458" s="467"/>
      <c r="AF1458" s="440"/>
      <c r="BB1458" s="436"/>
      <c r="BC1458" s="120"/>
      <c r="BD1458" s="120"/>
      <c r="BE1458" s="467"/>
      <c r="BF1458" s="440"/>
    </row>
    <row r="1459" spans="28:58">
      <c r="AB1459" s="436"/>
      <c r="AC1459" s="120"/>
      <c r="AD1459" s="120"/>
      <c r="AE1459" s="467"/>
      <c r="AF1459" s="440"/>
      <c r="BB1459" s="436"/>
      <c r="BC1459" s="120"/>
      <c r="BD1459" s="120"/>
      <c r="BE1459" s="467"/>
      <c r="BF1459" s="440"/>
    </row>
    <row r="1460" spans="28:58">
      <c r="AB1460" s="456"/>
      <c r="AC1460" s="457"/>
      <c r="AD1460" s="457"/>
      <c r="AE1460" s="477"/>
      <c r="AF1460" s="458"/>
      <c r="BB1460" s="456"/>
      <c r="BC1460" s="457"/>
      <c r="BD1460" s="457"/>
      <c r="BE1460" s="477"/>
      <c r="BF1460" s="458"/>
    </row>
    <row r="1461" spans="28:58">
      <c r="AB1461" s="456"/>
      <c r="AC1461" s="457"/>
      <c r="AD1461" s="457"/>
      <c r="AE1461" s="457"/>
      <c r="AF1461" s="458"/>
      <c r="BB1461" s="456"/>
      <c r="BC1461" s="457"/>
      <c r="BD1461" s="457"/>
      <c r="BE1461" s="457"/>
      <c r="BF1461" s="458"/>
    </row>
    <row r="1462" spans="28:58">
      <c r="AB1462" s="449" t="s">
        <v>475</v>
      </c>
      <c r="AC1462" s="120"/>
      <c r="AD1462" s="120"/>
      <c r="AE1462" s="120"/>
      <c r="AF1462" s="440"/>
      <c r="BB1462" s="449" t="s">
        <v>475</v>
      </c>
      <c r="BC1462" s="120"/>
      <c r="BD1462" s="120"/>
      <c r="BE1462" s="120"/>
      <c r="BF1462" s="440"/>
    </row>
    <row r="1463" spans="28:58">
      <c r="AB1463" s="436" t="s">
        <v>509</v>
      </c>
      <c r="AC1463" s="120"/>
      <c r="AD1463" s="120"/>
      <c r="AE1463" s="120"/>
      <c r="AF1463" s="440"/>
      <c r="BB1463" s="436" t="s">
        <v>509</v>
      </c>
      <c r="BC1463" s="120"/>
      <c r="BD1463" s="120"/>
      <c r="BE1463" s="120"/>
      <c r="BF1463" s="440"/>
    </row>
    <row r="1464" spans="28:58">
      <c r="AB1464" s="436" t="s">
        <v>510</v>
      </c>
      <c r="AC1464" s="120"/>
      <c r="AD1464" s="120"/>
      <c r="AE1464" s="120"/>
      <c r="AF1464" s="440"/>
      <c r="BB1464" s="436" t="s">
        <v>510</v>
      </c>
      <c r="BC1464" s="120"/>
      <c r="BD1464" s="120"/>
      <c r="BE1464" s="120"/>
      <c r="BF1464" s="440"/>
    </row>
    <row r="1465" spans="28:58">
      <c r="AB1465" s="436"/>
      <c r="AC1465" s="120"/>
      <c r="AD1465" s="120"/>
      <c r="AE1465" s="120"/>
      <c r="AF1465" s="440"/>
      <c r="BB1465" s="436"/>
      <c r="BC1465" s="120"/>
      <c r="BD1465" s="120"/>
      <c r="BE1465" s="120"/>
      <c r="BF1465" s="440"/>
    </row>
    <row r="1466" spans="28:58">
      <c r="AB1466" s="436"/>
      <c r="AC1466" s="120"/>
      <c r="AD1466" s="120"/>
      <c r="AE1466" s="120"/>
      <c r="AF1466" s="440"/>
      <c r="BB1466" s="436"/>
      <c r="BC1466" s="120"/>
      <c r="BD1466" s="120"/>
      <c r="BE1466" s="120"/>
      <c r="BF1466" s="440"/>
    </row>
    <row r="1467" spans="28:58">
      <c r="AB1467" s="436"/>
      <c r="AC1467" s="120"/>
      <c r="AD1467" s="120"/>
      <c r="AE1467" s="120"/>
      <c r="AF1467" s="440"/>
      <c r="BB1467" s="436"/>
      <c r="BC1467" s="120"/>
      <c r="BD1467" s="120"/>
      <c r="BE1467" s="120"/>
      <c r="BF1467" s="440"/>
    </row>
    <row r="1468" spans="28:58">
      <c r="AB1468" s="436"/>
      <c r="AC1468" s="120"/>
      <c r="AD1468" s="120"/>
      <c r="AE1468" s="120"/>
      <c r="AF1468" s="440"/>
      <c r="BB1468" s="436"/>
      <c r="BC1468" s="120"/>
      <c r="BD1468" s="120"/>
      <c r="BE1468" s="120"/>
      <c r="BF1468" s="440"/>
    </row>
    <row r="1469" spans="28:58">
      <c r="AB1469" s="436" t="s">
        <v>511</v>
      </c>
      <c r="AC1469" s="120">
        <v>0</v>
      </c>
      <c r="AD1469" s="120" t="s">
        <v>512</v>
      </c>
      <c r="AE1469" s="120"/>
      <c r="AF1469" s="440"/>
      <c r="BB1469" s="436" t="s">
        <v>511</v>
      </c>
      <c r="BC1469" s="120">
        <v>0</v>
      </c>
      <c r="BD1469" s="120" t="s">
        <v>512</v>
      </c>
      <c r="BE1469" s="120"/>
      <c r="BF1469" s="440"/>
    </row>
    <row r="1470" spans="28:58">
      <c r="AB1470" s="436" t="s">
        <v>513</v>
      </c>
      <c r="AC1470" s="120">
        <v>0</v>
      </c>
      <c r="AD1470" s="120" t="s">
        <v>512</v>
      </c>
      <c r="AE1470" s="120"/>
      <c r="AF1470" s="440"/>
      <c r="BB1470" s="436" t="s">
        <v>513</v>
      </c>
      <c r="BC1470" s="120">
        <v>0</v>
      </c>
      <c r="BD1470" s="120" t="s">
        <v>512</v>
      </c>
      <c r="BE1470" s="120"/>
      <c r="BF1470" s="440"/>
    </row>
    <row r="1471" spans="28:58">
      <c r="AB1471" s="456"/>
      <c r="AC1471" s="457"/>
      <c r="AD1471" s="457"/>
      <c r="AE1471" s="457"/>
      <c r="AF1471" s="458"/>
      <c r="BB1471" s="456"/>
      <c r="BC1471" s="457"/>
      <c r="BD1471" s="457"/>
      <c r="BE1471" s="457"/>
      <c r="BF1471" s="458"/>
    </row>
    <row r="1472" spans="28:58">
      <c r="AB1472" s="449" t="s">
        <v>461</v>
      </c>
      <c r="AC1472" s="120"/>
      <c r="AD1472" s="120"/>
      <c r="AE1472" s="120"/>
      <c r="AF1472" s="440"/>
      <c r="BB1472" s="449" t="s">
        <v>461</v>
      </c>
      <c r="BC1472" s="120"/>
      <c r="BD1472" s="120"/>
      <c r="BE1472" s="120"/>
      <c r="BF1472" s="440"/>
    </row>
    <row r="1473" spans="28:58">
      <c r="AB1473" s="436" t="s">
        <v>514</v>
      </c>
      <c r="AC1473" s="120">
        <f>VLOOKUP(AB1401,'Unit Ops'!$B$140:$K$209,10,FALSE)</f>
        <v>2</v>
      </c>
      <c r="AD1473" s="120" t="s">
        <v>515</v>
      </c>
      <c r="AE1473" s="120"/>
      <c r="AF1473" s="440"/>
      <c r="BB1473" s="436" t="s">
        <v>514</v>
      </c>
      <c r="BC1473" s="120">
        <f>VLOOKUP(BB1401,'Unit Ops'!$B$140:$K$209,10,FALSE)</f>
        <v>0</v>
      </c>
      <c r="BD1473" s="120" t="s">
        <v>515</v>
      </c>
      <c r="BE1473" s="120"/>
      <c r="BF1473" s="440"/>
    </row>
    <row r="1474" spans="28:58">
      <c r="AB1474" s="436" t="s">
        <v>516</v>
      </c>
      <c r="AC1474" s="120">
        <v>0</v>
      </c>
      <c r="AD1474" s="120" t="s">
        <v>515</v>
      </c>
      <c r="AE1474" s="120"/>
      <c r="AF1474" s="440"/>
      <c r="BB1474" s="436" t="s">
        <v>516</v>
      </c>
      <c r="BC1474" s="120">
        <v>0</v>
      </c>
      <c r="BD1474" s="120" t="s">
        <v>515</v>
      </c>
      <c r="BE1474" s="120"/>
      <c r="BF1474" s="440"/>
    </row>
    <row r="1475" spans="28:58">
      <c r="AB1475" s="436"/>
      <c r="AC1475" s="120"/>
      <c r="AD1475" s="120"/>
      <c r="AE1475" s="120"/>
      <c r="AF1475" s="440"/>
      <c r="BB1475" s="436"/>
      <c r="BC1475" s="120"/>
      <c r="BD1475" s="120"/>
      <c r="BE1475" s="120"/>
      <c r="BF1475" s="440"/>
    </row>
    <row r="1476" spans="28:58">
      <c r="AB1476" s="436"/>
      <c r="AC1476" s="120"/>
      <c r="AD1476" s="120"/>
      <c r="AE1476" s="120"/>
      <c r="AF1476" s="440"/>
      <c r="BB1476" s="436"/>
      <c r="BC1476" s="120"/>
      <c r="BD1476" s="120"/>
      <c r="BE1476" s="120"/>
      <c r="BF1476" s="440"/>
    </row>
    <row r="1477" spans="28:58">
      <c r="AB1477" s="436"/>
      <c r="AC1477" s="120"/>
      <c r="AD1477" s="120"/>
      <c r="AE1477" s="120"/>
      <c r="AF1477" s="440"/>
      <c r="BB1477" s="436"/>
      <c r="BC1477" s="120"/>
      <c r="BD1477" s="120"/>
      <c r="BE1477" s="120"/>
      <c r="BF1477" s="440"/>
    </row>
    <row r="1478" spans="28:58">
      <c r="AB1478" s="436"/>
      <c r="AC1478" s="120"/>
      <c r="AD1478" s="120"/>
      <c r="AE1478" s="120"/>
      <c r="AF1478" s="440"/>
      <c r="BB1478" s="436"/>
      <c r="BC1478" s="120"/>
      <c r="BD1478" s="120"/>
      <c r="BE1478" s="120"/>
      <c r="BF1478" s="440"/>
    </row>
    <row r="1479" spans="28:58">
      <c r="AB1479" s="436"/>
      <c r="AC1479" s="120"/>
      <c r="AD1479" s="120"/>
      <c r="AE1479" s="120"/>
      <c r="AF1479" s="440"/>
      <c r="BB1479" s="436"/>
      <c r="BC1479" s="120"/>
      <c r="BD1479" s="120"/>
      <c r="BE1479" s="120"/>
      <c r="BF1479" s="440"/>
    </row>
    <row r="1480" spans="28:58">
      <c r="AB1480" s="436" t="s">
        <v>464</v>
      </c>
      <c r="AC1480" s="120"/>
      <c r="AD1480" s="120"/>
      <c r="AE1480" s="120"/>
      <c r="AF1480" s="440"/>
      <c r="BB1480" s="436" t="s">
        <v>464</v>
      </c>
      <c r="BC1480" s="120"/>
      <c r="BD1480" s="120"/>
      <c r="BE1480" s="120"/>
      <c r="BF1480" s="440"/>
    </row>
    <row r="1481" spans="28:58">
      <c r="AB1481" s="456"/>
      <c r="AC1481" s="457"/>
      <c r="AD1481" s="457"/>
      <c r="AE1481" s="457"/>
      <c r="AF1481" s="458"/>
      <c r="BB1481" s="456"/>
      <c r="BC1481" s="457"/>
      <c r="BD1481" s="457"/>
      <c r="BE1481" s="457"/>
      <c r="BF1481" s="458"/>
    </row>
    <row r="1482" spans="28:58">
      <c r="AB1482" s="449" t="s">
        <v>472</v>
      </c>
      <c r="AC1482" s="467" t="s">
        <v>517</v>
      </c>
      <c r="AD1482" s="120" t="s">
        <v>518</v>
      </c>
      <c r="AE1482" s="467" t="s">
        <v>519</v>
      </c>
      <c r="AF1482" s="440" t="s">
        <v>518</v>
      </c>
      <c r="BB1482" s="449" t="s">
        <v>472</v>
      </c>
      <c r="BC1482" s="467" t="s">
        <v>517</v>
      </c>
      <c r="BD1482" s="120" t="s">
        <v>518</v>
      </c>
      <c r="BE1482" s="467" t="s">
        <v>519</v>
      </c>
      <c r="BF1482" s="440" t="s">
        <v>518</v>
      </c>
    </row>
    <row r="1483" spans="28:58">
      <c r="AB1483" s="436" t="s">
        <v>520</v>
      </c>
      <c r="AC1483" s="120"/>
      <c r="AD1483" s="120"/>
      <c r="AE1483" s="472" t="e">
        <f>((VLOOKUP(AB1401,'Unit Ops'!$B$140:$J$209,3,FALSE)*AC1403^VLOOKUP(AB1401,'Unit Ops'!$B$140:$J$209,4,FALSE)+VLOOKUP(AB1401,'Unit Ops'!$B$140:$J$209,5,FALSE))*VLOOKUP(AB1401,'Unit Ops'!$B$140:$J$209,6,FALSE))*IF(VLOOKUP(AB1401,'Unit Ops'!$B$140:$L$209,11,FALSE)=1,1,2)</f>
        <v>#NUM!</v>
      </c>
      <c r="AF1483" s="490">
        <f>'CM Rec Par.'!$C$7</f>
        <v>2022</v>
      </c>
      <c r="BB1483" s="436" t="s">
        <v>520</v>
      </c>
      <c r="BC1483" s="120"/>
      <c r="BD1483" s="120"/>
      <c r="BE1483" s="472">
        <f>((VLOOKUP(BB1401,'Unit Ops'!$B$140:$J$209,3,FALSE)*BC1403^VLOOKUP(BB1401,'Unit Ops'!$B$140:$J$209,4,FALSE)+VLOOKUP(BB1401,'Unit Ops'!$B$140:$J$209,5,FALSE))*VLOOKUP(BB1401,'Unit Ops'!$B$140:$J$209,6,FALSE))*IF(VLOOKUP(BB1401,'Unit Ops'!$B$140:$L$209,11,FALSE)=1,1,2)</f>
        <v>0</v>
      </c>
      <c r="BF1483" s="490">
        <f>'CM Rec Par.'!$C$7</f>
        <v>2022</v>
      </c>
    </row>
    <row r="1484" spans="28:58">
      <c r="AB1484" s="436"/>
      <c r="AC1484" s="120"/>
      <c r="AD1484" s="120"/>
      <c r="AE1484" s="120"/>
      <c r="AF1484" s="440"/>
      <c r="BB1484" s="436"/>
      <c r="BC1484" s="120"/>
      <c r="BD1484" s="120"/>
      <c r="BE1484" s="120"/>
      <c r="BF1484" s="440"/>
    </row>
    <row r="1485" spans="28:58">
      <c r="AB1485" s="436"/>
      <c r="AC1485" s="120"/>
      <c r="AD1485" s="120"/>
      <c r="AE1485" s="120"/>
      <c r="AF1485" s="440"/>
      <c r="BB1485" s="436"/>
      <c r="BC1485" s="120"/>
      <c r="BD1485" s="120"/>
      <c r="BE1485" s="120"/>
      <c r="BF1485" s="440"/>
    </row>
    <row r="1486" spans="28:58">
      <c r="AB1486" s="436"/>
      <c r="AC1486" s="120"/>
      <c r="AD1486" s="120"/>
      <c r="AE1486" s="120"/>
      <c r="AF1486" s="440"/>
      <c r="BB1486" s="436"/>
      <c r="BC1486" s="120"/>
      <c r="BD1486" s="120"/>
      <c r="BE1486" s="120"/>
      <c r="BF1486" s="440"/>
    </row>
    <row r="1487" spans="28:58">
      <c r="AB1487" s="436"/>
      <c r="AC1487" s="120"/>
      <c r="AD1487" s="120"/>
      <c r="AE1487" s="120"/>
      <c r="AF1487" s="440"/>
      <c r="BB1487" s="436"/>
      <c r="BC1487" s="120"/>
      <c r="BD1487" s="120"/>
      <c r="BE1487" s="120"/>
      <c r="BF1487" s="440"/>
    </row>
    <row r="1488" spans="28:58">
      <c r="AB1488" s="436"/>
      <c r="AC1488" s="120"/>
      <c r="AD1488" s="120"/>
      <c r="AE1488" s="120"/>
      <c r="AF1488" s="440"/>
      <c r="BB1488" s="436"/>
      <c r="BC1488" s="120"/>
      <c r="BD1488" s="120"/>
      <c r="BE1488" s="120"/>
      <c r="BF1488" s="440"/>
    </row>
    <row r="1489" spans="27:59">
      <c r="AB1489" s="436"/>
      <c r="AC1489" s="120"/>
      <c r="AD1489" s="120"/>
      <c r="AE1489" s="120"/>
      <c r="AF1489" s="440"/>
      <c r="BB1489" s="436"/>
      <c r="BC1489" s="120"/>
      <c r="BD1489" s="120"/>
      <c r="BE1489" s="120"/>
      <c r="BF1489" s="440"/>
    </row>
    <row r="1490" spans="27:59">
      <c r="AB1490" s="436"/>
      <c r="AC1490" s="120"/>
      <c r="AD1490" s="120"/>
      <c r="AE1490" s="120"/>
      <c r="AF1490" s="440"/>
      <c r="BB1490" s="436"/>
      <c r="BC1490" s="120"/>
      <c r="BD1490" s="120"/>
      <c r="BE1490" s="120"/>
      <c r="BF1490" s="440"/>
    </row>
    <row r="1491" spans="27:59">
      <c r="AB1491" s="436"/>
      <c r="AC1491" s="120"/>
      <c r="AD1491" s="120"/>
      <c r="AE1491" s="120"/>
      <c r="AF1491" s="440"/>
      <c r="BB1491" s="436"/>
      <c r="BC1491" s="120"/>
      <c r="BD1491" s="120"/>
      <c r="BE1491" s="120"/>
      <c r="BF1491" s="440"/>
    </row>
    <row r="1492" spans="27:59">
      <c r="AB1492" s="436"/>
      <c r="AC1492" s="120"/>
      <c r="AD1492" s="120"/>
      <c r="AE1492" s="120"/>
      <c r="AF1492" s="440"/>
      <c r="BB1492" s="436"/>
      <c r="BC1492" s="120"/>
      <c r="BD1492" s="120"/>
      <c r="BE1492" s="120"/>
      <c r="BF1492" s="440"/>
    </row>
    <row r="1493" spans="27:59">
      <c r="AB1493" s="436"/>
      <c r="AC1493" s="120"/>
      <c r="AD1493" s="120"/>
      <c r="AE1493" s="120"/>
      <c r="AF1493" s="440"/>
      <c r="BB1493" s="436"/>
      <c r="BC1493" s="120"/>
      <c r="BD1493" s="120"/>
      <c r="BE1493" s="120"/>
      <c r="BF1493" s="440"/>
    </row>
    <row r="1494" spans="27:59">
      <c r="AB1494" s="436"/>
      <c r="AC1494" s="120"/>
      <c r="AD1494" s="120"/>
      <c r="AE1494" s="120"/>
      <c r="AF1494" s="440"/>
      <c r="BB1494" s="436"/>
      <c r="BC1494" s="120"/>
      <c r="BD1494" s="120"/>
      <c r="BE1494" s="120"/>
      <c r="BF1494" s="440"/>
    </row>
    <row r="1495" spans="27:59">
      <c r="AB1495" s="436"/>
      <c r="AC1495" s="120"/>
      <c r="AD1495" s="120"/>
      <c r="AE1495" s="120"/>
      <c r="AF1495" s="440"/>
      <c r="BB1495" s="436"/>
      <c r="BC1495" s="120"/>
      <c r="BD1495" s="120"/>
      <c r="BE1495" s="120"/>
      <c r="BF1495" s="440"/>
    </row>
    <row r="1496" spans="27:59">
      <c r="AB1496" s="436"/>
      <c r="AC1496" s="120"/>
      <c r="AD1496" s="120"/>
      <c r="AE1496" s="120"/>
      <c r="AF1496" s="440"/>
      <c r="BB1496" s="436"/>
      <c r="BC1496" s="120"/>
      <c r="BD1496" s="120"/>
      <c r="BE1496" s="120"/>
      <c r="BF1496" s="440"/>
    </row>
    <row r="1497" spans="27:59" ht="14.5" thickBot="1">
      <c r="AB1497" s="492"/>
      <c r="AC1497" s="493"/>
      <c r="AD1497" s="493"/>
      <c r="AE1497" s="493"/>
      <c r="AF1497" s="453"/>
      <c r="BB1497" s="492"/>
      <c r="BC1497" s="493"/>
      <c r="BD1497" s="493"/>
      <c r="BE1497" s="493"/>
      <c r="BF1497" s="453"/>
    </row>
    <row r="1500" spans="27:59" ht="14.5" thickBot="1"/>
    <row r="1501" spans="27:59">
      <c r="AA1501" s="114" t="s">
        <v>478</v>
      </c>
      <c r="AB1501" s="431" t="str">
        <f>AB54</f>
        <v>Air classifier</v>
      </c>
      <c r="AC1501" s="432"/>
      <c r="AD1501" s="433"/>
      <c r="AE1501" s="434"/>
      <c r="AF1501" s="435"/>
      <c r="BB1501" s="431" t="str">
        <f>BB55</f>
        <v>Select Equipment</v>
      </c>
      <c r="BC1501" s="432"/>
      <c r="BD1501" s="433"/>
      <c r="BE1501" s="434"/>
      <c r="BF1501" s="435"/>
    </row>
    <row r="1502" spans="27:59">
      <c r="AA1502" s="114" t="s">
        <v>5</v>
      </c>
      <c r="AB1502" s="436" t="s">
        <v>1</v>
      </c>
      <c r="AC1502" s="437">
        <f>AC$14/AC$11/AC$10*VLOOKUP(AB1501,'Unit Ops'!$B$140:$J$209,2,FALSE)</f>
        <v>0</v>
      </c>
      <c r="AD1502" s="438" t="s">
        <v>586</v>
      </c>
      <c r="AE1502" s="1027">
        <f>AC1502*AC$306*AC$307</f>
        <v>0</v>
      </c>
      <c r="AF1502" s="439" t="s">
        <v>585</v>
      </c>
      <c r="AG1502" s="408"/>
      <c r="BA1502" s="114" t="s">
        <v>478</v>
      </c>
      <c r="BB1502" s="436" t="s">
        <v>1</v>
      </c>
      <c r="BC1502" s="437">
        <f>BC$15/BC$11/BC$12*VLOOKUP(BB1501,'Unit Ops'!$B$140:$J$209,2,FALSE)</f>
        <v>0</v>
      </c>
      <c r="BD1502" s="438" t="s">
        <v>586</v>
      </c>
      <c r="BE1502" s="1027">
        <f>BC1502*BC$306*BC$307</f>
        <v>0</v>
      </c>
      <c r="BF1502" s="439" t="s">
        <v>585</v>
      </c>
    </row>
    <row r="1503" spans="27:59">
      <c r="AA1503" s="114" t="str">
        <f>$AB$44</f>
        <v>Hopper</v>
      </c>
      <c r="AB1503" s="436" t="s">
        <v>505</v>
      </c>
      <c r="AC1503" s="437">
        <f>ROUNDUP(AC1502*IF(VLOOKUP(AB1501,'Unit Ops'!$B$140:$L$209,11,FALSE)=1,1.5,0.75),1)</f>
        <v>0</v>
      </c>
      <c r="AD1503" s="438" t="s">
        <v>586</v>
      </c>
      <c r="AE1503" s="120">
        <f>AC1503*AC$306*AC$307</f>
        <v>0</v>
      </c>
      <c r="AF1503" s="439" t="s">
        <v>585</v>
      </c>
      <c r="AG1503" s="520"/>
      <c r="BA1503" s="114" t="s">
        <v>5</v>
      </c>
      <c r="BB1503" s="436" t="s">
        <v>505</v>
      </c>
      <c r="BC1503" s="437">
        <f>ROUNDUP(BC1502*IF(VLOOKUP(BB1501,'Unit Ops'!$B$140:$L$209,11,FALSE)=1,1.5,0.75),1)</f>
        <v>0</v>
      </c>
      <c r="BD1503" s="438" t="s">
        <v>586</v>
      </c>
      <c r="BE1503" s="120">
        <f>BC1503*BC$306*BC$307</f>
        <v>0</v>
      </c>
      <c r="BF1503" s="439" t="s">
        <v>585</v>
      </c>
      <c r="BG1503" s="408"/>
    </row>
    <row r="1504" spans="27:59">
      <c r="AA1504" s="114" t="str">
        <f>$AB$45</f>
        <v>Conveyor</v>
      </c>
      <c r="AB1504" s="441" t="s">
        <v>521</v>
      </c>
      <c r="AC1504" s="442" t="e">
        <f>AC1502/AC1503</f>
        <v>#DIV/0!</v>
      </c>
      <c r="AD1504" s="438"/>
      <c r="AE1504" s="443"/>
      <c r="AF1504" s="440"/>
      <c r="AG1504" s="521"/>
      <c r="BA1504" s="114" t="str">
        <f>$BB$45</f>
        <v>Select Equipment</v>
      </c>
      <c r="BB1504" s="441" t="s">
        <v>521</v>
      </c>
      <c r="BC1504" s="442" t="e">
        <f>BC1502/BC1503</f>
        <v>#DIV/0!</v>
      </c>
      <c r="BD1504" s="438"/>
      <c r="BE1504" s="443"/>
      <c r="BF1504" s="440"/>
      <c r="BG1504" s="520"/>
    </row>
    <row r="1505" spans="27:59">
      <c r="AA1505" s="114" t="str">
        <f>$AB$46</f>
        <v>Crusher</v>
      </c>
      <c r="AB1505" s="441" t="s">
        <v>506</v>
      </c>
      <c r="AC1505" s="445"/>
      <c r="AD1505" s="438" t="s">
        <v>454</v>
      </c>
      <c r="AE1505" s="443"/>
      <c r="AF1505" s="440"/>
      <c r="AG1505" s="408"/>
      <c r="BA1505" s="114" t="str">
        <f>$BB$46</f>
        <v>Select Equipment</v>
      </c>
      <c r="BB1505" s="441" t="s">
        <v>506</v>
      </c>
      <c r="BC1505" s="445"/>
      <c r="BD1505" s="438" t="s">
        <v>454</v>
      </c>
      <c r="BE1505" s="443"/>
      <c r="BF1505" s="440"/>
      <c r="BG1505" s="521"/>
    </row>
    <row r="1506" spans="27:59">
      <c r="AA1506" s="114" t="str">
        <f>$AB$47</f>
        <v>Screen, vibrating</v>
      </c>
      <c r="AB1506" s="436" t="s">
        <v>507</v>
      </c>
      <c r="AC1506" s="225" t="e">
        <f>(VLOOKUP(AB1501,'Unit Ops'!$B$140:$J$209,7,FALSE)*AC1503^VLOOKUP(AB1501,'Unit Ops'!$B$140:$J$209,8,FALSE)+VLOOKUP(AB1501,'Unit Ops'!$B$140:$J$209,9,FALSE))*IF(VLOOKUP(AB1501,'Unit Ops'!$B$140:$L$209,11,FALSE)=1,1,2)</f>
        <v>#NUM!</v>
      </c>
      <c r="AD1506" s="446" t="s">
        <v>454</v>
      </c>
      <c r="AE1506" s="443"/>
      <c r="AF1506" s="440"/>
      <c r="AG1506" s="521"/>
      <c r="BA1506" s="114" t="str">
        <f>$BB$47</f>
        <v>Select Equipment</v>
      </c>
      <c r="BB1506" s="436" t="s">
        <v>507</v>
      </c>
      <c r="BC1506" s="225" t="e">
        <f>(VLOOKUP(BB1501,'Unit Ops'!$B$140:$J$209,7,FALSE)*BC1503^VLOOKUP(BB1501,'Unit Ops'!$B$140:$J$209,8,FALSE)+VLOOKUP(BB1501,'Unit Ops'!$B$140:$J$209,9,FALSE))*IF(VLOOKUP(BB1501,'Unit Ops'!$B$140:$L$209,11,FALSE)=1,1,2)</f>
        <v>#NUM!</v>
      </c>
      <c r="BD1506" s="446" t="s">
        <v>454</v>
      </c>
      <c r="BE1506" s="443"/>
      <c r="BF1506" s="440"/>
      <c r="BG1506" s="408"/>
    </row>
    <row r="1507" spans="27:59">
      <c r="AA1507" s="114" t="str">
        <f>$AB$48</f>
        <v>Conveyor</v>
      </c>
      <c r="AB1507" s="441"/>
      <c r="AC1507" s="445"/>
      <c r="AD1507" s="447"/>
      <c r="AE1507" s="443"/>
      <c r="AF1507" s="440"/>
      <c r="AG1507" s="470"/>
      <c r="BA1507" s="114" t="str">
        <f>$BB$48</f>
        <v>Select Equipment</v>
      </c>
      <c r="BB1507" s="441"/>
      <c r="BC1507" s="445"/>
      <c r="BD1507" s="447"/>
      <c r="BE1507" s="443"/>
      <c r="BF1507" s="440"/>
      <c r="BG1507" s="521"/>
    </row>
    <row r="1508" spans="27:59">
      <c r="AA1508" s="114" t="str">
        <f>$AB$49</f>
        <v>Heat treatment furnace</v>
      </c>
      <c r="AB1508" s="441"/>
      <c r="AC1508" s="445"/>
      <c r="AD1508" s="447"/>
      <c r="AE1508" s="443"/>
      <c r="AF1508" s="440"/>
      <c r="AG1508" s="521"/>
      <c r="BA1508" s="114" t="str">
        <f>$BB$49</f>
        <v>Select Equipment</v>
      </c>
      <c r="BB1508" s="441"/>
      <c r="BC1508" s="445"/>
      <c r="BD1508" s="447"/>
      <c r="BE1508" s="443"/>
      <c r="BF1508" s="440"/>
      <c r="BG1508" s="470"/>
    </row>
    <row r="1509" spans="27:59">
      <c r="AA1509" s="114" t="str">
        <f>$AB$50</f>
        <v>Cyclone</v>
      </c>
      <c r="AB1509" s="449"/>
      <c r="AC1509" s="445"/>
      <c r="AD1509" s="447"/>
      <c r="AE1509" s="443"/>
      <c r="AF1509" s="440"/>
      <c r="AG1509" s="507"/>
      <c r="BA1509" s="114" t="str">
        <f>$BB$50</f>
        <v>Select Equipment</v>
      </c>
      <c r="BB1509" s="449"/>
      <c r="BC1509" s="445"/>
      <c r="BD1509" s="447"/>
      <c r="BE1509" s="443"/>
      <c r="BF1509" s="440"/>
      <c r="BG1509" s="521"/>
    </row>
    <row r="1510" spans="27:59" ht="14.5" thickBot="1">
      <c r="AA1510" s="114" t="str">
        <f>$AB$51</f>
        <v>Conveyor</v>
      </c>
      <c r="AB1510" s="450"/>
      <c r="AC1510" s="451"/>
      <c r="AD1510" s="451"/>
      <c r="AE1510" s="452"/>
      <c r="AF1510" s="453"/>
      <c r="AG1510" s="521"/>
      <c r="BA1510" s="114" t="str">
        <f>$BB$51</f>
        <v>Select Equipment</v>
      </c>
      <c r="BB1510" s="450"/>
      <c r="BC1510" s="451"/>
      <c r="BD1510" s="451"/>
      <c r="BE1510" s="452"/>
      <c r="BF1510" s="453"/>
      <c r="BG1510" s="507"/>
    </row>
    <row r="1511" spans="27:59">
      <c r="AA1511" s="114" t="str">
        <f>$AB$52</f>
        <v>Eddy current separator</v>
      </c>
      <c r="AB1511" s="449" t="s">
        <v>470</v>
      </c>
      <c r="AC1511" s="120"/>
      <c r="AD1511" s="454"/>
      <c r="AE1511" s="120"/>
      <c r="AF1511" s="440"/>
      <c r="AG1511" s="474"/>
      <c r="BA1511" s="114" t="str">
        <f>$BB$52</f>
        <v>Select Equipment</v>
      </c>
      <c r="BB1511" s="449" t="s">
        <v>470</v>
      </c>
      <c r="BC1511" s="120"/>
      <c r="BD1511" s="454"/>
      <c r="BE1511" s="120"/>
      <c r="BF1511" s="440"/>
      <c r="BG1511" s="521"/>
    </row>
    <row r="1512" spans="27:59" ht="14.5" customHeight="1">
      <c r="AA1512" s="114" t="str">
        <f>$AB$53</f>
        <v>Conveyor</v>
      </c>
      <c r="AB1512" s="1698"/>
      <c r="AC1512" s="1699"/>
      <c r="AD1512" s="1699"/>
      <c r="AE1512" s="1699"/>
      <c r="AF1512" s="1700"/>
      <c r="AG1512" s="474"/>
      <c r="BA1512" s="114" t="str">
        <f>$BB$53</f>
        <v>Select Equipment</v>
      </c>
      <c r="BB1512" s="1698"/>
      <c r="BC1512" s="1699"/>
      <c r="BD1512" s="1699"/>
      <c r="BE1512" s="1699"/>
      <c r="BF1512" s="1700"/>
      <c r="BG1512" s="474"/>
    </row>
    <row r="1513" spans="27:59">
      <c r="AA1513" s="114" t="str">
        <f>$AB$54</f>
        <v>Air classifier</v>
      </c>
      <c r="AB1513" s="436"/>
      <c r="AC1513" s="120"/>
      <c r="AD1513" s="455"/>
      <c r="AE1513" s="120"/>
      <c r="AF1513" s="440"/>
      <c r="AG1513" s="474"/>
      <c r="BA1513" s="114" t="str">
        <f>$BB$54</f>
        <v>Select Equipment</v>
      </c>
      <c r="BB1513" s="436"/>
      <c r="BC1513" s="120"/>
      <c r="BD1513" s="455"/>
      <c r="BE1513" s="120"/>
      <c r="BF1513" s="440"/>
      <c r="BG1513" s="474"/>
    </row>
    <row r="1514" spans="27:59">
      <c r="AA1514" s="114" t="str">
        <f>$AB$55</f>
        <v>Gas treatment</v>
      </c>
      <c r="AB1514" s="436"/>
      <c r="AC1514" s="120"/>
      <c r="AD1514" s="455"/>
      <c r="AE1514" s="120"/>
      <c r="AF1514" s="440"/>
      <c r="AG1514" s="474"/>
      <c r="BA1514" s="114" t="str">
        <f>$BB$55</f>
        <v>Select Equipment</v>
      </c>
      <c r="BB1514" s="436"/>
      <c r="BC1514" s="120"/>
      <c r="BD1514" s="455"/>
      <c r="BE1514" s="120"/>
      <c r="BF1514" s="440"/>
      <c r="BG1514" s="474"/>
    </row>
    <row r="1515" spans="27:59">
      <c r="AA1515" s="114" t="str">
        <f>$AB$56</f>
        <v>Wheel loader</v>
      </c>
      <c r="AB1515" s="456"/>
      <c r="AC1515" s="457"/>
      <c r="AD1515" s="457"/>
      <c r="AE1515" s="457"/>
      <c r="AF1515" s="458"/>
      <c r="BA1515" s="114" t="str">
        <f>$BB$56</f>
        <v>Select Equipment</v>
      </c>
      <c r="BB1515" s="456"/>
      <c r="BC1515" s="457"/>
      <c r="BD1515" s="457"/>
      <c r="BE1515" s="457"/>
      <c r="BF1515" s="458"/>
      <c r="BG1515" s="474"/>
    </row>
    <row r="1516" spans="27:59">
      <c r="AA1516" s="114" t="str">
        <f>$AB$57</f>
        <v>Select Equipment</v>
      </c>
      <c r="AB1516" s="449" t="s">
        <v>471</v>
      </c>
      <c r="AC1516" s="120"/>
      <c r="AD1516" s="454"/>
      <c r="AE1516" s="120"/>
      <c r="AF1516" s="440"/>
      <c r="BA1516" s="114" t="str">
        <f>$BB$57</f>
        <v>Select Equipment</v>
      </c>
      <c r="BB1516" s="449" t="s">
        <v>471</v>
      </c>
      <c r="BC1516" s="120"/>
      <c r="BD1516" s="454"/>
      <c r="BE1516" s="120"/>
      <c r="BF1516" s="440"/>
    </row>
    <row r="1517" spans="27:59">
      <c r="AA1517" s="114" t="str">
        <f>$AB$58</f>
        <v>Select Equipment</v>
      </c>
      <c r="AB1517" s="436" t="s">
        <v>577</v>
      </c>
      <c r="AC1517" s="225" t="e">
        <f>AC1506*IF(AC1504&gt;1,1,AC1504)</f>
        <v>#NUM!</v>
      </c>
      <c r="AD1517" s="446" t="s">
        <v>454</v>
      </c>
      <c r="AE1517" s="120"/>
      <c r="AF1517" s="440"/>
      <c r="BA1517" s="114" t="str">
        <f>$BB$58</f>
        <v>Select Equipment</v>
      </c>
      <c r="BB1517" s="436" t="s">
        <v>577</v>
      </c>
      <c r="BC1517" s="225" t="e">
        <f>BC1506*IF(BC1504&gt;1,1,BC1504)</f>
        <v>#NUM!</v>
      </c>
      <c r="BD1517" s="446" t="s">
        <v>454</v>
      </c>
      <c r="BE1517" s="120"/>
      <c r="BF1517" s="440"/>
    </row>
    <row r="1518" spans="27:59">
      <c r="AA1518" s="114" t="str">
        <f>$AB$59</f>
        <v>Select Equipment</v>
      </c>
      <c r="AB1518" s="436" t="s">
        <v>578</v>
      </c>
      <c r="AC1518" s="225"/>
      <c r="AD1518" s="446" t="s">
        <v>579</v>
      </c>
      <c r="AE1518" s="120"/>
      <c r="AF1518" s="440"/>
      <c r="BA1518" s="114" t="str">
        <f>$BB$59</f>
        <v>Select Equipment</v>
      </c>
      <c r="BB1518" s="436" t="s">
        <v>578</v>
      </c>
      <c r="BC1518" s="225"/>
      <c r="BD1518" s="446" t="s">
        <v>579</v>
      </c>
      <c r="BE1518" s="120"/>
      <c r="BF1518" s="440"/>
    </row>
    <row r="1519" spans="27:59">
      <c r="AA1519" s="114" t="str">
        <f>$AB$60</f>
        <v>Select Equipment</v>
      </c>
      <c r="AB1519" s="436"/>
      <c r="AC1519" s="120"/>
      <c r="AD1519" s="446"/>
      <c r="AE1519" s="120"/>
      <c r="AF1519" s="440"/>
      <c r="BA1519" s="114" t="str">
        <f>$BB$60</f>
        <v>Select Equipment</v>
      </c>
      <c r="BB1519" s="436"/>
      <c r="BC1519" s="120"/>
      <c r="BD1519" s="446"/>
      <c r="BE1519" s="120"/>
      <c r="BF1519" s="440"/>
    </row>
    <row r="1520" spans="27:59">
      <c r="AA1520" s="114" t="str">
        <f>$AB$61</f>
        <v>Select Equipment</v>
      </c>
      <c r="AB1520" s="436" t="s">
        <v>8</v>
      </c>
      <c r="AC1520" s="120"/>
      <c r="AD1520" s="459" t="s">
        <v>564</v>
      </c>
      <c r="AE1520" s="120"/>
      <c r="AF1520" s="440"/>
      <c r="BA1520" s="114" t="str">
        <f>$BB$61</f>
        <v>Select Equipment</v>
      </c>
      <c r="BB1520" s="436" t="s">
        <v>8</v>
      </c>
      <c r="BC1520" s="120"/>
      <c r="BD1520" s="459" t="s">
        <v>564</v>
      </c>
      <c r="BE1520" s="120"/>
      <c r="BF1520" s="440"/>
    </row>
    <row r="1521" spans="27:58">
      <c r="AA1521" s="114" t="str">
        <f>$AB$62</f>
        <v>Select Equipment</v>
      </c>
      <c r="AB1521" s="436"/>
      <c r="AC1521" s="120"/>
      <c r="AD1521" s="459"/>
      <c r="AE1521" s="120"/>
      <c r="AF1521" s="440"/>
      <c r="BA1521" s="114" t="str">
        <f>$BB$62</f>
        <v>Select Equipment</v>
      </c>
      <c r="BB1521" s="436"/>
      <c r="BC1521" s="120"/>
      <c r="BD1521" s="459"/>
      <c r="BE1521" s="120"/>
      <c r="BF1521" s="440"/>
    </row>
    <row r="1522" spans="27:58">
      <c r="AA1522" s="114" t="str">
        <f>$AB$63</f>
        <v>Select Equipment</v>
      </c>
      <c r="AB1522" s="436" t="s">
        <v>7</v>
      </c>
      <c r="AC1522" s="120"/>
      <c r="AD1522" s="459" t="s">
        <v>564</v>
      </c>
      <c r="AE1522" s="120"/>
      <c r="AF1522" s="440"/>
      <c r="BA1522" s="114" t="str">
        <f>$BB$63</f>
        <v>Select Equipment</v>
      </c>
      <c r="BB1522" s="436" t="s">
        <v>7</v>
      </c>
      <c r="BC1522" s="120"/>
      <c r="BD1522" s="459" t="s">
        <v>564</v>
      </c>
      <c r="BE1522" s="120"/>
      <c r="BF1522" s="440"/>
    </row>
    <row r="1523" spans="27:58">
      <c r="AA1523"/>
      <c r="AB1523" s="436"/>
      <c r="AC1523" s="120"/>
      <c r="AD1523" s="459"/>
      <c r="AE1523" s="120"/>
      <c r="AF1523" s="440"/>
      <c r="BA1523" s="114" t="str">
        <f>$BB$64</f>
        <v>Select Equipment</v>
      </c>
      <c r="BB1523" s="436"/>
      <c r="BC1523" s="120"/>
      <c r="BD1523" s="459"/>
      <c r="BE1523" s="120"/>
      <c r="BF1523" s="440"/>
    </row>
    <row r="1524" spans="27:58">
      <c r="AA1524"/>
      <c r="AB1524" s="436" t="s">
        <v>9</v>
      </c>
      <c r="AC1524" s="120"/>
      <c r="AD1524" s="459" t="s">
        <v>564</v>
      </c>
      <c r="AE1524" s="120"/>
      <c r="AF1524" s="440"/>
      <c r="BA1524"/>
      <c r="BB1524" s="436" t="s">
        <v>9</v>
      </c>
      <c r="BC1524" s="120"/>
      <c r="BD1524" s="459" t="s">
        <v>564</v>
      </c>
      <c r="BE1524" s="120"/>
      <c r="BF1524" s="440"/>
    </row>
    <row r="1525" spans="27:58">
      <c r="AA1525"/>
      <c r="AB1525" s="436"/>
      <c r="AC1525" s="120"/>
      <c r="AD1525" s="459"/>
      <c r="AE1525" s="120"/>
      <c r="AF1525" s="440"/>
      <c r="BA1525"/>
      <c r="BB1525" s="436"/>
      <c r="BC1525" s="120"/>
      <c r="BD1525" s="459"/>
      <c r="BE1525" s="120"/>
      <c r="BF1525" s="440"/>
    </row>
    <row r="1526" spans="27:58">
      <c r="AA1526"/>
      <c r="AB1526" s="436" t="s">
        <v>324</v>
      </c>
      <c r="AC1526" s="120"/>
      <c r="AD1526" s="459" t="s">
        <v>564</v>
      </c>
      <c r="AE1526" s="120"/>
      <c r="AF1526" s="440" t="s">
        <v>569</v>
      </c>
      <c r="BA1526"/>
      <c r="BB1526" s="436" t="s">
        <v>324</v>
      </c>
      <c r="BC1526" s="120"/>
      <c r="BD1526" s="459" t="s">
        <v>564</v>
      </c>
      <c r="BE1526" s="120"/>
      <c r="BF1526" s="440" t="s">
        <v>569</v>
      </c>
    </row>
    <row r="1527" spans="27:58">
      <c r="AA1527"/>
      <c r="AB1527" s="436"/>
      <c r="AC1527" s="120"/>
      <c r="AD1527" s="468"/>
      <c r="AE1527" s="469"/>
      <c r="AF1527" s="440"/>
      <c r="BA1527"/>
      <c r="BB1527" s="436"/>
      <c r="BC1527" s="120"/>
      <c r="BD1527" s="468"/>
      <c r="BE1527" s="469"/>
      <c r="BF1527" s="440"/>
    </row>
    <row r="1528" spans="27:58">
      <c r="AA1528"/>
      <c r="AB1528" s="436" t="s">
        <v>374</v>
      </c>
      <c r="AC1528" s="120"/>
      <c r="AD1528" s="459" t="s">
        <v>564</v>
      </c>
      <c r="AE1528" s="469"/>
      <c r="AF1528" s="440" t="s">
        <v>569</v>
      </c>
      <c r="BA1528"/>
      <c r="BB1528" s="436" t="s">
        <v>374</v>
      </c>
      <c r="BC1528" s="120"/>
      <c r="BD1528" s="459" t="s">
        <v>564</v>
      </c>
      <c r="BE1528" s="469"/>
      <c r="BF1528" s="440" t="s">
        <v>569</v>
      </c>
    </row>
    <row r="1529" spans="27:58">
      <c r="AA1529"/>
      <c r="AB1529" s="436"/>
      <c r="AC1529" s="120"/>
      <c r="AD1529" s="472"/>
      <c r="AE1529" s="473"/>
      <c r="AF1529" s="440"/>
      <c r="BA1529"/>
      <c r="BB1529" s="436"/>
      <c r="BC1529" s="120"/>
      <c r="BD1529" s="472"/>
      <c r="BE1529" s="473"/>
      <c r="BF1529" s="440"/>
    </row>
    <row r="1530" spans="27:58">
      <c r="AA1530"/>
      <c r="AB1530" s="436" t="s">
        <v>580</v>
      </c>
      <c r="AC1530" s="120"/>
      <c r="AD1530" s="459" t="s">
        <v>564</v>
      </c>
      <c r="AE1530" s="473"/>
      <c r="AF1530" s="440" t="s">
        <v>569</v>
      </c>
      <c r="BA1530"/>
      <c r="BB1530" s="436" t="s">
        <v>580</v>
      </c>
      <c r="BC1530" s="120"/>
      <c r="BD1530" s="459" t="s">
        <v>564</v>
      </c>
      <c r="BE1530" s="473"/>
      <c r="BF1530" s="440" t="s">
        <v>569</v>
      </c>
    </row>
    <row r="1531" spans="27:58">
      <c r="AA1531"/>
      <c r="AB1531" s="476"/>
      <c r="AC1531" s="477"/>
      <c r="AD1531" s="478"/>
      <c r="AE1531" s="479"/>
      <c r="AF1531" s="458"/>
      <c r="BA1531"/>
      <c r="BB1531" s="476"/>
      <c r="BC1531" s="477"/>
      <c r="BD1531" s="478"/>
      <c r="BE1531" s="479"/>
      <c r="BF1531" s="458"/>
    </row>
    <row r="1532" spans="27:58">
      <c r="AA1532"/>
      <c r="AB1532" s="449" t="s">
        <v>473</v>
      </c>
      <c r="AC1532" s="467" t="s">
        <v>508</v>
      </c>
      <c r="AD1532" s="480"/>
      <c r="AE1532" s="481" t="s">
        <v>308</v>
      </c>
      <c r="AF1532" s="440"/>
      <c r="BA1532"/>
      <c r="BB1532" s="449" t="s">
        <v>473</v>
      </c>
      <c r="BC1532" s="467" t="s">
        <v>508</v>
      </c>
      <c r="BD1532" s="480"/>
      <c r="BE1532" s="481" t="s">
        <v>308</v>
      </c>
      <c r="BF1532" s="440"/>
    </row>
    <row r="1533" spans="27:58">
      <c r="AB1533" s="436"/>
      <c r="AC1533" s="483"/>
      <c r="AD1533" s="480"/>
      <c r="AE1533" s="484"/>
      <c r="AF1533" s="440"/>
      <c r="BA1533"/>
      <c r="BB1533" s="436"/>
      <c r="BC1533" s="483"/>
      <c r="BD1533" s="480"/>
      <c r="BE1533" s="484"/>
      <c r="BF1533" s="440"/>
    </row>
    <row r="1534" spans="27:58">
      <c r="AB1534" s="436"/>
      <c r="AC1534" s="120"/>
      <c r="AD1534" s="223"/>
      <c r="AE1534" s="467"/>
      <c r="AF1534" s="440"/>
      <c r="BB1534" s="436"/>
      <c r="BC1534" s="120"/>
      <c r="BD1534" s="223"/>
      <c r="BE1534" s="467"/>
      <c r="BF1534" s="440"/>
    </row>
    <row r="1535" spans="27:58">
      <c r="AB1535" s="436"/>
      <c r="AC1535" s="120"/>
      <c r="AD1535" s="466"/>
      <c r="AE1535" s="467"/>
      <c r="AF1535" s="440"/>
      <c r="BB1535" s="436"/>
      <c r="BC1535" s="120"/>
      <c r="BD1535" s="466"/>
      <c r="BE1535" s="467"/>
      <c r="BF1535" s="440"/>
    </row>
    <row r="1536" spans="27:58">
      <c r="AB1536" s="436"/>
      <c r="AC1536" s="120"/>
      <c r="AD1536" s="223"/>
      <c r="AE1536" s="467"/>
      <c r="AF1536" s="440"/>
      <c r="BB1536" s="436"/>
      <c r="BC1536" s="120"/>
      <c r="BD1536" s="223"/>
      <c r="BE1536" s="467"/>
      <c r="BF1536" s="440"/>
    </row>
    <row r="1537" spans="28:58">
      <c r="AB1537" s="436"/>
      <c r="AC1537" s="120"/>
      <c r="AD1537" s="223"/>
      <c r="AE1537" s="467"/>
      <c r="AF1537" s="440"/>
      <c r="BB1537" s="436"/>
      <c r="BC1537" s="120"/>
      <c r="BD1537" s="223"/>
      <c r="BE1537" s="467"/>
      <c r="BF1537" s="440"/>
    </row>
    <row r="1538" spans="28:58">
      <c r="AB1538" s="436"/>
      <c r="AC1538" s="120"/>
      <c r="AD1538" s="471"/>
      <c r="AE1538" s="467"/>
      <c r="AF1538" s="440"/>
      <c r="BB1538" s="436"/>
      <c r="BC1538" s="120"/>
      <c r="BD1538" s="471"/>
      <c r="BE1538" s="467"/>
      <c r="BF1538" s="440"/>
    </row>
    <row r="1539" spans="28:58">
      <c r="AB1539" s="436"/>
      <c r="AC1539" s="120"/>
      <c r="AD1539" s="223"/>
      <c r="AE1539" s="467"/>
      <c r="AF1539" s="440"/>
      <c r="BB1539" s="436"/>
      <c r="BC1539" s="120"/>
      <c r="BD1539" s="223"/>
      <c r="BE1539" s="467"/>
      <c r="BF1539" s="440"/>
    </row>
    <row r="1540" spans="28:58">
      <c r="AB1540" s="436"/>
      <c r="AC1540" s="120"/>
      <c r="AD1540" s="475"/>
      <c r="AE1540" s="467"/>
      <c r="AF1540" s="440"/>
      <c r="BB1540" s="436"/>
      <c r="BC1540" s="120"/>
      <c r="BD1540" s="475"/>
      <c r="BE1540" s="467"/>
      <c r="BF1540" s="440"/>
    </row>
    <row r="1541" spans="28:58">
      <c r="AB1541" s="436"/>
      <c r="AC1541" s="120"/>
      <c r="AD1541" s="223"/>
      <c r="AE1541" s="467"/>
      <c r="AF1541" s="440"/>
      <c r="BB1541" s="436"/>
      <c r="BC1541" s="120"/>
      <c r="BD1541" s="223"/>
      <c r="BE1541" s="467"/>
      <c r="BF1541" s="440"/>
    </row>
    <row r="1542" spans="28:58">
      <c r="AB1542" s="436"/>
      <c r="AC1542" s="120"/>
      <c r="AD1542" s="223"/>
      <c r="AE1542" s="467"/>
      <c r="AF1542" s="440"/>
      <c r="BB1542" s="436"/>
      <c r="BC1542" s="120"/>
      <c r="BD1542" s="223"/>
      <c r="BE1542" s="467"/>
      <c r="BF1542" s="440"/>
    </row>
    <row r="1543" spans="28:58">
      <c r="AB1543" s="436"/>
      <c r="AC1543" s="120"/>
      <c r="AD1543" s="223"/>
      <c r="AE1543" s="467"/>
      <c r="AF1543" s="440"/>
      <c r="BB1543" s="436"/>
      <c r="BC1543" s="120"/>
      <c r="BD1543" s="223"/>
      <c r="BE1543" s="467"/>
      <c r="BF1543" s="440"/>
    </row>
    <row r="1544" spans="28:58">
      <c r="AB1544" s="436"/>
      <c r="AC1544" s="120"/>
      <c r="AD1544" s="223"/>
      <c r="AE1544" s="467"/>
      <c r="AF1544" s="440"/>
      <c r="BB1544" s="436"/>
      <c r="BC1544" s="120"/>
      <c r="BD1544" s="223"/>
      <c r="BE1544" s="467"/>
      <c r="BF1544" s="440"/>
    </row>
    <row r="1545" spans="28:58">
      <c r="AB1545" s="436"/>
      <c r="AC1545" s="120"/>
      <c r="AD1545" s="120"/>
      <c r="AE1545" s="467"/>
      <c r="AF1545" s="440"/>
      <c r="BB1545" s="436"/>
      <c r="BC1545" s="120"/>
      <c r="BD1545" s="120"/>
      <c r="BE1545" s="467"/>
      <c r="BF1545" s="440"/>
    </row>
    <row r="1546" spans="28:58">
      <c r="AB1546" s="456"/>
      <c r="AC1546" s="457"/>
      <c r="AD1546" s="457"/>
      <c r="AE1546" s="477"/>
      <c r="AF1546" s="458"/>
      <c r="BB1546" s="456"/>
      <c r="BC1546" s="457"/>
      <c r="BD1546" s="457"/>
      <c r="BE1546" s="477"/>
      <c r="BF1546" s="458"/>
    </row>
    <row r="1547" spans="28:58">
      <c r="AB1547" s="449" t="s">
        <v>474</v>
      </c>
      <c r="AC1547" s="120"/>
      <c r="AD1547" s="120" t="s">
        <v>1</v>
      </c>
      <c r="AE1547" s="310" t="s">
        <v>307</v>
      </c>
      <c r="AF1547" s="440"/>
      <c r="BB1547" s="449" t="s">
        <v>474</v>
      </c>
      <c r="BC1547" s="120"/>
      <c r="BD1547" s="120" t="s">
        <v>1</v>
      </c>
      <c r="BE1547" s="310" t="s">
        <v>307</v>
      </c>
      <c r="BF1547" s="440"/>
    </row>
    <row r="1548" spans="28:58">
      <c r="AB1548" s="436"/>
      <c r="AC1548" s="223"/>
      <c r="AD1548" s="480"/>
      <c r="AE1548" s="484"/>
      <c r="AF1548" s="440"/>
      <c r="BB1548" s="436"/>
      <c r="BC1548" s="223"/>
      <c r="BD1548" s="480"/>
      <c r="BE1548" s="484"/>
      <c r="BF1548" s="440"/>
    </row>
    <row r="1549" spans="28:58">
      <c r="AB1549" s="436"/>
      <c r="AC1549" s="120"/>
      <c r="AD1549" s="120"/>
      <c r="AE1549" s="467"/>
      <c r="AF1549" s="440"/>
      <c r="BB1549" s="436"/>
      <c r="BC1549" s="120"/>
      <c r="BD1549" s="120"/>
      <c r="BE1549" s="467"/>
      <c r="BF1549" s="440"/>
    </row>
    <row r="1550" spans="28:58">
      <c r="AB1550" s="436"/>
      <c r="AC1550" s="120"/>
      <c r="AD1550" s="120"/>
      <c r="AE1550" s="467"/>
      <c r="AF1550" s="440"/>
      <c r="BB1550" s="436"/>
      <c r="BC1550" s="120"/>
      <c r="BD1550" s="120"/>
      <c r="BE1550" s="467"/>
      <c r="BF1550" s="440"/>
    </row>
    <row r="1551" spans="28:58">
      <c r="AB1551" s="436"/>
      <c r="AC1551" s="120"/>
      <c r="AD1551" s="120"/>
      <c r="AE1551" s="467"/>
      <c r="AF1551" s="440"/>
      <c r="BB1551" s="436"/>
      <c r="BC1551" s="120"/>
      <c r="BD1551" s="120"/>
      <c r="BE1551" s="467"/>
      <c r="BF1551" s="440"/>
    </row>
    <row r="1552" spans="28:58">
      <c r="AB1552" s="436"/>
      <c r="AC1552" s="120"/>
      <c r="AD1552" s="120"/>
      <c r="AE1552" s="467"/>
      <c r="AF1552" s="440"/>
      <c r="BB1552" s="436"/>
      <c r="BC1552" s="120"/>
      <c r="BD1552" s="120"/>
      <c r="BE1552" s="467"/>
      <c r="BF1552" s="440"/>
    </row>
    <row r="1553" spans="28:58">
      <c r="AB1553" s="436"/>
      <c r="AC1553" s="120"/>
      <c r="AD1553" s="120"/>
      <c r="AE1553" s="467"/>
      <c r="AF1553" s="440"/>
      <c r="BB1553" s="436"/>
      <c r="BC1553" s="120"/>
      <c r="BD1553" s="120"/>
      <c r="BE1553" s="467"/>
      <c r="BF1553" s="440"/>
    </row>
    <row r="1554" spans="28:58">
      <c r="AB1554" s="436"/>
      <c r="AC1554" s="120"/>
      <c r="AD1554" s="120"/>
      <c r="AE1554" s="467"/>
      <c r="AF1554" s="440"/>
      <c r="BB1554" s="436"/>
      <c r="BC1554" s="120"/>
      <c r="BD1554" s="120"/>
      <c r="BE1554" s="467"/>
      <c r="BF1554" s="440"/>
    </row>
    <row r="1555" spans="28:58">
      <c r="AB1555" s="436"/>
      <c r="AC1555" s="120"/>
      <c r="AD1555" s="120"/>
      <c r="AE1555" s="467"/>
      <c r="AF1555" s="440"/>
      <c r="BB1555" s="436"/>
      <c r="BC1555" s="120"/>
      <c r="BD1555" s="120"/>
      <c r="BE1555" s="467"/>
      <c r="BF1555" s="440"/>
    </row>
    <row r="1556" spans="28:58">
      <c r="AB1556" s="436"/>
      <c r="AC1556" s="120"/>
      <c r="AD1556" s="120"/>
      <c r="AE1556" s="467"/>
      <c r="AF1556" s="440"/>
      <c r="BB1556" s="436"/>
      <c r="BC1556" s="120"/>
      <c r="BD1556" s="120"/>
      <c r="BE1556" s="467"/>
      <c r="BF1556" s="440"/>
    </row>
    <row r="1557" spans="28:58">
      <c r="AB1557" s="436"/>
      <c r="AC1557" s="120"/>
      <c r="AD1557" s="120"/>
      <c r="AE1557" s="467"/>
      <c r="AF1557" s="440"/>
      <c r="BB1557" s="436"/>
      <c r="BC1557" s="120"/>
      <c r="BD1557" s="120"/>
      <c r="BE1557" s="467"/>
      <c r="BF1557" s="440"/>
    </row>
    <row r="1558" spans="28:58">
      <c r="AB1558" s="436"/>
      <c r="AC1558" s="120"/>
      <c r="AD1558" s="120"/>
      <c r="AE1558" s="467"/>
      <c r="AF1558" s="440"/>
      <c r="BB1558" s="436"/>
      <c r="BC1558" s="120"/>
      <c r="BD1558" s="120"/>
      <c r="BE1558" s="467"/>
      <c r="BF1558" s="440"/>
    </row>
    <row r="1559" spans="28:58">
      <c r="AB1559" s="436"/>
      <c r="AC1559" s="120"/>
      <c r="AD1559" s="120"/>
      <c r="AE1559" s="467"/>
      <c r="AF1559" s="440"/>
      <c r="BB1559" s="436"/>
      <c r="BC1559" s="120"/>
      <c r="BD1559" s="120"/>
      <c r="BE1559" s="467"/>
      <c r="BF1559" s="440"/>
    </row>
    <row r="1560" spans="28:58">
      <c r="AB1560" s="456"/>
      <c r="AC1560" s="457"/>
      <c r="AD1560" s="457"/>
      <c r="AE1560" s="477"/>
      <c r="AF1560" s="458"/>
      <c r="BB1560" s="456"/>
      <c r="BC1560" s="457"/>
      <c r="BD1560" s="457"/>
      <c r="BE1560" s="477"/>
      <c r="BF1560" s="458"/>
    </row>
    <row r="1561" spans="28:58">
      <c r="AB1561" s="456"/>
      <c r="AC1561" s="457"/>
      <c r="AD1561" s="457"/>
      <c r="AE1561" s="457"/>
      <c r="AF1561" s="458"/>
      <c r="BB1561" s="456"/>
      <c r="BC1561" s="457"/>
      <c r="BD1561" s="457"/>
      <c r="BE1561" s="457"/>
      <c r="BF1561" s="458"/>
    </row>
    <row r="1562" spans="28:58">
      <c r="AB1562" s="449" t="s">
        <v>475</v>
      </c>
      <c r="AC1562" s="120"/>
      <c r="AD1562" s="120"/>
      <c r="AE1562" s="120"/>
      <c r="AF1562" s="440"/>
      <c r="BB1562" s="449" t="s">
        <v>475</v>
      </c>
      <c r="BC1562" s="120"/>
      <c r="BD1562" s="120"/>
      <c r="BE1562" s="120"/>
      <c r="BF1562" s="440"/>
    </row>
    <row r="1563" spans="28:58">
      <c r="AB1563" s="436" t="s">
        <v>509</v>
      </c>
      <c r="AC1563" s="120"/>
      <c r="AD1563" s="120"/>
      <c r="AE1563" s="120"/>
      <c r="AF1563" s="440"/>
      <c r="BB1563" s="436" t="s">
        <v>509</v>
      </c>
      <c r="BC1563" s="120"/>
      <c r="BD1563" s="120"/>
      <c r="BE1563" s="120"/>
      <c r="BF1563" s="440"/>
    </row>
    <row r="1564" spans="28:58">
      <c r="AB1564" s="436" t="s">
        <v>510</v>
      </c>
      <c r="AC1564" s="120"/>
      <c r="AD1564" s="120"/>
      <c r="AE1564" s="120"/>
      <c r="AF1564" s="440"/>
      <c r="BB1564" s="436" t="s">
        <v>510</v>
      </c>
      <c r="BC1564" s="120"/>
      <c r="BD1564" s="120"/>
      <c r="BE1564" s="120"/>
      <c r="BF1564" s="440"/>
    </row>
    <row r="1565" spans="28:58">
      <c r="AB1565" s="436"/>
      <c r="AC1565" s="120"/>
      <c r="AD1565" s="120"/>
      <c r="AE1565" s="120"/>
      <c r="AF1565" s="440"/>
      <c r="BB1565" s="436"/>
      <c r="BC1565" s="120"/>
      <c r="BD1565" s="120"/>
      <c r="BE1565" s="120"/>
      <c r="BF1565" s="440"/>
    </row>
    <row r="1566" spans="28:58">
      <c r="AB1566" s="436"/>
      <c r="AC1566" s="120"/>
      <c r="AD1566" s="120"/>
      <c r="AE1566" s="120"/>
      <c r="AF1566" s="440"/>
      <c r="BB1566" s="436"/>
      <c r="BC1566" s="120"/>
      <c r="BD1566" s="120"/>
      <c r="BE1566" s="120"/>
      <c r="BF1566" s="440"/>
    </row>
    <row r="1567" spans="28:58">
      <c r="AB1567" s="436"/>
      <c r="AC1567" s="120"/>
      <c r="AD1567" s="120"/>
      <c r="AE1567" s="120"/>
      <c r="AF1567" s="440"/>
      <c r="BB1567" s="436"/>
      <c r="BC1567" s="120"/>
      <c r="BD1567" s="120"/>
      <c r="BE1567" s="120"/>
      <c r="BF1567" s="440"/>
    </row>
    <row r="1568" spans="28:58">
      <c r="AB1568" s="436"/>
      <c r="AC1568" s="120"/>
      <c r="AD1568" s="120"/>
      <c r="AE1568" s="120"/>
      <c r="AF1568" s="440"/>
      <c r="BB1568" s="436"/>
      <c r="BC1568" s="120"/>
      <c r="BD1568" s="120"/>
      <c r="BE1568" s="120"/>
      <c r="BF1568" s="440"/>
    </row>
    <row r="1569" spans="28:58">
      <c r="AB1569" s="436" t="s">
        <v>511</v>
      </c>
      <c r="AC1569" s="120">
        <v>0</v>
      </c>
      <c r="AD1569" s="120" t="s">
        <v>512</v>
      </c>
      <c r="AE1569" s="120"/>
      <c r="AF1569" s="440"/>
      <c r="BB1569" s="436" t="s">
        <v>511</v>
      </c>
      <c r="BC1569" s="120">
        <v>0</v>
      </c>
      <c r="BD1569" s="120" t="s">
        <v>512</v>
      </c>
      <c r="BE1569" s="120"/>
      <c r="BF1569" s="440"/>
    </row>
    <row r="1570" spans="28:58">
      <c r="AB1570" s="436" t="s">
        <v>513</v>
      </c>
      <c r="AC1570" s="120">
        <v>0</v>
      </c>
      <c r="AD1570" s="120" t="s">
        <v>512</v>
      </c>
      <c r="AE1570" s="120"/>
      <c r="AF1570" s="440"/>
      <c r="BB1570" s="436" t="s">
        <v>513</v>
      </c>
      <c r="BC1570" s="120">
        <v>0</v>
      </c>
      <c r="BD1570" s="120" t="s">
        <v>512</v>
      </c>
      <c r="BE1570" s="120"/>
      <c r="BF1570" s="440"/>
    </row>
    <row r="1571" spans="28:58">
      <c r="AB1571" s="456"/>
      <c r="AC1571" s="457"/>
      <c r="AD1571" s="457"/>
      <c r="AE1571" s="457"/>
      <c r="AF1571" s="458"/>
      <c r="BB1571" s="456"/>
      <c r="BC1571" s="457"/>
      <c r="BD1571" s="457"/>
      <c r="BE1571" s="457"/>
      <c r="BF1571" s="458"/>
    </row>
    <row r="1572" spans="28:58">
      <c r="AB1572" s="449" t="s">
        <v>461</v>
      </c>
      <c r="AC1572" s="120"/>
      <c r="AD1572" s="120"/>
      <c r="AE1572" s="120"/>
      <c r="AF1572" s="440"/>
      <c r="BB1572" s="449" t="s">
        <v>461</v>
      </c>
      <c r="BC1572" s="120"/>
      <c r="BD1572" s="120"/>
      <c r="BE1572" s="120"/>
      <c r="BF1572" s="440"/>
    </row>
    <row r="1573" spans="28:58">
      <c r="AB1573" s="436" t="s">
        <v>514</v>
      </c>
      <c r="AC1573" s="120">
        <f>VLOOKUP(AB1501,'Unit Ops'!$B$140:$K$209,10,FALSE)</f>
        <v>6</v>
      </c>
      <c r="AD1573" s="120" t="s">
        <v>515</v>
      </c>
      <c r="AE1573" s="120"/>
      <c r="AF1573" s="440"/>
      <c r="BB1573" s="436" t="s">
        <v>514</v>
      </c>
      <c r="BC1573" s="120">
        <f>VLOOKUP(BB1501,'Unit Ops'!$B$140:$K$209,10,FALSE)</f>
        <v>0</v>
      </c>
      <c r="BD1573" s="120" t="s">
        <v>515</v>
      </c>
      <c r="BE1573" s="120"/>
      <c r="BF1573" s="440"/>
    </row>
    <row r="1574" spans="28:58">
      <c r="AB1574" s="436" t="s">
        <v>516</v>
      </c>
      <c r="AC1574" s="120">
        <v>0</v>
      </c>
      <c r="AD1574" s="120" t="s">
        <v>515</v>
      </c>
      <c r="AE1574" s="120"/>
      <c r="AF1574" s="440"/>
      <c r="BB1574" s="436" t="s">
        <v>516</v>
      </c>
      <c r="BC1574" s="120">
        <v>0</v>
      </c>
      <c r="BD1574" s="120" t="s">
        <v>515</v>
      </c>
      <c r="BE1574" s="120"/>
      <c r="BF1574" s="440"/>
    </row>
    <row r="1575" spans="28:58">
      <c r="AB1575" s="436"/>
      <c r="AC1575" s="120"/>
      <c r="AD1575" s="120"/>
      <c r="AE1575" s="120"/>
      <c r="AF1575" s="440"/>
      <c r="BB1575" s="436"/>
      <c r="BC1575" s="120"/>
      <c r="BD1575" s="120"/>
      <c r="BE1575" s="120"/>
      <c r="BF1575" s="440"/>
    </row>
    <row r="1576" spans="28:58">
      <c r="AB1576" s="436"/>
      <c r="AC1576" s="120"/>
      <c r="AD1576" s="120"/>
      <c r="AE1576" s="120"/>
      <c r="AF1576" s="440"/>
      <c r="BB1576" s="436"/>
      <c r="BC1576" s="120"/>
      <c r="BD1576" s="120"/>
      <c r="BE1576" s="120"/>
      <c r="BF1576" s="440"/>
    </row>
    <row r="1577" spans="28:58">
      <c r="AB1577" s="436"/>
      <c r="AC1577" s="120"/>
      <c r="AD1577" s="120"/>
      <c r="AE1577" s="120"/>
      <c r="AF1577" s="440"/>
      <c r="BB1577" s="436"/>
      <c r="BC1577" s="120"/>
      <c r="BD1577" s="120"/>
      <c r="BE1577" s="120"/>
      <c r="BF1577" s="440"/>
    </row>
    <row r="1578" spans="28:58">
      <c r="AB1578" s="436"/>
      <c r="AC1578" s="120"/>
      <c r="AD1578" s="120"/>
      <c r="AE1578" s="120"/>
      <c r="AF1578" s="440"/>
      <c r="BB1578" s="436"/>
      <c r="BC1578" s="120"/>
      <c r="BD1578" s="120"/>
      <c r="BE1578" s="120"/>
      <c r="BF1578" s="440"/>
    </row>
    <row r="1579" spans="28:58">
      <c r="AB1579" s="436"/>
      <c r="AC1579" s="120"/>
      <c r="AD1579" s="120"/>
      <c r="AE1579" s="120"/>
      <c r="AF1579" s="440"/>
      <c r="BB1579" s="436"/>
      <c r="BC1579" s="120"/>
      <c r="BD1579" s="120"/>
      <c r="BE1579" s="120"/>
      <c r="BF1579" s="440"/>
    </row>
    <row r="1580" spans="28:58">
      <c r="AB1580" s="436" t="s">
        <v>464</v>
      </c>
      <c r="AC1580" s="120"/>
      <c r="AD1580" s="120"/>
      <c r="AE1580" s="120"/>
      <c r="AF1580" s="440"/>
      <c r="BB1580" s="436" t="s">
        <v>464</v>
      </c>
      <c r="BC1580" s="120"/>
      <c r="BD1580" s="120"/>
      <c r="BE1580" s="120"/>
      <c r="BF1580" s="440"/>
    </row>
    <row r="1581" spans="28:58">
      <c r="AB1581" s="456"/>
      <c r="AC1581" s="457"/>
      <c r="AD1581" s="457"/>
      <c r="AE1581" s="457"/>
      <c r="AF1581" s="458"/>
      <c r="BB1581" s="456"/>
      <c r="BC1581" s="457"/>
      <c r="BD1581" s="457"/>
      <c r="BE1581" s="457"/>
      <c r="BF1581" s="458"/>
    </row>
    <row r="1582" spans="28:58">
      <c r="AB1582" s="449" t="s">
        <v>472</v>
      </c>
      <c r="AC1582" s="467" t="s">
        <v>517</v>
      </c>
      <c r="AD1582" s="120" t="s">
        <v>518</v>
      </c>
      <c r="AE1582" s="467" t="s">
        <v>519</v>
      </c>
      <c r="AF1582" s="440" t="s">
        <v>518</v>
      </c>
      <c r="BB1582" s="449" t="s">
        <v>472</v>
      </c>
      <c r="BC1582" s="467" t="s">
        <v>517</v>
      </c>
      <c r="BD1582" s="120" t="s">
        <v>518</v>
      </c>
      <c r="BE1582" s="467" t="s">
        <v>519</v>
      </c>
      <c r="BF1582" s="440" t="s">
        <v>518</v>
      </c>
    </row>
    <row r="1583" spans="28:58">
      <c r="AB1583" s="436" t="s">
        <v>520</v>
      </c>
      <c r="AC1583" s="120"/>
      <c r="AD1583" s="120"/>
      <c r="AE1583" s="472">
        <f>((VLOOKUP(AB1501,'Unit Ops'!$B$140:$J$209,3,FALSE)*AC1503^VLOOKUP(AB1501,'Unit Ops'!$B$140:$J$209,4,FALSE)+VLOOKUP(AB1501,'Unit Ops'!$B$140:$J$209,5,FALSE))*VLOOKUP(AB1501,'Unit Ops'!$B$140:$J$209,6,FALSE))*IF(VLOOKUP(AB1501,'Unit Ops'!$B$140:$L$209,11,FALSE)=1,1,2)</f>
        <v>0</v>
      </c>
      <c r="AF1583" s="490">
        <f>'CM Rec Par.'!$C$7</f>
        <v>2022</v>
      </c>
      <c r="BB1583" s="436" t="s">
        <v>520</v>
      </c>
      <c r="BC1583" s="120"/>
      <c r="BD1583" s="120"/>
      <c r="BE1583" s="472">
        <f>((VLOOKUP(BB1501,'Unit Ops'!$B$140:$J$209,3,FALSE)*BC1503^VLOOKUP(BB1501,'Unit Ops'!$B$140:$J$209,4,FALSE)+VLOOKUP(BB1501,'Unit Ops'!$B$140:$J$209,5,FALSE))*VLOOKUP(BB1501,'Unit Ops'!$B$140:$J$209,6,FALSE))*IF(VLOOKUP(BB1501,'Unit Ops'!$B$140:$L$209,11,FALSE)=1,1,2)</f>
        <v>0</v>
      </c>
      <c r="BF1583" s="490">
        <f>'CM Rec Par.'!$C$7</f>
        <v>2022</v>
      </c>
    </row>
    <row r="1584" spans="28:58">
      <c r="AB1584" s="436"/>
      <c r="AC1584" s="120"/>
      <c r="AD1584" s="120"/>
      <c r="AE1584" s="120"/>
      <c r="AF1584" s="440"/>
      <c r="BB1584" s="436"/>
      <c r="BC1584" s="120"/>
      <c r="BD1584" s="120"/>
      <c r="BE1584" s="120"/>
      <c r="BF1584" s="440"/>
    </row>
    <row r="1585" spans="28:58">
      <c r="AB1585" s="436"/>
      <c r="AC1585" s="120"/>
      <c r="AD1585" s="120"/>
      <c r="AE1585" s="120"/>
      <c r="AF1585" s="440"/>
      <c r="BB1585" s="436"/>
      <c r="BC1585" s="120"/>
      <c r="BD1585" s="120"/>
      <c r="BE1585" s="120"/>
      <c r="BF1585" s="440"/>
    </row>
    <row r="1586" spans="28:58">
      <c r="AB1586" s="436"/>
      <c r="AC1586" s="120"/>
      <c r="AD1586" s="120"/>
      <c r="AE1586" s="120"/>
      <c r="AF1586" s="440"/>
      <c r="BB1586" s="436"/>
      <c r="BC1586" s="120"/>
      <c r="BD1586" s="120"/>
      <c r="BE1586" s="120"/>
      <c r="BF1586" s="440"/>
    </row>
    <row r="1587" spans="28:58">
      <c r="AB1587" s="436"/>
      <c r="AC1587" s="120"/>
      <c r="AD1587" s="120"/>
      <c r="AE1587" s="120"/>
      <c r="AF1587" s="440"/>
      <c r="BB1587" s="436"/>
      <c r="BC1587" s="120"/>
      <c r="BD1587" s="120"/>
      <c r="BE1587" s="120"/>
      <c r="BF1587" s="440"/>
    </row>
    <row r="1588" spans="28:58">
      <c r="AB1588" s="436"/>
      <c r="AC1588" s="120"/>
      <c r="AD1588" s="120"/>
      <c r="AE1588" s="120"/>
      <c r="AF1588" s="440"/>
      <c r="BB1588" s="436"/>
      <c r="BC1588" s="120"/>
      <c r="BD1588" s="120"/>
      <c r="BE1588" s="120"/>
      <c r="BF1588" s="440"/>
    </row>
    <row r="1589" spans="28:58">
      <c r="AB1589" s="436"/>
      <c r="AC1589" s="120"/>
      <c r="AD1589" s="120"/>
      <c r="AE1589" s="120"/>
      <c r="AF1589" s="440"/>
      <c r="BB1589" s="436"/>
      <c r="BC1589" s="120"/>
      <c r="BD1589" s="120"/>
      <c r="BE1589" s="120"/>
      <c r="BF1589" s="440"/>
    </row>
    <row r="1590" spans="28:58">
      <c r="AB1590" s="436"/>
      <c r="AC1590" s="120"/>
      <c r="AD1590" s="120"/>
      <c r="AE1590" s="120"/>
      <c r="AF1590" s="440"/>
      <c r="BB1590" s="436"/>
      <c r="BC1590" s="120"/>
      <c r="BD1590" s="120"/>
      <c r="BE1590" s="120"/>
      <c r="BF1590" s="440"/>
    </row>
    <row r="1591" spans="28:58">
      <c r="AB1591" s="436"/>
      <c r="AC1591" s="120"/>
      <c r="AD1591" s="120"/>
      <c r="AE1591" s="120"/>
      <c r="AF1591" s="440"/>
      <c r="BB1591" s="436"/>
      <c r="BC1591" s="120"/>
      <c r="BD1591" s="120"/>
      <c r="BE1591" s="120"/>
      <c r="BF1591" s="440"/>
    </row>
    <row r="1592" spans="28:58">
      <c r="AB1592" s="436"/>
      <c r="AC1592" s="120"/>
      <c r="AD1592" s="120"/>
      <c r="AE1592" s="120"/>
      <c r="AF1592" s="440"/>
      <c r="BB1592" s="436"/>
      <c r="BC1592" s="120"/>
      <c r="BD1592" s="120"/>
      <c r="BE1592" s="120"/>
      <c r="BF1592" s="440"/>
    </row>
    <row r="1593" spans="28:58">
      <c r="AB1593" s="436"/>
      <c r="AC1593" s="120"/>
      <c r="AD1593" s="120"/>
      <c r="AE1593" s="120"/>
      <c r="AF1593" s="440"/>
      <c r="BB1593" s="436"/>
      <c r="BC1593" s="120"/>
      <c r="BD1593" s="120"/>
      <c r="BE1593" s="120"/>
      <c r="BF1593" s="440"/>
    </row>
    <row r="1594" spans="28:58">
      <c r="AB1594" s="436"/>
      <c r="AC1594" s="120"/>
      <c r="AD1594" s="120"/>
      <c r="AE1594" s="120"/>
      <c r="AF1594" s="440"/>
      <c r="BB1594" s="436"/>
      <c r="BC1594" s="120"/>
      <c r="BD1594" s="120"/>
      <c r="BE1594" s="120"/>
      <c r="BF1594" s="440"/>
    </row>
    <row r="1595" spans="28:58">
      <c r="AB1595" s="436"/>
      <c r="AC1595" s="120"/>
      <c r="AD1595" s="120"/>
      <c r="AE1595" s="120"/>
      <c r="AF1595" s="440"/>
      <c r="BB1595" s="436"/>
      <c r="BC1595" s="120"/>
      <c r="BD1595" s="120"/>
      <c r="BE1595" s="120"/>
      <c r="BF1595" s="440"/>
    </row>
    <row r="1596" spans="28:58">
      <c r="AB1596" s="436"/>
      <c r="AC1596" s="120"/>
      <c r="AD1596" s="120"/>
      <c r="AE1596" s="120"/>
      <c r="AF1596" s="440"/>
      <c r="BB1596" s="436"/>
      <c r="BC1596" s="120"/>
      <c r="BD1596" s="120"/>
      <c r="BE1596" s="120"/>
      <c r="BF1596" s="440"/>
    </row>
    <row r="1597" spans="28:58" ht="14.5" thickBot="1">
      <c r="AB1597" s="492"/>
      <c r="AC1597" s="493"/>
      <c r="AD1597" s="493"/>
      <c r="AE1597" s="493"/>
      <c r="AF1597" s="453"/>
      <c r="BB1597" s="492"/>
      <c r="BC1597" s="493"/>
      <c r="BD1597" s="493"/>
      <c r="BE1597" s="493"/>
      <c r="BF1597" s="453"/>
    </row>
    <row r="1600" spans="28:58" ht="14.5" thickBot="1"/>
    <row r="1601" spans="27:59">
      <c r="AA1601" s="114" t="s">
        <v>478</v>
      </c>
      <c r="AB1601" s="431" t="str">
        <f>AB55</f>
        <v>Gas treatment</v>
      </c>
      <c r="AC1601" s="432"/>
      <c r="AD1601" s="433"/>
      <c r="AE1601" s="434"/>
      <c r="AF1601" s="435"/>
      <c r="BB1601" s="431" t="str">
        <f>BB56</f>
        <v>Select Equipment</v>
      </c>
      <c r="BC1601" s="432"/>
      <c r="BD1601" s="433"/>
      <c r="BE1601" s="434"/>
      <c r="BF1601" s="435"/>
    </row>
    <row r="1602" spans="27:59">
      <c r="AA1602" s="114" t="s">
        <v>5</v>
      </c>
      <c r="AB1602" s="436" t="s">
        <v>1</v>
      </c>
      <c r="AC1602" s="437">
        <f>AC$14/AC$11/AC$10*VLOOKUP(AB1601,'Unit Ops'!$B$140:$J$209,2,FALSE)</f>
        <v>0</v>
      </c>
      <c r="AD1602" s="438" t="s">
        <v>586</v>
      </c>
      <c r="AE1602" s="1027">
        <f>AC1602*AC$306*AC$307</f>
        <v>0</v>
      </c>
      <c r="AF1602" s="439" t="s">
        <v>585</v>
      </c>
      <c r="AG1602" s="408"/>
      <c r="BA1602" s="114" t="s">
        <v>478</v>
      </c>
      <c r="BB1602" s="436" t="s">
        <v>1</v>
      </c>
      <c r="BC1602" s="437">
        <f>BC$15/BC$11/BC$12*VLOOKUP(BB1601,'Unit Ops'!$B$140:$J$209,2,FALSE)</f>
        <v>0</v>
      </c>
      <c r="BD1602" s="438" t="s">
        <v>586</v>
      </c>
      <c r="BE1602" s="1027">
        <f>BC1602*BC$306*BC$307</f>
        <v>0</v>
      </c>
      <c r="BF1602" s="439" t="s">
        <v>585</v>
      </c>
    </row>
    <row r="1603" spans="27:59">
      <c r="AA1603" s="114" t="str">
        <f>$AB$44</f>
        <v>Hopper</v>
      </c>
      <c r="AB1603" s="436" t="s">
        <v>505</v>
      </c>
      <c r="AC1603" s="437">
        <f>ROUNDUP(AC1602*IF(VLOOKUP(AB1601,'Unit Ops'!$B$140:$L$209,11,FALSE)=1,1.5,0.75),1)</f>
        <v>0</v>
      </c>
      <c r="AD1603" s="438" t="s">
        <v>586</v>
      </c>
      <c r="AE1603" s="120">
        <f>AC1603*AC$306*AC$307</f>
        <v>0</v>
      </c>
      <c r="AF1603" s="439" t="s">
        <v>585</v>
      </c>
      <c r="AG1603" s="520"/>
      <c r="BA1603" s="114" t="s">
        <v>5</v>
      </c>
      <c r="BB1603" s="436" t="s">
        <v>505</v>
      </c>
      <c r="BC1603" s="437">
        <f>ROUNDUP(BC1602*IF(VLOOKUP(BB1601,'Unit Ops'!$B$140:$L$209,11,FALSE)=1,1.5,0.75),1)</f>
        <v>0</v>
      </c>
      <c r="BD1603" s="438" t="s">
        <v>586</v>
      </c>
      <c r="BE1603" s="120">
        <f>BC1603*BC$306*BC$307</f>
        <v>0</v>
      </c>
      <c r="BF1603" s="439" t="s">
        <v>585</v>
      </c>
      <c r="BG1603" s="408"/>
    </row>
    <row r="1604" spans="27:59">
      <c r="AA1604" s="114" t="str">
        <f>$AB$45</f>
        <v>Conveyor</v>
      </c>
      <c r="AB1604" s="441" t="s">
        <v>521</v>
      </c>
      <c r="AC1604" s="442" t="e">
        <f>AC1602/AC1603</f>
        <v>#DIV/0!</v>
      </c>
      <c r="AD1604" s="438"/>
      <c r="AE1604" s="443"/>
      <c r="AF1604" s="440"/>
      <c r="AG1604" s="521"/>
      <c r="BA1604" s="114" t="str">
        <f>$BB$45</f>
        <v>Select Equipment</v>
      </c>
      <c r="BB1604" s="441" t="s">
        <v>521</v>
      </c>
      <c r="BC1604" s="442" t="e">
        <f>BC1602/BC1603</f>
        <v>#DIV/0!</v>
      </c>
      <c r="BD1604" s="438"/>
      <c r="BE1604" s="443"/>
      <c r="BF1604" s="440"/>
      <c r="BG1604" s="520"/>
    </row>
    <row r="1605" spans="27:59">
      <c r="AA1605" s="114" t="str">
        <f>$AB$46</f>
        <v>Crusher</v>
      </c>
      <c r="AB1605" s="441" t="s">
        <v>506</v>
      </c>
      <c r="AC1605" s="445"/>
      <c r="AD1605" s="438" t="s">
        <v>454</v>
      </c>
      <c r="AE1605" s="443"/>
      <c r="AF1605" s="440"/>
      <c r="AG1605" s="408"/>
      <c r="BA1605" s="114" t="str">
        <f>$BB$46</f>
        <v>Select Equipment</v>
      </c>
      <c r="BB1605" s="441" t="s">
        <v>506</v>
      </c>
      <c r="BC1605" s="445"/>
      <c r="BD1605" s="438" t="s">
        <v>454</v>
      </c>
      <c r="BE1605" s="443"/>
      <c r="BF1605" s="440"/>
      <c r="BG1605" s="521"/>
    </row>
    <row r="1606" spans="27:59">
      <c r="AA1606" s="114" t="str">
        <f>$AB$47</f>
        <v>Screen, vibrating</v>
      </c>
      <c r="AB1606" s="436" t="s">
        <v>507</v>
      </c>
      <c r="AC1606" s="225" t="e">
        <f>(VLOOKUP(AB1601,'Unit Ops'!$B$140:$J$209,7,FALSE)*AC1603^VLOOKUP(AB1601,'Unit Ops'!$B$140:$J$209,8,FALSE)+VLOOKUP(AB1601,'Unit Ops'!$B$140:$J$209,9,FALSE))*IF(VLOOKUP(AB1601,'Unit Ops'!$B$140:$L$209,11,FALSE)=1,1,2)</f>
        <v>#NUM!</v>
      </c>
      <c r="AD1606" s="446" t="s">
        <v>454</v>
      </c>
      <c r="AE1606" s="443"/>
      <c r="AF1606" s="440"/>
      <c r="AG1606" s="521"/>
      <c r="BA1606" s="114" t="str">
        <f>$BB$47</f>
        <v>Select Equipment</v>
      </c>
      <c r="BB1606" s="436" t="s">
        <v>507</v>
      </c>
      <c r="BC1606" s="225" t="e">
        <f>(VLOOKUP(BB1601,'Unit Ops'!$B$140:$J$209,7,FALSE)*BC1603^VLOOKUP(BB1601,'Unit Ops'!$B$140:$J$209,8,FALSE)+VLOOKUP(BB1601,'Unit Ops'!$B$140:$J$209,9,FALSE))*IF(VLOOKUP(BB1601,'Unit Ops'!$B$140:$L$209,11,FALSE)=1,1,2)</f>
        <v>#NUM!</v>
      </c>
      <c r="BD1606" s="446" t="s">
        <v>454</v>
      </c>
      <c r="BE1606" s="443"/>
      <c r="BF1606" s="440"/>
      <c r="BG1606" s="408"/>
    </row>
    <row r="1607" spans="27:59">
      <c r="AA1607" s="114" t="str">
        <f>$AB$48</f>
        <v>Conveyor</v>
      </c>
      <c r="AB1607" s="441"/>
      <c r="AC1607" s="445"/>
      <c r="AD1607" s="447"/>
      <c r="AE1607" s="443"/>
      <c r="AF1607" s="440"/>
      <c r="AG1607" s="470"/>
      <c r="BA1607" s="114" t="str">
        <f>$BB$48</f>
        <v>Select Equipment</v>
      </c>
      <c r="BB1607" s="441"/>
      <c r="BC1607" s="445"/>
      <c r="BD1607" s="447"/>
      <c r="BE1607" s="443"/>
      <c r="BF1607" s="440"/>
      <c r="BG1607" s="521"/>
    </row>
    <row r="1608" spans="27:59">
      <c r="AA1608" s="114" t="str">
        <f>$AB$49</f>
        <v>Heat treatment furnace</v>
      </c>
      <c r="AB1608" s="441"/>
      <c r="AC1608" s="445"/>
      <c r="AD1608" s="447"/>
      <c r="AE1608" s="443"/>
      <c r="AF1608" s="440"/>
      <c r="AG1608" s="521"/>
      <c r="BA1608" s="114" t="str">
        <f>$BB$49</f>
        <v>Select Equipment</v>
      </c>
      <c r="BB1608" s="441"/>
      <c r="BC1608" s="445"/>
      <c r="BD1608" s="447"/>
      <c r="BE1608" s="443"/>
      <c r="BF1608" s="440"/>
      <c r="BG1608" s="470"/>
    </row>
    <row r="1609" spans="27:59">
      <c r="AA1609" s="114" t="str">
        <f>$AB$50</f>
        <v>Cyclone</v>
      </c>
      <c r="AB1609" s="449"/>
      <c r="AC1609" s="445"/>
      <c r="AD1609" s="447"/>
      <c r="AE1609" s="443"/>
      <c r="AF1609" s="440"/>
      <c r="AG1609" s="507"/>
      <c r="BA1609" s="114" t="str">
        <f>$BB$50</f>
        <v>Select Equipment</v>
      </c>
      <c r="BB1609" s="449"/>
      <c r="BC1609" s="445"/>
      <c r="BD1609" s="447"/>
      <c r="BE1609" s="443"/>
      <c r="BF1609" s="440"/>
      <c r="BG1609" s="521"/>
    </row>
    <row r="1610" spans="27:59" ht="14.5" thickBot="1">
      <c r="AA1610" s="114" t="str">
        <f>$AB$51</f>
        <v>Conveyor</v>
      </c>
      <c r="AB1610" s="450"/>
      <c r="AC1610" s="451"/>
      <c r="AD1610" s="451"/>
      <c r="AE1610" s="452"/>
      <c r="AF1610" s="453"/>
      <c r="AG1610" s="521"/>
      <c r="BA1610" s="114" t="str">
        <f>$BB$51</f>
        <v>Select Equipment</v>
      </c>
      <c r="BB1610" s="450"/>
      <c r="BC1610" s="451"/>
      <c r="BD1610" s="451"/>
      <c r="BE1610" s="452"/>
      <c r="BF1610" s="453"/>
      <c r="BG1610" s="507"/>
    </row>
    <row r="1611" spans="27:59">
      <c r="AA1611" s="114" t="str">
        <f>$AB$52</f>
        <v>Eddy current separator</v>
      </c>
      <c r="AB1611" s="449" t="s">
        <v>470</v>
      </c>
      <c r="AC1611" s="120"/>
      <c r="AD1611" s="454"/>
      <c r="AE1611" s="120"/>
      <c r="AF1611" s="440"/>
      <c r="AG1611" s="474"/>
      <c r="BA1611" s="114" t="str">
        <f>$BB$52</f>
        <v>Select Equipment</v>
      </c>
      <c r="BB1611" s="449" t="s">
        <v>470</v>
      </c>
      <c r="BC1611" s="120"/>
      <c r="BD1611" s="454"/>
      <c r="BE1611" s="120"/>
      <c r="BF1611" s="440"/>
      <c r="BG1611" s="521"/>
    </row>
    <row r="1612" spans="27:59" ht="14.5" customHeight="1">
      <c r="AA1612" s="114" t="str">
        <f>$AB$53</f>
        <v>Conveyor</v>
      </c>
      <c r="AB1612" s="1698"/>
      <c r="AC1612" s="1699"/>
      <c r="AD1612" s="1699"/>
      <c r="AE1612" s="1699"/>
      <c r="AF1612" s="1700"/>
      <c r="AG1612" s="474"/>
      <c r="BA1612" s="114" t="str">
        <f>$BB$53</f>
        <v>Select Equipment</v>
      </c>
      <c r="BB1612" s="1698"/>
      <c r="BC1612" s="1699"/>
      <c r="BD1612" s="1699"/>
      <c r="BE1612" s="1699"/>
      <c r="BF1612" s="1700"/>
      <c r="BG1612" s="474"/>
    </row>
    <row r="1613" spans="27:59">
      <c r="AA1613" s="114" t="str">
        <f>$AB$54</f>
        <v>Air classifier</v>
      </c>
      <c r="AB1613" s="436"/>
      <c r="AC1613" s="120"/>
      <c r="AD1613" s="455"/>
      <c r="AE1613" s="120"/>
      <c r="AF1613" s="440"/>
      <c r="AG1613" s="474"/>
      <c r="BA1613" s="114" t="str">
        <f>$BB$54</f>
        <v>Select Equipment</v>
      </c>
      <c r="BB1613" s="436"/>
      <c r="BC1613" s="120"/>
      <c r="BD1613" s="455"/>
      <c r="BE1613" s="120"/>
      <c r="BF1613" s="440"/>
      <c r="BG1613" s="474"/>
    </row>
    <row r="1614" spans="27:59">
      <c r="AA1614" s="114" t="str">
        <f>$AB$55</f>
        <v>Gas treatment</v>
      </c>
      <c r="AB1614" s="436"/>
      <c r="AC1614" s="120"/>
      <c r="AD1614" s="455"/>
      <c r="AE1614" s="120"/>
      <c r="AF1614" s="440"/>
      <c r="AG1614" s="474"/>
      <c r="BA1614" s="114" t="str">
        <f>$BB$55</f>
        <v>Select Equipment</v>
      </c>
      <c r="BB1614" s="436"/>
      <c r="BC1614" s="120"/>
      <c r="BD1614" s="455"/>
      <c r="BE1614" s="120"/>
      <c r="BF1614" s="440"/>
      <c r="BG1614" s="474"/>
    </row>
    <row r="1615" spans="27:59">
      <c r="AA1615" s="114" t="str">
        <f>$AB$56</f>
        <v>Wheel loader</v>
      </c>
      <c r="AB1615" s="456"/>
      <c r="AC1615" s="457"/>
      <c r="AD1615" s="457"/>
      <c r="AE1615" s="457"/>
      <c r="AF1615" s="458"/>
      <c r="AG1615" s="474"/>
      <c r="BA1615" s="114" t="str">
        <f>$BB$56</f>
        <v>Select Equipment</v>
      </c>
      <c r="BB1615" s="456"/>
      <c r="BC1615" s="457"/>
      <c r="BD1615" s="457"/>
      <c r="BE1615" s="457"/>
      <c r="BF1615" s="458"/>
      <c r="BG1615" s="474"/>
    </row>
    <row r="1616" spans="27:59">
      <c r="AA1616" s="114" t="str">
        <f>$AB$57</f>
        <v>Select Equipment</v>
      </c>
      <c r="AB1616" s="449" t="s">
        <v>471</v>
      </c>
      <c r="AC1616" s="120"/>
      <c r="AD1616" s="454"/>
      <c r="AE1616" s="120"/>
      <c r="AF1616" s="440"/>
      <c r="BA1616" s="114" t="str">
        <f>$BB$57</f>
        <v>Select Equipment</v>
      </c>
      <c r="BB1616" s="449" t="s">
        <v>471</v>
      </c>
      <c r="BC1616" s="120"/>
      <c r="BD1616" s="454"/>
      <c r="BE1616" s="120"/>
      <c r="BF1616" s="440"/>
      <c r="BG1616" s="474"/>
    </row>
    <row r="1617" spans="27:58">
      <c r="AA1617" s="114" t="str">
        <f>$AB$58</f>
        <v>Select Equipment</v>
      </c>
      <c r="AB1617" s="436" t="s">
        <v>577</v>
      </c>
      <c r="AC1617" s="225" t="e">
        <f>AC1606*IF(AC1604&gt;1,1,AC1604)</f>
        <v>#NUM!</v>
      </c>
      <c r="AD1617" s="446" t="s">
        <v>454</v>
      </c>
      <c r="AE1617" s="120"/>
      <c r="AF1617" s="440"/>
      <c r="BA1617" s="114" t="str">
        <f>$BB$58</f>
        <v>Select Equipment</v>
      </c>
      <c r="BB1617" s="436" t="s">
        <v>577</v>
      </c>
      <c r="BC1617" s="225" t="e">
        <f>BC1606*IF(BC1604&gt;1,1,BC1604)</f>
        <v>#NUM!</v>
      </c>
      <c r="BD1617" s="446" t="s">
        <v>454</v>
      </c>
      <c r="BE1617" s="120"/>
      <c r="BF1617" s="440"/>
    </row>
    <row r="1618" spans="27:58">
      <c r="AA1618" s="114" t="str">
        <f>$AB$59</f>
        <v>Select Equipment</v>
      </c>
      <c r="AB1618" s="436" t="s">
        <v>578</v>
      </c>
      <c r="AC1618" s="225"/>
      <c r="AD1618" s="446" t="s">
        <v>579</v>
      </c>
      <c r="AE1618" s="120"/>
      <c r="AF1618" s="440"/>
      <c r="BA1618" s="114" t="str">
        <f>$BB$59</f>
        <v>Select Equipment</v>
      </c>
      <c r="BB1618" s="436" t="s">
        <v>578</v>
      </c>
      <c r="BC1618" s="225"/>
      <c r="BD1618" s="446" t="s">
        <v>579</v>
      </c>
      <c r="BE1618" s="120"/>
      <c r="BF1618" s="440"/>
    </row>
    <row r="1619" spans="27:58">
      <c r="AA1619" s="114" t="str">
        <f>$AB$60</f>
        <v>Select Equipment</v>
      </c>
      <c r="AB1619" s="436"/>
      <c r="AC1619" s="120"/>
      <c r="AD1619" s="446"/>
      <c r="AE1619" s="120"/>
      <c r="AF1619" s="440"/>
      <c r="BA1619" s="114" t="str">
        <f>$BB$60</f>
        <v>Select Equipment</v>
      </c>
      <c r="BB1619" s="436"/>
      <c r="BC1619" s="120"/>
      <c r="BD1619" s="446"/>
      <c r="BE1619" s="120"/>
      <c r="BF1619" s="440"/>
    </row>
    <row r="1620" spans="27:58">
      <c r="AA1620" s="114" t="str">
        <f>$AB$61</f>
        <v>Select Equipment</v>
      </c>
      <c r="AB1620" s="436" t="s">
        <v>8</v>
      </c>
      <c r="AC1620" s="120"/>
      <c r="AD1620" s="459" t="s">
        <v>564</v>
      </c>
      <c r="AE1620" s="120"/>
      <c r="AF1620" s="440"/>
      <c r="BA1620" s="114" t="str">
        <f>$BB$61</f>
        <v>Select Equipment</v>
      </c>
      <c r="BB1620" s="436" t="s">
        <v>8</v>
      </c>
      <c r="BC1620" s="120"/>
      <c r="BD1620" s="459" t="s">
        <v>564</v>
      </c>
      <c r="BE1620" s="120"/>
      <c r="BF1620" s="440"/>
    </row>
    <row r="1621" spans="27:58">
      <c r="AA1621" s="114" t="str">
        <f>$AB$62</f>
        <v>Select Equipment</v>
      </c>
      <c r="AB1621" s="436"/>
      <c r="AC1621" s="120"/>
      <c r="AD1621" s="459"/>
      <c r="AE1621" s="120"/>
      <c r="AF1621" s="440"/>
      <c r="BA1621" s="114" t="str">
        <f>$BB$62</f>
        <v>Select Equipment</v>
      </c>
      <c r="BB1621" s="436"/>
      <c r="BC1621" s="120"/>
      <c r="BD1621" s="459"/>
      <c r="BE1621" s="120"/>
      <c r="BF1621" s="440"/>
    </row>
    <row r="1622" spans="27:58">
      <c r="AA1622" s="114" t="str">
        <f>$AB$63</f>
        <v>Select Equipment</v>
      </c>
      <c r="AB1622" s="436" t="s">
        <v>7</v>
      </c>
      <c r="AC1622" s="120"/>
      <c r="AD1622" s="459" t="s">
        <v>564</v>
      </c>
      <c r="AE1622" s="120"/>
      <c r="AF1622" s="440"/>
      <c r="BA1622" s="114" t="str">
        <f>$BB$63</f>
        <v>Select Equipment</v>
      </c>
      <c r="BB1622" s="436" t="s">
        <v>7</v>
      </c>
      <c r="BC1622" s="120"/>
      <c r="BD1622" s="459" t="s">
        <v>564</v>
      </c>
      <c r="BE1622" s="120"/>
      <c r="BF1622" s="440"/>
    </row>
    <row r="1623" spans="27:58">
      <c r="AA1623"/>
      <c r="AB1623" s="436"/>
      <c r="AC1623" s="120"/>
      <c r="AD1623" s="459"/>
      <c r="AE1623" s="120"/>
      <c r="AF1623" s="440"/>
      <c r="BA1623" s="114" t="str">
        <f>$BB$64</f>
        <v>Select Equipment</v>
      </c>
      <c r="BB1623" s="436"/>
      <c r="BC1623" s="120"/>
      <c r="BD1623" s="459"/>
      <c r="BE1623" s="120"/>
      <c r="BF1623" s="440"/>
    </row>
    <row r="1624" spans="27:58">
      <c r="AA1624"/>
      <c r="AB1624" s="436" t="s">
        <v>9</v>
      </c>
      <c r="AC1624" s="120"/>
      <c r="AD1624" s="459" t="s">
        <v>564</v>
      </c>
      <c r="AE1624" s="120"/>
      <c r="AF1624" s="440"/>
      <c r="BA1624"/>
      <c r="BB1624" s="436" t="s">
        <v>9</v>
      </c>
      <c r="BC1624" s="120"/>
      <c r="BD1624" s="459" t="s">
        <v>564</v>
      </c>
      <c r="BE1624" s="120"/>
      <c r="BF1624" s="440"/>
    </row>
    <row r="1625" spans="27:58">
      <c r="AA1625"/>
      <c r="AB1625" s="436"/>
      <c r="AC1625" s="120"/>
      <c r="AD1625" s="459"/>
      <c r="AE1625" s="120"/>
      <c r="AF1625" s="440"/>
      <c r="BA1625"/>
      <c r="BB1625" s="436"/>
      <c r="BC1625" s="120"/>
      <c r="BD1625" s="459"/>
      <c r="BE1625" s="120"/>
      <c r="BF1625" s="440"/>
    </row>
    <row r="1626" spans="27:58">
      <c r="AA1626"/>
      <c r="AB1626" s="436" t="s">
        <v>324</v>
      </c>
      <c r="AC1626" s="120"/>
      <c r="AD1626" s="459" t="s">
        <v>564</v>
      </c>
      <c r="AE1626" s="120"/>
      <c r="AF1626" s="440" t="s">
        <v>569</v>
      </c>
      <c r="BA1626"/>
      <c r="BB1626" s="436" t="s">
        <v>324</v>
      </c>
      <c r="BC1626" s="120"/>
      <c r="BD1626" s="459" t="s">
        <v>564</v>
      </c>
      <c r="BE1626" s="120"/>
      <c r="BF1626" s="440" t="s">
        <v>569</v>
      </c>
    </row>
    <row r="1627" spans="27:58">
      <c r="AA1627"/>
      <c r="AB1627" s="436"/>
      <c r="AC1627" s="120"/>
      <c r="AD1627" s="468"/>
      <c r="AE1627" s="469"/>
      <c r="AF1627" s="440"/>
      <c r="BA1627"/>
      <c r="BB1627" s="436"/>
      <c r="BC1627" s="120"/>
      <c r="BD1627" s="468"/>
      <c r="BE1627" s="469"/>
      <c r="BF1627" s="440"/>
    </row>
    <row r="1628" spans="27:58">
      <c r="AA1628"/>
      <c r="AB1628" s="436" t="s">
        <v>374</v>
      </c>
      <c r="AC1628" s="120"/>
      <c r="AD1628" s="459" t="s">
        <v>564</v>
      </c>
      <c r="AE1628" s="469"/>
      <c r="AF1628" s="440" t="s">
        <v>569</v>
      </c>
      <c r="BA1628"/>
      <c r="BB1628" s="436" t="s">
        <v>374</v>
      </c>
      <c r="BC1628" s="120"/>
      <c r="BD1628" s="459" t="s">
        <v>564</v>
      </c>
      <c r="BE1628" s="469"/>
      <c r="BF1628" s="440" t="s">
        <v>569</v>
      </c>
    </row>
    <row r="1629" spans="27:58">
      <c r="AA1629"/>
      <c r="AB1629" s="436"/>
      <c r="AC1629" s="120"/>
      <c r="AD1629" s="472"/>
      <c r="AE1629" s="473"/>
      <c r="AF1629" s="440"/>
      <c r="BA1629"/>
      <c r="BB1629" s="436"/>
      <c r="BC1629" s="120"/>
      <c r="BD1629" s="472"/>
      <c r="BE1629" s="473"/>
      <c r="BF1629" s="440"/>
    </row>
    <row r="1630" spans="27:58">
      <c r="AA1630"/>
      <c r="AB1630" s="436" t="s">
        <v>580</v>
      </c>
      <c r="AC1630" s="120"/>
      <c r="AD1630" s="459" t="s">
        <v>564</v>
      </c>
      <c r="AE1630" s="473"/>
      <c r="AF1630" s="440" t="s">
        <v>569</v>
      </c>
      <c r="BA1630"/>
      <c r="BB1630" s="436" t="s">
        <v>580</v>
      </c>
      <c r="BC1630" s="120"/>
      <c r="BD1630" s="459" t="s">
        <v>564</v>
      </c>
      <c r="BE1630" s="473"/>
      <c r="BF1630" s="440" t="s">
        <v>569</v>
      </c>
    </row>
    <row r="1631" spans="27:58">
      <c r="AA1631"/>
      <c r="AB1631" s="476"/>
      <c r="AC1631" s="477"/>
      <c r="AD1631" s="478"/>
      <c r="AE1631" s="479"/>
      <c r="AF1631" s="458"/>
      <c r="BA1631"/>
      <c r="BB1631" s="476"/>
      <c r="BC1631" s="477"/>
      <c r="BD1631" s="478"/>
      <c r="BE1631" s="479"/>
      <c r="BF1631" s="458"/>
    </row>
    <row r="1632" spans="27:58">
      <c r="AA1632"/>
      <c r="AB1632" s="449" t="s">
        <v>473</v>
      </c>
      <c r="AC1632" s="467" t="s">
        <v>508</v>
      </c>
      <c r="AD1632" s="480"/>
      <c r="AE1632" s="481" t="s">
        <v>308</v>
      </c>
      <c r="AF1632" s="440"/>
      <c r="BA1632"/>
      <c r="BB1632" s="449" t="s">
        <v>473</v>
      </c>
      <c r="BC1632" s="467" t="s">
        <v>508</v>
      </c>
      <c r="BD1632" s="480"/>
      <c r="BE1632" s="481" t="s">
        <v>308</v>
      </c>
      <c r="BF1632" s="440"/>
    </row>
    <row r="1633" spans="28:58">
      <c r="AB1633" s="436"/>
      <c r="AC1633" s="483"/>
      <c r="AD1633" s="480"/>
      <c r="AE1633" s="484"/>
      <c r="AF1633" s="440"/>
      <c r="BA1633"/>
      <c r="BB1633" s="436"/>
      <c r="BC1633" s="483"/>
      <c r="BD1633" s="480"/>
      <c r="BE1633" s="484"/>
      <c r="BF1633" s="440"/>
    </row>
    <row r="1634" spans="28:58">
      <c r="AB1634" s="436"/>
      <c r="AC1634" s="120"/>
      <c r="AD1634" s="223"/>
      <c r="AE1634" s="467"/>
      <c r="AF1634" s="440"/>
      <c r="BB1634" s="436"/>
      <c r="BC1634" s="120"/>
      <c r="BD1634" s="223"/>
      <c r="BE1634" s="467"/>
      <c r="BF1634" s="440"/>
    </row>
    <row r="1635" spans="28:58">
      <c r="AB1635" s="436"/>
      <c r="AC1635" s="120"/>
      <c r="AD1635" s="466"/>
      <c r="AE1635" s="467"/>
      <c r="AF1635" s="440"/>
      <c r="BB1635" s="436"/>
      <c r="BC1635" s="120"/>
      <c r="BD1635" s="466"/>
      <c r="BE1635" s="467"/>
      <c r="BF1635" s="440"/>
    </row>
    <row r="1636" spans="28:58">
      <c r="AB1636" s="436"/>
      <c r="AC1636" s="120"/>
      <c r="AD1636" s="223"/>
      <c r="AE1636" s="467"/>
      <c r="AF1636" s="440"/>
      <c r="BB1636" s="436"/>
      <c r="BC1636" s="120"/>
      <c r="BD1636" s="223"/>
      <c r="BE1636" s="467"/>
      <c r="BF1636" s="440"/>
    </row>
    <row r="1637" spans="28:58">
      <c r="AB1637" s="436"/>
      <c r="AC1637" s="120"/>
      <c r="AD1637" s="223"/>
      <c r="AE1637" s="467"/>
      <c r="AF1637" s="440"/>
      <c r="BB1637" s="436"/>
      <c r="BC1637" s="120"/>
      <c r="BD1637" s="223"/>
      <c r="BE1637" s="467"/>
      <c r="BF1637" s="440"/>
    </row>
    <row r="1638" spans="28:58">
      <c r="AB1638" s="436"/>
      <c r="AC1638" s="120"/>
      <c r="AD1638" s="471"/>
      <c r="AE1638" s="467"/>
      <c r="AF1638" s="440"/>
      <c r="BB1638" s="436"/>
      <c r="BC1638" s="120"/>
      <c r="BD1638" s="471"/>
      <c r="BE1638" s="467"/>
      <c r="BF1638" s="440"/>
    </row>
    <row r="1639" spans="28:58">
      <c r="AB1639" s="436"/>
      <c r="AC1639" s="120"/>
      <c r="AD1639" s="223"/>
      <c r="AE1639" s="467"/>
      <c r="AF1639" s="440"/>
      <c r="BB1639" s="436"/>
      <c r="BC1639" s="120"/>
      <c r="BD1639" s="223"/>
      <c r="BE1639" s="467"/>
      <c r="BF1639" s="440"/>
    </row>
    <row r="1640" spans="28:58">
      <c r="AB1640" s="436"/>
      <c r="AC1640" s="120"/>
      <c r="AD1640" s="475"/>
      <c r="AE1640" s="467"/>
      <c r="AF1640" s="440"/>
      <c r="BB1640" s="436"/>
      <c r="BC1640" s="120"/>
      <c r="BD1640" s="475"/>
      <c r="BE1640" s="467"/>
      <c r="BF1640" s="440"/>
    </row>
    <row r="1641" spans="28:58">
      <c r="AB1641" s="436"/>
      <c r="AC1641" s="120"/>
      <c r="AD1641" s="223"/>
      <c r="AE1641" s="467"/>
      <c r="AF1641" s="440"/>
      <c r="BB1641" s="436"/>
      <c r="BC1641" s="120"/>
      <c r="BD1641" s="223"/>
      <c r="BE1641" s="467"/>
      <c r="BF1641" s="440"/>
    </row>
    <row r="1642" spans="28:58">
      <c r="AB1642" s="436"/>
      <c r="AC1642" s="120"/>
      <c r="AD1642" s="223"/>
      <c r="AE1642" s="467"/>
      <c r="AF1642" s="440"/>
      <c r="BB1642" s="436"/>
      <c r="BC1642" s="120"/>
      <c r="BD1642" s="223"/>
      <c r="BE1642" s="467"/>
      <c r="BF1642" s="440"/>
    </row>
    <row r="1643" spans="28:58">
      <c r="AB1643" s="436"/>
      <c r="AC1643" s="120"/>
      <c r="AD1643" s="223"/>
      <c r="AE1643" s="467"/>
      <c r="AF1643" s="440"/>
      <c r="BB1643" s="436"/>
      <c r="BC1643" s="120"/>
      <c r="BD1643" s="223"/>
      <c r="BE1643" s="467"/>
      <c r="BF1643" s="440"/>
    </row>
    <row r="1644" spans="28:58">
      <c r="AB1644" s="436"/>
      <c r="AC1644" s="120"/>
      <c r="AD1644" s="223"/>
      <c r="AE1644" s="467"/>
      <c r="AF1644" s="440"/>
      <c r="BB1644" s="436"/>
      <c r="BC1644" s="120"/>
      <c r="BD1644" s="223"/>
      <c r="BE1644" s="467"/>
      <c r="BF1644" s="440"/>
    </row>
    <row r="1645" spans="28:58">
      <c r="AB1645" s="436"/>
      <c r="AC1645" s="120"/>
      <c r="AD1645" s="120"/>
      <c r="AE1645" s="467"/>
      <c r="AF1645" s="440"/>
      <c r="BB1645" s="436"/>
      <c r="BC1645" s="120"/>
      <c r="BD1645" s="120"/>
      <c r="BE1645" s="467"/>
      <c r="BF1645" s="440"/>
    </row>
    <row r="1646" spans="28:58">
      <c r="AB1646" s="456"/>
      <c r="AC1646" s="457"/>
      <c r="AD1646" s="457"/>
      <c r="AE1646" s="477"/>
      <c r="AF1646" s="458"/>
      <c r="BB1646" s="456"/>
      <c r="BC1646" s="457"/>
      <c r="BD1646" s="457"/>
      <c r="BE1646" s="477"/>
      <c r="BF1646" s="458"/>
    </row>
    <row r="1647" spans="28:58">
      <c r="AB1647" s="449" t="s">
        <v>474</v>
      </c>
      <c r="AC1647" s="120"/>
      <c r="AD1647" s="120" t="s">
        <v>1</v>
      </c>
      <c r="AE1647" s="310" t="s">
        <v>307</v>
      </c>
      <c r="AF1647" s="440"/>
      <c r="BB1647" s="449" t="s">
        <v>474</v>
      </c>
      <c r="BC1647" s="120"/>
      <c r="BD1647" s="120" t="s">
        <v>1</v>
      </c>
      <c r="BE1647" s="310" t="s">
        <v>307</v>
      </c>
      <c r="BF1647" s="440"/>
    </row>
    <row r="1648" spans="28:58">
      <c r="AB1648" s="436"/>
      <c r="AC1648" s="223"/>
      <c r="AD1648" s="480"/>
      <c r="AE1648" s="484"/>
      <c r="AF1648" s="440"/>
      <c r="BB1648" s="436"/>
      <c r="BC1648" s="223"/>
      <c r="BD1648" s="480"/>
      <c r="BE1648" s="484"/>
      <c r="BF1648" s="440"/>
    </row>
    <row r="1649" spans="28:58">
      <c r="AB1649" s="436"/>
      <c r="AC1649" s="120"/>
      <c r="AD1649" s="120"/>
      <c r="AE1649" s="467"/>
      <c r="AF1649" s="440"/>
      <c r="BB1649" s="436"/>
      <c r="BC1649" s="120"/>
      <c r="BD1649" s="120"/>
      <c r="BE1649" s="467"/>
      <c r="BF1649" s="440"/>
    </row>
    <row r="1650" spans="28:58">
      <c r="AB1650" s="436"/>
      <c r="AC1650" s="120"/>
      <c r="AD1650" s="120"/>
      <c r="AE1650" s="467"/>
      <c r="AF1650" s="440"/>
      <c r="BB1650" s="436"/>
      <c r="BC1650" s="120"/>
      <c r="BD1650" s="120"/>
      <c r="BE1650" s="467"/>
      <c r="BF1650" s="440"/>
    </row>
    <row r="1651" spans="28:58">
      <c r="AB1651" s="436"/>
      <c r="AC1651" s="120"/>
      <c r="AD1651" s="120"/>
      <c r="AE1651" s="467"/>
      <c r="AF1651" s="440"/>
      <c r="BB1651" s="436"/>
      <c r="BC1651" s="120"/>
      <c r="BD1651" s="120"/>
      <c r="BE1651" s="467"/>
      <c r="BF1651" s="440"/>
    </row>
    <row r="1652" spans="28:58">
      <c r="AB1652" s="436"/>
      <c r="AC1652" s="120"/>
      <c r="AD1652" s="120"/>
      <c r="AE1652" s="467"/>
      <c r="AF1652" s="440"/>
      <c r="BB1652" s="436"/>
      <c r="BC1652" s="120"/>
      <c r="BD1652" s="120"/>
      <c r="BE1652" s="467"/>
      <c r="BF1652" s="440"/>
    </row>
    <row r="1653" spans="28:58">
      <c r="AB1653" s="436"/>
      <c r="AC1653" s="120"/>
      <c r="AD1653" s="120"/>
      <c r="AE1653" s="467"/>
      <c r="AF1653" s="440"/>
      <c r="BB1653" s="436"/>
      <c r="BC1653" s="120"/>
      <c r="BD1653" s="120"/>
      <c r="BE1653" s="467"/>
      <c r="BF1653" s="440"/>
    </row>
    <row r="1654" spans="28:58">
      <c r="AB1654" s="436"/>
      <c r="AC1654" s="120"/>
      <c r="AD1654" s="120"/>
      <c r="AE1654" s="467"/>
      <c r="AF1654" s="440"/>
      <c r="BB1654" s="436"/>
      <c r="BC1654" s="120"/>
      <c r="BD1654" s="120"/>
      <c r="BE1654" s="467"/>
      <c r="BF1654" s="440"/>
    </row>
    <row r="1655" spans="28:58">
      <c r="AB1655" s="436"/>
      <c r="AC1655" s="120"/>
      <c r="AD1655" s="120"/>
      <c r="AE1655" s="467"/>
      <c r="AF1655" s="440"/>
      <c r="BB1655" s="436"/>
      <c r="BC1655" s="120"/>
      <c r="BD1655" s="120"/>
      <c r="BE1655" s="467"/>
      <c r="BF1655" s="440"/>
    </row>
    <row r="1656" spans="28:58">
      <c r="AB1656" s="436"/>
      <c r="AC1656" s="120"/>
      <c r="AD1656" s="120"/>
      <c r="AE1656" s="467"/>
      <c r="AF1656" s="440"/>
      <c r="BB1656" s="436"/>
      <c r="BC1656" s="120"/>
      <c r="BD1656" s="120"/>
      <c r="BE1656" s="467"/>
      <c r="BF1656" s="440"/>
    </row>
    <row r="1657" spans="28:58">
      <c r="AB1657" s="436"/>
      <c r="AC1657" s="120"/>
      <c r="AD1657" s="120"/>
      <c r="AE1657" s="467"/>
      <c r="AF1657" s="440"/>
      <c r="BB1657" s="436"/>
      <c r="BC1657" s="120"/>
      <c r="BD1657" s="120"/>
      <c r="BE1657" s="467"/>
      <c r="BF1657" s="440"/>
    </row>
    <row r="1658" spans="28:58">
      <c r="AB1658" s="436"/>
      <c r="AC1658" s="120"/>
      <c r="AD1658" s="120"/>
      <c r="AE1658" s="467"/>
      <c r="AF1658" s="440"/>
      <c r="BB1658" s="436"/>
      <c r="BC1658" s="120"/>
      <c r="BD1658" s="120"/>
      <c r="BE1658" s="467"/>
      <c r="BF1658" s="440"/>
    </row>
    <row r="1659" spans="28:58">
      <c r="AB1659" s="436"/>
      <c r="AC1659" s="120"/>
      <c r="AD1659" s="120"/>
      <c r="AE1659" s="467"/>
      <c r="AF1659" s="440"/>
      <c r="BB1659" s="436"/>
      <c r="BC1659" s="120"/>
      <c r="BD1659" s="120"/>
      <c r="BE1659" s="467"/>
      <c r="BF1659" s="440"/>
    </row>
    <row r="1660" spans="28:58">
      <c r="AB1660" s="456"/>
      <c r="AC1660" s="457"/>
      <c r="AD1660" s="457"/>
      <c r="AE1660" s="477"/>
      <c r="AF1660" s="458"/>
      <c r="BB1660" s="456"/>
      <c r="BC1660" s="457"/>
      <c r="BD1660" s="457"/>
      <c r="BE1660" s="477"/>
      <c r="BF1660" s="458"/>
    </row>
    <row r="1661" spans="28:58">
      <c r="AB1661" s="456"/>
      <c r="AC1661" s="457"/>
      <c r="AD1661" s="457"/>
      <c r="AE1661" s="457"/>
      <c r="AF1661" s="458"/>
      <c r="BB1661" s="456"/>
      <c r="BC1661" s="457"/>
      <c r="BD1661" s="457"/>
      <c r="BE1661" s="457"/>
      <c r="BF1661" s="458"/>
    </row>
    <row r="1662" spans="28:58">
      <c r="AB1662" s="449" t="s">
        <v>475</v>
      </c>
      <c r="AC1662" s="120"/>
      <c r="AD1662" s="120"/>
      <c r="AE1662" s="120"/>
      <c r="AF1662" s="440"/>
      <c r="BB1662" s="449" t="s">
        <v>475</v>
      </c>
      <c r="BC1662" s="120"/>
      <c r="BD1662" s="120"/>
      <c r="BE1662" s="120"/>
      <c r="BF1662" s="440"/>
    </row>
    <row r="1663" spans="28:58">
      <c r="AB1663" s="436" t="s">
        <v>509</v>
      </c>
      <c r="AC1663" s="120"/>
      <c r="AD1663" s="120"/>
      <c r="AE1663" s="120"/>
      <c r="AF1663" s="440"/>
      <c r="BB1663" s="436" t="s">
        <v>509</v>
      </c>
      <c r="BC1663" s="120"/>
      <c r="BD1663" s="120"/>
      <c r="BE1663" s="120"/>
      <c r="BF1663" s="440"/>
    </row>
    <row r="1664" spans="28:58">
      <c r="AB1664" s="436" t="s">
        <v>510</v>
      </c>
      <c r="AC1664" s="120"/>
      <c r="AD1664" s="120"/>
      <c r="AE1664" s="120"/>
      <c r="AF1664" s="440"/>
      <c r="BB1664" s="436" t="s">
        <v>510</v>
      </c>
      <c r="BC1664" s="120"/>
      <c r="BD1664" s="120"/>
      <c r="BE1664" s="120"/>
      <c r="BF1664" s="440"/>
    </row>
    <row r="1665" spans="28:58">
      <c r="AB1665" s="436"/>
      <c r="AC1665" s="120"/>
      <c r="AD1665" s="120"/>
      <c r="AE1665" s="120"/>
      <c r="AF1665" s="440"/>
      <c r="BB1665" s="436"/>
      <c r="BC1665" s="120"/>
      <c r="BD1665" s="120"/>
      <c r="BE1665" s="120"/>
      <c r="BF1665" s="440"/>
    </row>
    <row r="1666" spans="28:58">
      <c r="AB1666" s="436"/>
      <c r="AC1666" s="120"/>
      <c r="AD1666" s="120"/>
      <c r="AE1666" s="120"/>
      <c r="AF1666" s="440"/>
      <c r="BB1666" s="436"/>
      <c r="BC1666" s="120"/>
      <c r="BD1666" s="120"/>
      <c r="BE1666" s="120"/>
      <c r="BF1666" s="440"/>
    </row>
    <row r="1667" spans="28:58">
      <c r="AB1667" s="436"/>
      <c r="AC1667" s="120"/>
      <c r="AD1667" s="120"/>
      <c r="AE1667" s="120"/>
      <c r="AF1667" s="440"/>
      <c r="BB1667" s="436"/>
      <c r="BC1667" s="120"/>
      <c r="BD1667" s="120"/>
      <c r="BE1667" s="120"/>
      <c r="BF1667" s="440"/>
    </row>
    <row r="1668" spans="28:58">
      <c r="AB1668" s="436"/>
      <c r="AC1668" s="120"/>
      <c r="AD1668" s="120"/>
      <c r="AE1668" s="120"/>
      <c r="AF1668" s="440"/>
      <c r="BB1668" s="436"/>
      <c r="BC1668" s="120"/>
      <c r="BD1668" s="120"/>
      <c r="BE1668" s="120"/>
      <c r="BF1668" s="440"/>
    </row>
    <row r="1669" spans="28:58">
      <c r="AB1669" s="436" t="s">
        <v>511</v>
      </c>
      <c r="AC1669" s="120">
        <v>0</v>
      </c>
      <c r="AD1669" s="120" t="s">
        <v>512</v>
      </c>
      <c r="AE1669" s="120"/>
      <c r="AF1669" s="440"/>
      <c r="BB1669" s="436" t="s">
        <v>511</v>
      </c>
      <c r="BC1669" s="120">
        <v>0</v>
      </c>
      <c r="BD1669" s="120" t="s">
        <v>512</v>
      </c>
      <c r="BE1669" s="120"/>
      <c r="BF1669" s="440"/>
    </row>
    <row r="1670" spans="28:58">
      <c r="AB1670" s="436" t="s">
        <v>513</v>
      </c>
      <c r="AC1670" s="120">
        <v>0</v>
      </c>
      <c r="AD1670" s="120" t="s">
        <v>512</v>
      </c>
      <c r="AE1670" s="120"/>
      <c r="AF1670" s="440"/>
      <c r="BB1670" s="436" t="s">
        <v>513</v>
      </c>
      <c r="BC1670" s="120">
        <v>0</v>
      </c>
      <c r="BD1670" s="120" t="s">
        <v>512</v>
      </c>
      <c r="BE1670" s="120"/>
      <c r="BF1670" s="440"/>
    </row>
    <row r="1671" spans="28:58">
      <c r="AB1671" s="456"/>
      <c r="AC1671" s="457"/>
      <c r="AD1671" s="457"/>
      <c r="AE1671" s="457"/>
      <c r="AF1671" s="458"/>
      <c r="BB1671" s="456"/>
      <c r="BC1671" s="457"/>
      <c r="BD1671" s="457"/>
      <c r="BE1671" s="457"/>
      <c r="BF1671" s="458"/>
    </row>
    <row r="1672" spans="28:58">
      <c r="AB1672" s="449" t="s">
        <v>461</v>
      </c>
      <c r="AC1672" s="120"/>
      <c r="AD1672" s="120"/>
      <c r="AE1672" s="120"/>
      <c r="AF1672" s="440"/>
      <c r="BB1672" s="449" t="s">
        <v>461</v>
      </c>
      <c r="BC1672" s="120"/>
      <c r="BD1672" s="120"/>
      <c r="BE1672" s="120"/>
      <c r="BF1672" s="440"/>
    </row>
    <row r="1673" spans="28:58">
      <c r="AB1673" s="436" t="s">
        <v>514</v>
      </c>
      <c r="AC1673" s="120">
        <f>VLOOKUP(AB1601,'Unit Ops'!$B$140:$K$209,10,FALSE)</f>
        <v>12</v>
      </c>
      <c r="AD1673" s="120" t="s">
        <v>515</v>
      </c>
      <c r="AE1673" s="120"/>
      <c r="AF1673" s="440"/>
      <c r="BB1673" s="436" t="s">
        <v>514</v>
      </c>
      <c r="BC1673" s="120">
        <f>VLOOKUP(BB1601,'Unit Ops'!$B$140:$K$209,10,FALSE)</f>
        <v>0</v>
      </c>
      <c r="BD1673" s="120" t="s">
        <v>515</v>
      </c>
      <c r="BE1673" s="120"/>
      <c r="BF1673" s="440"/>
    </row>
    <row r="1674" spans="28:58">
      <c r="AB1674" s="436" t="s">
        <v>516</v>
      </c>
      <c r="AC1674" s="120">
        <v>0</v>
      </c>
      <c r="AD1674" s="120" t="s">
        <v>515</v>
      </c>
      <c r="AE1674" s="120"/>
      <c r="AF1674" s="440"/>
      <c r="BB1674" s="436" t="s">
        <v>516</v>
      </c>
      <c r="BC1674" s="120">
        <v>0</v>
      </c>
      <c r="BD1674" s="120" t="s">
        <v>515</v>
      </c>
      <c r="BE1674" s="120"/>
      <c r="BF1674" s="440"/>
    </row>
    <row r="1675" spans="28:58">
      <c r="AB1675" s="436"/>
      <c r="AC1675" s="120"/>
      <c r="AD1675" s="120"/>
      <c r="AE1675" s="120"/>
      <c r="AF1675" s="440"/>
      <c r="BB1675" s="436"/>
      <c r="BC1675" s="120"/>
      <c r="BD1675" s="120"/>
      <c r="BE1675" s="120"/>
      <c r="BF1675" s="440"/>
    </row>
    <row r="1676" spans="28:58">
      <c r="AB1676" s="436"/>
      <c r="AC1676" s="120"/>
      <c r="AD1676" s="120"/>
      <c r="AE1676" s="120"/>
      <c r="AF1676" s="440"/>
      <c r="BB1676" s="436"/>
      <c r="BC1676" s="120"/>
      <c r="BD1676" s="120"/>
      <c r="BE1676" s="120"/>
      <c r="BF1676" s="440"/>
    </row>
    <row r="1677" spans="28:58">
      <c r="AB1677" s="436"/>
      <c r="AC1677" s="120"/>
      <c r="AD1677" s="120"/>
      <c r="AE1677" s="120"/>
      <c r="AF1677" s="440"/>
      <c r="BB1677" s="436"/>
      <c r="BC1677" s="120"/>
      <c r="BD1677" s="120"/>
      <c r="BE1677" s="120"/>
      <c r="BF1677" s="440"/>
    </row>
    <row r="1678" spans="28:58">
      <c r="AB1678" s="436"/>
      <c r="AC1678" s="120"/>
      <c r="AD1678" s="120"/>
      <c r="AE1678" s="120"/>
      <c r="AF1678" s="440"/>
      <c r="BB1678" s="436"/>
      <c r="BC1678" s="120"/>
      <c r="BD1678" s="120"/>
      <c r="BE1678" s="120"/>
      <c r="BF1678" s="440"/>
    </row>
    <row r="1679" spans="28:58">
      <c r="AB1679" s="436"/>
      <c r="AC1679" s="120"/>
      <c r="AD1679" s="120"/>
      <c r="AE1679" s="120"/>
      <c r="AF1679" s="440"/>
      <c r="BB1679" s="436"/>
      <c r="BC1679" s="120"/>
      <c r="BD1679" s="120"/>
      <c r="BE1679" s="120"/>
      <c r="BF1679" s="440"/>
    </row>
    <row r="1680" spans="28:58">
      <c r="AB1680" s="436" t="s">
        <v>464</v>
      </c>
      <c r="AC1680" s="120"/>
      <c r="AD1680" s="120"/>
      <c r="AE1680" s="120"/>
      <c r="AF1680" s="440"/>
      <c r="BB1680" s="436" t="s">
        <v>464</v>
      </c>
      <c r="BC1680" s="120"/>
      <c r="BD1680" s="120"/>
      <c r="BE1680" s="120"/>
      <c r="BF1680" s="440"/>
    </row>
    <row r="1681" spans="28:58">
      <c r="AB1681" s="456"/>
      <c r="AC1681" s="457"/>
      <c r="AD1681" s="457"/>
      <c r="AE1681" s="457"/>
      <c r="AF1681" s="458"/>
      <c r="BB1681" s="456"/>
      <c r="BC1681" s="457"/>
      <c r="BD1681" s="457"/>
      <c r="BE1681" s="457"/>
      <c r="BF1681" s="458"/>
    </row>
    <row r="1682" spans="28:58">
      <c r="AB1682" s="449" t="s">
        <v>472</v>
      </c>
      <c r="AC1682" s="467" t="s">
        <v>517</v>
      </c>
      <c r="AD1682" s="120" t="s">
        <v>518</v>
      </c>
      <c r="AE1682" s="467" t="s">
        <v>519</v>
      </c>
      <c r="AF1682" s="440" t="s">
        <v>518</v>
      </c>
      <c r="BB1682" s="449" t="s">
        <v>472</v>
      </c>
      <c r="BC1682" s="467" t="s">
        <v>517</v>
      </c>
      <c r="BD1682" s="120" t="s">
        <v>518</v>
      </c>
      <c r="BE1682" s="467" t="s">
        <v>519</v>
      </c>
      <c r="BF1682" s="440" t="s">
        <v>518</v>
      </c>
    </row>
    <row r="1683" spans="28:58">
      <c r="AB1683" s="436" t="s">
        <v>520</v>
      </c>
      <c r="AC1683" s="120"/>
      <c r="AD1683" s="120"/>
      <c r="AE1683" s="472" t="e">
        <f>((VLOOKUP(AB1601,'Unit Ops'!$B$140:$J$209,3,FALSE)*AC1603^VLOOKUP(AB1601,'Unit Ops'!$B$140:$J$209,4,FALSE)+VLOOKUP(AB1601,'Unit Ops'!$B$140:$J$209,5,FALSE))*VLOOKUP(AB1601,'Unit Ops'!$B$140:$J$209,6,FALSE))*IF(VLOOKUP(AB1601,'Unit Ops'!$B$140:$L$209,11,FALSE)=1,1,2)</f>
        <v>#NUM!</v>
      </c>
      <c r="AF1683" s="490">
        <f>'CM Rec Par.'!$C$7</f>
        <v>2022</v>
      </c>
      <c r="BB1683" s="436" t="s">
        <v>520</v>
      </c>
      <c r="BC1683" s="120"/>
      <c r="BD1683" s="120"/>
      <c r="BE1683" s="472">
        <f>((VLOOKUP(BB1601,'Unit Ops'!$B$140:$J$209,3,FALSE)*BC1603^VLOOKUP(BB1601,'Unit Ops'!$B$140:$J$209,4,FALSE)+VLOOKUP(BB1601,'Unit Ops'!$B$140:$J$209,5,FALSE))*VLOOKUP(BB1601,'Unit Ops'!$B$140:$J$209,6,FALSE))*IF(VLOOKUP(BB1601,'Unit Ops'!$B$140:$L$209,11,FALSE)=1,1,2)</f>
        <v>0</v>
      </c>
      <c r="BF1683" s="490">
        <f>'CM Rec Par.'!$C$7</f>
        <v>2022</v>
      </c>
    </row>
    <row r="1684" spans="28:58">
      <c r="AB1684" s="436"/>
      <c r="AC1684" s="120"/>
      <c r="AD1684" s="120"/>
      <c r="AE1684" s="120"/>
      <c r="AF1684" s="440"/>
      <c r="BB1684" s="436"/>
      <c r="BC1684" s="120"/>
      <c r="BD1684" s="120"/>
      <c r="BE1684" s="120"/>
      <c r="BF1684" s="440"/>
    </row>
    <row r="1685" spans="28:58">
      <c r="AB1685" s="436"/>
      <c r="AC1685" s="120"/>
      <c r="AD1685" s="120"/>
      <c r="AE1685" s="120"/>
      <c r="AF1685" s="440"/>
      <c r="BB1685" s="436"/>
      <c r="BC1685" s="120"/>
      <c r="BD1685" s="120"/>
      <c r="BE1685" s="120"/>
      <c r="BF1685" s="440"/>
    </row>
    <row r="1686" spans="28:58">
      <c r="AB1686" s="436"/>
      <c r="AC1686" s="120"/>
      <c r="AD1686" s="120"/>
      <c r="AE1686" s="120"/>
      <c r="AF1686" s="440"/>
      <c r="BB1686" s="436"/>
      <c r="BC1686" s="120"/>
      <c r="BD1686" s="120"/>
      <c r="BE1686" s="120"/>
      <c r="BF1686" s="440"/>
    </row>
    <row r="1687" spans="28:58">
      <c r="AB1687" s="436"/>
      <c r="AC1687" s="120"/>
      <c r="AD1687" s="120"/>
      <c r="AE1687" s="120"/>
      <c r="AF1687" s="440"/>
      <c r="BB1687" s="436"/>
      <c r="BC1687" s="120"/>
      <c r="BD1687" s="120"/>
      <c r="BE1687" s="120"/>
      <c r="BF1687" s="440"/>
    </row>
    <row r="1688" spans="28:58">
      <c r="AB1688" s="436"/>
      <c r="AC1688" s="120"/>
      <c r="AD1688" s="120"/>
      <c r="AE1688" s="120"/>
      <c r="AF1688" s="440"/>
      <c r="BB1688" s="436"/>
      <c r="BC1688" s="120"/>
      <c r="BD1688" s="120"/>
      <c r="BE1688" s="120"/>
      <c r="BF1688" s="440"/>
    </row>
    <row r="1689" spans="28:58">
      <c r="AB1689" s="436"/>
      <c r="AC1689" s="120"/>
      <c r="AD1689" s="120"/>
      <c r="AE1689" s="120"/>
      <c r="AF1689" s="440"/>
      <c r="BB1689" s="436"/>
      <c r="BC1689" s="120"/>
      <c r="BD1689" s="120"/>
      <c r="BE1689" s="120"/>
      <c r="BF1689" s="440"/>
    </row>
    <row r="1690" spans="28:58">
      <c r="AB1690" s="436"/>
      <c r="AC1690" s="120"/>
      <c r="AD1690" s="120"/>
      <c r="AE1690" s="120"/>
      <c r="AF1690" s="440"/>
      <c r="BB1690" s="436"/>
      <c r="BC1690" s="120"/>
      <c r="BD1690" s="120"/>
      <c r="BE1690" s="120"/>
      <c r="BF1690" s="440"/>
    </row>
    <row r="1691" spans="28:58">
      <c r="AB1691" s="436"/>
      <c r="AC1691" s="120"/>
      <c r="AD1691" s="120"/>
      <c r="AE1691" s="120"/>
      <c r="AF1691" s="440"/>
      <c r="BB1691" s="436"/>
      <c r="BC1691" s="120"/>
      <c r="BD1691" s="120"/>
      <c r="BE1691" s="120"/>
      <c r="BF1691" s="440"/>
    </row>
    <row r="1692" spans="28:58">
      <c r="AB1692" s="436"/>
      <c r="AC1692" s="120"/>
      <c r="AD1692" s="120"/>
      <c r="AE1692" s="120"/>
      <c r="AF1692" s="440"/>
      <c r="BB1692" s="436"/>
      <c r="BC1692" s="120"/>
      <c r="BD1692" s="120"/>
      <c r="BE1692" s="120"/>
      <c r="BF1692" s="440"/>
    </row>
    <row r="1693" spans="28:58">
      <c r="AB1693" s="436"/>
      <c r="AC1693" s="120"/>
      <c r="AD1693" s="120"/>
      <c r="AE1693" s="120"/>
      <c r="AF1693" s="440"/>
      <c r="BB1693" s="436"/>
      <c r="BC1693" s="120"/>
      <c r="BD1693" s="120"/>
      <c r="BE1693" s="120"/>
      <c r="BF1693" s="440"/>
    </row>
    <row r="1694" spans="28:58">
      <c r="AB1694" s="436"/>
      <c r="AC1694" s="120"/>
      <c r="AD1694" s="120"/>
      <c r="AE1694" s="120"/>
      <c r="AF1694" s="440"/>
      <c r="BB1694" s="436"/>
      <c r="BC1694" s="120"/>
      <c r="BD1694" s="120"/>
      <c r="BE1694" s="120"/>
      <c r="BF1694" s="440"/>
    </row>
    <row r="1695" spans="28:58">
      <c r="AB1695" s="436"/>
      <c r="AC1695" s="120"/>
      <c r="AD1695" s="120"/>
      <c r="AE1695" s="120"/>
      <c r="AF1695" s="440"/>
      <c r="BB1695" s="436"/>
      <c r="BC1695" s="120"/>
      <c r="BD1695" s="120"/>
      <c r="BE1695" s="120"/>
      <c r="BF1695" s="440"/>
    </row>
    <row r="1696" spans="28:58">
      <c r="AB1696" s="436"/>
      <c r="AC1696" s="120"/>
      <c r="AD1696" s="120"/>
      <c r="AE1696" s="120"/>
      <c r="AF1696" s="440"/>
      <c r="BB1696" s="436"/>
      <c r="BC1696" s="120"/>
      <c r="BD1696" s="120"/>
      <c r="BE1696" s="120"/>
      <c r="BF1696" s="440"/>
    </row>
    <row r="1697" spans="27:59" ht="14.5" thickBot="1">
      <c r="AB1697" s="492"/>
      <c r="AC1697" s="493"/>
      <c r="AD1697" s="493"/>
      <c r="AE1697" s="493"/>
      <c r="AF1697" s="453"/>
      <c r="BB1697" s="492"/>
      <c r="BC1697" s="493"/>
      <c r="BD1697" s="493"/>
      <c r="BE1697" s="493"/>
      <c r="BF1697" s="453"/>
    </row>
    <row r="1700" spans="27:59" ht="14.5" thickBot="1"/>
    <row r="1701" spans="27:59">
      <c r="AA1701" s="114" t="s">
        <v>478</v>
      </c>
      <c r="AB1701" s="431" t="str">
        <f>AB56</f>
        <v>Wheel loader</v>
      </c>
      <c r="AC1701" s="432"/>
      <c r="AD1701" s="433"/>
      <c r="AE1701" s="434"/>
      <c r="AF1701" s="435"/>
      <c r="BB1701" s="431" t="str">
        <f>BB57</f>
        <v>Select Equipment</v>
      </c>
      <c r="BC1701" s="432"/>
      <c r="BD1701" s="433"/>
      <c r="BE1701" s="434"/>
      <c r="BF1701" s="435"/>
    </row>
    <row r="1702" spans="27:59">
      <c r="AA1702" s="114" t="s">
        <v>5</v>
      </c>
      <c r="AB1702" s="436" t="s">
        <v>1</v>
      </c>
      <c r="AC1702" s="437">
        <f>AC$14/AC$11/AC$10*VLOOKUP(AB1701,'Unit Ops'!$B$140:$J$209,2,FALSE)</f>
        <v>0</v>
      </c>
      <c r="AD1702" s="438" t="s">
        <v>586</v>
      </c>
      <c r="AE1702" s="1027">
        <f>AC1702*AC$306*AC$307</f>
        <v>0</v>
      </c>
      <c r="AF1702" s="439" t="s">
        <v>585</v>
      </c>
      <c r="AG1702" s="408"/>
      <c r="BA1702" s="114" t="s">
        <v>478</v>
      </c>
      <c r="BB1702" s="436" t="s">
        <v>1</v>
      </c>
      <c r="BC1702" s="437">
        <f>BC$15/BC$11/BC$12*VLOOKUP(BB1701,'Unit Ops'!$B$140:$J$209,2,FALSE)</f>
        <v>0</v>
      </c>
      <c r="BD1702" s="438" t="s">
        <v>586</v>
      </c>
      <c r="BE1702" s="1027">
        <f>BC1702*BC$306*BC$307</f>
        <v>0</v>
      </c>
      <c r="BF1702" s="439" t="s">
        <v>585</v>
      </c>
    </row>
    <row r="1703" spans="27:59">
      <c r="AA1703" s="114" t="str">
        <f>$AB$44</f>
        <v>Hopper</v>
      </c>
      <c r="AB1703" s="436" t="s">
        <v>505</v>
      </c>
      <c r="AC1703" s="437">
        <f>ROUNDUP(AC1702*IF(VLOOKUP(AB1701,'Unit Ops'!$B$140:$L$209,11,FALSE)=1,1.5,0.75),1)</f>
        <v>0</v>
      </c>
      <c r="AD1703" s="438" t="s">
        <v>586</v>
      </c>
      <c r="AE1703" s="120">
        <f>AC1703*AC$306*AC$307</f>
        <v>0</v>
      </c>
      <c r="AF1703" s="439" t="s">
        <v>585</v>
      </c>
      <c r="AG1703" s="520"/>
      <c r="BA1703" s="114" t="s">
        <v>5</v>
      </c>
      <c r="BB1703" s="436" t="s">
        <v>505</v>
      </c>
      <c r="BC1703" s="437">
        <f>ROUNDUP(BC1702*IF(VLOOKUP(BB1701,'Unit Ops'!$B$140:$L$209,11,FALSE)=1,1.5,0.75),1)</f>
        <v>0</v>
      </c>
      <c r="BD1703" s="438" t="s">
        <v>586</v>
      </c>
      <c r="BE1703" s="120">
        <f>BC1703*BC$306*BC$307</f>
        <v>0</v>
      </c>
      <c r="BF1703" s="439" t="s">
        <v>585</v>
      </c>
      <c r="BG1703" s="408"/>
    </row>
    <row r="1704" spans="27:59">
      <c r="AA1704" s="114" t="str">
        <f>$AB$45</f>
        <v>Conveyor</v>
      </c>
      <c r="AB1704" s="441" t="s">
        <v>521</v>
      </c>
      <c r="AC1704" s="442" t="e">
        <f>AC1702/AC1703</f>
        <v>#DIV/0!</v>
      </c>
      <c r="AD1704" s="438"/>
      <c r="AE1704" s="443"/>
      <c r="AF1704" s="440"/>
      <c r="AG1704" s="521"/>
      <c r="BA1704" s="114" t="str">
        <f>$BB$45</f>
        <v>Select Equipment</v>
      </c>
      <c r="BB1704" s="441" t="s">
        <v>521</v>
      </c>
      <c r="BC1704" s="442" t="e">
        <f>BC1702/BC1703</f>
        <v>#DIV/0!</v>
      </c>
      <c r="BD1704" s="438"/>
      <c r="BE1704" s="443"/>
      <c r="BF1704" s="440"/>
      <c r="BG1704" s="520"/>
    </row>
    <row r="1705" spans="27:59">
      <c r="AA1705" s="114" t="str">
        <f>$AB$46</f>
        <v>Crusher</v>
      </c>
      <c r="AB1705" s="441" t="s">
        <v>506</v>
      </c>
      <c r="AC1705" s="445"/>
      <c r="AD1705" s="438" t="s">
        <v>454</v>
      </c>
      <c r="AE1705" s="443"/>
      <c r="AF1705" s="440"/>
      <c r="AG1705" s="408"/>
      <c r="BA1705" s="114" t="str">
        <f>$BB$46</f>
        <v>Select Equipment</v>
      </c>
      <c r="BB1705" s="441" t="s">
        <v>506</v>
      </c>
      <c r="BC1705" s="445"/>
      <c r="BD1705" s="438" t="s">
        <v>454</v>
      </c>
      <c r="BE1705" s="443"/>
      <c r="BF1705" s="440"/>
      <c r="BG1705" s="521"/>
    </row>
    <row r="1706" spans="27:59">
      <c r="AA1706" s="114" t="str">
        <f>$AB$47</f>
        <v>Screen, vibrating</v>
      </c>
      <c r="AB1706" s="436" t="s">
        <v>507</v>
      </c>
      <c r="AC1706" s="225" t="e">
        <f>(VLOOKUP(AB1701,'Unit Ops'!$B$140:$J$209,7,FALSE)*AC1703^VLOOKUP(AB1701,'Unit Ops'!$B$140:$J$209,8,FALSE)+VLOOKUP(AB1701,'Unit Ops'!$B$140:$J$209,9,FALSE))*IF(VLOOKUP(AB1701,'Unit Ops'!$B$140:$L$209,11,FALSE)=1,1,2)</f>
        <v>#NUM!</v>
      </c>
      <c r="AD1706" s="446" t="s">
        <v>454</v>
      </c>
      <c r="AE1706" s="443"/>
      <c r="AF1706" s="440"/>
      <c r="AG1706" s="521"/>
      <c r="BA1706" s="114" t="str">
        <f>$BB$47</f>
        <v>Select Equipment</v>
      </c>
      <c r="BB1706" s="436" t="s">
        <v>507</v>
      </c>
      <c r="BC1706" s="225" t="e">
        <f>(VLOOKUP(BB1701,'Unit Ops'!$B$140:$J$209,7,FALSE)*BC1703^VLOOKUP(BB1701,'Unit Ops'!$B$140:$J$209,8,FALSE)+VLOOKUP(BB1701,'Unit Ops'!$B$140:$J$209,9,FALSE))*IF(VLOOKUP(BB1701,'Unit Ops'!$B$140:$L$209,11,FALSE)=1,1,2)</f>
        <v>#NUM!</v>
      </c>
      <c r="BD1706" s="446" t="s">
        <v>454</v>
      </c>
      <c r="BE1706" s="443"/>
      <c r="BF1706" s="440"/>
      <c r="BG1706" s="408"/>
    </row>
    <row r="1707" spans="27:59">
      <c r="AA1707" s="114" t="str">
        <f>$AB$48</f>
        <v>Conveyor</v>
      </c>
      <c r="AB1707" s="441"/>
      <c r="AC1707" s="445"/>
      <c r="AD1707" s="447"/>
      <c r="AE1707" s="443"/>
      <c r="AF1707" s="440"/>
      <c r="AG1707" s="470"/>
      <c r="BA1707" s="114" t="str">
        <f>$BB$48</f>
        <v>Select Equipment</v>
      </c>
      <c r="BB1707" s="441"/>
      <c r="BC1707" s="445"/>
      <c r="BD1707" s="447"/>
      <c r="BE1707" s="443"/>
      <c r="BF1707" s="440"/>
      <c r="BG1707" s="521"/>
    </row>
    <row r="1708" spans="27:59">
      <c r="AA1708" s="114" t="str">
        <f>$AB$49</f>
        <v>Heat treatment furnace</v>
      </c>
      <c r="AB1708" s="441"/>
      <c r="AC1708" s="445"/>
      <c r="AD1708" s="447"/>
      <c r="AE1708" s="443"/>
      <c r="AF1708" s="440"/>
      <c r="AG1708" s="521"/>
      <c r="BA1708" s="114" t="str">
        <f>$BB$49</f>
        <v>Select Equipment</v>
      </c>
      <c r="BB1708" s="441"/>
      <c r="BC1708" s="445"/>
      <c r="BD1708" s="447"/>
      <c r="BE1708" s="443"/>
      <c r="BF1708" s="440"/>
      <c r="BG1708" s="470"/>
    </row>
    <row r="1709" spans="27:59">
      <c r="AA1709" s="114" t="str">
        <f>$AB$50</f>
        <v>Cyclone</v>
      </c>
      <c r="AB1709" s="449"/>
      <c r="AC1709" s="445"/>
      <c r="AD1709" s="447"/>
      <c r="AE1709" s="443"/>
      <c r="AF1709" s="440"/>
      <c r="AG1709" s="507"/>
      <c r="BA1709" s="114" t="str">
        <f>$BB$50</f>
        <v>Select Equipment</v>
      </c>
      <c r="BB1709" s="449"/>
      <c r="BC1709" s="445"/>
      <c r="BD1709" s="447"/>
      <c r="BE1709" s="443"/>
      <c r="BF1709" s="440"/>
      <c r="BG1709" s="521"/>
    </row>
    <row r="1710" spans="27:59" ht="14.5" thickBot="1">
      <c r="AA1710" s="114" t="str">
        <f>$AB$51</f>
        <v>Conveyor</v>
      </c>
      <c r="AB1710" s="450"/>
      <c r="AC1710" s="451"/>
      <c r="AD1710" s="451"/>
      <c r="AE1710" s="452"/>
      <c r="AF1710" s="453"/>
      <c r="AG1710" s="521"/>
      <c r="BA1710" s="114" t="str">
        <f>$BB$51</f>
        <v>Select Equipment</v>
      </c>
      <c r="BB1710" s="450"/>
      <c r="BC1710" s="451"/>
      <c r="BD1710" s="451"/>
      <c r="BE1710" s="452"/>
      <c r="BF1710" s="453"/>
      <c r="BG1710" s="507"/>
    </row>
    <row r="1711" spans="27:59">
      <c r="AA1711" s="114" t="str">
        <f>$AB$52</f>
        <v>Eddy current separator</v>
      </c>
      <c r="AB1711" s="449" t="s">
        <v>470</v>
      </c>
      <c r="AC1711" s="120"/>
      <c r="AD1711" s="454"/>
      <c r="AE1711" s="120"/>
      <c r="AF1711" s="440"/>
      <c r="AG1711" s="474"/>
      <c r="BA1711" s="114" t="str">
        <f>$BB$52</f>
        <v>Select Equipment</v>
      </c>
      <c r="BB1711" s="449" t="s">
        <v>470</v>
      </c>
      <c r="BC1711" s="120"/>
      <c r="BD1711" s="454"/>
      <c r="BE1711" s="120"/>
      <c r="BF1711" s="440"/>
      <c r="BG1711" s="521"/>
    </row>
    <row r="1712" spans="27:59" ht="14.5" customHeight="1">
      <c r="AA1712" s="114" t="str">
        <f>$AB$53</f>
        <v>Conveyor</v>
      </c>
      <c r="AB1712" s="1698"/>
      <c r="AC1712" s="1699"/>
      <c r="AD1712" s="1699"/>
      <c r="AE1712" s="1699"/>
      <c r="AF1712" s="1700"/>
      <c r="AG1712" s="474"/>
      <c r="BA1712" s="114" t="str">
        <f>$BB$53</f>
        <v>Select Equipment</v>
      </c>
      <c r="BB1712" s="1698"/>
      <c r="BC1712" s="1699"/>
      <c r="BD1712" s="1699"/>
      <c r="BE1712" s="1699"/>
      <c r="BF1712" s="1700"/>
      <c r="BG1712" s="474"/>
    </row>
    <row r="1713" spans="27:59">
      <c r="AA1713" s="114" t="str">
        <f>$AB$54</f>
        <v>Air classifier</v>
      </c>
      <c r="AB1713" s="436"/>
      <c r="AC1713" s="120"/>
      <c r="AD1713" s="455"/>
      <c r="AE1713" s="120"/>
      <c r="AF1713" s="440"/>
      <c r="AG1713" s="521"/>
      <c r="BA1713" s="114" t="str">
        <f>$BB$54</f>
        <v>Select Equipment</v>
      </c>
      <c r="BB1713" s="436"/>
      <c r="BC1713" s="120"/>
      <c r="BD1713" s="455"/>
      <c r="BE1713" s="120"/>
      <c r="BF1713" s="440"/>
      <c r="BG1713" s="474"/>
    </row>
    <row r="1714" spans="27:59">
      <c r="AA1714" s="114" t="str">
        <f>$AB$55</f>
        <v>Gas treatment</v>
      </c>
      <c r="AB1714" s="436"/>
      <c r="AC1714" s="120"/>
      <c r="AD1714" s="455"/>
      <c r="AE1714" s="120"/>
      <c r="AF1714" s="440"/>
      <c r="AG1714" s="521"/>
      <c r="BA1714" s="114" t="str">
        <f>$BB$55</f>
        <v>Select Equipment</v>
      </c>
      <c r="BB1714" s="436"/>
      <c r="BC1714" s="120"/>
      <c r="BD1714" s="455"/>
      <c r="BE1714" s="120"/>
      <c r="BF1714" s="440"/>
      <c r="BG1714" s="521"/>
    </row>
    <row r="1715" spans="27:59">
      <c r="AA1715" s="114" t="str">
        <f>$AB$56</f>
        <v>Wheel loader</v>
      </c>
      <c r="AB1715" s="456"/>
      <c r="AC1715" s="457"/>
      <c r="AD1715" s="457"/>
      <c r="AE1715" s="457"/>
      <c r="AF1715" s="458"/>
      <c r="BA1715" s="114" t="str">
        <f>$BB$56</f>
        <v>Select Equipment</v>
      </c>
      <c r="BB1715" s="456"/>
      <c r="BC1715" s="457"/>
      <c r="BD1715" s="457"/>
      <c r="BE1715" s="457"/>
      <c r="BF1715" s="458"/>
      <c r="BG1715" s="521"/>
    </row>
    <row r="1716" spans="27:59">
      <c r="AA1716" s="114" t="str">
        <f>$AB$57</f>
        <v>Select Equipment</v>
      </c>
      <c r="AB1716" s="449" t="s">
        <v>471</v>
      </c>
      <c r="AC1716" s="120"/>
      <c r="AD1716" s="454"/>
      <c r="AE1716" s="120"/>
      <c r="AF1716" s="440"/>
      <c r="BA1716" s="114" t="str">
        <f>$BB$57</f>
        <v>Select Equipment</v>
      </c>
      <c r="BB1716" s="449" t="s">
        <v>471</v>
      </c>
      <c r="BC1716" s="120"/>
      <c r="BD1716" s="454"/>
      <c r="BE1716" s="120"/>
      <c r="BF1716" s="440"/>
    </row>
    <row r="1717" spans="27:59">
      <c r="AA1717" s="114" t="str">
        <f>$AB$58</f>
        <v>Select Equipment</v>
      </c>
      <c r="AB1717" s="436" t="s">
        <v>577</v>
      </c>
      <c r="AC1717" s="225" t="e">
        <f>AC1706*IF(AC1704&gt;1,1,AC1704)</f>
        <v>#NUM!</v>
      </c>
      <c r="AD1717" s="446" t="s">
        <v>454</v>
      </c>
      <c r="AE1717" s="120"/>
      <c r="AF1717" s="440"/>
      <c r="BA1717" s="114" t="str">
        <f>$BB$58</f>
        <v>Select Equipment</v>
      </c>
      <c r="BB1717" s="436" t="s">
        <v>577</v>
      </c>
      <c r="BC1717" s="225" t="e">
        <f>BC1706*IF(BC1704&gt;1,1,BC1704)</f>
        <v>#NUM!</v>
      </c>
      <c r="BD1717" s="446" t="s">
        <v>454</v>
      </c>
      <c r="BE1717" s="120"/>
      <c r="BF1717" s="440"/>
    </row>
    <row r="1718" spans="27:59">
      <c r="AA1718" s="114" t="str">
        <f>$AB$59</f>
        <v>Select Equipment</v>
      </c>
      <c r="AB1718" s="436" t="s">
        <v>578</v>
      </c>
      <c r="AC1718" s="225"/>
      <c r="AD1718" s="446" t="s">
        <v>579</v>
      </c>
      <c r="AE1718" s="120"/>
      <c r="AF1718" s="440"/>
      <c r="BA1718" s="114" t="str">
        <f>$BB$59</f>
        <v>Select Equipment</v>
      </c>
      <c r="BB1718" s="436" t="s">
        <v>578</v>
      </c>
      <c r="BC1718" s="225"/>
      <c r="BD1718" s="446" t="s">
        <v>579</v>
      </c>
      <c r="BE1718" s="120"/>
      <c r="BF1718" s="440"/>
    </row>
    <row r="1719" spans="27:59">
      <c r="AA1719" s="114" t="str">
        <f>$AB$60</f>
        <v>Select Equipment</v>
      </c>
      <c r="AB1719" s="436"/>
      <c r="AC1719" s="120"/>
      <c r="AD1719" s="446"/>
      <c r="AE1719" s="120"/>
      <c r="AF1719" s="440"/>
      <c r="BA1719" s="114" t="str">
        <f>$BB$60</f>
        <v>Select Equipment</v>
      </c>
      <c r="BB1719" s="436"/>
      <c r="BC1719" s="120"/>
      <c r="BD1719" s="446"/>
      <c r="BE1719" s="120"/>
      <c r="BF1719" s="440"/>
    </row>
    <row r="1720" spans="27:59">
      <c r="AA1720" s="114" t="str">
        <f>$AB$61</f>
        <v>Select Equipment</v>
      </c>
      <c r="AB1720" s="436" t="s">
        <v>8</v>
      </c>
      <c r="AC1720" s="120"/>
      <c r="AD1720" s="459" t="s">
        <v>564</v>
      </c>
      <c r="AE1720" s="120"/>
      <c r="AF1720" s="440"/>
      <c r="BA1720" s="114" t="str">
        <f>$BB$61</f>
        <v>Select Equipment</v>
      </c>
      <c r="BB1720" s="436" t="s">
        <v>8</v>
      </c>
      <c r="BC1720" s="120"/>
      <c r="BD1720" s="459" t="s">
        <v>564</v>
      </c>
      <c r="BE1720" s="120"/>
      <c r="BF1720" s="440"/>
    </row>
    <row r="1721" spans="27:59">
      <c r="AA1721" s="114" t="str">
        <f>$AB$62</f>
        <v>Select Equipment</v>
      </c>
      <c r="AB1721" s="436"/>
      <c r="AC1721" s="120"/>
      <c r="AD1721" s="459"/>
      <c r="AE1721" s="120"/>
      <c r="AF1721" s="440"/>
      <c r="BA1721" s="114" t="str">
        <f>$BB$62</f>
        <v>Select Equipment</v>
      </c>
      <c r="BB1721" s="436"/>
      <c r="BC1721" s="120"/>
      <c r="BD1721" s="459"/>
      <c r="BE1721" s="120"/>
      <c r="BF1721" s="440"/>
    </row>
    <row r="1722" spans="27:59">
      <c r="AA1722" s="114" t="str">
        <f>$AB$63</f>
        <v>Select Equipment</v>
      </c>
      <c r="AB1722" s="436" t="s">
        <v>7</v>
      </c>
      <c r="AC1722" s="120"/>
      <c r="AD1722" s="459" t="s">
        <v>564</v>
      </c>
      <c r="AE1722" s="120"/>
      <c r="AF1722" s="440"/>
      <c r="BA1722" s="114" t="str">
        <f>$BB$63</f>
        <v>Select Equipment</v>
      </c>
      <c r="BB1722" s="436" t="s">
        <v>7</v>
      </c>
      <c r="BC1722" s="120"/>
      <c r="BD1722" s="459" t="s">
        <v>564</v>
      </c>
      <c r="BE1722" s="120"/>
      <c r="BF1722" s="440"/>
    </row>
    <row r="1723" spans="27:59">
      <c r="AA1723"/>
      <c r="AB1723" s="436"/>
      <c r="AC1723" s="120"/>
      <c r="AD1723" s="459"/>
      <c r="AE1723" s="120"/>
      <c r="AF1723" s="440"/>
      <c r="BA1723" s="114" t="str">
        <f>$BB$64</f>
        <v>Select Equipment</v>
      </c>
      <c r="BB1723" s="436"/>
      <c r="BC1723" s="120"/>
      <c r="BD1723" s="459"/>
      <c r="BE1723" s="120"/>
      <c r="BF1723" s="440"/>
    </row>
    <row r="1724" spans="27:59">
      <c r="AA1724"/>
      <c r="AB1724" s="436" t="s">
        <v>9</v>
      </c>
      <c r="AC1724" s="120"/>
      <c r="AD1724" s="459" t="s">
        <v>564</v>
      </c>
      <c r="AE1724" s="120"/>
      <c r="AF1724" s="440"/>
      <c r="BA1724"/>
      <c r="BB1724" s="436" t="s">
        <v>9</v>
      </c>
      <c r="BC1724" s="120"/>
      <c r="BD1724" s="459" t="s">
        <v>564</v>
      </c>
      <c r="BE1724" s="120"/>
      <c r="BF1724" s="440"/>
    </row>
    <row r="1725" spans="27:59">
      <c r="AA1725"/>
      <c r="AB1725" s="436"/>
      <c r="AC1725" s="120"/>
      <c r="AD1725" s="459"/>
      <c r="AE1725" s="120"/>
      <c r="AF1725" s="440"/>
      <c r="BA1725"/>
      <c r="BB1725" s="436"/>
      <c r="BC1725" s="120"/>
      <c r="BD1725" s="459"/>
      <c r="BE1725" s="120"/>
      <c r="BF1725" s="440"/>
    </row>
    <row r="1726" spans="27:59">
      <c r="AA1726"/>
      <c r="AB1726" s="436" t="s">
        <v>324</v>
      </c>
      <c r="AC1726" s="120"/>
      <c r="AD1726" s="459" t="s">
        <v>564</v>
      </c>
      <c r="AE1726" s="120"/>
      <c r="AF1726" s="440" t="s">
        <v>569</v>
      </c>
      <c r="BA1726"/>
      <c r="BB1726" s="436" t="s">
        <v>324</v>
      </c>
      <c r="BC1726" s="120"/>
      <c r="BD1726" s="459" t="s">
        <v>564</v>
      </c>
      <c r="BE1726" s="120"/>
      <c r="BF1726" s="440" t="s">
        <v>569</v>
      </c>
    </row>
    <row r="1727" spans="27:59">
      <c r="AA1727"/>
      <c r="AB1727" s="436"/>
      <c r="AC1727" s="120"/>
      <c r="AD1727" s="468"/>
      <c r="AE1727" s="469"/>
      <c r="AF1727" s="440"/>
      <c r="BA1727"/>
      <c r="BB1727" s="436"/>
      <c r="BC1727" s="120"/>
      <c r="BD1727" s="468"/>
      <c r="BE1727" s="469"/>
      <c r="BF1727" s="440"/>
    </row>
    <row r="1728" spans="27:59">
      <c r="AA1728"/>
      <c r="AB1728" s="436" t="s">
        <v>374</v>
      </c>
      <c r="AC1728" s="120"/>
      <c r="AD1728" s="459" t="s">
        <v>564</v>
      </c>
      <c r="AE1728" s="469"/>
      <c r="AF1728" s="440" t="s">
        <v>569</v>
      </c>
      <c r="BA1728"/>
      <c r="BB1728" s="436" t="s">
        <v>374</v>
      </c>
      <c r="BC1728" s="120"/>
      <c r="BD1728" s="459" t="s">
        <v>564</v>
      </c>
      <c r="BE1728" s="469"/>
      <c r="BF1728" s="440" t="s">
        <v>569</v>
      </c>
    </row>
    <row r="1729" spans="27:58">
      <c r="AA1729"/>
      <c r="AB1729" s="436"/>
      <c r="AC1729" s="120"/>
      <c r="AD1729" s="472"/>
      <c r="AE1729" s="473"/>
      <c r="AF1729" s="440"/>
      <c r="BA1729"/>
      <c r="BB1729" s="436"/>
      <c r="BC1729" s="120"/>
      <c r="BD1729" s="472"/>
      <c r="BE1729" s="473"/>
      <c r="BF1729" s="440"/>
    </row>
    <row r="1730" spans="27:58">
      <c r="AA1730"/>
      <c r="AB1730" s="436" t="s">
        <v>580</v>
      </c>
      <c r="AC1730" s="120"/>
      <c r="AD1730" s="459" t="s">
        <v>564</v>
      </c>
      <c r="AE1730" s="473"/>
      <c r="AF1730" s="440" t="s">
        <v>569</v>
      </c>
      <c r="BA1730"/>
      <c r="BB1730" s="436" t="s">
        <v>580</v>
      </c>
      <c r="BC1730" s="120"/>
      <c r="BD1730" s="459" t="s">
        <v>564</v>
      </c>
      <c r="BE1730" s="473"/>
      <c r="BF1730" s="440" t="s">
        <v>569</v>
      </c>
    </row>
    <row r="1731" spans="27:58">
      <c r="AA1731"/>
      <c r="AB1731" s="476"/>
      <c r="AC1731" s="477"/>
      <c r="AD1731" s="478"/>
      <c r="AE1731" s="479"/>
      <c r="AF1731" s="458"/>
      <c r="BA1731"/>
      <c r="BB1731" s="476"/>
      <c r="BC1731" s="477"/>
      <c r="BD1731" s="478"/>
      <c r="BE1731" s="479"/>
      <c r="BF1731" s="458"/>
    </row>
    <row r="1732" spans="27:58">
      <c r="AA1732"/>
      <c r="AB1732" s="449" t="s">
        <v>473</v>
      </c>
      <c r="AC1732" s="467" t="s">
        <v>508</v>
      </c>
      <c r="AD1732" s="480"/>
      <c r="AE1732" s="481" t="s">
        <v>308</v>
      </c>
      <c r="AF1732" s="440"/>
      <c r="BA1732"/>
      <c r="BB1732" s="449" t="s">
        <v>473</v>
      </c>
      <c r="BC1732" s="467" t="s">
        <v>508</v>
      </c>
      <c r="BD1732" s="480"/>
      <c r="BE1732" s="481" t="s">
        <v>308</v>
      </c>
      <c r="BF1732" s="440"/>
    </row>
    <row r="1733" spans="27:58">
      <c r="AB1733" s="436"/>
      <c r="AC1733" s="483"/>
      <c r="AD1733" s="480"/>
      <c r="AE1733" s="484"/>
      <c r="AF1733" s="440"/>
      <c r="BA1733"/>
      <c r="BB1733" s="436"/>
      <c r="BC1733" s="483"/>
      <c r="BD1733" s="480"/>
      <c r="BE1733" s="484"/>
      <c r="BF1733" s="440"/>
    </row>
    <row r="1734" spans="27:58">
      <c r="AB1734" s="436"/>
      <c r="AC1734" s="120"/>
      <c r="AD1734" s="223"/>
      <c r="AE1734" s="467"/>
      <c r="AF1734" s="440"/>
      <c r="BB1734" s="436"/>
      <c r="BC1734" s="120"/>
      <c r="BD1734" s="223"/>
      <c r="BE1734" s="467"/>
      <c r="BF1734" s="440"/>
    </row>
    <row r="1735" spans="27:58">
      <c r="AB1735" s="436"/>
      <c r="AC1735" s="120"/>
      <c r="AD1735" s="466"/>
      <c r="AE1735" s="467"/>
      <c r="AF1735" s="440"/>
      <c r="BB1735" s="436"/>
      <c r="BC1735" s="120"/>
      <c r="BD1735" s="466"/>
      <c r="BE1735" s="467"/>
      <c r="BF1735" s="440"/>
    </row>
    <row r="1736" spans="27:58">
      <c r="AB1736" s="436"/>
      <c r="AC1736" s="120"/>
      <c r="AD1736" s="223"/>
      <c r="AE1736" s="467"/>
      <c r="AF1736" s="440"/>
      <c r="BB1736" s="436"/>
      <c r="BC1736" s="120"/>
      <c r="BD1736" s="223"/>
      <c r="BE1736" s="467"/>
      <c r="BF1736" s="440"/>
    </row>
    <row r="1737" spans="27:58">
      <c r="AB1737" s="436"/>
      <c r="AC1737" s="120"/>
      <c r="AD1737" s="223"/>
      <c r="AE1737" s="467"/>
      <c r="AF1737" s="440"/>
      <c r="BB1737" s="436"/>
      <c r="BC1737" s="120"/>
      <c r="BD1737" s="223"/>
      <c r="BE1737" s="467"/>
      <c r="BF1737" s="440"/>
    </row>
    <row r="1738" spans="27:58">
      <c r="AB1738" s="436"/>
      <c r="AC1738" s="120"/>
      <c r="AD1738" s="471"/>
      <c r="AE1738" s="467"/>
      <c r="AF1738" s="440"/>
      <c r="BB1738" s="436"/>
      <c r="BC1738" s="120"/>
      <c r="BD1738" s="471"/>
      <c r="BE1738" s="467"/>
      <c r="BF1738" s="440"/>
    </row>
    <row r="1739" spans="27:58">
      <c r="AB1739" s="436"/>
      <c r="AC1739" s="120"/>
      <c r="AD1739" s="223"/>
      <c r="AE1739" s="467"/>
      <c r="AF1739" s="440"/>
      <c r="BB1739" s="436"/>
      <c r="BC1739" s="120"/>
      <c r="BD1739" s="223"/>
      <c r="BE1739" s="467"/>
      <c r="BF1739" s="440"/>
    </row>
    <row r="1740" spans="27:58">
      <c r="AB1740" s="436"/>
      <c r="AC1740" s="120"/>
      <c r="AD1740" s="475"/>
      <c r="AE1740" s="467"/>
      <c r="AF1740" s="440"/>
      <c r="BB1740" s="436"/>
      <c r="BC1740" s="120"/>
      <c r="BD1740" s="475"/>
      <c r="BE1740" s="467"/>
      <c r="BF1740" s="440"/>
    </row>
    <row r="1741" spans="27:58">
      <c r="AB1741" s="436"/>
      <c r="AC1741" s="120"/>
      <c r="AD1741" s="223"/>
      <c r="AE1741" s="467"/>
      <c r="AF1741" s="440"/>
      <c r="BB1741" s="436"/>
      <c r="BC1741" s="120"/>
      <c r="BD1741" s="223"/>
      <c r="BE1741" s="467"/>
      <c r="BF1741" s="440"/>
    </row>
    <row r="1742" spans="27:58">
      <c r="AB1742" s="436"/>
      <c r="AC1742" s="120"/>
      <c r="AD1742" s="223"/>
      <c r="AE1742" s="467"/>
      <c r="AF1742" s="440"/>
      <c r="BB1742" s="436"/>
      <c r="BC1742" s="120"/>
      <c r="BD1742" s="223"/>
      <c r="BE1742" s="467"/>
      <c r="BF1742" s="440"/>
    </row>
    <row r="1743" spans="27:58">
      <c r="AB1743" s="436"/>
      <c r="AC1743" s="120"/>
      <c r="AD1743" s="223"/>
      <c r="AE1743" s="467"/>
      <c r="AF1743" s="440"/>
      <c r="BB1743" s="436"/>
      <c r="BC1743" s="120"/>
      <c r="BD1743" s="223"/>
      <c r="BE1743" s="467"/>
      <c r="BF1743" s="440"/>
    </row>
    <row r="1744" spans="27:58">
      <c r="AB1744" s="436"/>
      <c r="AC1744" s="120"/>
      <c r="AD1744" s="223"/>
      <c r="AE1744" s="467"/>
      <c r="AF1744" s="440"/>
      <c r="BB1744" s="436"/>
      <c r="BC1744" s="120"/>
      <c r="BD1744" s="223"/>
      <c r="BE1744" s="467"/>
      <c r="BF1744" s="440"/>
    </row>
    <row r="1745" spans="28:58">
      <c r="AB1745" s="436"/>
      <c r="AC1745" s="120"/>
      <c r="AD1745" s="120"/>
      <c r="AE1745" s="467"/>
      <c r="AF1745" s="440"/>
      <c r="BB1745" s="436"/>
      <c r="BC1745" s="120"/>
      <c r="BD1745" s="120"/>
      <c r="BE1745" s="467"/>
      <c r="BF1745" s="440"/>
    </row>
    <row r="1746" spans="28:58">
      <c r="AB1746" s="456"/>
      <c r="AC1746" s="457"/>
      <c r="AD1746" s="457"/>
      <c r="AE1746" s="477"/>
      <c r="AF1746" s="458"/>
      <c r="BB1746" s="456"/>
      <c r="BC1746" s="457"/>
      <c r="BD1746" s="457"/>
      <c r="BE1746" s="477"/>
      <c r="BF1746" s="458"/>
    </row>
    <row r="1747" spans="28:58">
      <c r="AB1747" s="449" t="s">
        <v>474</v>
      </c>
      <c r="AC1747" s="120"/>
      <c r="AD1747" s="120" t="s">
        <v>1</v>
      </c>
      <c r="AE1747" s="310" t="s">
        <v>307</v>
      </c>
      <c r="AF1747" s="440"/>
      <c r="BB1747" s="449" t="s">
        <v>474</v>
      </c>
      <c r="BC1747" s="120"/>
      <c r="BD1747" s="120" t="s">
        <v>1</v>
      </c>
      <c r="BE1747" s="310" t="s">
        <v>307</v>
      </c>
      <c r="BF1747" s="440"/>
    </row>
    <row r="1748" spans="28:58">
      <c r="AB1748" s="436"/>
      <c r="AC1748" s="223"/>
      <c r="AD1748" s="480"/>
      <c r="AE1748" s="484"/>
      <c r="AF1748" s="440"/>
      <c r="BB1748" s="436"/>
      <c r="BC1748" s="223"/>
      <c r="BD1748" s="480"/>
      <c r="BE1748" s="484"/>
      <c r="BF1748" s="440"/>
    </row>
    <row r="1749" spans="28:58">
      <c r="AB1749" s="436"/>
      <c r="AC1749" s="120"/>
      <c r="AD1749" s="120"/>
      <c r="AE1749" s="467"/>
      <c r="AF1749" s="440"/>
      <c r="BB1749" s="436"/>
      <c r="BC1749" s="120"/>
      <c r="BD1749" s="120"/>
      <c r="BE1749" s="467"/>
      <c r="BF1749" s="440"/>
    </row>
    <row r="1750" spans="28:58">
      <c r="AB1750" s="436"/>
      <c r="AC1750" s="120"/>
      <c r="AD1750" s="120"/>
      <c r="AE1750" s="467"/>
      <c r="AF1750" s="440"/>
      <c r="BB1750" s="436"/>
      <c r="BC1750" s="120"/>
      <c r="BD1750" s="120"/>
      <c r="BE1750" s="467"/>
      <c r="BF1750" s="440"/>
    </row>
    <row r="1751" spans="28:58">
      <c r="AB1751" s="436"/>
      <c r="AC1751" s="120"/>
      <c r="AD1751" s="120"/>
      <c r="AE1751" s="467"/>
      <c r="AF1751" s="440"/>
      <c r="BB1751" s="436"/>
      <c r="BC1751" s="120"/>
      <c r="BD1751" s="120"/>
      <c r="BE1751" s="467"/>
      <c r="BF1751" s="440"/>
    </row>
    <row r="1752" spans="28:58">
      <c r="AB1752" s="436"/>
      <c r="AC1752" s="120"/>
      <c r="AD1752" s="120"/>
      <c r="AE1752" s="467"/>
      <c r="AF1752" s="440"/>
      <c r="BB1752" s="436"/>
      <c r="BC1752" s="120"/>
      <c r="BD1752" s="120"/>
      <c r="BE1752" s="467"/>
      <c r="BF1752" s="440"/>
    </row>
    <row r="1753" spans="28:58">
      <c r="AB1753" s="436"/>
      <c r="AC1753" s="120"/>
      <c r="AD1753" s="120"/>
      <c r="AE1753" s="467"/>
      <c r="AF1753" s="440"/>
      <c r="BB1753" s="436"/>
      <c r="BC1753" s="120"/>
      <c r="BD1753" s="120"/>
      <c r="BE1753" s="467"/>
      <c r="BF1753" s="440"/>
    </row>
    <row r="1754" spans="28:58">
      <c r="AB1754" s="436"/>
      <c r="AC1754" s="120"/>
      <c r="AD1754" s="120"/>
      <c r="AE1754" s="467"/>
      <c r="AF1754" s="440"/>
      <c r="BB1754" s="436"/>
      <c r="BC1754" s="120"/>
      <c r="BD1754" s="120"/>
      <c r="BE1754" s="467"/>
      <c r="BF1754" s="440"/>
    </row>
    <row r="1755" spans="28:58">
      <c r="AB1755" s="436"/>
      <c r="AC1755" s="120"/>
      <c r="AD1755" s="120"/>
      <c r="AE1755" s="467"/>
      <c r="AF1755" s="440"/>
      <c r="BB1755" s="436"/>
      <c r="BC1755" s="120"/>
      <c r="BD1755" s="120"/>
      <c r="BE1755" s="467"/>
      <c r="BF1755" s="440"/>
    </row>
    <row r="1756" spans="28:58">
      <c r="AB1756" s="436"/>
      <c r="AC1756" s="120"/>
      <c r="AD1756" s="120"/>
      <c r="AE1756" s="467"/>
      <c r="AF1756" s="440"/>
      <c r="BB1756" s="436"/>
      <c r="BC1756" s="120"/>
      <c r="BD1756" s="120"/>
      <c r="BE1756" s="467"/>
      <c r="BF1756" s="440"/>
    </row>
    <row r="1757" spans="28:58">
      <c r="AB1757" s="436"/>
      <c r="AC1757" s="120"/>
      <c r="AD1757" s="120"/>
      <c r="AE1757" s="467"/>
      <c r="AF1757" s="440"/>
      <c r="BB1757" s="436"/>
      <c r="BC1757" s="120"/>
      <c r="BD1757" s="120"/>
      <c r="BE1757" s="467"/>
      <c r="BF1757" s="440"/>
    </row>
    <row r="1758" spans="28:58">
      <c r="AB1758" s="436"/>
      <c r="AC1758" s="120"/>
      <c r="AD1758" s="120"/>
      <c r="AE1758" s="467"/>
      <c r="AF1758" s="440"/>
      <c r="BB1758" s="436"/>
      <c r="BC1758" s="120"/>
      <c r="BD1758" s="120"/>
      <c r="BE1758" s="467"/>
      <c r="BF1758" s="440"/>
    </row>
    <row r="1759" spans="28:58">
      <c r="AB1759" s="436"/>
      <c r="AC1759" s="120"/>
      <c r="AD1759" s="120"/>
      <c r="AE1759" s="467"/>
      <c r="AF1759" s="440"/>
      <c r="BB1759" s="436"/>
      <c r="BC1759" s="120"/>
      <c r="BD1759" s="120"/>
      <c r="BE1759" s="467"/>
      <c r="BF1759" s="440"/>
    </row>
    <row r="1760" spans="28:58">
      <c r="AB1760" s="456"/>
      <c r="AC1760" s="457"/>
      <c r="AD1760" s="457"/>
      <c r="AE1760" s="477"/>
      <c r="AF1760" s="458"/>
      <c r="BB1760" s="456"/>
      <c r="BC1760" s="457"/>
      <c r="BD1760" s="457"/>
      <c r="BE1760" s="477"/>
      <c r="BF1760" s="458"/>
    </row>
    <row r="1761" spans="28:58">
      <c r="AB1761" s="456"/>
      <c r="AC1761" s="457"/>
      <c r="AD1761" s="457"/>
      <c r="AE1761" s="457"/>
      <c r="AF1761" s="458"/>
      <c r="BB1761" s="456"/>
      <c r="BC1761" s="457"/>
      <c r="BD1761" s="457"/>
      <c r="BE1761" s="457"/>
      <c r="BF1761" s="458"/>
    </row>
    <row r="1762" spans="28:58">
      <c r="AB1762" s="449" t="s">
        <v>475</v>
      </c>
      <c r="AC1762" s="120"/>
      <c r="AD1762" s="120"/>
      <c r="AE1762" s="120"/>
      <c r="AF1762" s="440"/>
      <c r="BB1762" s="449" t="s">
        <v>475</v>
      </c>
      <c r="BC1762" s="120"/>
      <c r="BD1762" s="120"/>
      <c r="BE1762" s="120"/>
      <c r="BF1762" s="440"/>
    </row>
    <row r="1763" spans="28:58">
      <c r="AB1763" s="436" t="s">
        <v>509</v>
      </c>
      <c r="AC1763" s="120"/>
      <c r="AD1763" s="120"/>
      <c r="AE1763" s="120"/>
      <c r="AF1763" s="440"/>
      <c r="BB1763" s="436" t="s">
        <v>509</v>
      </c>
      <c r="BC1763" s="120"/>
      <c r="BD1763" s="120"/>
      <c r="BE1763" s="120"/>
      <c r="BF1763" s="440"/>
    </row>
    <row r="1764" spans="28:58">
      <c r="AB1764" s="436" t="s">
        <v>510</v>
      </c>
      <c r="AC1764" s="120"/>
      <c r="AD1764" s="120"/>
      <c r="AE1764" s="120"/>
      <c r="AF1764" s="440"/>
      <c r="BB1764" s="436" t="s">
        <v>510</v>
      </c>
      <c r="BC1764" s="120"/>
      <c r="BD1764" s="120"/>
      <c r="BE1764" s="120"/>
      <c r="BF1764" s="440"/>
    </row>
    <row r="1765" spans="28:58">
      <c r="AB1765" s="436"/>
      <c r="AC1765" s="120"/>
      <c r="AD1765" s="120"/>
      <c r="AE1765" s="120"/>
      <c r="AF1765" s="440"/>
      <c r="BB1765" s="436"/>
      <c r="BC1765" s="120"/>
      <c r="BD1765" s="120"/>
      <c r="BE1765" s="120"/>
      <c r="BF1765" s="440"/>
    </row>
    <row r="1766" spans="28:58">
      <c r="AB1766" s="436"/>
      <c r="AC1766" s="120"/>
      <c r="AD1766" s="120"/>
      <c r="AE1766" s="120"/>
      <c r="AF1766" s="440"/>
      <c r="BB1766" s="436"/>
      <c r="BC1766" s="120"/>
      <c r="BD1766" s="120"/>
      <c r="BE1766" s="120"/>
      <c r="BF1766" s="440"/>
    </row>
    <row r="1767" spans="28:58">
      <c r="AB1767" s="436"/>
      <c r="AC1767" s="120"/>
      <c r="AD1767" s="120"/>
      <c r="AE1767" s="120"/>
      <c r="AF1767" s="440"/>
      <c r="BB1767" s="436"/>
      <c r="BC1767" s="120"/>
      <c r="BD1767" s="120"/>
      <c r="BE1767" s="120"/>
      <c r="BF1767" s="440"/>
    </row>
    <row r="1768" spans="28:58">
      <c r="AB1768" s="436"/>
      <c r="AC1768" s="120"/>
      <c r="AD1768" s="120"/>
      <c r="AE1768" s="120"/>
      <c r="AF1768" s="440"/>
      <c r="BB1768" s="436"/>
      <c r="BC1768" s="120"/>
      <c r="BD1768" s="120"/>
      <c r="BE1768" s="120"/>
      <c r="BF1768" s="440"/>
    </row>
    <row r="1769" spans="28:58">
      <c r="AB1769" s="436" t="s">
        <v>511</v>
      </c>
      <c r="AC1769" s="120">
        <v>0</v>
      </c>
      <c r="AD1769" s="120" t="s">
        <v>512</v>
      </c>
      <c r="AE1769" s="120"/>
      <c r="AF1769" s="440"/>
      <c r="BB1769" s="436" t="s">
        <v>511</v>
      </c>
      <c r="BC1769" s="120">
        <v>0</v>
      </c>
      <c r="BD1769" s="120" t="s">
        <v>512</v>
      </c>
      <c r="BE1769" s="120"/>
      <c r="BF1769" s="440"/>
    </row>
    <row r="1770" spans="28:58">
      <c r="AB1770" s="436" t="s">
        <v>513</v>
      </c>
      <c r="AC1770" s="120">
        <v>0</v>
      </c>
      <c r="AD1770" s="120" t="s">
        <v>512</v>
      </c>
      <c r="AE1770" s="120"/>
      <c r="AF1770" s="440"/>
      <c r="BB1770" s="436" t="s">
        <v>513</v>
      </c>
      <c r="BC1770" s="120">
        <v>0</v>
      </c>
      <c r="BD1770" s="120" t="s">
        <v>512</v>
      </c>
      <c r="BE1770" s="120"/>
      <c r="BF1770" s="440"/>
    </row>
    <row r="1771" spans="28:58">
      <c r="AB1771" s="456"/>
      <c r="AC1771" s="457"/>
      <c r="AD1771" s="457"/>
      <c r="AE1771" s="457"/>
      <c r="AF1771" s="458"/>
      <c r="BB1771" s="456"/>
      <c r="BC1771" s="457"/>
      <c r="BD1771" s="457"/>
      <c r="BE1771" s="457"/>
      <c r="BF1771" s="458"/>
    </row>
    <row r="1772" spans="28:58">
      <c r="AB1772" s="449" t="s">
        <v>461</v>
      </c>
      <c r="AC1772" s="120"/>
      <c r="AD1772" s="120"/>
      <c r="AE1772" s="120"/>
      <c r="AF1772" s="440"/>
      <c r="BB1772" s="449" t="s">
        <v>461</v>
      </c>
      <c r="BC1772" s="120"/>
      <c r="BD1772" s="120"/>
      <c r="BE1772" s="120"/>
      <c r="BF1772" s="440"/>
    </row>
    <row r="1773" spans="28:58">
      <c r="AB1773" s="436" t="s">
        <v>514</v>
      </c>
      <c r="AC1773" s="120">
        <f>VLOOKUP(AB1701,'Unit Ops'!$B$140:$K$209,10,FALSE)</f>
        <v>20</v>
      </c>
      <c r="AD1773" s="120" t="s">
        <v>515</v>
      </c>
      <c r="AE1773" s="120"/>
      <c r="AF1773" s="440"/>
      <c r="BB1773" s="436" t="s">
        <v>514</v>
      </c>
      <c r="BC1773" s="120">
        <f>VLOOKUP(BB1701,'Unit Ops'!$B$140:$K$209,10,FALSE)</f>
        <v>0</v>
      </c>
      <c r="BD1773" s="120" t="s">
        <v>515</v>
      </c>
      <c r="BE1773" s="120"/>
      <c r="BF1773" s="440"/>
    </row>
    <row r="1774" spans="28:58">
      <c r="AB1774" s="436" t="s">
        <v>516</v>
      </c>
      <c r="AC1774" s="120">
        <v>0</v>
      </c>
      <c r="AD1774" s="120" t="s">
        <v>515</v>
      </c>
      <c r="AE1774" s="120"/>
      <c r="AF1774" s="440"/>
      <c r="BB1774" s="436" t="s">
        <v>516</v>
      </c>
      <c r="BC1774" s="120">
        <v>0</v>
      </c>
      <c r="BD1774" s="120" t="s">
        <v>515</v>
      </c>
      <c r="BE1774" s="120"/>
      <c r="BF1774" s="440"/>
    </row>
    <row r="1775" spans="28:58">
      <c r="AB1775" s="436"/>
      <c r="AC1775" s="120"/>
      <c r="AD1775" s="120"/>
      <c r="AE1775" s="120"/>
      <c r="AF1775" s="440"/>
      <c r="BB1775" s="436"/>
      <c r="BC1775" s="120"/>
      <c r="BD1775" s="120"/>
      <c r="BE1775" s="120"/>
      <c r="BF1775" s="440"/>
    </row>
    <row r="1776" spans="28:58">
      <c r="AB1776" s="436"/>
      <c r="AC1776" s="120"/>
      <c r="AD1776" s="120"/>
      <c r="AE1776" s="120"/>
      <c r="AF1776" s="440"/>
      <c r="BB1776" s="436"/>
      <c r="BC1776" s="120"/>
      <c r="BD1776" s="120"/>
      <c r="BE1776" s="120"/>
      <c r="BF1776" s="440"/>
    </row>
    <row r="1777" spans="28:58">
      <c r="AB1777" s="436"/>
      <c r="AC1777" s="120"/>
      <c r="AD1777" s="120"/>
      <c r="AE1777" s="120"/>
      <c r="AF1777" s="440"/>
      <c r="BB1777" s="436"/>
      <c r="BC1777" s="120"/>
      <c r="BD1777" s="120"/>
      <c r="BE1777" s="120"/>
      <c r="BF1777" s="440"/>
    </row>
    <row r="1778" spans="28:58">
      <c r="AB1778" s="436"/>
      <c r="AC1778" s="120"/>
      <c r="AD1778" s="120"/>
      <c r="AE1778" s="120"/>
      <c r="AF1778" s="440"/>
      <c r="BB1778" s="436"/>
      <c r="BC1778" s="120"/>
      <c r="BD1778" s="120"/>
      <c r="BE1778" s="120"/>
      <c r="BF1778" s="440"/>
    </row>
    <row r="1779" spans="28:58">
      <c r="AB1779" s="436"/>
      <c r="AC1779" s="120"/>
      <c r="AD1779" s="120"/>
      <c r="AE1779" s="120"/>
      <c r="AF1779" s="440"/>
      <c r="BB1779" s="436"/>
      <c r="BC1779" s="120"/>
      <c r="BD1779" s="120"/>
      <c r="BE1779" s="120"/>
      <c r="BF1779" s="440"/>
    </row>
    <row r="1780" spans="28:58">
      <c r="AB1780" s="436" t="s">
        <v>464</v>
      </c>
      <c r="AC1780" s="120"/>
      <c r="AD1780" s="120"/>
      <c r="AE1780" s="120"/>
      <c r="AF1780" s="440"/>
      <c r="BB1780" s="436" t="s">
        <v>464</v>
      </c>
      <c r="BC1780" s="120"/>
      <c r="BD1780" s="120"/>
      <c r="BE1780" s="120"/>
      <c r="BF1780" s="440"/>
    </row>
    <row r="1781" spans="28:58">
      <c r="AB1781" s="456"/>
      <c r="AC1781" s="457"/>
      <c r="AD1781" s="457"/>
      <c r="AE1781" s="457"/>
      <c r="AF1781" s="458"/>
      <c r="BB1781" s="456"/>
      <c r="BC1781" s="457"/>
      <c r="BD1781" s="457"/>
      <c r="BE1781" s="457"/>
      <c r="BF1781" s="458"/>
    </row>
    <row r="1782" spans="28:58">
      <c r="AB1782" s="449" t="s">
        <v>472</v>
      </c>
      <c r="AC1782" s="467" t="s">
        <v>517</v>
      </c>
      <c r="AD1782" s="120" t="s">
        <v>518</v>
      </c>
      <c r="AE1782" s="467" t="s">
        <v>519</v>
      </c>
      <c r="AF1782" s="440" t="s">
        <v>518</v>
      </c>
      <c r="BB1782" s="449" t="s">
        <v>472</v>
      </c>
      <c r="BC1782" s="467" t="s">
        <v>517</v>
      </c>
      <c r="BD1782" s="120" t="s">
        <v>518</v>
      </c>
      <c r="BE1782" s="467" t="s">
        <v>519</v>
      </c>
      <c r="BF1782" s="440" t="s">
        <v>518</v>
      </c>
    </row>
    <row r="1783" spans="28:58">
      <c r="AB1783" s="436" t="s">
        <v>520</v>
      </c>
      <c r="AC1783" s="120"/>
      <c r="AD1783" s="120"/>
      <c r="AE1783" s="472" t="e">
        <f>((VLOOKUP(AB1701,'Unit Ops'!$B$140:$J$209,3,FALSE)*AC1703^VLOOKUP(AB1701,'Unit Ops'!$B$140:$J$209,4,FALSE)+VLOOKUP(AB1701,'Unit Ops'!$B$140:$J$209,5,FALSE))*VLOOKUP(AB1701,'Unit Ops'!$B$140:$J$209,6,FALSE))*IF(VLOOKUP(AB1701,'Unit Ops'!$B$140:$L$209,11,FALSE)=1,1,2)</f>
        <v>#NUM!</v>
      </c>
      <c r="AF1783" s="490">
        <f>'CM Rec Par.'!$C$7</f>
        <v>2022</v>
      </c>
      <c r="BB1783" s="436" t="s">
        <v>520</v>
      </c>
      <c r="BC1783" s="120"/>
      <c r="BD1783" s="120"/>
      <c r="BE1783" s="472">
        <f>((VLOOKUP(BB1701,'Unit Ops'!$B$140:$J$209,3,FALSE)*BC1703^VLOOKUP(BB1701,'Unit Ops'!$B$140:$J$209,4,FALSE)+VLOOKUP(BB1701,'Unit Ops'!$B$140:$J$209,5,FALSE))*VLOOKUP(BB1701,'Unit Ops'!$B$140:$J$209,6,FALSE))*IF(VLOOKUP(BB1701,'Unit Ops'!$B$140:$L$209,11,FALSE)=1,1,2)</f>
        <v>0</v>
      </c>
      <c r="BF1783" s="490">
        <f>'CM Rec Par.'!$C$7</f>
        <v>2022</v>
      </c>
    </row>
    <row r="1784" spans="28:58">
      <c r="AB1784" s="436"/>
      <c r="AC1784" s="120"/>
      <c r="AD1784" s="120"/>
      <c r="AE1784" s="120"/>
      <c r="AF1784" s="440"/>
      <c r="BB1784" s="436"/>
      <c r="BC1784" s="120"/>
      <c r="BD1784" s="120"/>
      <c r="BE1784" s="120"/>
      <c r="BF1784" s="440"/>
    </row>
    <row r="1785" spans="28:58">
      <c r="AB1785" s="436"/>
      <c r="AC1785" s="120"/>
      <c r="AD1785" s="120"/>
      <c r="AE1785" s="120"/>
      <c r="AF1785" s="440"/>
      <c r="BB1785" s="436"/>
      <c r="BC1785" s="120"/>
      <c r="BD1785" s="120"/>
      <c r="BE1785" s="120"/>
      <c r="BF1785" s="440"/>
    </row>
    <row r="1786" spans="28:58">
      <c r="AB1786" s="436"/>
      <c r="AC1786" s="120"/>
      <c r="AD1786" s="120"/>
      <c r="AE1786" s="120"/>
      <c r="AF1786" s="440"/>
      <c r="BB1786" s="436"/>
      <c r="BC1786" s="120"/>
      <c r="BD1786" s="120"/>
      <c r="BE1786" s="120"/>
      <c r="BF1786" s="440"/>
    </row>
    <row r="1787" spans="28:58">
      <c r="AB1787" s="436"/>
      <c r="AC1787" s="120"/>
      <c r="AD1787" s="120"/>
      <c r="AE1787" s="120"/>
      <c r="AF1787" s="440"/>
      <c r="BB1787" s="436"/>
      <c r="BC1787" s="120"/>
      <c r="BD1787" s="120"/>
      <c r="BE1787" s="120"/>
      <c r="BF1787" s="440"/>
    </row>
    <row r="1788" spans="28:58">
      <c r="AB1788" s="436"/>
      <c r="AC1788" s="120"/>
      <c r="AD1788" s="120"/>
      <c r="AE1788" s="120"/>
      <c r="AF1788" s="440"/>
      <c r="BB1788" s="436"/>
      <c r="BC1788" s="120"/>
      <c r="BD1788" s="120"/>
      <c r="BE1788" s="120"/>
      <c r="BF1788" s="440"/>
    </row>
    <row r="1789" spans="28:58">
      <c r="AB1789" s="436"/>
      <c r="AC1789" s="120"/>
      <c r="AD1789" s="120"/>
      <c r="AE1789" s="120"/>
      <c r="AF1789" s="440"/>
      <c r="BB1789" s="436"/>
      <c r="BC1789" s="120"/>
      <c r="BD1789" s="120"/>
      <c r="BE1789" s="120"/>
      <c r="BF1789" s="440"/>
    </row>
    <row r="1790" spans="28:58">
      <c r="AB1790" s="436"/>
      <c r="AC1790" s="120"/>
      <c r="AD1790" s="120"/>
      <c r="AE1790" s="120"/>
      <c r="AF1790" s="440"/>
      <c r="BB1790" s="436"/>
      <c r="BC1790" s="120"/>
      <c r="BD1790" s="120"/>
      <c r="BE1790" s="120"/>
      <c r="BF1790" s="440"/>
    </row>
    <row r="1791" spans="28:58">
      <c r="AB1791" s="436"/>
      <c r="AC1791" s="120"/>
      <c r="AD1791" s="120"/>
      <c r="AE1791" s="120"/>
      <c r="AF1791" s="440"/>
      <c r="BB1791" s="436"/>
      <c r="BC1791" s="120"/>
      <c r="BD1791" s="120"/>
      <c r="BE1791" s="120"/>
      <c r="BF1791" s="440"/>
    </row>
    <row r="1792" spans="28:58">
      <c r="AB1792" s="436"/>
      <c r="AC1792" s="120"/>
      <c r="AD1792" s="120"/>
      <c r="AE1792" s="120"/>
      <c r="AF1792" s="440"/>
      <c r="BB1792" s="436"/>
      <c r="BC1792" s="120"/>
      <c r="BD1792" s="120"/>
      <c r="BE1792" s="120"/>
      <c r="BF1792" s="440"/>
    </row>
    <row r="1793" spans="27:59">
      <c r="AB1793" s="436"/>
      <c r="AC1793" s="120"/>
      <c r="AD1793" s="120"/>
      <c r="AE1793" s="120"/>
      <c r="AF1793" s="440"/>
      <c r="BB1793" s="436"/>
      <c r="BC1793" s="120"/>
      <c r="BD1793" s="120"/>
      <c r="BE1793" s="120"/>
      <c r="BF1793" s="440"/>
    </row>
    <row r="1794" spans="27:59">
      <c r="AB1794" s="436"/>
      <c r="AC1794" s="120"/>
      <c r="AD1794" s="120"/>
      <c r="AE1794" s="120"/>
      <c r="AF1794" s="440"/>
      <c r="BB1794" s="436"/>
      <c r="BC1794" s="120"/>
      <c r="BD1794" s="120"/>
      <c r="BE1794" s="120"/>
      <c r="BF1794" s="440"/>
    </row>
    <row r="1795" spans="27:59">
      <c r="AB1795" s="436"/>
      <c r="AC1795" s="120"/>
      <c r="AD1795" s="120"/>
      <c r="AE1795" s="120"/>
      <c r="AF1795" s="440"/>
      <c r="BB1795" s="436"/>
      <c r="BC1795" s="120"/>
      <c r="BD1795" s="120"/>
      <c r="BE1795" s="120"/>
      <c r="BF1795" s="440"/>
    </row>
    <row r="1796" spans="27:59">
      <c r="AB1796" s="436"/>
      <c r="AC1796" s="120"/>
      <c r="AD1796" s="120"/>
      <c r="AE1796" s="120"/>
      <c r="AF1796" s="440"/>
      <c r="BB1796" s="436"/>
      <c r="BC1796" s="120"/>
      <c r="BD1796" s="120"/>
      <c r="BE1796" s="120"/>
      <c r="BF1796" s="440"/>
    </row>
    <row r="1797" spans="27:59" ht="14.5" thickBot="1">
      <c r="AB1797" s="492"/>
      <c r="AC1797" s="493"/>
      <c r="AD1797" s="493"/>
      <c r="AE1797" s="493"/>
      <c r="AF1797" s="453"/>
      <c r="BB1797" s="492"/>
      <c r="BC1797" s="493"/>
      <c r="BD1797" s="493"/>
      <c r="BE1797" s="493"/>
      <c r="BF1797" s="453"/>
    </row>
    <row r="1800" spans="27:59" ht="14.5" thickBot="1"/>
    <row r="1801" spans="27:59">
      <c r="AA1801" s="114" t="s">
        <v>478</v>
      </c>
      <c r="AB1801" s="431" t="str">
        <f>AB57</f>
        <v>Select Equipment</v>
      </c>
      <c r="AC1801" s="432"/>
      <c r="AD1801" s="433"/>
      <c r="AE1801" s="434"/>
      <c r="AF1801" s="435"/>
      <c r="BB1801" s="431" t="str">
        <f>BB58</f>
        <v>Select Equipment</v>
      </c>
      <c r="BC1801" s="432"/>
      <c r="BD1801" s="433"/>
      <c r="BE1801" s="434"/>
      <c r="BF1801" s="435"/>
    </row>
    <row r="1802" spans="27:59">
      <c r="AA1802" s="114" t="s">
        <v>5</v>
      </c>
      <c r="AB1802" s="436" t="s">
        <v>1</v>
      </c>
      <c r="AC1802" s="437">
        <f>AC$14/AC$11/AC$10*VLOOKUP(AB1801,'Unit Ops'!$B$140:$J$209,2,FALSE)</f>
        <v>0</v>
      </c>
      <c r="AD1802" s="438" t="s">
        <v>586</v>
      </c>
      <c r="AE1802" s="1027">
        <f>AC1802*AC$306*AC$307</f>
        <v>0</v>
      </c>
      <c r="AF1802" s="439" t="s">
        <v>585</v>
      </c>
      <c r="AG1802" s="408"/>
      <c r="BA1802" s="114" t="s">
        <v>478</v>
      </c>
      <c r="BB1802" s="436" t="s">
        <v>1</v>
      </c>
      <c r="BC1802" s="437">
        <f>BC$15/BC$11/BC$12*VLOOKUP(BB1801,'Unit Ops'!$B$140:$J$209,2,FALSE)</f>
        <v>0</v>
      </c>
      <c r="BD1802" s="438" t="s">
        <v>586</v>
      </c>
      <c r="BE1802" s="1027">
        <f>BC1802*BC$306*BC$307</f>
        <v>0</v>
      </c>
      <c r="BF1802" s="439" t="s">
        <v>585</v>
      </c>
    </row>
    <row r="1803" spans="27:59">
      <c r="AA1803" s="114" t="str">
        <f>$AB$44</f>
        <v>Hopper</v>
      </c>
      <c r="AB1803" s="436" t="s">
        <v>505</v>
      </c>
      <c r="AC1803" s="437">
        <f>ROUNDUP(AC1802*IF(VLOOKUP(AB1801,'Unit Ops'!$B$140:$L$209,11,FALSE)=1,1.5,0.75),1)</f>
        <v>0</v>
      </c>
      <c r="AD1803" s="438" t="s">
        <v>586</v>
      </c>
      <c r="AE1803" s="120">
        <f>AC1803*AC$306*AC$307</f>
        <v>0</v>
      </c>
      <c r="AF1803" s="439" t="s">
        <v>585</v>
      </c>
      <c r="AG1803" s="520"/>
      <c r="BA1803" s="114" t="s">
        <v>5</v>
      </c>
      <c r="BB1803" s="436" t="s">
        <v>505</v>
      </c>
      <c r="BC1803" s="437">
        <f>ROUNDUP(BC1802*IF(VLOOKUP(BB1801,'Unit Ops'!$B$140:$L$209,11,FALSE)=1,1.5,0.75),1)</f>
        <v>0</v>
      </c>
      <c r="BD1803" s="438" t="s">
        <v>586</v>
      </c>
      <c r="BE1803" s="120">
        <f>BC1803*BC$306*BC$307</f>
        <v>0</v>
      </c>
      <c r="BF1803" s="439" t="s">
        <v>585</v>
      </c>
      <c r="BG1803" s="408"/>
    </row>
    <row r="1804" spans="27:59">
      <c r="AA1804" s="114" t="str">
        <f>$AB$45</f>
        <v>Conveyor</v>
      </c>
      <c r="AB1804" s="441" t="s">
        <v>521</v>
      </c>
      <c r="AC1804" s="442" t="e">
        <f>AC1802/AC1803</f>
        <v>#DIV/0!</v>
      </c>
      <c r="AD1804" s="438"/>
      <c r="AE1804" s="443"/>
      <c r="AF1804" s="440"/>
      <c r="AG1804" s="521"/>
      <c r="BA1804" s="114" t="str">
        <f>$BB$45</f>
        <v>Select Equipment</v>
      </c>
      <c r="BB1804" s="441" t="s">
        <v>521</v>
      </c>
      <c r="BC1804" s="442" t="e">
        <f>BC1802/BC1803</f>
        <v>#DIV/0!</v>
      </c>
      <c r="BD1804" s="438"/>
      <c r="BE1804" s="443"/>
      <c r="BF1804" s="440"/>
      <c r="BG1804" s="520"/>
    </row>
    <row r="1805" spans="27:59">
      <c r="AA1805" s="114" t="str">
        <f>$AB$46</f>
        <v>Crusher</v>
      </c>
      <c r="AB1805" s="441" t="s">
        <v>506</v>
      </c>
      <c r="AC1805" s="445"/>
      <c r="AD1805" s="438" t="s">
        <v>454</v>
      </c>
      <c r="AE1805" s="443"/>
      <c r="AF1805" s="440"/>
      <c r="AG1805" s="408"/>
      <c r="BA1805" s="114" t="str">
        <f>$BB$46</f>
        <v>Select Equipment</v>
      </c>
      <c r="BB1805" s="441" t="s">
        <v>506</v>
      </c>
      <c r="BC1805" s="445"/>
      <c r="BD1805" s="438" t="s">
        <v>454</v>
      </c>
      <c r="BE1805" s="443"/>
      <c r="BF1805" s="440"/>
      <c r="BG1805" s="521"/>
    </row>
    <row r="1806" spans="27:59">
      <c r="AA1806" s="114" t="str">
        <f>$AB$47</f>
        <v>Screen, vibrating</v>
      </c>
      <c r="AB1806" s="436" t="s">
        <v>507</v>
      </c>
      <c r="AC1806" s="225" t="e">
        <f>(VLOOKUP(AB1801,'Unit Ops'!$B$140:$J$209,7,FALSE)*AC1803^VLOOKUP(AB1801,'Unit Ops'!$B$140:$J$209,8,FALSE)+VLOOKUP(AB1801,'Unit Ops'!$B$140:$J$209,9,FALSE))*IF(VLOOKUP(AB1801,'Unit Ops'!$B$140:$L$209,11,FALSE)=1,1,2)</f>
        <v>#NUM!</v>
      </c>
      <c r="AD1806" s="446" t="s">
        <v>454</v>
      </c>
      <c r="AE1806" s="443"/>
      <c r="AF1806" s="440"/>
      <c r="AG1806" s="521"/>
      <c r="BA1806" s="114" t="str">
        <f>$BB$47</f>
        <v>Select Equipment</v>
      </c>
      <c r="BB1806" s="436" t="s">
        <v>507</v>
      </c>
      <c r="BC1806" s="225" t="e">
        <f>(VLOOKUP(BB1801,'Unit Ops'!$B$140:$J$209,7,FALSE)*BC1803^VLOOKUP(BB1801,'Unit Ops'!$B$140:$J$209,8,FALSE)+VLOOKUP(BB1801,'Unit Ops'!$B$140:$J$209,9,FALSE))*IF(VLOOKUP(BB1801,'Unit Ops'!$B$140:$L$209,11,FALSE)=1,1,2)</f>
        <v>#NUM!</v>
      </c>
      <c r="BD1806" s="446" t="s">
        <v>454</v>
      </c>
      <c r="BE1806" s="443"/>
      <c r="BF1806" s="440"/>
      <c r="BG1806" s="408"/>
    </row>
    <row r="1807" spans="27:59">
      <c r="AA1807" s="114" t="str">
        <f>$AB$48</f>
        <v>Conveyor</v>
      </c>
      <c r="AB1807" s="441"/>
      <c r="AC1807" s="445"/>
      <c r="AD1807" s="447"/>
      <c r="AE1807" s="443"/>
      <c r="AF1807" s="440"/>
      <c r="AG1807" s="470"/>
      <c r="BA1807" s="114" t="str">
        <f>$BB$48</f>
        <v>Select Equipment</v>
      </c>
      <c r="BB1807" s="441"/>
      <c r="BC1807" s="445"/>
      <c r="BD1807" s="447"/>
      <c r="BE1807" s="443"/>
      <c r="BF1807" s="440"/>
      <c r="BG1807" s="521"/>
    </row>
    <row r="1808" spans="27:59">
      <c r="AA1808" s="114" t="str">
        <f>$AB$49</f>
        <v>Heat treatment furnace</v>
      </c>
      <c r="AB1808" s="441"/>
      <c r="AC1808" s="445"/>
      <c r="AD1808" s="447"/>
      <c r="AE1808" s="443"/>
      <c r="AF1808" s="440"/>
      <c r="AG1808" s="521"/>
      <c r="BA1808" s="114" t="str">
        <f>$BB$49</f>
        <v>Select Equipment</v>
      </c>
      <c r="BB1808" s="441"/>
      <c r="BC1808" s="445"/>
      <c r="BD1808" s="447"/>
      <c r="BE1808" s="443"/>
      <c r="BF1808" s="440"/>
      <c r="BG1808" s="470"/>
    </row>
    <row r="1809" spans="27:59">
      <c r="AA1809" s="114" t="str">
        <f>$AB$50</f>
        <v>Cyclone</v>
      </c>
      <c r="AB1809" s="449"/>
      <c r="AC1809" s="445"/>
      <c r="AD1809" s="447"/>
      <c r="AE1809" s="443"/>
      <c r="AF1809" s="440"/>
      <c r="AG1809" s="507"/>
      <c r="BA1809" s="114" t="str">
        <f>$BB$50</f>
        <v>Select Equipment</v>
      </c>
      <c r="BB1809" s="449"/>
      <c r="BC1809" s="445"/>
      <c r="BD1809" s="447"/>
      <c r="BE1809" s="443"/>
      <c r="BF1809" s="440"/>
      <c r="BG1809" s="521"/>
    </row>
    <row r="1810" spans="27:59" ht="14.5" thickBot="1">
      <c r="AA1810" s="114" t="str">
        <f>$AB$51</f>
        <v>Conveyor</v>
      </c>
      <c r="AB1810" s="450"/>
      <c r="AC1810" s="451"/>
      <c r="AD1810" s="451"/>
      <c r="AE1810" s="452"/>
      <c r="AF1810" s="453"/>
      <c r="AG1810" s="521"/>
      <c r="BA1810" s="114" t="str">
        <f>$BB$51</f>
        <v>Select Equipment</v>
      </c>
      <c r="BB1810" s="450"/>
      <c r="BC1810" s="451"/>
      <c r="BD1810" s="451"/>
      <c r="BE1810" s="452"/>
      <c r="BF1810" s="453"/>
      <c r="BG1810" s="507"/>
    </row>
    <row r="1811" spans="27:59">
      <c r="AA1811" s="114" t="str">
        <f>$AB$52</f>
        <v>Eddy current separator</v>
      </c>
      <c r="AB1811" s="449" t="s">
        <v>470</v>
      </c>
      <c r="AC1811" s="120"/>
      <c r="AD1811" s="454"/>
      <c r="AE1811" s="120"/>
      <c r="AF1811" s="440"/>
      <c r="AG1811" s="474"/>
      <c r="BA1811" s="114" t="str">
        <f>$BB$52</f>
        <v>Select Equipment</v>
      </c>
      <c r="BB1811" s="449" t="s">
        <v>470</v>
      </c>
      <c r="BC1811" s="120"/>
      <c r="BD1811" s="454"/>
      <c r="BE1811" s="120"/>
      <c r="BF1811" s="440"/>
      <c r="BG1811" s="521"/>
    </row>
    <row r="1812" spans="27:59" ht="14.5" customHeight="1">
      <c r="AA1812" s="114" t="str">
        <f>$AB$53</f>
        <v>Conveyor</v>
      </c>
      <c r="AB1812" s="1698"/>
      <c r="AC1812" s="1699"/>
      <c r="AD1812" s="1699"/>
      <c r="AE1812" s="1699"/>
      <c r="AF1812" s="1700"/>
      <c r="AG1812" s="474"/>
      <c r="BA1812" s="114" t="str">
        <f>$BB$53</f>
        <v>Select Equipment</v>
      </c>
      <c r="BB1812" s="1698"/>
      <c r="BC1812" s="1699"/>
      <c r="BD1812" s="1699"/>
      <c r="BE1812" s="1699"/>
      <c r="BF1812" s="1700"/>
      <c r="BG1812" s="474"/>
    </row>
    <row r="1813" spans="27:59">
      <c r="AA1813" s="114" t="str">
        <f>$AB$54</f>
        <v>Air classifier</v>
      </c>
      <c r="AB1813" s="436"/>
      <c r="AC1813" s="120"/>
      <c r="AD1813" s="455"/>
      <c r="AE1813" s="120"/>
      <c r="AF1813" s="440"/>
      <c r="BA1813" s="114" t="str">
        <f>$BB$54</f>
        <v>Select Equipment</v>
      </c>
      <c r="BB1813" s="436"/>
      <c r="BC1813" s="120"/>
      <c r="BD1813" s="455"/>
      <c r="BE1813" s="120"/>
      <c r="BF1813" s="440"/>
      <c r="BG1813" s="474"/>
    </row>
    <row r="1814" spans="27:59">
      <c r="AA1814" s="114" t="str">
        <f>$AB$55</f>
        <v>Gas treatment</v>
      </c>
      <c r="AB1814" s="436"/>
      <c r="AC1814" s="120"/>
      <c r="AD1814" s="455"/>
      <c r="AE1814" s="120"/>
      <c r="AF1814" s="440"/>
      <c r="BA1814" s="114" t="str">
        <f>$BB$55</f>
        <v>Select Equipment</v>
      </c>
      <c r="BB1814" s="436"/>
      <c r="BC1814" s="120"/>
      <c r="BD1814" s="455"/>
      <c r="BE1814" s="120"/>
      <c r="BF1814" s="440"/>
    </row>
    <row r="1815" spans="27:59">
      <c r="AA1815" s="114" t="str">
        <f>$AB$56</f>
        <v>Wheel loader</v>
      </c>
      <c r="AB1815" s="456"/>
      <c r="AC1815" s="457"/>
      <c r="AD1815" s="457"/>
      <c r="AE1815" s="457"/>
      <c r="AF1815" s="458"/>
      <c r="BA1815" s="114" t="str">
        <f>$BB$56</f>
        <v>Select Equipment</v>
      </c>
      <c r="BB1815" s="456"/>
      <c r="BC1815" s="457"/>
      <c r="BD1815" s="457"/>
      <c r="BE1815" s="457"/>
      <c r="BF1815" s="458"/>
    </row>
    <row r="1816" spans="27:59">
      <c r="AA1816" s="114" t="str">
        <f>$AB$57</f>
        <v>Select Equipment</v>
      </c>
      <c r="AB1816" s="449" t="s">
        <v>471</v>
      </c>
      <c r="AC1816" s="120"/>
      <c r="AD1816" s="454"/>
      <c r="AE1816" s="120"/>
      <c r="AF1816" s="440"/>
      <c r="BA1816" s="114" t="str">
        <f>$BB$57</f>
        <v>Select Equipment</v>
      </c>
      <c r="BB1816" s="449" t="s">
        <v>471</v>
      </c>
      <c r="BC1816" s="120"/>
      <c r="BD1816" s="454"/>
      <c r="BE1816" s="120"/>
      <c r="BF1816" s="440"/>
    </row>
    <row r="1817" spans="27:59">
      <c r="AA1817" s="114" t="str">
        <f>$AB$58</f>
        <v>Select Equipment</v>
      </c>
      <c r="AB1817" s="436" t="s">
        <v>577</v>
      </c>
      <c r="AC1817" s="225" t="e">
        <f>AC1806*IF(AC1804&gt;1,1,AC1804)</f>
        <v>#NUM!</v>
      </c>
      <c r="AD1817" s="446" t="s">
        <v>454</v>
      </c>
      <c r="AE1817" s="120"/>
      <c r="AF1817" s="440"/>
      <c r="BA1817" s="114" t="str">
        <f>$BB$58</f>
        <v>Select Equipment</v>
      </c>
      <c r="BB1817" s="436" t="s">
        <v>577</v>
      </c>
      <c r="BC1817" s="225" t="e">
        <f>BC1806*IF(BC1804&gt;1,1,BC1804)</f>
        <v>#NUM!</v>
      </c>
      <c r="BD1817" s="446" t="s">
        <v>454</v>
      </c>
      <c r="BE1817" s="120"/>
      <c r="BF1817" s="440"/>
    </row>
    <row r="1818" spans="27:59">
      <c r="AA1818" s="114" t="str">
        <f>$AB$59</f>
        <v>Select Equipment</v>
      </c>
      <c r="AB1818" s="436" t="s">
        <v>578</v>
      </c>
      <c r="AC1818" s="225"/>
      <c r="AD1818" s="446" t="s">
        <v>579</v>
      </c>
      <c r="AE1818" s="120"/>
      <c r="AF1818" s="440"/>
      <c r="BA1818" s="114" t="str">
        <f>$BB$59</f>
        <v>Select Equipment</v>
      </c>
      <c r="BB1818" s="436" t="s">
        <v>578</v>
      </c>
      <c r="BC1818" s="225"/>
      <c r="BD1818" s="446" t="s">
        <v>579</v>
      </c>
      <c r="BE1818" s="120"/>
      <c r="BF1818" s="440"/>
    </row>
    <row r="1819" spans="27:59">
      <c r="AA1819" s="114" t="str">
        <f>$AB$60</f>
        <v>Select Equipment</v>
      </c>
      <c r="AB1819" s="436"/>
      <c r="AC1819" s="120"/>
      <c r="AD1819" s="446"/>
      <c r="AE1819" s="120"/>
      <c r="AF1819" s="440"/>
      <c r="BA1819" s="114" t="str">
        <f>$BB$60</f>
        <v>Select Equipment</v>
      </c>
      <c r="BB1819" s="436"/>
      <c r="BC1819" s="120"/>
      <c r="BD1819" s="446"/>
      <c r="BE1819" s="120"/>
      <c r="BF1819" s="440"/>
    </row>
    <row r="1820" spans="27:59">
      <c r="AA1820" s="114" t="str">
        <f>$AB$61</f>
        <v>Select Equipment</v>
      </c>
      <c r="AB1820" s="436" t="s">
        <v>8</v>
      </c>
      <c r="AC1820" s="120"/>
      <c r="AD1820" s="459" t="s">
        <v>564</v>
      </c>
      <c r="AE1820" s="120"/>
      <c r="AF1820" s="440"/>
      <c r="BA1820" s="114" t="str">
        <f>$BB$61</f>
        <v>Select Equipment</v>
      </c>
      <c r="BB1820" s="436" t="s">
        <v>8</v>
      </c>
      <c r="BC1820" s="120"/>
      <c r="BD1820" s="459" t="s">
        <v>564</v>
      </c>
      <c r="BE1820" s="120"/>
      <c r="BF1820" s="440"/>
    </row>
    <row r="1821" spans="27:59">
      <c r="AA1821" s="114" t="str">
        <f>$AB$62</f>
        <v>Select Equipment</v>
      </c>
      <c r="AB1821" s="436"/>
      <c r="AC1821" s="120"/>
      <c r="AD1821" s="459"/>
      <c r="AE1821" s="120"/>
      <c r="AF1821" s="440"/>
      <c r="BA1821" s="114" t="str">
        <f>$BB$62</f>
        <v>Select Equipment</v>
      </c>
      <c r="BB1821" s="436"/>
      <c r="BC1821" s="120"/>
      <c r="BD1821" s="459"/>
      <c r="BE1821" s="120"/>
      <c r="BF1821" s="440"/>
    </row>
    <row r="1822" spans="27:59">
      <c r="AA1822" s="114" t="str">
        <f>$AB$63</f>
        <v>Select Equipment</v>
      </c>
      <c r="AB1822" s="436" t="s">
        <v>7</v>
      </c>
      <c r="AC1822" s="120"/>
      <c r="AD1822" s="459" t="s">
        <v>564</v>
      </c>
      <c r="AE1822" s="120"/>
      <c r="AF1822" s="440"/>
      <c r="BA1822" s="114" t="str">
        <f>$BB$63</f>
        <v>Select Equipment</v>
      </c>
      <c r="BB1822" s="436" t="s">
        <v>7</v>
      </c>
      <c r="BC1822" s="120"/>
      <c r="BD1822" s="459" t="s">
        <v>564</v>
      </c>
      <c r="BE1822" s="120"/>
      <c r="BF1822" s="440"/>
    </row>
    <row r="1823" spans="27:59">
      <c r="AA1823"/>
      <c r="AB1823" s="436"/>
      <c r="AC1823" s="120"/>
      <c r="AD1823" s="459"/>
      <c r="AE1823" s="120"/>
      <c r="AF1823" s="440"/>
      <c r="BA1823" s="114" t="str">
        <f>$BB$64</f>
        <v>Select Equipment</v>
      </c>
      <c r="BB1823" s="436"/>
      <c r="BC1823" s="120"/>
      <c r="BD1823" s="459"/>
      <c r="BE1823" s="120"/>
      <c r="BF1823" s="440"/>
    </row>
    <row r="1824" spans="27:59">
      <c r="AA1824"/>
      <c r="AB1824" s="436" t="s">
        <v>9</v>
      </c>
      <c r="AC1824" s="120"/>
      <c r="AD1824" s="459" t="s">
        <v>564</v>
      </c>
      <c r="AE1824" s="120"/>
      <c r="AF1824" s="440"/>
      <c r="BA1824"/>
      <c r="BB1824" s="436" t="s">
        <v>9</v>
      </c>
      <c r="BC1824" s="120"/>
      <c r="BD1824" s="459" t="s">
        <v>564</v>
      </c>
      <c r="BE1824" s="120"/>
      <c r="BF1824" s="440"/>
    </row>
    <row r="1825" spans="27:58">
      <c r="AA1825"/>
      <c r="AB1825" s="436"/>
      <c r="AC1825" s="120"/>
      <c r="AD1825" s="459"/>
      <c r="AE1825" s="120"/>
      <c r="AF1825" s="440"/>
      <c r="BA1825"/>
      <c r="BB1825" s="436"/>
      <c r="BC1825" s="120"/>
      <c r="BD1825" s="459"/>
      <c r="BE1825" s="120"/>
      <c r="BF1825" s="440"/>
    </row>
    <row r="1826" spans="27:58">
      <c r="AA1826"/>
      <c r="AB1826" s="436" t="s">
        <v>324</v>
      </c>
      <c r="AC1826" s="120"/>
      <c r="AD1826" s="459" t="s">
        <v>564</v>
      </c>
      <c r="AE1826" s="120"/>
      <c r="AF1826" s="440" t="s">
        <v>569</v>
      </c>
      <c r="BA1826"/>
      <c r="BB1826" s="436" t="s">
        <v>324</v>
      </c>
      <c r="BC1826" s="120"/>
      <c r="BD1826" s="459" t="s">
        <v>564</v>
      </c>
      <c r="BE1826" s="120"/>
      <c r="BF1826" s="440" t="s">
        <v>569</v>
      </c>
    </row>
    <row r="1827" spans="27:58">
      <c r="AA1827"/>
      <c r="AB1827" s="436"/>
      <c r="AC1827" s="120"/>
      <c r="AD1827" s="468"/>
      <c r="AE1827" s="469"/>
      <c r="AF1827" s="440"/>
      <c r="BA1827"/>
      <c r="BB1827" s="436"/>
      <c r="BC1827" s="120"/>
      <c r="BD1827" s="468"/>
      <c r="BE1827" s="469"/>
      <c r="BF1827" s="440"/>
    </row>
    <row r="1828" spans="27:58">
      <c r="AA1828"/>
      <c r="AB1828" s="436" t="s">
        <v>374</v>
      </c>
      <c r="AC1828" s="120"/>
      <c r="AD1828" s="459" t="s">
        <v>564</v>
      </c>
      <c r="AE1828" s="469"/>
      <c r="AF1828" s="440" t="s">
        <v>569</v>
      </c>
      <c r="BA1828"/>
      <c r="BB1828" s="436" t="s">
        <v>374</v>
      </c>
      <c r="BC1828" s="120"/>
      <c r="BD1828" s="459" t="s">
        <v>564</v>
      </c>
      <c r="BE1828" s="469"/>
      <c r="BF1828" s="440" t="s">
        <v>569</v>
      </c>
    </row>
    <row r="1829" spans="27:58">
      <c r="AA1829"/>
      <c r="AB1829" s="436"/>
      <c r="AC1829" s="120"/>
      <c r="AD1829" s="472"/>
      <c r="AE1829" s="473"/>
      <c r="AF1829" s="440"/>
      <c r="BA1829"/>
      <c r="BB1829" s="436"/>
      <c r="BC1829" s="120"/>
      <c r="BD1829" s="472"/>
      <c r="BE1829" s="473"/>
      <c r="BF1829" s="440"/>
    </row>
    <row r="1830" spans="27:58">
      <c r="AA1830"/>
      <c r="AB1830" s="436" t="s">
        <v>580</v>
      </c>
      <c r="AC1830" s="120"/>
      <c r="AD1830" s="459" t="s">
        <v>564</v>
      </c>
      <c r="AE1830" s="473"/>
      <c r="AF1830" s="440" t="s">
        <v>569</v>
      </c>
      <c r="BA1830"/>
      <c r="BB1830" s="436" t="s">
        <v>580</v>
      </c>
      <c r="BC1830" s="120"/>
      <c r="BD1830" s="459" t="s">
        <v>564</v>
      </c>
      <c r="BE1830" s="473"/>
      <c r="BF1830" s="440" t="s">
        <v>569</v>
      </c>
    </row>
    <row r="1831" spans="27:58">
      <c r="AA1831"/>
      <c r="AB1831" s="476"/>
      <c r="AC1831" s="477"/>
      <c r="AD1831" s="478"/>
      <c r="AE1831" s="479"/>
      <c r="AF1831" s="458"/>
      <c r="BA1831"/>
      <c r="BB1831" s="476"/>
      <c r="BC1831" s="477"/>
      <c r="BD1831" s="478"/>
      <c r="BE1831" s="479"/>
      <c r="BF1831" s="458"/>
    </row>
    <row r="1832" spans="27:58">
      <c r="AA1832"/>
      <c r="AB1832" s="449" t="s">
        <v>473</v>
      </c>
      <c r="AC1832" s="467" t="s">
        <v>508</v>
      </c>
      <c r="AD1832" s="480"/>
      <c r="AE1832" s="481" t="s">
        <v>308</v>
      </c>
      <c r="AF1832" s="440"/>
      <c r="BA1832"/>
      <c r="BB1832" s="449" t="s">
        <v>473</v>
      </c>
      <c r="BC1832" s="467" t="s">
        <v>508</v>
      </c>
      <c r="BD1832" s="480"/>
      <c r="BE1832" s="481" t="s">
        <v>308</v>
      </c>
      <c r="BF1832" s="440"/>
    </row>
    <row r="1833" spans="27:58">
      <c r="AB1833" s="436"/>
      <c r="AC1833" s="483"/>
      <c r="AD1833" s="480"/>
      <c r="AE1833" s="484"/>
      <c r="AF1833" s="440"/>
      <c r="BA1833"/>
      <c r="BB1833" s="436"/>
      <c r="BC1833" s="483"/>
      <c r="BD1833" s="480"/>
      <c r="BE1833" s="484"/>
      <c r="BF1833" s="440"/>
    </row>
    <row r="1834" spans="27:58">
      <c r="AB1834" s="436"/>
      <c r="AC1834" s="120"/>
      <c r="AD1834" s="223"/>
      <c r="AE1834" s="467"/>
      <c r="AF1834" s="440"/>
      <c r="BB1834" s="436"/>
      <c r="BC1834" s="120"/>
      <c r="BD1834" s="223"/>
      <c r="BE1834" s="467"/>
      <c r="BF1834" s="440"/>
    </row>
    <row r="1835" spans="27:58">
      <c r="AB1835" s="436"/>
      <c r="AC1835" s="120"/>
      <c r="AD1835" s="466"/>
      <c r="AE1835" s="467"/>
      <c r="AF1835" s="440"/>
      <c r="BB1835" s="436"/>
      <c r="BC1835" s="120"/>
      <c r="BD1835" s="466"/>
      <c r="BE1835" s="467"/>
      <c r="BF1835" s="440"/>
    </row>
    <row r="1836" spans="27:58">
      <c r="AB1836" s="436"/>
      <c r="AC1836" s="120"/>
      <c r="AD1836" s="223"/>
      <c r="AE1836" s="467"/>
      <c r="AF1836" s="440"/>
      <c r="BB1836" s="436"/>
      <c r="BC1836" s="120"/>
      <c r="BD1836" s="223"/>
      <c r="BE1836" s="467"/>
      <c r="BF1836" s="440"/>
    </row>
    <row r="1837" spans="27:58">
      <c r="AB1837" s="436"/>
      <c r="AC1837" s="120"/>
      <c r="AD1837" s="223"/>
      <c r="AE1837" s="467"/>
      <c r="AF1837" s="440"/>
      <c r="BB1837" s="436"/>
      <c r="BC1837" s="120"/>
      <c r="BD1837" s="223"/>
      <c r="BE1837" s="467"/>
      <c r="BF1837" s="440"/>
    </row>
    <row r="1838" spans="27:58">
      <c r="AB1838" s="436"/>
      <c r="AC1838" s="120"/>
      <c r="AD1838" s="471"/>
      <c r="AE1838" s="467"/>
      <c r="AF1838" s="440"/>
      <c r="BB1838" s="436"/>
      <c r="BC1838" s="120"/>
      <c r="BD1838" s="471"/>
      <c r="BE1838" s="467"/>
      <c r="BF1838" s="440"/>
    </row>
    <row r="1839" spans="27:58">
      <c r="AB1839" s="436"/>
      <c r="AC1839" s="120"/>
      <c r="AD1839" s="223"/>
      <c r="AE1839" s="467"/>
      <c r="AF1839" s="440"/>
      <c r="BB1839" s="436"/>
      <c r="BC1839" s="120"/>
      <c r="BD1839" s="223"/>
      <c r="BE1839" s="467"/>
      <c r="BF1839" s="440"/>
    </row>
    <row r="1840" spans="27:58">
      <c r="AB1840" s="436"/>
      <c r="AC1840" s="120"/>
      <c r="AD1840" s="475"/>
      <c r="AE1840" s="467"/>
      <c r="AF1840" s="440"/>
      <c r="BB1840" s="436"/>
      <c r="BC1840" s="120"/>
      <c r="BD1840" s="475"/>
      <c r="BE1840" s="467"/>
      <c r="BF1840" s="440"/>
    </row>
    <row r="1841" spans="28:58">
      <c r="AB1841" s="436"/>
      <c r="AC1841" s="120"/>
      <c r="AD1841" s="223"/>
      <c r="AE1841" s="467"/>
      <c r="AF1841" s="440"/>
      <c r="BB1841" s="436"/>
      <c r="BC1841" s="120"/>
      <c r="BD1841" s="223"/>
      <c r="BE1841" s="467"/>
      <c r="BF1841" s="440"/>
    </row>
    <row r="1842" spans="28:58">
      <c r="AB1842" s="436"/>
      <c r="AC1842" s="120"/>
      <c r="AD1842" s="223"/>
      <c r="AE1842" s="467"/>
      <c r="AF1842" s="440"/>
      <c r="BB1842" s="436"/>
      <c r="BC1842" s="120"/>
      <c r="BD1842" s="223"/>
      <c r="BE1842" s="467"/>
      <c r="BF1842" s="440"/>
    </row>
    <row r="1843" spans="28:58">
      <c r="AB1843" s="436"/>
      <c r="AC1843" s="120"/>
      <c r="AD1843" s="223"/>
      <c r="AE1843" s="467"/>
      <c r="AF1843" s="440"/>
      <c r="BB1843" s="436"/>
      <c r="BC1843" s="120"/>
      <c r="BD1843" s="223"/>
      <c r="BE1843" s="467"/>
      <c r="BF1843" s="440"/>
    </row>
    <row r="1844" spans="28:58">
      <c r="AB1844" s="436"/>
      <c r="AC1844" s="120"/>
      <c r="AD1844" s="223"/>
      <c r="AE1844" s="467"/>
      <c r="AF1844" s="440"/>
      <c r="BB1844" s="436"/>
      <c r="BC1844" s="120"/>
      <c r="BD1844" s="223"/>
      <c r="BE1844" s="467"/>
      <c r="BF1844" s="440"/>
    </row>
    <row r="1845" spans="28:58">
      <c r="AB1845" s="436"/>
      <c r="AC1845" s="120"/>
      <c r="AD1845" s="120"/>
      <c r="AE1845" s="467"/>
      <c r="AF1845" s="440"/>
      <c r="BB1845" s="436"/>
      <c r="BC1845" s="120"/>
      <c r="BD1845" s="120"/>
      <c r="BE1845" s="467"/>
      <c r="BF1845" s="440"/>
    </row>
    <row r="1846" spans="28:58">
      <c r="AB1846" s="456"/>
      <c r="AC1846" s="457"/>
      <c r="AD1846" s="457"/>
      <c r="AE1846" s="477"/>
      <c r="AF1846" s="458"/>
      <c r="BB1846" s="456"/>
      <c r="BC1846" s="457"/>
      <c r="BD1846" s="457"/>
      <c r="BE1846" s="477"/>
      <c r="BF1846" s="458"/>
    </row>
    <row r="1847" spans="28:58">
      <c r="AB1847" s="449" t="s">
        <v>474</v>
      </c>
      <c r="AC1847" s="120"/>
      <c r="AD1847" s="120" t="s">
        <v>1</v>
      </c>
      <c r="AE1847" s="310" t="s">
        <v>307</v>
      </c>
      <c r="AF1847" s="440"/>
      <c r="BB1847" s="449" t="s">
        <v>474</v>
      </c>
      <c r="BC1847" s="120"/>
      <c r="BD1847" s="120" t="s">
        <v>1</v>
      </c>
      <c r="BE1847" s="310" t="s">
        <v>307</v>
      </c>
      <c r="BF1847" s="440"/>
    </row>
    <row r="1848" spans="28:58">
      <c r="AB1848" s="436"/>
      <c r="AC1848" s="223"/>
      <c r="AD1848" s="480"/>
      <c r="AE1848" s="484"/>
      <c r="AF1848" s="440"/>
      <c r="BB1848" s="436"/>
      <c r="BC1848" s="223"/>
      <c r="BD1848" s="480"/>
      <c r="BE1848" s="484"/>
      <c r="BF1848" s="440"/>
    </row>
    <row r="1849" spans="28:58">
      <c r="AB1849" s="436"/>
      <c r="AC1849" s="120"/>
      <c r="AD1849" s="120"/>
      <c r="AE1849" s="467"/>
      <c r="AF1849" s="440"/>
      <c r="BB1849" s="436"/>
      <c r="BC1849" s="120"/>
      <c r="BD1849" s="120"/>
      <c r="BE1849" s="467"/>
      <c r="BF1849" s="440"/>
    </row>
    <row r="1850" spans="28:58">
      <c r="AB1850" s="436"/>
      <c r="AC1850" s="120"/>
      <c r="AD1850" s="120"/>
      <c r="AE1850" s="467"/>
      <c r="AF1850" s="440"/>
      <c r="BB1850" s="436"/>
      <c r="BC1850" s="120"/>
      <c r="BD1850" s="120"/>
      <c r="BE1850" s="467"/>
      <c r="BF1850" s="440"/>
    </row>
    <row r="1851" spans="28:58">
      <c r="AB1851" s="436"/>
      <c r="AC1851" s="120"/>
      <c r="AD1851" s="120"/>
      <c r="AE1851" s="467"/>
      <c r="AF1851" s="440"/>
      <c r="BB1851" s="436"/>
      <c r="BC1851" s="120"/>
      <c r="BD1851" s="120"/>
      <c r="BE1851" s="467"/>
      <c r="BF1851" s="440"/>
    </row>
    <row r="1852" spans="28:58">
      <c r="AB1852" s="436"/>
      <c r="AC1852" s="120"/>
      <c r="AD1852" s="120"/>
      <c r="AE1852" s="467"/>
      <c r="AF1852" s="440"/>
      <c r="BB1852" s="436"/>
      <c r="BC1852" s="120"/>
      <c r="BD1852" s="120"/>
      <c r="BE1852" s="467"/>
      <c r="BF1852" s="440"/>
    </row>
    <row r="1853" spans="28:58">
      <c r="AB1853" s="436"/>
      <c r="AC1853" s="120"/>
      <c r="AD1853" s="120"/>
      <c r="AE1853" s="467"/>
      <c r="AF1853" s="440"/>
      <c r="BB1853" s="436"/>
      <c r="BC1853" s="120"/>
      <c r="BD1853" s="120"/>
      <c r="BE1853" s="467"/>
      <c r="BF1853" s="440"/>
    </row>
    <row r="1854" spans="28:58">
      <c r="AB1854" s="436"/>
      <c r="AC1854" s="120"/>
      <c r="AD1854" s="120"/>
      <c r="AE1854" s="467"/>
      <c r="AF1854" s="440"/>
      <c r="BB1854" s="436"/>
      <c r="BC1854" s="120"/>
      <c r="BD1854" s="120"/>
      <c r="BE1854" s="467"/>
      <c r="BF1854" s="440"/>
    </row>
    <row r="1855" spans="28:58">
      <c r="AB1855" s="436"/>
      <c r="AC1855" s="120"/>
      <c r="AD1855" s="120"/>
      <c r="AE1855" s="467"/>
      <c r="AF1855" s="440"/>
      <c r="BB1855" s="436"/>
      <c r="BC1855" s="120"/>
      <c r="BD1855" s="120"/>
      <c r="BE1855" s="467"/>
      <c r="BF1855" s="440"/>
    </row>
    <row r="1856" spans="28:58">
      <c r="AB1856" s="436"/>
      <c r="AC1856" s="120"/>
      <c r="AD1856" s="120"/>
      <c r="AE1856" s="467"/>
      <c r="AF1856" s="440"/>
      <c r="BB1856" s="436"/>
      <c r="BC1856" s="120"/>
      <c r="BD1856" s="120"/>
      <c r="BE1856" s="467"/>
      <c r="BF1856" s="440"/>
    </row>
    <row r="1857" spans="28:58">
      <c r="AB1857" s="436"/>
      <c r="AC1857" s="120"/>
      <c r="AD1857" s="120"/>
      <c r="AE1857" s="467"/>
      <c r="AF1857" s="440"/>
      <c r="BB1857" s="436"/>
      <c r="BC1857" s="120"/>
      <c r="BD1857" s="120"/>
      <c r="BE1857" s="467"/>
      <c r="BF1857" s="440"/>
    </row>
    <row r="1858" spans="28:58">
      <c r="AB1858" s="436"/>
      <c r="AC1858" s="120"/>
      <c r="AD1858" s="120"/>
      <c r="AE1858" s="467"/>
      <c r="AF1858" s="440"/>
      <c r="BB1858" s="436"/>
      <c r="BC1858" s="120"/>
      <c r="BD1858" s="120"/>
      <c r="BE1858" s="467"/>
      <c r="BF1858" s="440"/>
    </row>
    <row r="1859" spans="28:58">
      <c r="AB1859" s="436"/>
      <c r="AC1859" s="120"/>
      <c r="AD1859" s="120"/>
      <c r="AE1859" s="467"/>
      <c r="AF1859" s="440"/>
      <c r="BB1859" s="436"/>
      <c r="BC1859" s="120"/>
      <c r="BD1859" s="120"/>
      <c r="BE1859" s="467"/>
      <c r="BF1859" s="440"/>
    </row>
    <row r="1860" spans="28:58">
      <c r="AB1860" s="456"/>
      <c r="AC1860" s="457"/>
      <c r="AD1860" s="457"/>
      <c r="AE1860" s="477"/>
      <c r="AF1860" s="458"/>
      <c r="BB1860" s="456"/>
      <c r="BC1860" s="457"/>
      <c r="BD1860" s="457"/>
      <c r="BE1860" s="477"/>
      <c r="BF1860" s="458"/>
    </row>
    <row r="1861" spans="28:58">
      <c r="AB1861" s="456"/>
      <c r="AC1861" s="457"/>
      <c r="AD1861" s="457"/>
      <c r="AE1861" s="457"/>
      <c r="AF1861" s="458"/>
      <c r="BB1861" s="456"/>
      <c r="BC1861" s="457"/>
      <c r="BD1861" s="457"/>
      <c r="BE1861" s="457"/>
      <c r="BF1861" s="458"/>
    </row>
    <row r="1862" spans="28:58">
      <c r="AB1862" s="449" t="s">
        <v>475</v>
      </c>
      <c r="AC1862" s="120"/>
      <c r="AD1862" s="120"/>
      <c r="AE1862" s="120"/>
      <c r="AF1862" s="440"/>
      <c r="BB1862" s="449" t="s">
        <v>475</v>
      </c>
      <c r="BC1862" s="120"/>
      <c r="BD1862" s="120"/>
      <c r="BE1862" s="120"/>
      <c r="BF1862" s="440"/>
    </row>
    <row r="1863" spans="28:58">
      <c r="AB1863" s="436" t="s">
        <v>509</v>
      </c>
      <c r="AC1863" s="120"/>
      <c r="AD1863" s="120"/>
      <c r="AE1863" s="120"/>
      <c r="AF1863" s="440"/>
      <c r="BB1863" s="436" t="s">
        <v>509</v>
      </c>
      <c r="BC1863" s="120"/>
      <c r="BD1863" s="120"/>
      <c r="BE1863" s="120"/>
      <c r="BF1863" s="440"/>
    </row>
    <row r="1864" spans="28:58">
      <c r="AB1864" s="436" t="s">
        <v>510</v>
      </c>
      <c r="AC1864" s="120"/>
      <c r="AD1864" s="120"/>
      <c r="AE1864" s="120"/>
      <c r="AF1864" s="440"/>
      <c r="BB1864" s="436" t="s">
        <v>510</v>
      </c>
      <c r="BC1864" s="120"/>
      <c r="BD1864" s="120"/>
      <c r="BE1864" s="120"/>
      <c r="BF1864" s="440"/>
    </row>
    <row r="1865" spans="28:58">
      <c r="AB1865" s="436"/>
      <c r="AC1865" s="120"/>
      <c r="AD1865" s="120"/>
      <c r="AE1865" s="120"/>
      <c r="AF1865" s="440"/>
      <c r="BB1865" s="436"/>
      <c r="BC1865" s="120"/>
      <c r="BD1865" s="120"/>
      <c r="BE1865" s="120"/>
      <c r="BF1865" s="440"/>
    </row>
    <row r="1866" spans="28:58">
      <c r="AB1866" s="436"/>
      <c r="AC1866" s="120"/>
      <c r="AD1866" s="120"/>
      <c r="AE1866" s="120"/>
      <c r="AF1866" s="440"/>
      <c r="BB1866" s="436"/>
      <c r="BC1866" s="120"/>
      <c r="BD1866" s="120"/>
      <c r="BE1866" s="120"/>
      <c r="BF1866" s="440"/>
    </row>
    <row r="1867" spans="28:58">
      <c r="AB1867" s="436"/>
      <c r="AC1867" s="120"/>
      <c r="AD1867" s="120"/>
      <c r="AE1867" s="120"/>
      <c r="AF1867" s="440"/>
      <c r="BB1867" s="436"/>
      <c r="BC1867" s="120"/>
      <c r="BD1867" s="120"/>
      <c r="BE1867" s="120"/>
      <c r="BF1867" s="440"/>
    </row>
    <row r="1868" spans="28:58">
      <c r="AB1868" s="436"/>
      <c r="AC1868" s="120"/>
      <c r="AD1868" s="120"/>
      <c r="AE1868" s="120"/>
      <c r="AF1868" s="440"/>
      <c r="BB1868" s="436"/>
      <c r="BC1868" s="120"/>
      <c r="BD1868" s="120"/>
      <c r="BE1868" s="120"/>
      <c r="BF1868" s="440"/>
    </row>
    <row r="1869" spans="28:58">
      <c r="AB1869" s="436" t="s">
        <v>511</v>
      </c>
      <c r="AC1869" s="120">
        <v>0</v>
      </c>
      <c r="AD1869" s="120" t="s">
        <v>512</v>
      </c>
      <c r="AE1869" s="120"/>
      <c r="AF1869" s="440"/>
      <c r="BB1869" s="436" t="s">
        <v>511</v>
      </c>
      <c r="BC1869" s="120">
        <v>0</v>
      </c>
      <c r="BD1869" s="120" t="s">
        <v>512</v>
      </c>
      <c r="BE1869" s="120"/>
      <c r="BF1869" s="440"/>
    </row>
    <row r="1870" spans="28:58">
      <c r="AB1870" s="436" t="s">
        <v>513</v>
      </c>
      <c r="AC1870" s="120">
        <v>0</v>
      </c>
      <c r="AD1870" s="120" t="s">
        <v>512</v>
      </c>
      <c r="AE1870" s="120"/>
      <c r="AF1870" s="440"/>
      <c r="BB1870" s="436" t="s">
        <v>513</v>
      </c>
      <c r="BC1870" s="120">
        <v>0</v>
      </c>
      <c r="BD1870" s="120" t="s">
        <v>512</v>
      </c>
      <c r="BE1870" s="120"/>
      <c r="BF1870" s="440"/>
    </row>
    <row r="1871" spans="28:58">
      <c r="AB1871" s="456"/>
      <c r="AC1871" s="457"/>
      <c r="AD1871" s="457"/>
      <c r="AE1871" s="457"/>
      <c r="AF1871" s="458"/>
      <c r="BB1871" s="456"/>
      <c r="BC1871" s="457"/>
      <c r="BD1871" s="457"/>
      <c r="BE1871" s="457"/>
      <c r="BF1871" s="458"/>
    </row>
    <row r="1872" spans="28:58">
      <c r="AB1872" s="449" t="s">
        <v>461</v>
      </c>
      <c r="AC1872" s="120"/>
      <c r="AD1872" s="120"/>
      <c r="AE1872" s="120"/>
      <c r="AF1872" s="440"/>
      <c r="BB1872" s="449" t="s">
        <v>461</v>
      </c>
      <c r="BC1872" s="120"/>
      <c r="BD1872" s="120"/>
      <c r="BE1872" s="120"/>
      <c r="BF1872" s="440"/>
    </row>
    <row r="1873" spans="28:58">
      <c r="AB1873" s="436" t="s">
        <v>514</v>
      </c>
      <c r="AC1873" s="120">
        <f>VLOOKUP(AB1801,'Unit Ops'!$B$140:$K$209,10,FALSE)</f>
        <v>0</v>
      </c>
      <c r="AD1873" s="120" t="s">
        <v>515</v>
      </c>
      <c r="AE1873" s="120"/>
      <c r="AF1873" s="440"/>
      <c r="BB1873" s="436" t="s">
        <v>514</v>
      </c>
      <c r="BC1873" s="120">
        <f>VLOOKUP(BB1801,'Unit Ops'!$B$140:$K$209,10,FALSE)</f>
        <v>0</v>
      </c>
      <c r="BD1873" s="120" t="s">
        <v>515</v>
      </c>
      <c r="BE1873" s="120"/>
      <c r="BF1873" s="440"/>
    </row>
    <row r="1874" spans="28:58">
      <c r="AB1874" s="436" t="s">
        <v>516</v>
      </c>
      <c r="AC1874" s="120">
        <v>0</v>
      </c>
      <c r="AD1874" s="120" t="s">
        <v>515</v>
      </c>
      <c r="AE1874" s="120"/>
      <c r="AF1874" s="440"/>
      <c r="BB1874" s="436" t="s">
        <v>516</v>
      </c>
      <c r="BC1874" s="120">
        <v>0</v>
      </c>
      <c r="BD1874" s="120" t="s">
        <v>515</v>
      </c>
      <c r="BE1874" s="120"/>
      <c r="BF1874" s="440"/>
    </row>
    <row r="1875" spans="28:58">
      <c r="AB1875" s="436"/>
      <c r="AC1875" s="120"/>
      <c r="AD1875" s="120"/>
      <c r="AE1875" s="120"/>
      <c r="AF1875" s="440"/>
      <c r="BB1875" s="436"/>
      <c r="BC1875" s="120"/>
      <c r="BD1875" s="120"/>
      <c r="BE1875" s="120"/>
      <c r="BF1875" s="440"/>
    </row>
    <row r="1876" spans="28:58">
      <c r="AB1876" s="436"/>
      <c r="AC1876" s="120"/>
      <c r="AD1876" s="120"/>
      <c r="AE1876" s="120"/>
      <c r="AF1876" s="440"/>
      <c r="BB1876" s="436"/>
      <c r="BC1876" s="120"/>
      <c r="BD1876" s="120"/>
      <c r="BE1876" s="120"/>
      <c r="BF1876" s="440"/>
    </row>
    <row r="1877" spans="28:58">
      <c r="AB1877" s="436"/>
      <c r="AC1877" s="120"/>
      <c r="AD1877" s="120"/>
      <c r="AE1877" s="120"/>
      <c r="AF1877" s="440"/>
      <c r="BB1877" s="436"/>
      <c r="BC1877" s="120"/>
      <c r="BD1877" s="120"/>
      <c r="BE1877" s="120"/>
      <c r="BF1877" s="440"/>
    </row>
    <row r="1878" spans="28:58">
      <c r="AB1878" s="436"/>
      <c r="AC1878" s="120"/>
      <c r="AD1878" s="120"/>
      <c r="AE1878" s="120"/>
      <c r="AF1878" s="440"/>
      <c r="BB1878" s="436"/>
      <c r="BC1878" s="120"/>
      <c r="BD1878" s="120"/>
      <c r="BE1878" s="120"/>
      <c r="BF1878" s="440"/>
    </row>
    <row r="1879" spans="28:58">
      <c r="AB1879" s="436"/>
      <c r="AC1879" s="120"/>
      <c r="AD1879" s="120"/>
      <c r="AE1879" s="120"/>
      <c r="AF1879" s="440"/>
      <c r="BB1879" s="436"/>
      <c r="BC1879" s="120"/>
      <c r="BD1879" s="120"/>
      <c r="BE1879" s="120"/>
      <c r="BF1879" s="440"/>
    </row>
    <row r="1880" spans="28:58">
      <c r="AB1880" s="436" t="s">
        <v>464</v>
      </c>
      <c r="AC1880" s="120"/>
      <c r="AD1880" s="120"/>
      <c r="AE1880" s="120"/>
      <c r="AF1880" s="440"/>
      <c r="BB1880" s="436" t="s">
        <v>464</v>
      </c>
      <c r="BC1880" s="120"/>
      <c r="BD1880" s="120"/>
      <c r="BE1880" s="120"/>
      <c r="BF1880" s="440"/>
    </row>
    <row r="1881" spans="28:58">
      <c r="AB1881" s="456"/>
      <c r="AC1881" s="457"/>
      <c r="AD1881" s="457"/>
      <c r="AE1881" s="457"/>
      <c r="AF1881" s="458"/>
      <c r="BB1881" s="456"/>
      <c r="BC1881" s="457"/>
      <c r="BD1881" s="457"/>
      <c r="BE1881" s="457"/>
      <c r="BF1881" s="458"/>
    </row>
    <row r="1882" spans="28:58">
      <c r="AB1882" s="449" t="s">
        <v>472</v>
      </c>
      <c r="AC1882" s="467" t="s">
        <v>517</v>
      </c>
      <c r="AD1882" s="120" t="s">
        <v>518</v>
      </c>
      <c r="AE1882" s="467" t="s">
        <v>519</v>
      </c>
      <c r="AF1882" s="440" t="s">
        <v>518</v>
      </c>
      <c r="BB1882" s="449" t="s">
        <v>472</v>
      </c>
      <c r="BC1882" s="467" t="s">
        <v>517</v>
      </c>
      <c r="BD1882" s="120" t="s">
        <v>518</v>
      </c>
      <c r="BE1882" s="467" t="s">
        <v>519</v>
      </c>
      <c r="BF1882" s="440" t="s">
        <v>518</v>
      </c>
    </row>
    <row r="1883" spans="28:58">
      <c r="AB1883" s="436" t="s">
        <v>520</v>
      </c>
      <c r="AC1883" s="120"/>
      <c r="AD1883" s="120"/>
      <c r="AE1883" s="472">
        <f>((VLOOKUP(AB1801,'Unit Ops'!$B$140:$J$209,3,FALSE)*AC1803^VLOOKUP(AB1801,'Unit Ops'!$B$140:$J$209,4,FALSE)+VLOOKUP(AB1801,'Unit Ops'!$B$140:$J$209,5,FALSE))*VLOOKUP(AB1801,'Unit Ops'!$B$140:$J$209,6,FALSE))*IF(VLOOKUP(AB1801,'Unit Ops'!$B$140:$L$209,11,FALSE)=1,1,2)</f>
        <v>0</v>
      </c>
      <c r="AF1883" s="490">
        <f>'CM Rec Par.'!$C$7</f>
        <v>2022</v>
      </c>
      <c r="BB1883" s="436" t="s">
        <v>520</v>
      </c>
      <c r="BC1883" s="120"/>
      <c r="BD1883" s="120"/>
      <c r="BE1883" s="472">
        <f>((VLOOKUP(BB1801,'Unit Ops'!$B$140:$J$209,3,FALSE)*BC1803^VLOOKUP(BB1801,'Unit Ops'!$B$140:$J$209,4,FALSE)+VLOOKUP(BB1801,'Unit Ops'!$B$140:$J$209,5,FALSE))*VLOOKUP(BB1801,'Unit Ops'!$B$140:$J$209,6,FALSE))*IF(VLOOKUP(BB1801,'Unit Ops'!$B$140:$L$209,11,FALSE)=1,1,2)</f>
        <v>0</v>
      </c>
      <c r="BF1883" s="490">
        <f>'CM Rec Par.'!$C$7</f>
        <v>2022</v>
      </c>
    </row>
    <row r="1884" spans="28:58">
      <c r="AB1884" s="436"/>
      <c r="AC1884" s="120"/>
      <c r="AD1884" s="120"/>
      <c r="AE1884" s="120"/>
      <c r="AF1884" s="440"/>
      <c r="BB1884" s="436"/>
      <c r="BC1884" s="120"/>
      <c r="BD1884" s="120"/>
      <c r="BE1884" s="120"/>
      <c r="BF1884" s="440"/>
    </row>
    <row r="1885" spans="28:58">
      <c r="AB1885" s="436"/>
      <c r="AC1885" s="120"/>
      <c r="AD1885" s="120"/>
      <c r="AE1885" s="120"/>
      <c r="AF1885" s="440"/>
      <c r="BB1885" s="436"/>
      <c r="BC1885" s="120"/>
      <c r="BD1885" s="120"/>
      <c r="BE1885" s="120"/>
      <c r="BF1885" s="440"/>
    </row>
    <row r="1886" spans="28:58">
      <c r="AB1886" s="436"/>
      <c r="AC1886" s="120"/>
      <c r="AD1886" s="120"/>
      <c r="AE1886" s="120"/>
      <c r="AF1886" s="440"/>
      <c r="BB1886" s="436"/>
      <c r="BC1886" s="120"/>
      <c r="BD1886" s="120"/>
      <c r="BE1886" s="120"/>
      <c r="BF1886" s="440"/>
    </row>
    <row r="1887" spans="28:58">
      <c r="AB1887" s="436"/>
      <c r="AC1887" s="120"/>
      <c r="AD1887" s="120"/>
      <c r="AE1887" s="120"/>
      <c r="AF1887" s="440"/>
      <c r="BB1887" s="436"/>
      <c r="BC1887" s="120"/>
      <c r="BD1887" s="120"/>
      <c r="BE1887" s="120"/>
      <c r="BF1887" s="440"/>
    </row>
    <row r="1888" spans="28:58">
      <c r="AB1888" s="436"/>
      <c r="AC1888" s="120"/>
      <c r="AD1888" s="120"/>
      <c r="AE1888" s="120"/>
      <c r="AF1888" s="440"/>
      <c r="BB1888" s="436"/>
      <c r="BC1888" s="120"/>
      <c r="BD1888" s="120"/>
      <c r="BE1888" s="120"/>
      <c r="BF1888" s="440"/>
    </row>
    <row r="1889" spans="27:58">
      <c r="AB1889" s="436"/>
      <c r="AC1889" s="120"/>
      <c r="AD1889" s="120"/>
      <c r="AE1889" s="120"/>
      <c r="AF1889" s="440"/>
      <c r="BB1889" s="436"/>
      <c r="BC1889" s="120"/>
      <c r="BD1889" s="120"/>
      <c r="BE1889" s="120"/>
      <c r="BF1889" s="440"/>
    </row>
    <row r="1890" spans="27:58">
      <c r="AB1890" s="436"/>
      <c r="AC1890" s="120"/>
      <c r="AD1890" s="120"/>
      <c r="AE1890" s="120"/>
      <c r="AF1890" s="440"/>
      <c r="BB1890" s="436"/>
      <c r="BC1890" s="120"/>
      <c r="BD1890" s="120"/>
      <c r="BE1890" s="120"/>
      <c r="BF1890" s="440"/>
    </row>
    <row r="1891" spans="27:58">
      <c r="AB1891" s="436"/>
      <c r="AC1891" s="120"/>
      <c r="AD1891" s="120"/>
      <c r="AE1891" s="120"/>
      <c r="AF1891" s="440"/>
      <c r="BB1891" s="436"/>
      <c r="BC1891" s="120"/>
      <c r="BD1891" s="120"/>
      <c r="BE1891" s="120"/>
      <c r="BF1891" s="440"/>
    </row>
    <row r="1892" spans="27:58">
      <c r="AB1892" s="436"/>
      <c r="AC1892" s="120"/>
      <c r="AD1892" s="120"/>
      <c r="AE1892" s="120"/>
      <c r="AF1892" s="440"/>
      <c r="BB1892" s="436"/>
      <c r="BC1892" s="120"/>
      <c r="BD1892" s="120"/>
      <c r="BE1892" s="120"/>
      <c r="BF1892" s="440"/>
    </row>
    <row r="1893" spans="27:58">
      <c r="AB1893" s="436"/>
      <c r="AC1893" s="120"/>
      <c r="AD1893" s="120"/>
      <c r="AE1893" s="120"/>
      <c r="AF1893" s="440"/>
      <c r="BB1893" s="436"/>
      <c r="BC1893" s="120"/>
      <c r="BD1893" s="120"/>
      <c r="BE1893" s="120"/>
      <c r="BF1893" s="440"/>
    </row>
    <row r="1894" spans="27:58">
      <c r="AB1894" s="436"/>
      <c r="AC1894" s="120"/>
      <c r="AD1894" s="120"/>
      <c r="AE1894" s="120"/>
      <c r="AF1894" s="440"/>
      <c r="BB1894" s="436"/>
      <c r="BC1894" s="120"/>
      <c r="BD1894" s="120"/>
      <c r="BE1894" s="120"/>
      <c r="BF1894" s="440"/>
    </row>
    <row r="1895" spans="27:58">
      <c r="AB1895" s="436"/>
      <c r="AC1895" s="120"/>
      <c r="AD1895" s="120"/>
      <c r="AE1895" s="120"/>
      <c r="AF1895" s="440"/>
      <c r="BB1895" s="436"/>
      <c r="BC1895" s="120"/>
      <c r="BD1895" s="120"/>
      <c r="BE1895" s="120"/>
      <c r="BF1895" s="440"/>
    </row>
    <row r="1896" spans="27:58">
      <c r="AB1896" s="436"/>
      <c r="AC1896" s="120"/>
      <c r="AD1896" s="120"/>
      <c r="AE1896" s="120"/>
      <c r="AF1896" s="440"/>
      <c r="BB1896" s="436"/>
      <c r="BC1896" s="120"/>
      <c r="BD1896" s="120"/>
      <c r="BE1896" s="120"/>
      <c r="BF1896" s="440"/>
    </row>
    <row r="1897" spans="27:58" ht="14.5" thickBot="1">
      <c r="AB1897" s="492"/>
      <c r="AC1897" s="493"/>
      <c r="AD1897" s="493"/>
      <c r="AE1897" s="493"/>
      <c r="AF1897" s="453"/>
      <c r="BB1897" s="492"/>
      <c r="BC1897" s="493"/>
      <c r="BD1897" s="493"/>
      <c r="BE1897" s="493"/>
      <c r="BF1897" s="453"/>
    </row>
    <row r="1900" spans="27:58" ht="14.5" thickBot="1"/>
    <row r="1901" spans="27:58">
      <c r="AA1901" s="114" t="s">
        <v>478</v>
      </c>
      <c r="AB1901" s="431" t="str">
        <f>AB58</f>
        <v>Select Equipment</v>
      </c>
      <c r="AC1901" s="432"/>
      <c r="AD1901" s="433"/>
      <c r="AE1901" s="434"/>
      <c r="AF1901" s="435"/>
      <c r="BB1901" s="431" t="str">
        <f>BB59</f>
        <v>Select Equipment</v>
      </c>
      <c r="BC1901" s="432"/>
      <c r="BD1901" s="433"/>
      <c r="BE1901" s="434"/>
      <c r="BF1901" s="435"/>
    </row>
    <row r="1902" spans="27:58">
      <c r="AA1902" s="114" t="s">
        <v>5</v>
      </c>
      <c r="AB1902" s="436" t="s">
        <v>1</v>
      </c>
      <c r="AC1902" s="437">
        <f>AC$14/AC$11/AC$10*VLOOKUP(AB1901,'Unit Ops'!$B$140:$J$209,2,FALSE)</f>
        <v>0</v>
      </c>
      <c r="AD1902" s="438" t="s">
        <v>586</v>
      </c>
      <c r="AE1902" s="1027">
        <f>AC1902*AC$306*AC$307</f>
        <v>0</v>
      </c>
      <c r="AF1902" s="439" t="s">
        <v>585</v>
      </c>
      <c r="BA1902" s="114" t="s">
        <v>478</v>
      </c>
      <c r="BB1902" s="436" t="s">
        <v>1</v>
      </c>
      <c r="BC1902" s="437">
        <f>BC$15/BC$11/BC$12*VLOOKUP(BB1901,'Unit Ops'!$B$140:$J$209,2,FALSE)</f>
        <v>0</v>
      </c>
      <c r="BD1902" s="438" t="s">
        <v>586</v>
      </c>
      <c r="BE1902" s="1027">
        <f>BC1902*BC$306*BC$307</f>
        <v>0</v>
      </c>
      <c r="BF1902" s="439" t="s">
        <v>585</v>
      </c>
    </row>
    <row r="1903" spans="27:58">
      <c r="AA1903" s="114" t="str">
        <f>$AB$44</f>
        <v>Hopper</v>
      </c>
      <c r="AB1903" s="436" t="s">
        <v>505</v>
      </c>
      <c r="AC1903" s="437">
        <f>ROUNDUP(AC1902*IF(VLOOKUP(AB1901,'Unit Ops'!$B$140:$L$209,11,FALSE)=1,1.5,0.75),1)</f>
        <v>0</v>
      </c>
      <c r="AD1903" s="438" t="s">
        <v>586</v>
      </c>
      <c r="AE1903" s="120">
        <f>AC1903*AC$306*AC$307</f>
        <v>0</v>
      </c>
      <c r="AF1903" s="439" t="s">
        <v>585</v>
      </c>
      <c r="BA1903" s="114" t="s">
        <v>5</v>
      </c>
      <c r="BB1903" s="436" t="s">
        <v>505</v>
      </c>
      <c r="BC1903" s="437">
        <f>ROUNDUP(BC1902*IF(VLOOKUP(BB1901,'Unit Ops'!$B$140:$L$209,11,FALSE)=1,1.5,0.75),1)</f>
        <v>0</v>
      </c>
      <c r="BD1903" s="438" t="s">
        <v>586</v>
      </c>
      <c r="BE1903" s="120">
        <f>BC1903*BC$306*BC$307</f>
        <v>0</v>
      </c>
      <c r="BF1903" s="439" t="s">
        <v>585</v>
      </c>
    </row>
    <row r="1904" spans="27:58">
      <c r="AA1904" s="114" t="str">
        <f>$AB$45</f>
        <v>Conveyor</v>
      </c>
      <c r="AB1904" s="441" t="s">
        <v>521</v>
      </c>
      <c r="AC1904" s="442" t="e">
        <f>AC1902/AC1903</f>
        <v>#DIV/0!</v>
      </c>
      <c r="AD1904" s="438"/>
      <c r="AE1904" s="443"/>
      <c r="AF1904" s="440"/>
      <c r="BA1904" s="114" t="str">
        <f>$BB$45</f>
        <v>Select Equipment</v>
      </c>
      <c r="BB1904" s="441" t="s">
        <v>521</v>
      </c>
      <c r="BC1904" s="442" t="e">
        <f>BC1902/BC1903</f>
        <v>#DIV/0!</v>
      </c>
      <c r="BD1904" s="438"/>
      <c r="BE1904" s="443"/>
      <c r="BF1904" s="440"/>
    </row>
    <row r="1905" spans="27:58">
      <c r="AA1905" s="114" t="str">
        <f>$AB$46</f>
        <v>Crusher</v>
      </c>
      <c r="AB1905" s="441" t="s">
        <v>506</v>
      </c>
      <c r="AC1905" s="445"/>
      <c r="AD1905" s="438" t="s">
        <v>454</v>
      </c>
      <c r="AE1905" s="443"/>
      <c r="AF1905" s="440"/>
      <c r="BA1905" s="114" t="str">
        <f>$BB$46</f>
        <v>Select Equipment</v>
      </c>
      <c r="BB1905" s="441" t="s">
        <v>506</v>
      </c>
      <c r="BC1905" s="445"/>
      <c r="BD1905" s="438" t="s">
        <v>454</v>
      </c>
      <c r="BE1905" s="443"/>
      <c r="BF1905" s="440"/>
    </row>
    <row r="1906" spans="27:58">
      <c r="AA1906" s="114" t="str">
        <f>$AB$47</f>
        <v>Screen, vibrating</v>
      </c>
      <c r="AB1906" s="436" t="s">
        <v>507</v>
      </c>
      <c r="AC1906" s="225" t="e">
        <f>(VLOOKUP(AB1901,'Unit Ops'!$B$140:$J$209,7,FALSE)*AC1903^VLOOKUP(AB1901,'Unit Ops'!$B$140:$J$209,8,FALSE)+VLOOKUP(AB1901,'Unit Ops'!$B$140:$J$209,9,FALSE))*IF(VLOOKUP(AB1901,'Unit Ops'!$B$140:$L$209,11,FALSE)=1,1,2)</f>
        <v>#NUM!</v>
      </c>
      <c r="AD1906" s="446" t="s">
        <v>454</v>
      </c>
      <c r="AE1906" s="443"/>
      <c r="AF1906" s="440"/>
      <c r="BA1906" s="114" t="str">
        <f>$BB$47</f>
        <v>Select Equipment</v>
      </c>
      <c r="BB1906" s="436" t="s">
        <v>507</v>
      </c>
      <c r="BC1906" s="225" t="e">
        <f>(VLOOKUP(BB1901,'Unit Ops'!$B$140:$J$209,7,FALSE)*BC1903^VLOOKUP(BB1901,'Unit Ops'!$B$140:$J$209,8,FALSE)+VLOOKUP(BB1901,'Unit Ops'!$B$140:$J$209,9,FALSE))*IF(VLOOKUP(BB1901,'Unit Ops'!$B$140:$L$209,11,FALSE)=1,1,2)</f>
        <v>#NUM!</v>
      </c>
      <c r="BD1906" s="446" t="s">
        <v>454</v>
      </c>
      <c r="BE1906" s="443"/>
      <c r="BF1906" s="440"/>
    </row>
    <row r="1907" spans="27:58">
      <c r="AA1907" s="114" t="str">
        <f>$AB$48</f>
        <v>Conveyor</v>
      </c>
      <c r="AB1907" s="441"/>
      <c r="AC1907" s="445"/>
      <c r="AD1907" s="447"/>
      <c r="AE1907" s="443"/>
      <c r="AF1907" s="440"/>
      <c r="BA1907" s="114" t="str">
        <f>$BB$48</f>
        <v>Select Equipment</v>
      </c>
      <c r="BB1907" s="441"/>
      <c r="BC1907" s="445"/>
      <c r="BD1907" s="447"/>
      <c r="BE1907" s="443"/>
      <c r="BF1907" s="440"/>
    </row>
    <row r="1908" spans="27:58">
      <c r="AA1908" s="114" t="str">
        <f>$AB$49</f>
        <v>Heat treatment furnace</v>
      </c>
      <c r="AB1908" s="441"/>
      <c r="AC1908" s="445"/>
      <c r="AD1908" s="447"/>
      <c r="AE1908" s="443"/>
      <c r="AF1908" s="440"/>
      <c r="BA1908" s="114" t="str">
        <f>$BB$49</f>
        <v>Select Equipment</v>
      </c>
      <c r="BB1908" s="441"/>
      <c r="BC1908" s="445"/>
      <c r="BD1908" s="447"/>
      <c r="BE1908" s="443"/>
      <c r="BF1908" s="440"/>
    </row>
    <row r="1909" spans="27:58">
      <c r="AA1909" s="114" t="str">
        <f>$AB$50</f>
        <v>Cyclone</v>
      </c>
      <c r="AB1909" s="449"/>
      <c r="AC1909" s="445"/>
      <c r="AD1909" s="447"/>
      <c r="AE1909" s="443"/>
      <c r="AF1909" s="440"/>
      <c r="BA1909" s="114" t="str">
        <f>$BB$50</f>
        <v>Select Equipment</v>
      </c>
      <c r="BB1909" s="449"/>
      <c r="BC1909" s="445"/>
      <c r="BD1909" s="447"/>
      <c r="BE1909" s="443"/>
      <c r="BF1909" s="440"/>
    </row>
    <row r="1910" spans="27:58" ht="14.5" thickBot="1">
      <c r="AA1910" s="114" t="str">
        <f>$AB$51</f>
        <v>Conveyor</v>
      </c>
      <c r="AB1910" s="450"/>
      <c r="AC1910" s="451"/>
      <c r="AD1910" s="451"/>
      <c r="AE1910" s="452"/>
      <c r="AF1910" s="453"/>
      <c r="BA1910" s="114" t="str">
        <f>$BB$51</f>
        <v>Select Equipment</v>
      </c>
      <c r="BB1910" s="450"/>
      <c r="BC1910" s="451"/>
      <c r="BD1910" s="451"/>
      <c r="BE1910" s="452"/>
      <c r="BF1910" s="453"/>
    </row>
    <row r="1911" spans="27:58">
      <c r="AA1911" s="114" t="str">
        <f>$AB$52</f>
        <v>Eddy current separator</v>
      </c>
      <c r="AB1911" s="449" t="s">
        <v>470</v>
      </c>
      <c r="AC1911" s="120"/>
      <c r="AD1911" s="454"/>
      <c r="AE1911" s="120"/>
      <c r="AF1911" s="440"/>
      <c r="BA1911" s="114" t="str">
        <f>$BB$52</f>
        <v>Select Equipment</v>
      </c>
      <c r="BB1911" s="449" t="s">
        <v>470</v>
      </c>
      <c r="BC1911" s="120"/>
      <c r="BD1911" s="454"/>
      <c r="BE1911" s="120"/>
      <c r="BF1911" s="440"/>
    </row>
    <row r="1912" spans="27:58" ht="14.5" customHeight="1">
      <c r="AA1912" s="114" t="str">
        <f>$AB$53</f>
        <v>Conveyor</v>
      </c>
      <c r="AB1912" s="1698"/>
      <c r="AC1912" s="1699"/>
      <c r="AD1912" s="1699"/>
      <c r="AE1912" s="1699"/>
      <c r="AF1912" s="1700"/>
      <c r="BA1912" s="114" t="str">
        <f>$BB$53</f>
        <v>Select Equipment</v>
      </c>
      <c r="BB1912" s="1698"/>
      <c r="BC1912" s="1699"/>
      <c r="BD1912" s="1699"/>
      <c r="BE1912" s="1699"/>
      <c r="BF1912" s="1700"/>
    </row>
    <row r="1913" spans="27:58">
      <c r="AA1913" s="114" t="str">
        <f>$AB$54</f>
        <v>Air classifier</v>
      </c>
      <c r="AB1913" s="436"/>
      <c r="AC1913" s="120"/>
      <c r="AD1913" s="455"/>
      <c r="AE1913" s="120"/>
      <c r="AF1913" s="440"/>
      <c r="BA1913" s="114" t="str">
        <f>$BB$54</f>
        <v>Select Equipment</v>
      </c>
      <c r="BB1913" s="436"/>
      <c r="BC1913" s="120"/>
      <c r="BD1913" s="455"/>
      <c r="BE1913" s="120"/>
      <c r="BF1913" s="440"/>
    </row>
    <row r="1914" spans="27:58">
      <c r="AA1914" s="114" t="str">
        <f>$AB$55</f>
        <v>Gas treatment</v>
      </c>
      <c r="AB1914" s="436"/>
      <c r="AC1914" s="120"/>
      <c r="AD1914" s="455"/>
      <c r="AE1914" s="120"/>
      <c r="AF1914" s="440"/>
      <c r="BA1914" s="114" t="str">
        <f>$BB$55</f>
        <v>Select Equipment</v>
      </c>
      <c r="BB1914" s="436"/>
      <c r="BC1914" s="120"/>
      <c r="BD1914" s="455"/>
      <c r="BE1914" s="120"/>
      <c r="BF1914" s="440"/>
    </row>
    <row r="1915" spans="27:58">
      <c r="AA1915" s="114" t="str">
        <f>$AB$56</f>
        <v>Wheel loader</v>
      </c>
      <c r="AB1915" s="456"/>
      <c r="AC1915" s="457"/>
      <c r="AD1915" s="457"/>
      <c r="AE1915" s="457"/>
      <c r="AF1915" s="458"/>
      <c r="BA1915" s="114" t="str">
        <f>$BB$56</f>
        <v>Select Equipment</v>
      </c>
      <c r="BB1915" s="456"/>
      <c r="BC1915" s="457"/>
      <c r="BD1915" s="457"/>
      <c r="BE1915" s="457"/>
      <c r="BF1915" s="458"/>
    </row>
    <row r="1916" spans="27:58">
      <c r="AA1916" s="114" t="str">
        <f>$AB$57</f>
        <v>Select Equipment</v>
      </c>
      <c r="AB1916" s="449" t="s">
        <v>471</v>
      </c>
      <c r="AC1916" s="120"/>
      <c r="AD1916" s="454"/>
      <c r="AE1916" s="120"/>
      <c r="AF1916" s="440"/>
      <c r="BA1916" s="114" t="str">
        <f>$BB$57</f>
        <v>Select Equipment</v>
      </c>
      <c r="BB1916" s="449" t="s">
        <v>471</v>
      </c>
      <c r="BC1916" s="120"/>
      <c r="BD1916" s="454"/>
      <c r="BE1916" s="120"/>
      <c r="BF1916" s="440"/>
    </row>
    <row r="1917" spans="27:58">
      <c r="AA1917" s="114" t="str">
        <f>$AB$58</f>
        <v>Select Equipment</v>
      </c>
      <c r="AB1917" s="436" t="s">
        <v>577</v>
      </c>
      <c r="AC1917" s="225" t="e">
        <f>AC1906*IF(AC1904&gt;1,1,AC1904)</f>
        <v>#NUM!</v>
      </c>
      <c r="AD1917" s="446" t="s">
        <v>454</v>
      </c>
      <c r="AE1917" s="120"/>
      <c r="AF1917" s="440"/>
      <c r="BA1917" s="114" t="str">
        <f>$BB$58</f>
        <v>Select Equipment</v>
      </c>
      <c r="BB1917" s="436" t="s">
        <v>577</v>
      </c>
      <c r="BC1917" s="225" t="e">
        <f>BC1906*IF(BC1904&gt;1,1,BC1904)</f>
        <v>#NUM!</v>
      </c>
      <c r="BD1917" s="446" t="s">
        <v>454</v>
      </c>
      <c r="BE1917" s="120"/>
      <c r="BF1917" s="440"/>
    </row>
    <row r="1918" spans="27:58">
      <c r="AA1918" s="114" t="str">
        <f>$AB$59</f>
        <v>Select Equipment</v>
      </c>
      <c r="AB1918" s="436" t="s">
        <v>578</v>
      </c>
      <c r="AC1918" s="225"/>
      <c r="AD1918" s="446" t="s">
        <v>579</v>
      </c>
      <c r="AE1918" s="120"/>
      <c r="AF1918" s="440"/>
      <c r="BA1918" s="114" t="str">
        <f>$BB$59</f>
        <v>Select Equipment</v>
      </c>
      <c r="BB1918" s="436" t="s">
        <v>578</v>
      </c>
      <c r="BC1918" s="225"/>
      <c r="BD1918" s="446" t="s">
        <v>579</v>
      </c>
      <c r="BE1918" s="120"/>
      <c r="BF1918" s="440"/>
    </row>
    <row r="1919" spans="27:58">
      <c r="AA1919" s="114" t="str">
        <f>$AB$60</f>
        <v>Select Equipment</v>
      </c>
      <c r="AB1919" s="436"/>
      <c r="AC1919" s="120"/>
      <c r="AD1919" s="446"/>
      <c r="AE1919" s="120"/>
      <c r="AF1919" s="440"/>
      <c r="BA1919" s="114" t="str">
        <f>$BB$60</f>
        <v>Select Equipment</v>
      </c>
      <c r="BB1919" s="436"/>
      <c r="BC1919" s="120"/>
      <c r="BD1919" s="446"/>
      <c r="BE1919" s="120"/>
      <c r="BF1919" s="440"/>
    </row>
    <row r="1920" spans="27:58">
      <c r="AA1920" s="114" t="str">
        <f>$AB$61</f>
        <v>Select Equipment</v>
      </c>
      <c r="AB1920" s="436" t="s">
        <v>8</v>
      </c>
      <c r="AC1920" s="120"/>
      <c r="AD1920" s="459" t="s">
        <v>564</v>
      </c>
      <c r="AE1920" s="120"/>
      <c r="AF1920" s="440"/>
      <c r="BA1920" s="114" t="str">
        <f>$BB$61</f>
        <v>Select Equipment</v>
      </c>
      <c r="BB1920" s="436" t="s">
        <v>8</v>
      </c>
      <c r="BC1920" s="120"/>
      <c r="BD1920" s="459" t="s">
        <v>564</v>
      </c>
      <c r="BE1920" s="120"/>
      <c r="BF1920" s="440"/>
    </row>
    <row r="1921" spans="27:58">
      <c r="AA1921" s="114" t="str">
        <f>$AB$62</f>
        <v>Select Equipment</v>
      </c>
      <c r="AB1921" s="436"/>
      <c r="AC1921" s="120"/>
      <c r="AD1921" s="459"/>
      <c r="AE1921" s="120"/>
      <c r="AF1921" s="440"/>
      <c r="BA1921" s="114" t="str">
        <f>$BB$62</f>
        <v>Select Equipment</v>
      </c>
      <c r="BB1921" s="436"/>
      <c r="BC1921" s="120"/>
      <c r="BD1921" s="459"/>
      <c r="BE1921" s="120"/>
      <c r="BF1921" s="440"/>
    </row>
    <row r="1922" spans="27:58">
      <c r="AA1922" s="114" t="str">
        <f>$AB$63</f>
        <v>Select Equipment</v>
      </c>
      <c r="AB1922" s="436" t="s">
        <v>7</v>
      </c>
      <c r="AC1922" s="120"/>
      <c r="AD1922" s="459" t="s">
        <v>564</v>
      </c>
      <c r="AE1922" s="120"/>
      <c r="AF1922" s="440"/>
      <c r="BA1922" s="114" t="str">
        <f>$BB$63</f>
        <v>Select Equipment</v>
      </c>
      <c r="BB1922" s="436" t="s">
        <v>7</v>
      </c>
      <c r="BC1922" s="120"/>
      <c r="BD1922" s="459" t="s">
        <v>564</v>
      </c>
      <c r="BE1922" s="120"/>
      <c r="BF1922" s="440"/>
    </row>
    <row r="1923" spans="27:58">
      <c r="AA1923"/>
      <c r="AB1923" s="436"/>
      <c r="AC1923" s="120"/>
      <c r="AD1923" s="459"/>
      <c r="AE1923" s="120"/>
      <c r="AF1923" s="440"/>
      <c r="BA1923" s="114" t="str">
        <f>$BB$64</f>
        <v>Select Equipment</v>
      </c>
      <c r="BB1923" s="436"/>
      <c r="BC1923" s="120"/>
      <c r="BD1923" s="459"/>
      <c r="BE1923" s="120"/>
      <c r="BF1923" s="440"/>
    </row>
    <row r="1924" spans="27:58">
      <c r="AA1924"/>
      <c r="AB1924" s="436" t="s">
        <v>9</v>
      </c>
      <c r="AC1924" s="120"/>
      <c r="AD1924" s="459" t="s">
        <v>564</v>
      </c>
      <c r="AE1924" s="120"/>
      <c r="AF1924" s="440"/>
      <c r="BA1924"/>
      <c r="BB1924" s="436" t="s">
        <v>9</v>
      </c>
      <c r="BC1924" s="120"/>
      <c r="BD1924" s="459" t="s">
        <v>564</v>
      </c>
      <c r="BE1924" s="120"/>
      <c r="BF1924" s="440"/>
    </row>
    <row r="1925" spans="27:58">
      <c r="AA1925"/>
      <c r="AB1925" s="436"/>
      <c r="AC1925" s="120"/>
      <c r="AD1925" s="459"/>
      <c r="AE1925" s="120"/>
      <c r="AF1925" s="440"/>
      <c r="BA1925"/>
      <c r="BB1925" s="436"/>
      <c r="BC1925" s="120"/>
      <c r="BD1925" s="459"/>
      <c r="BE1925" s="120"/>
      <c r="BF1925" s="440"/>
    </row>
    <row r="1926" spans="27:58">
      <c r="AA1926"/>
      <c r="AB1926" s="436" t="s">
        <v>324</v>
      </c>
      <c r="AC1926" s="120"/>
      <c r="AD1926" s="459" t="s">
        <v>564</v>
      </c>
      <c r="AE1926" s="120"/>
      <c r="AF1926" s="440" t="s">
        <v>569</v>
      </c>
      <c r="BA1926"/>
      <c r="BB1926" s="436" t="s">
        <v>324</v>
      </c>
      <c r="BC1926" s="120"/>
      <c r="BD1926" s="459" t="s">
        <v>564</v>
      </c>
      <c r="BE1926" s="120"/>
      <c r="BF1926" s="440" t="s">
        <v>569</v>
      </c>
    </row>
    <row r="1927" spans="27:58">
      <c r="AA1927"/>
      <c r="AB1927" s="436"/>
      <c r="AC1927" s="120"/>
      <c r="AD1927" s="468"/>
      <c r="AE1927" s="469"/>
      <c r="AF1927" s="440"/>
      <c r="BA1927"/>
      <c r="BB1927" s="436"/>
      <c r="BC1927" s="120"/>
      <c r="BD1927" s="468"/>
      <c r="BE1927" s="469"/>
      <c r="BF1927" s="440"/>
    </row>
    <row r="1928" spans="27:58">
      <c r="AA1928"/>
      <c r="AB1928" s="436" t="s">
        <v>374</v>
      </c>
      <c r="AC1928" s="120"/>
      <c r="AD1928" s="459" t="s">
        <v>564</v>
      </c>
      <c r="AE1928" s="469"/>
      <c r="AF1928" s="440" t="s">
        <v>569</v>
      </c>
      <c r="BA1928"/>
      <c r="BB1928" s="436" t="s">
        <v>374</v>
      </c>
      <c r="BC1928" s="120"/>
      <c r="BD1928" s="459" t="s">
        <v>564</v>
      </c>
      <c r="BE1928" s="469"/>
      <c r="BF1928" s="440" t="s">
        <v>569</v>
      </c>
    </row>
    <row r="1929" spans="27:58">
      <c r="AA1929"/>
      <c r="AB1929" s="436"/>
      <c r="AC1929" s="120"/>
      <c r="AD1929" s="472"/>
      <c r="AE1929" s="473"/>
      <c r="AF1929" s="440"/>
      <c r="BA1929"/>
      <c r="BB1929" s="436"/>
      <c r="BC1929" s="120"/>
      <c r="BD1929" s="472"/>
      <c r="BE1929" s="473"/>
      <c r="BF1929" s="440"/>
    </row>
    <row r="1930" spans="27:58">
      <c r="AA1930"/>
      <c r="AB1930" s="436" t="s">
        <v>580</v>
      </c>
      <c r="AC1930" s="120"/>
      <c r="AD1930" s="459" t="s">
        <v>564</v>
      </c>
      <c r="AE1930" s="473"/>
      <c r="AF1930" s="440" t="s">
        <v>569</v>
      </c>
      <c r="BA1930"/>
      <c r="BB1930" s="436" t="s">
        <v>580</v>
      </c>
      <c r="BC1930" s="120"/>
      <c r="BD1930" s="459" t="s">
        <v>564</v>
      </c>
      <c r="BE1930" s="473"/>
      <c r="BF1930" s="440" t="s">
        <v>569</v>
      </c>
    </row>
    <row r="1931" spans="27:58">
      <c r="AA1931"/>
      <c r="AB1931" s="476"/>
      <c r="AC1931" s="477"/>
      <c r="AD1931" s="478"/>
      <c r="AE1931" s="479"/>
      <c r="AF1931" s="458"/>
      <c r="BA1931"/>
      <c r="BB1931" s="476"/>
      <c r="BC1931" s="477"/>
      <c r="BD1931" s="478"/>
      <c r="BE1931" s="479"/>
      <c r="BF1931" s="458"/>
    </row>
    <row r="1932" spans="27:58">
      <c r="AA1932"/>
      <c r="AB1932" s="449" t="s">
        <v>473</v>
      </c>
      <c r="AC1932" s="467" t="s">
        <v>508</v>
      </c>
      <c r="AD1932" s="480"/>
      <c r="AE1932" s="481" t="s">
        <v>308</v>
      </c>
      <c r="AF1932" s="440"/>
      <c r="BA1932"/>
      <c r="BB1932" s="449" t="s">
        <v>473</v>
      </c>
      <c r="BC1932" s="467" t="s">
        <v>508</v>
      </c>
      <c r="BD1932" s="480"/>
      <c r="BE1932" s="481" t="s">
        <v>308</v>
      </c>
      <c r="BF1932" s="440"/>
    </row>
    <row r="1933" spans="27:58">
      <c r="AB1933" s="436"/>
      <c r="AC1933" s="483"/>
      <c r="AD1933" s="480"/>
      <c r="AE1933" s="484"/>
      <c r="AF1933" s="440"/>
      <c r="BA1933"/>
      <c r="BB1933" s="436"/>
      <c r="BC1933" s="483"/>
      <c r="BD1933" s="480"/>
      <c r="BE1933" s="484"/>
      <c r="BF1933" s="440"/>
    </row>
    <row r="1934" spans="27:58">
      <c r="AB1934" s="436"/>
      <c r="AC1934" s="120"/>
      <c r="AD1934" s="223"/>
      <c r="AE1934" s="467"/>
      <c r="AF1934" s="440"/>
      <c r="BB1934" s="436"/>
      <c r="BC1934" s="120"/>
      <c r="BD1934" s="223"/>
      <c r="BE1934" s="467"/>
      <c r="BF1934" s="440"/>
    </row>
    <row r="1935" spans="27:58">
      <c r="AB1935" s="436"/>
      <c r="AC1935" s="120"/>
      <c r="AD1935" s="466"/>
      <c r="AE1935" s="467"/>
      <c r="AF1935" s="440"/>
      <c r="BB1935" s="436"/>
      <c r="BC1935" s="120"/>
      <c r="BD1935" s="466"/>
      <c r="BE1935" s="467"/>
      <c r="BF1935" s="440"/>
    </row>
    <row r="1936" spans="27:58">
      <c r="AB1936" s="436"/>
      <c r="AC1936" s="120"/>
      <c r="AD1936" s="223"/>
      <c r="AE1936" s="467"/>
      <c r="AF1936" s="440"/>
      <c r="BB1936" s="436"/>
      <c r="BC1936" s="120"/>
      <c r="BD1936" s="223"/>
      <c r="BE1936" s="467"/>
      <c r="BF1936" s="440"/>
    </row>
    <row r="1937" spans="28:58">
      <c r="AB1937" s="436"/>
      <c r="AC1937" s="120"/>
      <c r="AD1937" s="223"/>
      <c r="AE1937" s="467"/>
      <c r="AF1937" s="440"/>
      <c r="BB1937" s="436"/>
      <c r="BC1937" s="120"/>
      <c r="BD1937" s="223"/>
      <c r="BE1937" s="467"/>
      <c r="BF1937" s="440"/>
    </row>
    <row r="1938" spans="28:58">
      <c r="AB1938" s="436"/>
      <c r="AC1938" s="120"/>
      <c r="AD1938" s="471"/>
      <c r="AE1938" s="467"/>
      <c r="AF1938" s="440"/>
      <c r="BB1938" s="436"/>
      <c r="BC1938" s="120"/>
      <c r="BD1938" s="471"/>
      <c r="BE1938" s="467"/>
      <c r="BF1938" s="440"/>
    </row>
    <row r="1939" spans="28:58">
      <c r="AB1939" s="436"/>
      <c r="AC1939" s="120"/>
      <c r="AD1939" s="223"/>
      <c r="AE1939" s="467"/>
      <c r="AF1939" s="440"/>
      <c r="BB1939" s="436"/>
      <c r="BC1939" s="120"/>
      <c r="BD1939" s="223"/>
      <c r="BE1939" s="467"/>
      <c r="BF1939" s="440"/>
    </row>
    <row r="1940" spans="28:58">
      <c r="AB1940" s="436"/>
      <c r="AC1940" s="120"/>
      <c r="AD1940" s="475"/>
      <c r="AE1940" s="467"/>
      <c r="AF1940" s="440"/>
      <c r="BB1940" s="436"/>
      <c r="BC1940" s="120"/>
      <c r="BD1940" s="475"/>
      <c r="BE1940" s="467"/>
      <c r="BF1940" s="440"/>
    </row>
    <row r="1941" spans="28:58">
      <c r="AB1941" s="436"/>
      <c r="AC1941" s="120"/>
      <c r="AD1941" s="223"/>
      <c r="AE1941" s="467"/>
      <c r="AF1941" s="440"/>
      <c r="BB1941" s="436"/>
      <c r="BC1941" s="120"/>
      <c r="BD1941" s="223"/>
      <c r="BE1941" s="467"/>
      <c r="BF1941" s="440"/>
    </row>
    <row r="1942" spans="28:58">
      <c r="AB1942" s="436"/>
      <c r="AC1942" s="120"/>
      <c r="AD1942" s="223"/>
      <c r="AE1942" s="467"/>
      <c r="AF1942" s="440"/>
      <c r="BB1942" s="436"/>
      <c r="BC1942" s="120"/>
      <c r="BD1942" s="223"/>
      <c r="BE1942" s="467"/>
      <c r="BF1942" s="440"/>
    </row>
    <row r="1943" spans="28:58">
      <c r="AB1943" s="436"/>
      <c r="AC1943" s="120"/>
      <c r="AD1943" s="223"/>
      <c r="AE1943" s="467"/>
      <c r="AF1943" s="440"/>
      <c r="BB1943" s="436"/>
      <c r="BC1943" s="120"/>
      <c r="BD1943" s="223"/>
      <c r="BE1943" s="467"/>
      <c r="BF1943" s="440"/>
    </row>
    <row r="1944" spans="28:58">
      <c r="AB1944" s="436"/>
      <c r="AC1944" s="120"/>
      <c r="AD1944" s="223"/>
      <c r="AE1944" s="467"/>
      <c r="AF1944" s="440"/>
      <c r="BB1944" s="436"/>
      <c r="BC1944" s="120"/>
      <c r="BD1944" s="223"/>
      <c r="BE1944" s="467"/>
      <c r="BF1944" s="440"/>
    </row>
    <row r="1945" spans="28:58">
      <c r="AB1945" s="436"/>
      <c r="AC1945" s="120"/>
      <c r="AD1945" s="120"/>
      <c r="AE1945" s="467"/>
      <c r="AF1945" s="440"/>
      <c r="BB1945" s="436"/>
      <c r="BC1945" s="120"/>
      <c r="BD1945" s="120"/>
      <c r="BE1945" s="467"/>
      <c r="BF1945" s="440"/>
    </row>
    <row r="1946" spans="28:58">
      <c r="AB1946" s="456"/>
      <c r="AC1946" s="457"/>
      <c r="AD1946" s="457"/>
      <c r="AE1946" s="477"/>
      <c r="AF1946" s="458"/>
      <c r="BB1946" s="456"/>
      <c r="BC1946" s="457"/>
      <c r="BD1946" s="457"/>
      <c r="BE1946" s="477"/>
      <c r="BF1946" s="458"/>
    </row>
    <row r="1947" spans="28:58">
      <c r="AB1947" s="449" t="s">
        <v>474</v>
      </c>
      <c r="AC1947" s="120"/>
      <c r="AD1947" s="120" t="s">
        <v>1</v>
      </c>
      <c r="AE1947" s="310" t="s">
        <v>307</v>
      </c>
      <c r="AF1947" s="440"/>
      <c r="BB1947" s="449" t="s">
        <v>474</v>
      </c>
      <c r="BC1947" s="120"/>
      <c r="BD1947" s="120" t="s">
        <v>1</v>
      </c>
      <c r="BE1947" s="310" t="s">
        <v>307</v>
      </c>
      <c r="BF1947" s="440"/>
    </row>
    <row r="1948" spans="28:58">
      <c r="AB1948" s="436"/>
      <c r="AC1948" s="223"/>
      <c r="AD1948" s="480"/>
      <c r="AE1948" s="484"/>
      <c r="AF1948" s="440"/>
      <c r="BB1948" s="436"/>
      <c r="BC1948" s="223"/>
      <c r="BD1948" s="480"/>
      <c r="BE1948" s="484"/>
      <c r="BF1948" s="440"/>
    </row>
    <row r="1949" spans="28:58">
      <c r="AB1949" s="436"/>
      <c r="AC1949" s="120"/>
      <c r="AD1949" s="120"/>
      <c r="AE1949" s="467"/>
      <c r="AF1949" s="440"/>
      <c r="BB1949" s="436"/>
      <c r="BC1949" s="120"/>
      <c r="BD1949" s="120"/>
      <c r="BE1949" s="467"/>
      <c r="BF1949" s="440"/>
    </row>
    <row r="1950" spans="28:58">
      <c r="AB1950" s="436"/>
      <c r="AC1950" s="120"/>
      <c r="AD1950" s="120"/>
      <c r="AE1950" s="467"/>
      <c r="AF1950" s="440"/>
      <c r="BB1950" s="436"/>
      <c r="BC1950" s="120"/>
      <c r="BD1950" s="120"/>
      <c r="BE1950" s="467"/>
      <c r="BF1950" s="440"/>
    </row>
    <row r="1951" spans="28:58">
      <c r="AB1951" s="436"/>
      <c r="AC1951" s="120"/>
      <c r="AD1951" s="120"/>
      <c r="AE1951" s="467"/>
      <c r="AF1951" s="440"/>
      <c r="BB1951" s="436"/>
      <c r="BC1951" s="120"/>
      <c r="BD1951" s="120"/>
      <c r="BE1951" s="467"/>
      <c r="BF1951" s="440"/>
    </row>
    <row r="1952" spans="28:58">
      <c r="AB1952" s="436"/>
      <c r="AC1952" s="120"/>
      <c r="AD1952" s="120"/>
      <c r="AE1952" s="467"/>
      <c r="AF1952" s="440"/>
      <c r="BB1952" s="436"/>
      <c r="BC1952" s="120"/>
      <c r="BD1952" s="120"/>
      <c r="BE1952" s="467"/>
      <c r="BF1952" s="440"/>
    </row>
    <row r="1953" spans="28:58">
      <c r="AB1953" s="436"/>
      <c r="AC1953" s="120"/>
      <c r="AD1953" s="120"/>
      <c r="AE1953" s="467"/>
      <c r="AF1953" s="440"/>
      <c r="BB1953" s="436"/>
      <c r="BC1953" s="120"/>
      <c r="BD1953" s="120"/>
      <c r="BE1953" s="467"/>
      <c r="BF1953" s="440"/>
    </row>
    <row r="1954" spans="28:58">
      <c r="AB1954" s="436"/>
      <c r="AC1954" s="120"/>
      <c r="AD1954" s="120"/>
      <c r="AE1954" s="467"/>
      <c r="AF1954" s="440"/>
      <c r="BB1954" s="436"/>
      <c r="BC1954" s="120"/>
      <c r="BD1954" s="120"/>
      <c r="BE1954" s="467"/>
      <c r="BF1954" s="440"/>
    </row>
    <row r="1955" spans="28:58">
      <c r="AB1955" s="436"/>
      <c r="AC1955" s="120"/>
      <c r="AD1955" s="120"/>
      <c r="AE1955" s="467"/>
      <c r="AF1955" s="440"/>
      <c r="BB1955" s="436"/>
      <c r="BC1955" s="120"/>
      <c r="BD1955" s="120"/>
      <c r="BE1955" s="467"/>
      <c r="BF1955" s="440"/>
    </row>
    <row r="1956" spans="28:58">
      <c r="AB1956" s="436"/>
      <c r="AC1956" s="120"/>
      <c r="AD1956" s="120"/>
      <c r="AE1956" s="467"/>
      <c r="AF1956" s="440"/>
      <c r="BB1956" s="436"/>
      <c r="BC1956" s="120"/>
      <c r="BD1956" s="120"/>
      <c r="BE1956" s="467"/>
      <c r="BF1956" s="440"/>
    </row>
    <row r="1957" spans="28:58">
      <c r="AB1957" s="436"/>
      <c r="AC1957" s="120"/>
      <c r="AD1957" s="120"/>
      <c r="AE1957" s="467"/>
      <c r="AF1957" s="440"/>
      <c r="BB1957" s="436"/>
      <c r="BC1957" s="120"/>
      <c r="BD1957" s="120"/>
      <c r="BE1957" s="467"/>
      <c r="BF1957" s="440"/>
    </row>
    <row r="1958" spans="28:58">
      <c r="AB1958" s="436"/>
      <c r="AC1958" s="120"/>
      <c r="AD1958" s="120"/>
      <c r="AE1958" s="467"/>
      <c r="AF1958" s="440"/>
      <c r="BB1958" s="436"/>
      <c r="BC1958" s="120"/>
      <c r="BD1958" s="120"/>
      <c r="BE1958" s="467"/>
      <c r="BF1958" s="440"/>
    </row>
    <row r="1959" spans="28:58">
      <c r="AB1959" s="436"/>
      <c r="AC1959" s="120"/>
      <c r="AD1959" s="120"/>
      <c r="AE1959" s="467"/>
      <c r="AF1959" s="440"/>
      <c r="BB1959" s="436"/>
      <c r="BC1959" s="120"/>
      <c r="BD1959" s="120"/>
      <c r="BE1959" s="467"/>
      <c r="BF1959" s="440"/>
    </row>
    <row r="1960" spans="28:58">
      <c r="AB1960" s="456"/>
      <c r="AC1960" s="457"/>
      <c r="AD1960" s="457"/>
      <c r="AE1960" s="477"/>
      <c r="AF1960" s="458"/>
      <c r="BB1960" s="456"/>
      <c r="BC1960" s="457"/>
      <c r="BD1960" s="457"/>
      <c r="BE1960" s="477"/>
      <c r="BF1960" s="458"/>
    </row>
    <row r="1961" spans="28:58">
      <c r="AB1961" s="456"/>
      <c r="AC1961" s="457"/>
      <c r="AD1961" s="457"/>
      <c r="AE1961" s="457"/>
      <c r="AF1961" s="458"/>
      <c r="BB1961" s="456"/>
      <c r="BC1961" s="457"/>
      <c r="BD1961" s="457"/>
      <c r="BE1961" s="457"/>
      <c r="BF1961" s="458"/>
    </row>
    <row r="1962" spans="28:58">
      <c r="AB1962" s="449" t="s">
        <v>475</v>
      </c>
      <c r="AC1962" s="120"/>
      <c r="AD1962" s="120"/>
      <c r="AE1962" s="120"/>
      <c r="AF1962" s="440"/>
      <c r="BB1962" s="449" t="s">
        <v>475</v>
      </c>
      <c r="BC1962" s="120"/>
      <c r="BD1962" s="120"/>
      <c r="BE1962" s="120"/>
      <c r="BF1962" s="440"/>
    </row>
    <row r="1963" spans="28:58">
      <c r="AB1963" s="436" t="s">
        <v>509</v>
      </c>
      <c r="AC1963" s="120"/>
      <c r="AD1963" s="120"/>
      <c r="AE1963" s="120"/>
      <c r="AF1963" s="440"/>
      <c r="BB1963" s="436" t="s">
        <v>509</v>
      </c>
      <c r="BC1963" s="120"/>
      <c r="BD1963" s="120"/>
      <c r="BE1963" s="120"/>
      <c r="BF1963" s="440"/>
    </row>
    <row r="1964" spans="28:58">
      <c r="AB1964" s="436" t="s">
        <v>510</v>
      </c>
      <c r="AC1964" s="120"/>
      <c r="AD1964" s="120"/>
      <c r="AE1964" s="120"/>
      <c r="AF1964" s="440"/>
      <c r="BB1964" s="436" t="s">
        <v>510</v>
      </c>
      <c r="BC1964" s="120"/>
      <c r="BD1964" s="120"/>
      <c r="BE1964" s="120"/>
      <c r="BF1964" s="440"/>
    </row>
    <row r="1965" spans="28:58">
      <c r="AB1965" s="436"/>
      <c r="AC1965" s="120"/>
      <c r="AD1965" s="120"/>
      <c r="AE1965" s="120"/>
      <c r="AF1965" s="440"/>
      <c r="BB1965" s="436"/>
      <c r="BC1965" s="120"/>
      <c r="BD1965" s="120"/>
      <c r="BE1965" s="120"/>
      <c r="BF1965" s="440"/>
    </row>
    <row r="1966" spans="28:58">
      <c r="AB1966" s="436"/>
      <c r="AC1966" s="120"/>
      <c r="AD1966" s="120"/>
      <c r="AE1966" s="120"/>
      <c r="AF1966" s="440"/>
      <c r="BB1966" s="436"/>
      <c r="BC1966" s="120"/>
      <c r="BD1966" s="120"/>
      <c r="BE1966" s="120"/>
      <c r="BF1966" s="440"/>
    </row>
    <row r="1967" spans="28:58">
      <c r="AB1967" s="436"/>
      <c r="AC1967" s="120"/>
      <c r="AD1967" s="120"/>
      <c r="AE1967" s="120"/>
      <c r="AF1967" s="440"/>
      <c r="BB1967" s="436"/>
      <c r="BC1967" s="120"/>
      <c r="BD1967" s="120"/>
      <c r="BE1967" s="120"/>
      <c r="BF1967" s="440"/>
    </row>
    <row r="1968" spans="28:58">
      <c r="AB1968" s="436"/>
      <c r="AC1968" s="120"/>
      <c r="AD1968" s="120"/>
      <c r="AE1968" s="120"/>
      <c r="AF1968" s="440"/>
      <c r="BB1968" s="436"/>
      <c r="BC1968" s="120"/>
      <c r="BD1968" s="120"/>
      <c r="BE1968" s="120"/>
      <c r="BF1968" s="440"/>
    </row>
    <row r="1969" spans="28:58">
      <c r="AB1969" s="436" t="s">
        <v>511</v>
      </c>
      <c r="AC1969" s="120">
        <v>0</v>
      </c>
      <c r="AD1969" s="120" t="s">
        <v>512</v>
      </c>
      <c r="AE1969" s="120"/>
      <c r="AF1969" s="440"/>
      <c r="BB1969" s="436" t="s">
        <v>511</v>
      </c>
      <c r="BC1969" s="120">
        <v>0</v>
      </c>
      <c r="BD1969" s="120" t="s">
        <v>512</v>
      </c>
      <c r="BE1969" s="120"/>
      <c r="BF1969" s="440"/>
    </row>
    <row r="1970" spans="28:58">
      <c r="AB1970" s="436" t="s">
        <v>513</v>
      </c>
      <c r="AC1970" s="120">
        <v>0</v>
      </c>
      <c r="AD1970" s="120" t="s">
        <v>512</v>
      </c>
      <c r="AE1970" s="120"/>
      <c r="AF1970" s="440"/>
      <c r="BB1970" s="436" t="s">
        <v>513</v>
      </c>
      <c r="BC1970" s="120">
        <v>0</v>
      </c>
      <c r="BD1970" s="120" t="s">
        <v>512</v>
      </c>
      <c r="BE1970" s="120"/>
      <c r="BF1970" s="440"/>
    </row>
    <row r="1971" spans="28:58">
      <c r="AB1971" s="456"/>
      <c r="AC1971" s="457"/>
      <c r="AD1971" s="457"/>
      <c r="AE1971" s="457"/>
      <c r="AF1971" s="458"/>
      <c r="BB1971" s="456"/>
      <c r="BC1971" s="457"/>
      <c r="BD1971" s="457"/>
      <c r="BE1971" s="457"/>
      <c r="BF1971" s="458"/>
    </row>
    <row r="1972" spans="28:58">
      <c r="AB1972" s="449" t="s">
        <v>461</v>
      </c>
      <c r="AC1972" s="120"/>
      <c r="AD1972" s="120"/>
      <c r="AE1972" s="120"/>
      <c r="AF1972" s="440"/>
      <c r="BB1972" s="449" t="s">
        <v>461</v>
      </c>
      <c r="BC1972" s="120"/>
      <c r="BD1972" s="120"/>
      <c r="BE1972" s="120"/>
      <c r="BF1972" s="440"/>
    </row>
    <row r="1973" spans="28:58">
      <c r="AB1973" s="436" t="s">
        <v>514</v>
      </c>
      <c r="AC1973" s="120">
        <f>VLOOKUP(AB1901,'Unit Ops'!$B$140:$K$209,10,FALSE)</f>
        <v>0</v>
      </c>
      <c r="AD1973" s="120" t="s">
        <v>515</v>
      </c>
      <c r="AE1973" s="120"/>
      <c r="AF1973" s="440"/>
      <c r="BB1973" s="436" t="s">
        <v>514</v>
      </c>
      <c r="BC1973" s="120">
        <f>VLOOKUP(BB1901,'Unit Ops'!$B$140:$K$209,10,FALSE)</f>
        <v>0</v>
      </c>
      <c r="BD1973" s="120" t="s">
        <v>515</v>
      </c>
      <c r="BE1973" s="120"/>
      <c r="BF1973" s="440"/>
    </row>
    <row r="1974" spans="28:58">
      <c r="AB1974" s="436" t="s">
        <v>516</v>
      </c>
      <c r="AC1974" s="120">
        <v>0</v>
      </c>
      <c r="AD1974" s="120" t="s">
        <v>515</v>
      </c>
      <c r="AE1974" s="120"/>
      <c r="AF1974" s="440"/>
      <c r="BB1974" s="436" t="s">
        <v>516</v>
      </c>
      <c r="BC1974" s="120">
        <v>0</v>
      </c>
      <c r="BD1974" s="120" t="s">
        <v>515</v>
      </c>
      <c r="BE1974" s="120"/>
      <c r="BF1974" s="440"/>
    </row>
    <row r="1975" spans="28:58">
      <c r="AB1975" s="436"/>
      <c r="AC1975" s="120"/>
      <c r="AD1975" s="120"/>
      <c r="AE1975" s="120"/>
      <c r="AF1975" s="440"/>
      <c r="BB1975" s="436"/>
      <c r="BC1975" s="120"/>
      <c r="BD1975" s="120"/>
      <c r="BE1975" s="120"/>
      <c r="BF1975" s="440"/>
    </row>
    <row r="1976" spans="28:58">
      <c r="AB1976" s="436"/>
      <c r="AC1976" s="120"/>
      <c r="AD1976" s="120"/>
      <c r="AE1976" s="120"/>
      <c r="AF1976" s="440"/>
      <c r="BB1976" s="436"/>
      <c r="BC1976" s="120"/>
      <c r="BD1976" s="120"/>
      <c r="BE1976" s="120"/>
      <c r="BF1976" s="440"/>
    </row>
    <row r="1977" spans="28:58">
      <c r="AB1977" s="436"/>
      <c r="AC1977" s="120"/>
      <c r="AD1977" s="120"/>
      <c r="AE1977" s="120"/>
      <c r="AF1977" s="440"/>
      <c r="BB1977" s="436"/>
      <c r="BC1977" s="120"/>
      <c r="BD1977" s="120"/>
      <c r="BE1977" s="120"/>
      <c r="BF1977" s="440"/>
    </row>
    <row r="1978" spans="28:58">
      <c r="AB1978" s="436"/>
      <c r="AC1978" s="120"/>
      <c r="AD1978" s="120"/>
      <c r="AE1978" s="120"/>
      <c r="AF1978" s="440"/>
      <c r="BB1978" s="436"/>
      <c r="BC1978" s="120"/>
      <c r="BD1978" s="120"/>
      <c r="BE1978" s="120"/>
      <c r="BF1978" s="440"/>
    </row>
    <row r="1979" spans="28:58">
      <c r="AB1979" s="436"/>
      <c r="AC1979" s="120"/>
      <c r="AD1979" s="120"/>
      <c r="AE1979" s="120"/>
      <c r="AF1979" s="440"/>
      <c r="BB1979" s="436"/>
      <c r="BC1979" s="120"/>
      <c r="BD1979" s="120"/>
      <c r="BE1979" s="120"/>
      <c r="BF1979" s="440"/>
    </row>
    <row r="1980" spans="28:58">
      <c r="AB1980" s="436" t="s">
        <v>464</v>
      </c>
      <c r="AC1980" s="120"/>
      <c r="AD1980" s="120"/>
      <c r="AE1980" s="120"/>
      <c r="AF1980" s="440"/>
      <c r="BB1980" s="436" t="s">
        <v>464</v>
      </c>
      <c r="BC1980" s="120"/>
      <c r="BD1980" s="120"/>
      <c r="BE1980" s="120"/>
      <c r="BF1980" s="440"/>
    </row>
    <row r="1981" spans="28:58">
      <c r="AB1981" s="456"/>
      <c r="AC1981" s="457"/>
      <c r="AD1981" s="457"/>
      <c r="AE1981" s="457"/>
      <c r="AF1981" s="458"/>
      <c r="BB1981" s="456"/>
      <c r="BC1981" s="457"/>
      <c r="BD1981" s="457"/>
      <c r="BE1981" s="457"/>
      <c r="BF1981" s="458"/>
    </row>
    <row r="1982" spans="28:58">
      <c r="AB1982" s="449" t="s">
        <v>472</v>
      </c>
      <c r="AC1982" s="467" t="s">
        <v>517</v>
      </c>
      <c r="AD1982" s="120" t="s">
        <v>518</v>
      </c>
      <c r="AE1982" s="467" t="s">
        <v>519</v>
      </c>
      <c r="AF1982" s="440" t="s">
        <v>518</v>
      </c>
      <c r="BB1982" s="449" t="s">
        <v>472</v>
      </c>
      <c r="BC1982" s="467" t="s">
        <v>517</v>
      </c>
      <c r="BD1982" s="120" t="s">
        <v>518</v>
      </c>
      <c r="BE1982" s="467" t="s">
        <v>519</v>
      </c>
      <c r="BF1982" s="440" t="s">
        <v>518</v>
      </c>
    </row>
    <row r="1983" spans="28:58">
      <c r="AB1983" s="436" t="s">
        <v>520</v>
      </c>
      <c r="AC1983" s="120"/>
      <c r="AD1983" s="120"/>
      <c r="AE1983" s="472">
        <f>((VLOOKUP(AB1901,'Unit Ops'!$B$140:$J$209,3,FALSE)*AC1903^VLOOKUP(AB1901,'Unit Ops'!$B$140:$J$209,4,FALSE)+VLOOKUP(AB1901,'Unit Ops'!$B$140:$J$209,5,FALSE))*VLOOKUP(AB1901,'Unit Ops'!$B$140:$J$209,6,FALSE))*IF(VLOOKUP(AB1901,'Unit Ops'!$B$140:$L$209,11,FALSE)=1,1,2)</f>
        <v>0</v>
      </c>
      <c r="AF1983" s="490">
        <f>'CM Rec Par.'!$C$7</f>
        <v>2022</v>
      </c>
      <c r="BB1983" s="436" t="s">
        <v>520</v>
      </c>
      <c r="BC1983" s="120"/>
      <c r="BD1983" s="120"/>
      <c r="BE1983" s="472">
        <f>((VLOOKUP(BB1901,'Unit Ops'!$B$140:$J$209,3,FALSE)*BC1903^VLOOKUP(BB1901,'Unit Ops'!$B$140:$J$209,4,FALSE)+VLOOKUP(BB1901,'Unit Ops'!$B$140:$J$209,5,FALSE))*VLOOKUP(BB1901,'Unit Ops'!$B$140:$J$209,6,FALSE))*IF(VLOOKUP(BB1901,'Unit Ops'!$B$140:$L$209,11,FALSE)=1,1,2)</f>
        <v>0</v>
      </c>
      <c r="BF1983" s="490">
        <f>'CM Rec Par.'!$C$7</f>
        <v>2022</v>
      </c>
    </row>
    <row r="1984" spans="28:58">
      <c r="AB1984" s="436"/>
      <c r="AC1984" s="120"/>
      <c r="AD1984" s="120"/>
      <c r="AE1984" s="120"/>
      <c r="AF1984" s="440"/>
      <c r="BB1984" s="436"/>
      <c r="BC1984" s="120"/>
      <c r="BD1984" s="120"/>
      <c r="BE1984" s="120"/>
      <c r="BF1984" s="440"/>
    </row>
    <row r="1985" spans="28:58">
      <c r="AB1985" s="436"/>
      <c r="AC1985" s="120"/>
      <c r="AD1985" s="120"/>
      <c r="AE1985" s="120"/>
      <c r="AF1985" s="440"/>
      <c r="BB1985" s="436"/>
      <c r="BC1985" s="120"/>
      <c r="BD1985" s="120"/>
      <c r="BE1985" s="120"/>
      <c r="BF1985" s="440"/>
    </row>
    <row r="1986" spans="28:58">
      <c r="AB1986" s="436"/>
      <c r="AC1986" s="120"/>
      <c r="AD1986" s="120"/>
      <c r="AE1986" s="120"/>
      <c r="AF1986" s="440"/>
      <c r="BB1986" s="436"/>
      <c r="BC1986" s="120"/>
      <c r="BD1986" s="120"/>
      <c r="BE1986" s="120"/>
      <c r="BF1986" s="440"/>
    </row>
    <row r="1987" spans="28:58">
      <c r="AB1987" s="436"/>
      <c r="AC1987" s="120"/>
      <c r="AD1987" s="120"/>
      <c r="AE1987" s="120"/>
      <c r="AF1987" s="440"/>
      <c r="BB1987" s="436"/>
      <c r="BC1987" s="120"/>
      <c r="BD1987" s="120"/>
      <c r="BE1987" s="120"/>
      <c r="BF1987" s="440"/>
    </row>
    <row r="1988" spans="28:58">
      <c r="AB1988" s="436"/>
      <c r="AC1988" s="120"/>
      <c r="AD1988" s="120"/>
      <c r="AE1988" s="120"/>
      <c r="AF1988" s="440"/>
      <c r="BB1988" s="436"/>
      <c r="BC1988" s="120"/>
      <c r="BD1988" s="120"/>
      <c r="BE1988" s="120"/>
      <c r="BF1988" s="440"/>
    </row>
    <row r="1989" spans="28:58">
      <c r="AB1989" s="436"/>
      <c r="AC1989" s="120"/>
      <c r="AD1989" s="120"/>
      <c r="AE1989" s="120"/>
      <c r="AF1989" s="440"/>
      <c r="BB1989" s="436"/>
      <c r="BC1989" s="120"/>
      <c r="BD1989" s="120"/>
      <c r="BE1989" s="120"/>
      <c r="BF1989" s="440"/>
    </row>
    <row r="1990" spans="28:58">
      <c r="AB1990" s="436"/>
      <c r="AC1990" s="120"/>
      <c r="AD1990" s="120"/>
      <c r="AE1990" s="120"/>
      <c r="AF1990" s="440"/>
      <c r="BB1990" s="436"/>
      <c r="BC1990" s="120"/>
      <c r="BD1990" s="120"/>
      <c r="BE1990" s="120"/>
      <c r="BF1990" s="440"/>
    </row>
    <row r="1991" spans="28:58">
      <c r="AB1991" s="436"/>
      <c r="AC1991" s="120"/>
      <c r="AD1991" s="120"/>
      <c r="AE1991" s="120"/>
      <c r="AF1991" s="440"/>
      <c r="BB1991" s="436"/>
      <c r="BC1991" s="120"/>
      <c r="BD1991" s="120"/>
      <c r="BE1991" s="120"/>
      <c r="BF1991" s="440"/>
    </row>
    <row r="1992" spans="28:58">
      <c r="AB1992" s="436"/>
      <c r="AC1992" s="120"/>
      <c r="AD1992" s="120"/>
      <c r="AE1992" s="120"/>
      <c r="AF1992" s="440"/>
      <c r="BB1992" s="436"/>
      <c r="BC1992" s="120"/>
      <c r="BD1992" s="120"/>
      <c r="BE1992" s="120"/>
      <c r="BF1992" s="440"/>
    </row>
    <row r="1993" spans="28:58">
      <c r="AB1993" s="436"/>
      <c r="AC1993" s="120"/>
      <c r="AD1993" s="120"/>
      <c r="AE1993" s="120"/>
      <c r="AF1993" s="440"/>
      <c r="BB1993" s="436"/>
      <c r="BC1993" s="120"/>
      <c r="BD1993" s="120"/>
      <c r="BE1993" s="120"/>
      <c r="BF1993" s="440"/>
    </row>
    <row r="1994" spans="28:58">
      <c r="AB1994" s="436"/>
      <c r="AC1994" s="120"/>
      <c r="AD1994" s="120"/>
      <c r="AE1994" s="120"/>
      <c r="AF1994" s="440"/>
      <c r="BB1994" s="436"/>
      <c r="BC1994" s="120"/>
      <c r="BD1994" s="120"/>
      <c r="BE1994" s="120"/>
      <c r="BF1994" s="440"/>
    </row>
    <row r="1995" spans="28:58">
      <c r="AB1995" s="436"/>
      <c r="AC1995" s="120"/>
      <c r="AD1995" s="120"/>
      <c r="AE1995" s="120"/>
      <c r="AF1995" s="440"/>
      <c r="BB1995" s="436"/>
      <c r="BC1995" s="120"/>
      <c r="BD1995" s="120"/>
      <c r="BE1995" s="120"/>
      <c r="BF1995" s="440"/>
    </row>
    <row r="1996" spans="28:58">
      <c r="AB1996" s="436"/>
      <c r="AC1996" s="120"/>
      <c r="AD1996" s="120"/>
      <c r="AE1996" s="120"/>
      <c r="AF1996" s="440"/>
      <c r="BB1996" s="436"/>
      <c r="BC1996" s="120"/>
      <c r="BD1996" s="120"/>
      <c r="BE1996" s="120"/>
      <c r="BF1996" s="440"/>
    </row>
    <row r="1997" spans="28:58" ht="14.5" thickBot="1">
      <c r="AB1997" s="492"/>
      <c r="AC1997" s="493"/>
      <c r="AD1997" s="493"/>
      <c r="AE1997" s="493"/>
      <c r="AF1997" s="453"/>
      <c r="BB1997" s="492"/>
      <c r="BC1997" s="493"/>
      <c r="BD1997" s="493"/>
      <c r="BE1997" s="493"/>
      <c r="BF1997" s="453"/>
    </row>
    <row r="2000" spans="28:58" ht="14.5" thickBot="1"/>
    <row r="2001" spans="27:58">
      <c r="AA2001" s="114" t="s">
        <v>478</v>
      </c>
      <c r="AB2001" s="431" t="str">
        <f>AB59</f>
        <v>Select Equipment</v>
      </c>
      <c r="AC2001" s="432"/>
      <c r="AD2001" s="433"/>
      <c r="AE2001" s="434"/>
      <c r="AF2001" s="435"/>
      <c r="BB2001" s="431" t="str">
        <f>BB60</f>
        <v>Select Equipment</v>
      </c>
      <c r="BC2001" s="432"/>
      <c r="BD2001" s="433"/>
      <c r="BE2001" s="434"/>
      <c r="BF2001" s="435"/>
    </row>
    <row r="2002" spans="27:58">
      <c r="AA2002" s="114" t="s">
        <v>5</v>
      </c>
      <c r="AB2002" s="436" t="s">
        <v>1</v>
      </c>
      <c r="AC2002" s="437">
        <f>AC$14/AC$11/AC$10*VLOOKUP(AB2001,'Unit Ops'!$B$140:$J$209,2,FALSE)</f>
        <v>0</v>
      </c>
      <c r="AD2002" s="438" t="s">
        <v>586</v>
      </c>
      <c r="AE2002" s="1027">
        <f>AC2002*AC$306*AC$307</f>
        <v>0</v>
      </c>
      <c r="AF2002" s="439" t="s">
        <v>585</v>
      </c>
      <c r="BA2002" s="114" t="s">
        <v>478</v>
      </c>
      <c r="BB2002" s="436" t="s">
        <v>1</v>
      </c>
      <c r="BC2002" s="437">
        <f>BC$15/BC$11/BC$12*VLOOKUP(BB2001,'Unit Ops'!$B$140:$J$209,2,FALSE)</f>
        <v>0</v>
      </c>
      <c r="BD2002" s="438" t="s">
        <v>586</v>
      </c>
      <c r="BE2002" s="1027">
        <f>BC2002*BC$306*BC$307</f>
        <v>0</v>
      </c>
      <c r="BF2002" s="439" t="s">
        <v>585</v>
      </c>
    </row>
    <row r="2003" spans="27:58">
      <c r="AA2003" s="114" t="str">
        <f>$AB$44</f>
        <v>Hopper</v>
      </c>
      <c r="AB2003" s="436" t="s">
        <v>505</v>
      </c>
      <c r="AC2003" s="437">
        <f>ROUNDUP(AC2002*IF(VLOOKUP(AB2001,'Unit Ops'!$B$140:$L$209,11,FALSE)=1,1.5,0.75),1)</f>
        <v>0</v>
      </c>
      <c r="AD2003" s="438" t="s">
        <v>586</v>
      </c>
      <c r="AE2003" s="120">
        <f>AC2003*AC$306*AC$307</f>
        <v>0</v>
      </c>
      <c r="AF2003" s="439" t="s">
        <v>585</v>
      </c>
      <c r="BA2003" s="114" t="s">
        <v>5</v>
      </c>
      <c r="BB2003" s="436" t="s">
        <v>505</v>
      </c>
      <c r="BC2003" s="437">
        <f>ROUNDUP(BC2002*IF(VLOOKUP(BB2001,'Unit Ops'!$B$140:$L$209,11,FALSE)=1,1.5,0.75),1)</f>
        <v>0</v>
      </c>
      <c r="BD2003" s="438" t="s">
        <v>586</v>
      </c>
      <c r="BE2003" s="120">
        <f>BC2003*BC$306*BC$307</f>
        <v>0</v>
      </c>
      <c r="BF2003" s="439" t="s">
        <v>585</v>
      </c>
    </row>
    <row r="2004" spans="27:58">
      <c r="AA2004" s="114" t="str">
        <f>$AB$45</f>
        <v>Conveyor</v>
      </c>
      <c r="AB2004" s="441" t="s">
        <v>521</v>
      </c>
      <c r="AC2004" s="442" t="e">
        <f>AC2002/AC2003</f>
        <v>#DIV/0!</v>
      </c>
      <c r="AD2004" s="438"/>
      <c r="AE2004" s="443"/>
      <c r="AF2004" s="440"/>
      <c r="BA2004" s="114" t="str">
        <f>$BB$45</f>
        <v>Select Equipment</v>
      </c>
      <c r="BB2004" s="441" t="s">
        <v>521</v>
      </c>
      <c r="BC2004" s="442" t="e">
        <f>BC2002/BC2003</f>
        <v>#DIV/0!</v>
      </c>
      <c r="BD2004" s="438"/>
      <c r="BE2004" s="443"/>
      <c r="BF2004" s="440"/>
    </row>
    <row r="2005" spans="27:58">
      <c r="AA2005" s="114" t="str">
        <f>$AB$46</f>
        <v>Crusher</v>
      </c>
      <c r="AB2005" s="441" t="s">
        <v>506</v>
      </c>
      <c r="AC2005" s="445"/>
      <c r="AD2005" s="438" t="s">
        <v>454</v>
      </c>
      <c r="AE2005" s="443"/>
      <c r="AF2005" s="440"/>
      <c r="BA2005" s="114" t="str">
        <f>$BB$46</f>
        <v>Select Equipment</v>
      </c>
      <c r="BB2005" s="441" t="s">
        <v>506</v>
      </c>
      <c r="BC2005" s="445"/>
      <c r="BD2005" s="438" t="s">
        <v>454</v>
      </c>
      <c r="BE2005" s="443"/>
      <c r="BF2005" s="440"/>
    </row>
    <row r="2006" spans="27:58">
      <c r="AA2006" s="114" t="str">
        <f>$AB$47</f>
        <v>Screen, vibrating</v>
      </c>
      <c r="AB2006" s="436" t="s">
        <v>507</v>
      </c>
      <c r="AC2006" s="225" t="e">
        <f>(VLOOKUP(AB2001,'Unit Ops'!$B$140:$J$209,7,FALSE)*AC2003^VLOOKUP(AB2001,'Unit Ops'!$B$140:$J$209,8,FALSE)+VLOOKUP(AB2001,'Unit Ops'!$B$140:$J$209,9,FALSE))*IF(VLOOKUP(AB2001,'Unit Ops'!$B$140:$L$209,11,FALSE)=1,1,2)</f>
        <v>#NUM!</v>
      </c>
      <c r="AD2006" s="446" t="s">
        <v>454</v>
      </c>
      <c r="AE2006" s="443"/>
      <c r="AF2006" s="440"/>
      <c r="BA2006" s="114" t="str">
        <f>$BB$47</f>
        <v>Select Equipment</v>
      </c>
      <c r="BB2006" s="436" t="s">
        <v>507</v>
      </c>
      <c r="BC2006" s="225" t="e">
        <f>(VLOOKUP(BB2001,'Unit Ops'!$B$140:$J$209,7,FALSE)*BC2003^VLOOKUP(BB2001,'Unit Ops'!$B$140:$J$209,8,FALSE)+VLOOKUP(BB2001,'Unit Ops'!$B$140:$J$209,9,FALSE))*IF(VLOOKUP(BB2001,'Unit Ops'!$B$140:$L$209,11,FALSE)=1,1,2)</f>
        <v>#NUM!</v>
      </c>
      <c r="BD2006" s="446" t="s">
        <v>454</v>
      </c>
      <c r="BE2006" s="443"/>
      <c r="BF2006" s="440"/>
    </row>
    <row r="2007" spans="27:58">
      <c r="AA2007" s="114" t="str">
        <f>$AB$48</f>
        <v>Conveyor</v>
      </c>
      <c r="AB2007" s="441"/>
      <c r="AC2007" s="445"/>
      <c r="AD2007" s="447"/>
      <c r="AE2007" s="443"/>
      <c r="AF2007" s="440"/>
      <c r="BA2007" s="114" t="str">
        <f>$BB$48</f>
        <v>Select Equipment</v>
      </c>
      <c r="BB2007" s="441"/>
      <c r="BC2007" s="445"/>
      <c r="BD2007" s="447"/>
      <c r="BE2007" s="443"/>
      <c r="BF2007" s="440"/>
    </row>
    <row r="2008" spans="27:58">
      <c r="AA2008" s="114" t="str">
        <f>$AB$49</f>
        <v>Heat treatment furnace</v>
      </c>
      <c r="AB2008" s="441"/>
      <c r="AC2008" s="445"/>
      <c r="AD2008" s="447"/>
      <c r="AE2008" s="443"/>
      <c r="AF2008" s="440"/>
      <c r="BA2008" s="114" t="str">
        <f>$BB$49</f>
        <v>Select Equipment</v>
      </c>
      <c r="BB2008" s="441"/>
      <c r="BC2008" s="445"/>
      <c r="BD2008" s="447"/>
      <c r="BE2008" s="443"/>
      <c r="BF2008" s="440"/>
    </row>
    <row r="2009" spans="27:58">
      <c r="AA2009" s="114" t="str">
        <f>$AB$50</f>
        <v>Cyclone</v>
      </c>
      <c r="AB2009" s="449"/>
      <c r="AC2009" s="445"/>
      <c r="AD2009" s="447"/>
      <c r="AE2009" s="443"/>
      <c r="AF2009" s="440"/>
      <c r="BA2009" s="114" t="str">
        <f>$BB$50</f>
        <v>Select Equipment</v>
      </c>
      <c r="BB2009" s="449"/>
      <c r="BC2009" s="445"/>
      <c r="BD2009" s="447"/>
      <c r="BE2009" s="443"/>
      <c r="BF2009" s="440"/>
    </row>
    <row r="2010" spans="27:58" ht="14.5" thickBot="1">
      <c r="AA2010" s="114" t="str">
        <f>$AB$51</f>
        <v>Conveyor</v>
      </c>
      <c r="AB2010" s="450"/>
      <c r="AC2010" s="451"/>
      <c r="AD2010" s="451"/>
      <c r="AE2010" s="452"/>
      <c r="AF2010" s="453"/>
      <c r="BA2010" s="114" t="str">
        <f>$BB$51</f>
        <v>Select Equipment</v>
      </c>
      <c r="BB2010" s="450"/>
      <c r="BC2010" s="451"/>
      <c r="BD2010" s="451"/>
      <c r="BE2010" s="452"/>
      <c r="BF2010" s="453"/>
    </row>
    <row r="2011" spans="27:58">
      <c r="AA2011" s="114" t="str">
        <f>$AB$52</f>
        <v>Eddy current separator</v>
      </c>
      <c r="AB2011" s="449" t="s">
        <v>470</v>
      </c>
      <c r="AC2011" s="120"/>
      <c r="AD2011" s="454"/>
      <c r="AE2011" s="120"/>
      <c r="AF2011" s="440"/>
      <c r="BA2011" s="114" t="str">
        <f>$BB$52</f>
        <v>Select Equipment</v>
      </c>
      <c r="BB2011" s="449" t="s">
        <v>470</v>
      </c>
      <c r="BC2011" s="120"/>
      <c r="BD2011" s="454"/>
      <c r="BE2011" s="120"/>
      <c r="BF2011" s="440"/>
    </row>
    <row r="2012" spans="27:58" ht="14.5" customHeight="1">
      <c r="AA2012" s="114" t="str">
        <f>$AB$53</f>
        <v>Conveyor</v>
      </c>
      <c r="AB2012" s="1698"/>
      <c r="AC2012" s="1699"/>
      <c r="AD2012" s="1699"/>
      <c r="AE2012" s="1699"/>
      <c r="AF2012" s="1700"/>
      <c r="BA2012" s="114" t="str">
        <f>$BB$53</f>
        <v>Select Equipment</v>
      </c>
      <c r="BB2012" s="1698"/>
      <c r="BC2012" s="1699"/>
      <c r="BD2012" s="1699"/>
      <c r="BE2012" s="1699"/>
      <c r="BF2012" s="1700"/>
    </row>
    <row r="2013" spans="27:58">
      <c r="AA2013" s="114" t="str">
        <f>$AB$54</f>
        <v>Air classifier</v>
      </c>
      <c r="AB2013" s="436"/>
      <c r="AC2013" s="120"/>
      <c r="AD2013" s="455"/>
      <c r="AE2013" s="120"/>
      <c r="AF2013" s="440"/>
      <c r="BA2013" s="114" t="str">
        <f>$BB$54</f>
        <v>Select Equipment</v>
      </c>
      <c r="BB2013" s="436"/>
      <c r="BC2013" s="120"/>
      <c r="BD2013" s="455"/>
      <c r="BE2013" s="120"/>
      <c r="BF2013" s="440"/>
    </row>
    <row r="2014" spans="27:58">
      <c r="AA2014" s="114" t="str">
        <f>$AB$55</f>
        <v>Gas treatment</v>
      </c>
      <c r="AB2014" s="436"/>
      <c r="AC2014" s="120"/>
      <c r="AD2014" s="455"/>
      <c r="AE2014" s="120"/>
      <c r="AF2014" s="440"/>
      <c r="BA2014" s="114" t="str">
        <f>$BB$55</f>
        <v>Select Equipment</v>
      </c>
      <c r="BB2014" s="436"/>
      <c r="BC2014" s="120"/>
      <c r="BD2014" s="455"/>
      <c r="BE2014" s="120"/>
      <c r="BF2014" s="440"/>
    </row>
    <row r="2015" spans="27:58">
      <c r="AA2015" s="114" t="str">
        <f>$AB$56</f>
        <v>Wheel loader</v>
      </c>
      <c r="AB2015" s="456"/>
      <c r="AC2015" s="457"/>
      <c r="AD2015" s="457"/>
      <c r="AE2015" s="457"/>
      <c r="AF2015" s="458"/>
      <c r="BA2015" s="114" t="str">
        <f>$BB$56</f>
        <v>Select Equipment</v>
      </c>
      <c r="BB2015" s="456"/>
      <c r="BC2015" s="457"/>
      <c r="BD2015" s="457"/>
      <c r="BE2015" s="457"/>
      <c r="BF2015" s="458"/>
    </row>
    <row r="2016" spans="27:58">
      <c r="AA2016" s="114" t="str">
        <f>$AB$57</f>
        <v>Select Equipment</v>
      </c>
      <c r="AB2016" s="449" t="s">
        <v>471</v>
      </c>
      <c r="AC2016" s="120"/>
      <c r="AD2016" s="454"/>
      <c r="AE2016" s="120"/>
      <c r="AF2016" s="440"/>
      <c r="BA2016" s="114" t="str">
        <f>$BB$57</f>
        <v>Select Equipment</v>
      </c>
      <c r="BB2016" s="449" t="s">
        <v>471</v>
      </c>
      <c r="BC2016" s="120"/>
      <c r="BD2016" s="454"/>
      <c r="BE2016" s="120"/>
      <c r="BF2016" s="440"/>
    </row>
    <row r="2017" spans="27:58">
      <c r="AA2017" s="114" t="str">
        <f>$AB$58</f>
        <v>Select Equipment</v>
      </c>
      <c r="AB2017" s="436" t="s">
        <v>577</v>
      </c>
      <c r="AC2017" s="225" t="e">
        <f>AC2006*IF(AC2004&gt;1,1,AC2004)</f>
        <v>#NUM!</v>
      </c>
      <c r="AD2017" s="446" t="s">
        <v>454</v>
      </c>
      <c r="AE2017" s="120"/>
      <c r="AF2017" s="440"/>
      <c r="BA2017" s="114" t="str">
        <f>$BB$58</f>
        <v>Select Equipment</v>
      </c>
      <c r="BB2017" s="436" t="s">
        <v>577</v>
      </c>
      <c r="BC2017" s="225" t="e">
        <f>BC2006*IF(BC2004&gt;1,1,BC2004)</f>
        <v>#NUM!</v>
      </c>
      <c r="BD2017" s="446" t="s">
        <v>454</v>
      </c>
      <c r="BE2017" s="120"/>
      <c r="BF2017" s="440"/>
    </row>
    <row r="2018" spans="27:58">
      <c r="AA2018" s="114" t="str">
        <f>$AB$59</f>
        <v>Select Equipment</v>
      </c>
      <c r="AB2018" s="436" t="s">
        <v>578</v>
      </c>
      <c r="AC2018" s="225"/>
      <c r="AD2018" s="446" t="s">
        <v>579</v>
      </c>
      <c r="AE2018" s="120"/>
      <c r="AF2018" s="440"/>
      <c r="BA2018" s="114" t="str">
        <f>$BB$59</f>
        <v>Select Equipment</v>
      </c>
      <c r="BB2018" s="436" t="s">
        <v>578</v>
      </c>
      <c r="BC2018" s="225"/>
      <c r="BD2018" s="446" t="s">
        <v>579</v>
      </c>
      <c r="BE2018" s="120"/>
      <c r="BF2018" s="440"/>
    </row>
    <row r="2019" spans="27:58">
      <c r="AA2019" s="114" t="str">
        <f>$AB$60</f>
        <v>Select Equipment</v>
      </c>
      <c r="AB2019" s="436"/>
      <c r="AC2019" s="120"/>
      <c r="AD2019" s="446"/>
      <c r="AE2019" s="120"/>
      <c r="AF2019" s="440"/>
      <c r="BA2019" s="114" t="str">
        <f>$BB$60</f>
        <v>Select Equipment</v>
      </c>
      <c r="BB2019" s="436"/>
      <c r="BC2019" s="120"/>
      <c r="BD2019" s="446"/>
      <c r="BE2019" s="120"/>
      <c r="BF2019" s="440"/>
    </row>
    <row r="2020" spans="27:58">
      <c r="AA2020" s="114" t="str">
        <f>$AB$61</f>
        <v>Select Equipment</v>
      </c>
      <c r="AB2020" s="436" t="s">
        <v>8</v>
      </c>
      <c r="AC2020" s="120"/>
      <c r="AD2020" s="459" t="s">
        <v>564</v>
      </c>
      <c r="AE2020" s="120"/>
      <c r="AF2020" s="440"/>
      <c r="BA2020" s="114" t="str">
        <f>$BB$61</f>
        <v>Select Equipment</v>
      </c>
      <c r="BB2020" s="436" t="s">
        <v>8</v>
      </c>
      <c r="BC2020" s="120"/>
      <c r="BD2020" s="459" t="s">
        <v>564</v>
      </c>
      <c r="BE2020" s="120"/>
      <c r="BF2020" s="440"/>
    </row>
    <row r="2021" spans="27:58">
      <c r="AA2021" s="114" t="str">
        <f>$AB$62</f>
        <v>Select Equipment</v>
      </c>
      <c r="AB2021" s="436"/>
      <c r="AC2021" s="120"/>
      <c r="AD2021" s="459"/>
      <c r="AE2021" s="120"/>
      <c r="AF2021" s="440"/>
      <c r="BA2021" s="114" t="str">
        <f>$BB$62</f>
        <v>Select Equipment</v>
      </c>
      <c r="BB2021" s="436"/>
      <c r="BC2021" s="120"/>
      <c r="BD2021" s="459"/>
      <c r="BE2021" s="120"/>
      <c r="BF2021" s="440"/>
    </row>
    <row r="2022" spans="27:58">
      <c r="AA2022" s="114" t="str">
        <f>$AB$63</f>
        <v>Select Equipment</v>
      </c>
      <c r="AB2022" s="436" t="s">
        <v>7</v>
      </c>
      <c r="AC2022" s="120"/>
      <c r="AD2022" s="459" t="s">
        <v>564</v>
      </c>
      <c r="AE2022" s="120"/>
      <c r="AF2022" s="440"/>
      <c r="BA2022" s="114" t="str">
        <f>$BB$63</f>
        <v>Select Equipment</v>
      </c>
      <c r="BB2022" s="436" t="s">
        <v>7</v>
      </c>
      <c r="BC2022" s="120"/>
      <c r="BD2022" s="459" t="s">
        <v>564</v>
      </c>
      <c r="BE2022" s="120"/>
      <c r="BF2022" s="440"/>
    </row>
    <row r="2023" spans="27:58">
      <c r="AA2023"/>
      <c r="AB2023" s="436"/>
      <c r="AC2023" s="120"/>
      <c r="AD2023" s="459"/>
      <c r="AE2023" s="120"/>
      <c r="AF2023" s="440"/>
      <c r="BA2023" s="114" t="str">
        <f>$BB$64</f>
        <v>Select Equipment</v>
      </c>
      <c r="BB2023" s="436"/>
      <c r="BC2023" s="120"/>
      <c r="BD2023" s="459"/>
      <c r="BE2023" s="120"/>
      <c r="BF2023" s="440"/>
    </row>
    <row r="2024" spans="27:58">
      <c r="AA2024"/>
      <c r="AB2024" s="436" t="s">
        <v>9</v>
      </c>
      <c r="AC2024" s="120"/>
      <c r="AD2024" s="459" t="s">
        <v>564</v>
      </c>
      <c r="AE2024" s="120"/>
      <c r="AF2024" s="440"/>
      <c r="BA2024"/>
      <c r="BB2024" s="436" t="s">
        <v>9</v>
      </c>
      <c r="BC2024" s="120"/>
      <c r="BD2024" s="459" t="s">
        <v>564</v>
      </c>
      <c r="BE2024" s="120"/>
      <c r="BF2024" s="440"/>
    </row>
    <row r="2025" spans="27:58">
      <c r="AA2025"/>
      <c r="AB2025" s="436"/>
      <c r="AC2025" s="120"/>
      <c r="AD2025" s="459"/>
      <c r="AE2025" s="120"/>
      <c r="AF2025" s="440"/>
      <c r="BA2025"/>
      <c r="BB2025" s="436"/>
      <c r="BC2025" s="120"/>
      <c r="BD2025" s="459"/>
      <c r="BE2025" s="120"/>
      <c r="BF2025" s="440"/>
    </row>
    <row r="2026" spans="27:58">
      <c r="AA2026"/>
      <c r="AB2026" s="436" t="s">
        <v>324</v>
      </c>
      <c r="AC2026" s="120"/>
      <c r="AD2026" s="459" t="s">
        <v>564</v>
      </c>
      <c r="AE2026" s="120"/>
      <c r="AF2026" s="440" t="s">
        <v>569</v>
      </c>
      <c r="BA2026"/>
      <c r="BB2026" s="436" t="s">
        <v>324</v>
      </c>
      <c r="BC2026" s="120"/>
      <c r="BD2026" s="459" t="s">
        <v>564</v>
      </c>
      <c r="BE2026" s="120"/>
      <c r="BF2026" s="440" t="s">
        <v>569</v>
      </c>
    </row>
    <row r="2027" spans="27:58">
      <c r="AA2027"/>
      <c r="AB2027" s="436"/>
      <c r="AC2027" s="120"/>
      <c r="AD2027" s="468"/>
      <c r="AE2027" s="469"/>
      <c r="AF2027" s="440"/>
      <c r="BA2027"/>
      <c r="BB2027" s="436"/>
      <c r="BC2027" s="120"/>
      <c r="BD2027" s="468"/>
      <c r="BE2027" s="469"/>
      <c r="BF2027" s="440"/>
    </row>
    <row r="2028" spans="27:58">
      <c r="AA2028"/>
      <c r="AB2028" s="436" t="s">
        <v>374</v>
      </c>
      <c r="AC2028" s="120"/>
      <c r="AD2028" s="459" t="s">
        <v>564</v>
      </c>
      <c r="AE2028" s="469"/>
      <c r="AF2028" s="440" t="s">
        <v>569</v>
      </c>
      <c r="BA2028"/>
      <c r="BB2028" s="436" t="s">
        <v>374</v>
      </c>
      <c r="BC2028" s="120"/>
      <c r="BD2028" s="459" t="s">
        <v>564</v>
      </c>
      <c r="BE2028" s="469"/>
      <c r="BF2028" s="440" t="s">
        <v>569</v>
      </c>
    </row>
    <row r="2029" spans="27:58">
      <c r="AA2029"/>
      <c r="AB2029" s="436"/>
      <c r="AC2029" s="120"/>
      <c r="AD2029" s="472"/>
      <c r="AE2029" s="473"/>
      <c r="AF2029" s="440"/>
      <c r="BA2029"/>
      <c r="BB2029" s="436"/>
      <c r="BC2029" s="120"/>
      <c r="BD2029" s="472"/>
      <c r="BE2029" s="473"/>
      <c r="BF2029" s="440"/>
    </row>
    <row r="2030" spans="27:58">
      <c r="AA2030"/>
      <c r="AB2030" s="436" t="s">
        <v>580</v>
      </c>
      <c r="AC2030" s="120"/>
      <c r="AD2030" s="459" t="s">
        <v>564</v>
      </c>
      <c r="AE2030" s="473"/>
      <c r="AF2030" s="440" t="s">
        <v>569</v>
      </c>
      <c r="BA2030"/>
      <c r="BB2030" s="436" t="s">
        <v>580</v>
      </c>
      <c r="BC2030" s="120"/>
      <c r="BD2030" s="459" t="s">
        <v>564</v>
      </c>
      <c r="BE2030" s="473"/>
      <c r="BF2030" s="440" t="s">
        <v>569</v>
      </c>
    </row>
    <row r="2031" spans="27:58">
      <c r="AA2031"/>
      <c r="AB2031" s="476"/>
      <c r="AC2031" s="477"/>
      <c r="AD2031" s="478"/>
      <c r="AE2031" s="479"/>
      <c r="AF2031" s="458"/>
      <c r="BA2031"/>
      <c r="BB2031" s="476"/>
      <c r="BC2031" s="477"/>
      <c r="BD2031" s="478"/>
      <c r="BE2031" s="479"/>
      <c r="BF2031" s="458"/>
    </row>
    <row r="2032" spans="27:58">
      <c r="AA2032"/>
      <c r="AB2032" s="449" t="s">
        <v>473</v>
      </c>
      <c r="AC2032" s="467" t="s">
        <v>508</v>
      </c>
      <c r="AD2032" s="480"/>
      <c r="AE2032" s="481" t="s">
        <v>308</v>
      </c>
      <c r="AF2032" s="440"/>
      <c r="BA2032"/>
      <c r="BB2032" s="449" t="s">
        <v>473</v>
      </c>
      <c r="BC2032" s="467" t="s">
        <v>508</v>
      </c>
      <c r="BD2032" s="480"/>
      <c r="BE2032" s="481" t="s">
        <v>308</v>
      </c>
      <c r="BF2032" s="440"/>
    </row>
    <row r="2033" spans="28:58">
      <c r="AB2033" s="436"/>
      <c r="AC2033" s="483"/>
      <c r="AD2033" s="480"/>
      <c r="AE2033" s="484"/>
      <c r="AF2033" s="440"/>
      <c r="BA2033"/>
      <c r="BB2033" s="436"/>
      <c r="BC2033" s="483"/>
      <c r="BD2033" s="480"/>
      <c r="BE2033" s="484"/>
      <c r="BF2033" s="440"/>
    </row>
    <row r="2034" spans="28:58">
      <c r="AB2034" s="436"/>
      <c r="AC2034" s="120"/>
      <c r="AD2034" s="223"/>
      <c r="AE2034" s="467"/>
      <c r="AF2034" s="440"/>
      <c r="BB2034" s="436"/>
      <c r="BC2034" s="120"/>
      <c r="BD2034" s="223"/>
      <c r="BE2034" s="467"/>
      <c r="BF2034" s="440"/>
    </row>
    <row r="2035" spans="28:58">
      <c r="AB2035" s="436"/>
      <c r="AC2035" s="120"/>
      <c r="AD2035" s="466"/>
      <c r="AE2035" s="467"/>
      <c r="AF2035" s="440"/>
      <c r="BB2035" s="436"/>
      <c r="BC2035" s="120"/>
      <c r="BD2035" s="466"/>
      <c r="BE2035" s="467"/>
      <c r="BF2035" s="440"/>
    </row>
    <row r="2036" spans="28:58">
      <c r="AB2036" s="436"/>
      <c r="AC2036" s="120"/>
      <c r="AD2036" s="223"/>
      <c r="AE2036" s="467"/>
      <c r="AF2036" s="440"/>
      <c r="BB2036" s="436"/>
      <c r="BC2036" s="120"/>
      <c r="BD2036" s="223"/>
      <c r="BE2036" s="467"/>
      <c r="BF2036" s="440"/>
    </row>
    <row r="2037" spans="28:58">
      <c r="AB2037" s="436"/>
      <c r="AC2037" s="120"/>
      <c r="AD2037" s="223"/>
      <c r="AE2037" s="467"/>
      <c r="AF2037" s="440"/>
      <c r="BB2037" s="436"/>
      <c r="BC2037" s="120"/>
      <c r="BD2037" s="223"/>
      <c r="BE2037" s="467"/>
      <c r="BF2037" s="440"/>
    </row>
    <row r="2038" spans="28:58">
      <c r="AB2038" s="436"/>
      <c r="AC2038" s="120"/>
      <c r="AD2038" s="471"/>
      <c r="AE2038" s="467"/>
      <c r="AF2038" s="440"/>
      <c r="BB2038" s="436"/>
      <c r="BC2038" s="120"/>
      <c r="BD2038" s="471"/>
      <c r="BE2038" s="467"/>
      <c r="BF2038" s="440"/>
    </row>
    <row r="2039" spans="28:58">
      <c r="AB2039" s="436"/>
      <c r="AC2039" s="120"/>
      <c r="AD2039" s="223"/>
      <c r="AE2039" s="467"/>
      <c r="AF2039" s="440"/>
      <c r="BB2039" s="436"/>
      <c r="BC2039" s="120"/>
      <c r="BD2039" s="223"/>
      <c r="BE2039" s="467"/>
      <c r="BF2039" s="440"/>
    </row>
    <row r="2040" spans="28:58">
      <c r="AB2040" s="436"/>
      <c r="AC2040" s="120"/>
      <c r="AD2040" s="475"/>
      <c r="AE2040" s="467"/>
      <c r="AF2040" s="440"/>
      <c r="BB2040" s="436"/>
      <c r="BC2040" s="120"/>
      <c r="BD2040" s="475"/>
      <c r="BE2040" s="467"/>
      <c r="BF2040" s="440"/>
    </row>
    <row r="2041" spans="28:58">
      <c r="AB2041" s="436"/>
      <c r="AC2041" s="120"/>
      <c r="AD2041" s="223"/>
      <c r="AE2041" s="467"/>
      <c r="AF2041" s="440"/>
      <c r="BB2041" s="436"/>
      <c r="BC2041" s="120"/>
      <c r="BD2041" s="223"/>
      <c r="BE2041" s="467"/>
      <c r="BF2041" s="440"/>
    </row>
    <row r="2042" spans="28:58">
      <c r="AB2042" s="436"/>
      <c r="AC2042" s="120"/>
      <c r="AD2042" s="223"/>
      <c r="AE2042" s="467"/>
      <c r="AF2042" s="440"/>
      <c r="BB2042" s="436"/>
      <c r="BC2042" s="120"/>
      <c r="BD2042" s="223"/>
      <c r="BE2042" s="467"/>
      <c r="BF2042" s="440"/>
    </row>
    <row r="2043" spans="28:58">
      <c r="AB2043" s="436"/>
      <c r="AC2043" s="120"/>
      <c r="AD2043" s="223"/>
      <c r="AE2043" s="467"/>
      <c r="AF2043" s="440"/>
      <c r="BB2043" s="436"/>
      <c r="BC2043" s="120"/>
      <c r="BD2043" s="223"/>
      <c r="BE2043" s="467"/>
      <c r="BF2043" s="440"/>
    </row>
    <row r="2044" spans="28:58">
      <c r="AB2044" s="436"/>
      <c r="AC2044" s="120"/>
      <c r="AD2044" s="223"/>
      <c r="AE2044" s="467"/>
      <c r="AF2044" s="440"/>
      <c r="BB2044" s="436"/>
      <c r="BC2044" s="120"/>
      <c r="BD2044" s="223"/>
      <c r="BE2044" s="467"/>
      <c r="BF2044" s="440"/>
    </row>
    <row r="2045" spans="28:58">
      <c r="AB2045" s="436"/>
      <c r="AC2045" s="120"/>
      <c r="AD2045" s="120"/>
      <c r="AE2045" s="467"/>
      <c r="AF2045" s="440"/>
      <c r="BB2045" s="436"/>
      <c r="BC2045" s="120"/>
      <c r="BD2045" s="120"/>
      <c r="BE2045" s="467"/>
      <c r="BF2045" s="440"/>
    </row>
    <row r="2046" spans="28:58">
      <c r="AB2046" s="456"/>
      <c r="AC2046" s="457"/>
      <c r="AD2046" s="457"/>
      <c r="AE2046" s="477"/>
      <c r="AF2046" s="458"/>
      <c r="BB2046" s="456"/>
      <c r="BC2046" s="457"/>
      <c r="BD2046" s="457"/>
      <c r="BE2046" s="477"/>
      <c r="BF2046" s="458"/>
    </row>
    <row r="2047" spans="28:58">
      <c r="AB2047" s="449" t="s">
        <v>474</v>
      </c>
      <c r="AC2047" s="120"/>
      <c r="AD2047" s="120" t="s">
        <v>1</v>
      </c>
      <c r="AE2047" s="310" t="s">
        <v>307</v>
      </c>
      <c r="AF2047" s="440"/>
      <c r="BB2047" s="449" t="s">
        <v>474</v>
      </c>
      <c r="BC2047" s="120"/>
      <c r="BD2047" s="120" t="s">
        <v>1</v>
      </c>
      <c r="BE2047" s="310" t="s">
        <v>307</v>
      </c>
      <c r="BF2047" s="440"/>
    </row>
    <row r="2048" spans="28:58">
      <c r="AB2048" s="436"/>
      <c r="AC2048" s="223"/>
      <c r="AD2048" s="480"/>
      <c r="AE2048" s="484"/>
      <c r="AF2048" s="440"/>
      <c r="BB2048" s="436"/>
      <c r="BC2048" s="223"/>
      <c r="BD2048" s="480"/>
      <c r="BE2048" s="484"/>
      <c r="BF2048" s="440"/>
    </row>
    <row r="2049" spans="28:58">
      <c r="AB2049" s="436"/>
      <c r="AC2049" s="120"/>
      <c r="AD2049" s="120"/>
      <c r="AE2049" s="467"/>
      <c r="AF2049" s="440"/>
      <c r="BB2049" s="436"/>
      <c r="BC2049" s="120"/>
      <c r="BD2049" s="120"/>
      <c r="BE2049" s="467"/>
      <c r="BF2049" s="440"/>
    </row>
    <row r="2050" spans="28:58">
      <c r="AB2050" s="436"/>
      <c r="AC2050" s="120"/>
      <c r="AD2050" s="120"/>
      <c r="AE2050" s="467"/>
      <c r="AF2050" s="440"/>
      <c r="BB2050" s="436"/>
      <c r="BC2050" s="120"/>
      <c r="BD2050" s="120"/>
      <c r="BE2050" s="467"/>
      <c r="BF2050" s="440"/>
    </row>
    <row r="2051" spans="28:58">
      <c r="AB2051" s="436"/>
      <c r="AC2051" s="120"/>
      <c r="AD2051" s="120"/>
      <c r="AE2051" s="467"/>
      <c r="AF2051" s="440"/>
      <c r="BB2051" s="436"/>
      <c r="BC2051" s="120"/>
      <c r="BD2051" s="120"/>
      <c r="BE2051" s="467"/>
      <c r="BF2051" s="440"/>
    </row>
    <row r="2052" spans="28:58">
      <c r="AB2052" s="436"/>
      <c r="AC2052" s="120"/>
      <c r="AD2052" s="120"/>
      <c r="AE2052" s="467"/>
      <c r="AF2052" s="440"/>
      <c r="BB2052" s="436"/>
      <c r="BC2052" s="120"/>
      <c r="BD2052" s="120"/>
      <c r="BE2052" s="467"/>
      <c r="BF2052" s="440"/>
    </row>
    <row r="2053" spans="28:58">
      <c r="AB2053" s="436"/>
      <c r="AC2053" s="120"/>
      <c r="AD2053" s="120"/>
      <c r="AE2053" s="467"/>
      <c r="AF2053" s="440"/>
      <c r="BB2053" s="436"/>
      <c r="BC2053" s="120"/>
      <c r="BD2053" s="120"/>
      <c r="BE2053" s="467"/>
      <c r="BF2053" s="440"/>
    </row>
    <row r="2054" spans="28:58">
      <c r="AB2054" s="436"/>
      <c r="AC2054" s="120"/>
      <c r="AD2054" s="120"/>
      <c r="AE2054" s="467"/>
      <c r="AF2054" s="440"/>
      <c r="BB2054" s="436"/>
      <c r="BC2054" s="120"/>
      <c r="BD2054" s="120"/>
      <c r="BE2054" s="467"/>
      <c r="BF2054" s="440"/>
    </row>
    <row r="2055" spans="28:58">
      <c r="AB2055" s="436"/>
      <c r="AC2055" s="120"/>
      <c r="AD2055" s="120"/>
      <c r="AE2055" s="467"/>
      <c r="AF2055" s="440"/>
      <c r="BB2055" s="436"/>
      <c r="BC2055" s="120"/>
      <c r="BD2055" s="120"/>
      <c r="BE2055" s="467"/>
      <c r="BF2055" s="440"/>
    </row>
    <row r="2056" spans="28:58">
      <c r="AB2056" s="436"/>
      <c r="AC2056" s="120"/>
      <c r="AD2056" s="120"/>
      <c r="AE2056" s="467"/>
      <c r="AF2056" s="440"/>
      <c r="BB2056" s="436"/>
      <c r="BC2056" s="120"/>
      <c r="BD2056" s="120"/>
      <c r="BE2056" s="467"/>
      <c r="BF2056" s="440"/>
    </row>
    <row r="2057" spans="28:58">
      <c r="AB2057" s="436"/>
      <c r="AC2057" s="120"/>
      <c r="AD2057" s="120"/>
      <c r="AE2057" s="467"/>
      <c r="AF2057" s="440"/>
      <c r="BB2057" s="436"/>
      <c r="BC2057" s="120"/>
      <c r="BD2057" s="120"/>
      <c r="BE2057" s="467"/>
      <c r="BF2057" s="440"/>
    </row>
    <row r="2058" spans="28:58">
      <c r="AB2058" s="436"/>
      <c r="AC2058" s="120"/>
      <c r="AD2058" s="120"/>
      <c r="AE2058" s="467"/>
      <c r="AF2058" s="440"/>
      <c r="BB2058" s="436"/>
      <c r="BC2058" s="120"/>
      <c r="BD2058" s="120"/>
      <c r="BE2058" s="467"/>
      <c r="BF2058" s="440"/>
    </row>
    <row r="2059" spans="28:58">
      <c r="AB2059" s="436"/>
      <c r="AC2059" s="120"/>
      <c r="AD2059" s="120"/>
      <c r="AE2059" s="467"/>
      <c r="AF2059" s="440"/>
      <c r="BB2059" s="436"/>
      <c r="BC2059" s="120"/>
      <c r="BD2059" s="120"/>
      <c r="BE2059" s="467"/>
      <c r="BF2059" s="440"/>
    </row>
    <row r="2060" spans="28:58">
      <c r="AB2060" s="456"/>
      <c r="AC2060" s="457"/>
      <c r="AD2060" s="457"/>
      <c r="AE2060" s="477"/>
      <c r="AF2060" s="458"/>
      <c r="BB2060" s="456"/>
      <c r="BC2060" s="457"/>
      <c r="BD2060" s="457"/>
      <c r="BE2060" s="477"/>
      <c r="BF2060" s="458"/>
    </row>
    <row r="2061" spans="28:58">
      <c r="AB2061" s="456"/>
      <c r="AC2061" s="457"/>
      <c r="AD2061" s="457"/>
      <c r="AE2061" s="457"/>
      <c r="AF2061" s="458"/>
      <c r="BB2061" s="456"/>
      <c r="BC2061" s="457"/>
      <c r="BD2061" s="457"/>
      <c r="BE2061" s="457"/>
      <c r="BF2061" s="458"/>
    </row>
    <row r="2062" spans="28:58">
      <c r="AB2062" s="449" t="s">
        <v>475</v>
      </c>
      <c r="AC2062" s="120"/>
      <c r="AD2062" s="120"/>
      <c r="AE2062" s="120"/>
      <c r="AF2062" s="440"/>
      <c r="BB2062" s="449" t="s">
        <v>475</v>
      </c>
      <c r="BC2062" s="120"/>
      <c r="BD2062" s="120"/>
      <c r="BE2062" s="120"/>
      <c r="BF2062" s="440"/>
    </row>
    <row r="2063" spans="28:58">
      <c r="AB2063" s="436" t="s">
        <v>509</v>
      </c>
      <c r="AC2063" s="120"/>
      <c r="AD2063" s="120"/>
      <c r="AE2063" s="120"/>
      <c r="AF2063" s="440"/>
      <c r="BB2063" s="436" t="s">
        <v>509</v>
      </c>
      <c r="BC2063" s="120"/>
      <c r="BD2063" s="120"/>
      <c r="BE2063" s="120"/>
      <c r="BF2063" s="440"/>
    </row>
    <row r="2064" spans="28:58">
      <c r="AB2064" s="436" t="s">
        <v>510</v>
      </c>
      <c r="AC2064" s="120"/>
      <c r="AD2064" s="120"/>
      <c r="AE2064" s="120"/>
      <c r="AF2064" s="440"/>
      <c r="BB2064" s="436" t="s">
        <v>510</v>
      </c>
      <c r="BC2064" s="120"/>
      <c r="BD2064" s="120"/>
      <c r="BE2064" s="120"/>
      <c r="BF2064" s="440"/>
    </row>
    <row r="2065" spans="28:58">
      <c r="AB2065" s="436"/>
      <c r="AC2065" s="120"/>
      <c r="AD2065" s="120"/>
      <c r="AE2065" s="120"/>
      <c r="AF2065" s="440"/>
      <c r="BB2065" s="436"/>
      <c r="BC2065" s="120"/>
      <c r="BD2065" s="120"/>
      <c r="BE2065" s="120"/>
      <c r="BF2065" s="440"/>
    </row>
    <row r="2066" spans="28:58">
      <c r="AB2066" s="436"/>
      <c r="AC2066" s="120"/>
      <c r="AD2066" s="120"/>
      <c r="AE2066" s="120"/>
      <c r="AF2066" s="440"/>
      <c r="BB2066" s="436"/>
      <c r="BC2066" s="120"/>
      <c r="BD2066" s="120"/>
      <c r="BE2066" s="120"/>
      <c r="BF2066" s="440"/>
    </row>
    <row r="2067" spans="28:58">
      <c r="AB2067" s="436"/>
      <c r="AC2067" s="120"/>
      <c r="AD2067" s="120"/>
      <c r="AE2067" s="120"/>
      <c r="AF2067" s="440"/>
      <c r="BB2067" s="436"/>
      <c r="BC2067" s="120"/>
      <c r="BD2067" s="120"/>
      <c r="BE2067" s="120"/>
      <c r="BF2067" s="440"/>
    </row>
    <row r="2068" spans="28:58">
      <c r="AB2068" s="436"/>
      <c r="AC2068" s="120"/>
      <c r="AD2068" s="120"/>
      <c r="AE2068" s="120"/>
      <c r="AF2068" s="440"/>
      <c r="BB2068" s="436"/>
      <c r="BC2068" s="120"/>
      <c r="BD2068" s="120"/>
      <c r="BE2068" s="120"/>
      <c r="BF2068" s="440"/>
    </row>
    <row r="2069" spans="28:58">
      <c r="AB2069" s="436" t="s">
        <v>511</v>
      </c>
      <c r="AC2069" s="120">
        <v>0</v>
      </c>
      <c r="AD2069" s="120" t="s">
        <v>512</v>
      </c>
      <c r="AE2069" s="120"/>
      <c r="AF2069" s="440"/>
      <c r="BB2069" s="436" t="s">
        <v>511</v>
      </c>
      <c r="BC2069" s="120">
        <v>0</v>
      </c>
      <c r="BD2069" s="120" t="s">
        <v>512</v>
      </c>
      <c r="BE2069" s="120"/>
      <c r="BF2069" s="440"/>
    </row>
    <row r="2070" spans="28:58">
      <c r="AB2070" s="436" t="s">
        <v>513</v>
      </c>
      <c r="AC2070" s="120">
        <v>0</v>
      </c>
      <c r="AD2070" s="120" t="s">
        <v>512</v>
      </c>
      <c r="AE2070" s="120"/>
      <c r="AF2070" s="440"/>
      <c r="BB2070" s="436" t="s">
        <v>513</v>
      </c>
      <c r="BC2070" s="120">
        <v>0</v>
      </c>
      <c r="BD2070" s="120" t="s">
        <v>512</v>
      </c>
      <c r="BE2070" s="120"/>
      <c r="BF2070" s="440"/>
    </row>
    <row r="2071" spans="28:58">
      <c r="AB2071" s="456"/>
      <c r="AC2071" s="457"/>
      <c r="AD2071" s="457"/>
      <c r="AE2071" s="457"/>
      <c r="AF2071" s="458"/>
      <c r="BB2071" s="456"/>
      <c r="BC2071" s="457"/>
      <c r="BD2071" s="457"/>
      <c r="BE2071" s="457"/>
      <c r="BF2071" s="458"/>
    </row>
    <row r="2072" spans="28:58">
      <c r="AB2072" s="449" t="s">
        <v>461</v>
      </c>
      <c r="AC2072" s="120"/>
      <c r="AD2072" s="120"/>
      <c r="AE2072" s="120"/>
      <c r="AF2072" s="440"/>
      <c r="BB2072" s="449" t="s">
        <v>461</v>
      </c>
      <c r="BC2072" s="120"/>
      <c r="BD2072" s="120"/>
      <c r="BE2072" s="120"/>
      <c r="BF2072" s="440"/>
    </row>
    <row r="2073" spans="28:58">
      <c r="AB2073" s="436" t="s">
        <v>514</v>
      </c>
      <c r="AC2073" s="120">
        <f>VLOOKUP(AB2001,'Unit Ops'!$B$140:$K$209,10,FALSE)</f>
        <v>0</v>
      </c>
      <c r="AD2073" s="120" t="s">
        <v>515</v>
      </c>
      <c r="AE2073" s="120"/>
      <c r="AF2073" s="440"/>
      <c r="BB2073" s="436" t="s">
        <v>514</v>
      </c>
      <c r="BC2073" s="120">
        <f>VLOOKUP(BB2001,'Unit Ops'!$B$140:$K$209,10,FALSE)</f>
        <v>0</v>
      </c>
      <c r="BD2073" s="120" t="s">
        <v>515</v>
      </c>
      <c r="BE2073" s="120"/>
      <c r="BF2073" s="440"/>
    </row>
    <row r="2074" spans="28:58">
      <c r="AB2074" s="436" t="s">
        <v>516</v>
      </c>
      <c r="AC2074" s="120">
        <v>0</v>
      </c>
      <c r="AD2074" s="120" t="s">
        <v>515</v>
      </c>
      <c r="AE2074" s="120"/>
      <c r="AF2074" s="440"/>
      <c r="BB2074" s="436" t="s">
        <v>516</v>
      </c>
      <c r="BC2074" s="120">
        <v>0</v>
      </c>
      <c r="BD2074" s="120" t="s">
        <v>515</v>
      </c>
      <c r="BE2074" s="120"/>
      <c r="BF2074" s="440"/>
    </row>
    <row r="2075" spans="28:58">
      <c r="AB2075" s="436"/>
      <c r="AC2075" s="120"/>
      <c r="AD2075" s="120"/>
      <c r="AE2075" s="120"/>
      <c r="AF2075" s="440"/>
      <c r="BB2075" s="436"/>
      <c r="BC2075" s="120"/>
      <c r="BD2075" s="120"/>
      <c r="BE2075" s="120"/>
      <c r="BF2075" s="440"/>
    </row>
    <row r="2076" spans="28:58">
      <c r="AB2076" s="436"/>
      <c r="AC2076" s="120"/>
      <c r="AD2076" s="120"/>
      <c r="AE2076" s="120"/>
      <c r="AF2076" s="440"/>
      <c r="BB2076" s="436"/>
      <c r="BC2076" s="120"/>
      <c r="BD2076" s="120"/>
      <c r="BE2076" s="120"/>
      <c r="BF2076" s="440"/>
    </row>
    <row r="2077" spans="28:58">
      <c r="AB2077" s="436"/>
      <c r="AC2077" s="120"/>
      <c r="AD2077" s="120"/>
      <c r="AE2077" s="120"/>
      <c r="AF2077" s="440"/>
      <c r="BB2077" s="436"/>
      <c r="BC2077" s="120"/>
      <c r="BD2077" s="120"/>
      <c r="BE2077" s="120"/>
      <c r="BF2077" s="440"/>
    </row>
    <row r="2078" spans="28:58">
      <c r="AB2078" s="436"/>
      <c r="AC2078" s="120"/>
      <c r="AD2078" s="120"/>
      <c r="AE2078" s="120"/>
      <c r="AF2078" s="440"/>
      <c r="BB2078" s="436"/>
      <c r="BC2078" s="120"/>
      <c r="BD2078" s="120"/>
      <c r="BE2078" s="120"/>
      <c r="BF2078" s="440"/>
    </row>
    <row r="2079" spans="28:58">
      <c r="AB2079" s="436"/>
      <c r="AC2079" s="120"/>
      <c r="AD2079" s="120"/>
      <c r="AE2079" s="120"/>
      <c r="AF2079" s="440"/>
      <c r="BB2079" s="436"/>
      <c r="BC2079" s="120"/>
      <c r="BD2079" s="120"/>
      <c r="BE2079" s="120"/>
      <c r="BF2079" s="440"/>
    </row>
    <row r="2080" spans="28:58">
      <c r="AB2080" s="436" t="s">
        <v>464</v>
      </c>
      <c r="AC2080" s="120"/>
      <c r="AD2080" s="120"/>
      <c r="AE2080" s="120"/>
      <c r="AF2080" s="440"/>
      <c r="BB2080" s="436" t="s">
        <v>464</v>
      </c>
      <c r="BC2080" s="120"/>
      <c r="BD2080" s="120"/>
      <c r="BE2080" s="120"/>
      <c r="BF2080" s="440"/>
    </row>
    <row r="2081" spans="28:58">
      <c r="AB2081" s="456"/>
      <c r="AC2081" s="457"/>
      <c r="AD2081" s="457"/>
      <c r="AE2081" s="457"/>
      <c r="AF2081" s="458"/>
      <c r="BB2081" s="456"/>
      <c r="BC2081" s="457"/>
      <c r="BD2081" s="457"/>
      <c r="BE2081" s="457"/>
      <c r="BF2081" s="458"/>
    </row>
    <row r="2082" spans="28:58">
      <c r="AB2082" s="449" t="s">
        <v>472</v>
      </c>
      <c r="AC2082" s="467" t="s">
        <v>517</v>
      </c>
      <c r="AD2082" s="120" t="s">
        <v>518</v>
      </c>
      <c r="AE2082" s="467" t="s">
        <v>519</v>
      </c>
      <c r="AF2082" s="440" t="s">
        <v>518</v>
      </c>
      <c r="BB2082" s="449" t="s">
        <v>472</v>
      </c>
      <c r="BC2082" s="467" t="s">
        <v>517</v>
      </c>
      <c r="BD2082" s="120" t="s">
        <v>518</v>
      </c>
      <c r="BE2082" s="467" t="s">
        <v>519</v>
      </c>
      <c r="BF2082" s="440" t="s">
        <v>518</v>
      </c>
    </row>
    <row r="2083" spans="28:58">
      <c r="AB2083" s="436" t="s">
        <v>520</v>
      </c>
      <c r="AC2083" s="120"/>
      <c r="AD2083" s="120"/>
      <c r="AE2083" s="472">
        <f>((VLOOKUP(AB2001,'Unit Ops'!$B$140:$J$209,3,FALSE)*AC2003^VLOOKUP(AB2001,'Unit Ops'!$B$140:$J$209,4,FALSE)+VLOOKUP(AB2001,'Unit Ops'!$B$140:$J$209,5,FALSE))*VLOOKUP(AB2001,'Unit Ops'!$B$140:$J$209,6,FALSE))*IF(VLOOKUP(AB2001,'Unit Ops'!$B$140:$L$209,11,FALSE)=1,1,2)</f>
        <v>0</v>
      </c>
      <c r="AF2083" s="490">
        <f>'CM Rec Par.'!$C$7</f>
        <v>2022</v>
      </c>
      <c r="BB2083" s="436" t="s">
        <v>520</v>
      </c>
      <c r="BC2083" s="120"/>
      <c r="BD2083" s="120"/>
      <c r="BE2083" s="472">
        <f>((VLOOKUP(BB2001,'Unit Ops'!$B$140:$J$209,3,FALSE)*BC2003^VLOOKUP(BB2001,'Unit Ops'!$B$140:$J$209,4,FALSE)+VLOOKUP(BB2001,'Unit Ops'!$B$140:$J$209,5,FALSE))*VLOOKUP(BB2001,'Unit Ops'!$B$140:$J$209,6,FALSE))*IF(VLOOKUP(BB2001,'Unit Ops'!$B$140:$L$209,11,FALSE)=1,1,2)</f>
        <v>0</v>
      </c>
      <c r="BF2083" s="490">
        <f>'CM Rec Par.'!$C$7</f>
        <v>2022</v>
      </c>
    </row>
    <row r="2084" spans="28:58">
      <c r="AB2084" s="436"/>
      <c r="AC2084" s="120"/>
      <c r="AD2084" s="120"/>
      <c r="AE2084" s="120"/>
      <c r="AF2084" s="440"/>
      <c r="BB2084" s="436"/>
      <c r="BC2084" s="120"/>
      <c r="BD2084" s="120"/>
      <c r="BE2084" s="120"/>
      <c r="BF2084" s="440"/>
    </row>
    <row r="2085" spans="28:58">
      <c r="AB2085" s="436"/>
      <c r="AC2085" s="120"/>
      <c r="AD2085" s="120"/>
      <c r="AE2085" s="120"/>
      <c r="AF2085" s="440"/>
      <c r="BB2085" s="436"/>
      <c r="BC2085" s="120"/>
      <c r="BD2085" s="120"/>
      <c r="BE2085" s="120"/>
      <c r="BF2085" s="440"/>
    </row>
    <row r="2086" spans="28:58">
      <c r="AB2086" s="436"/>
      <c r="AC2086" s="120"/>
      <c r="AD2086" s="120"/>
      <c r="AE2086" s="120"/>
      <c r="AF2086" s="440"/>
      <c r="BB2086" s="436"/>
      <c r="BC2086" s="120"/>
      <c r="BD2086" s="120"/>
      <c r="BE2086" s="120"/>
      <c r="BF2086" s="440"/>
    </row>
    <row r="2087" spans="28:58">
      <c r="AB2087" s="436"/>
      <c r="AC2087" s="120"/>
      <c r="AD2087" s="120"/>
      <c r="AE2087" s="120"/>
      <c r="AF2087" s="440"/>
      <c r="BB2087" s="436"/>
      <c r="BC2087" s="120"/>
      <c r="BD2087" s="120"/>
      <c r="BE2087" s="120"/>
      <c r="BF2087" s="440"/>
    </row>
    <row r="2088" spans="28:58">
      <c r="AB2088" s="436"/>
      <c r="AC2088" s="120"/>
      <c r="AD2088" s="120"/>
      <c r="AE2088" s="120"/>
      <c r="AF2088" s="440"/>
      <c r="BB2088" s="436"/>
      <c r="BC2088" s="120"/>
      <c r="BD2088" s="120"/>
      <c r="BE2088" s="120"/>
      <c r="BF2088" s="440"/>
    </row>
    <row r="2089" spans="28:58">
      <c r="AB2089" s="436"/>
      <c r="AC2089" s="120"/>
      <c r="AD2089" s="120"/>
      <c r="AE2089" s="120"/>
      <c r="AF2089" s="440"/>
      <c r="BB2089" s="436"/>
      <c r="BC2089" s="120"/>
      <c r="BD2089" s="120"/>
      <c r="BE2089" s="120"/>
      <c r="BF2089" s="440"/>
    </row>
    <row r="2090" spans="28:58">
      <c r="AB2090" s="436"/>
      <c r="AC2090" s="120"/>
      <c r="AD2090" s="120"/>
      <c r="AE2090" s="120"/>
      <c r="AF2090" s="440"/>
      <c r="BB2090" s="436"/>
      <c r="BC2090" s="120"/>
      <c r="BD2090" s="120"/>
      <c r="BE2090" s="120"/>
      <c r="BF2090" s="440"/>
    </row>
    <row r="2091" spans="28:58">
      <c r="AB2091" s="436"/>
      <c r="AC2091" s="120"/>
      <c r="AD2091" s="120"/>
      <c r="AE2091" s="120"/>
      <c r="AF2091" s="440"/>
      <c r="BB2091" s="436"/>
      <c r="BC2091" s="120"/>
      <c r="BD2091" s="120"/>
      <c r="BE2091" s="120"/>
      <c r="BF2091" s="440"/>
    </row>
    <row r="2092" spans="28:58">
      <c r="AB2092" s="436"/>
      <c r="AC2092" s="120"/>
      <c r="AD2092" s="120"/>
      <c r="AE2092" s="120"/>
      <c r="AF2092" s="440"/>
      <c r="BB2092" s="436"/>
      <c r="BC2092" s="120"/>
      <c r="BD2092" s="120"/>
      <c r="BE2092" s="120"/>
      <c r="BF2092" s="440"/>
    </row>
    <row r="2093" spans="28:58">
      <c r="AB2093" s="436"/>
      <c r="AC2093" s="120"/>
      <c r="AD2093" s="120"/>
      <c r="AE2093" s="120"/>
      <c r="AF2093" s="440"/>
      <c r="BB2093" s="436"/>
      <c r="BC2093" s="120"/>
      <c r="BD2093" s="120"/>
      <c r="BE2093" s="120"/>
      <c r="BF2093" s="440"/>
    </row>
    <row r="2094" spans="28:58">
      <c r="AB2094" s="436"/>
      <c r="AC2094" s="120"/>
      <c r="AD2094" s="120"/>
      <c r="AE2094" s="120"/>
      <c r="AF2094" s="440"/>
      <c r="BB2094" s="436"/>
      <c r="BC2094" s="120"/>
      <c r="BD2094" s="120"/>
      <c r="BE2094" s="120"/>
      <c r="BF2094" s="440"/>
    </row>
    <row r="2095" spans="28:58">
      <c r="AB2095" s="436"/>
      <c r="AC2095" s="120"/>
      <c r="AD2095" s="120"/>
      <c r="AE2095" s="120"/>
      <c r="AF2095" s="440"/>
      <c r="BB2095" s="436"/>
      <c r="BC2095" s="120"/>
      <c r="BD2095" s="120"/>
      <c r="BE2095" s="120"/>
      <c r="BF2095" s="440"/>
    </row>
    <row r="2096" spans="28:58">
      <c r="AB2096" s="436"/>
      <c r="AC2096" s="120"/>
      <c r="AD2096" s="120"/>
      <c r="AE2096" s="120"/>
      <c r="AF2096" s="440"/>
      <c r="BB2096" s="436"/>
      <c r="BC2096" s="120"/>
      <c r="BD2096" s="120"/>
      <c r="BE2096" s="120"/>
      <c r="BF2096" s="440"/>
    </row>
    <row r="2097" spans="27:58" ht="14.5" thickBot="1">
      <c r="AB2097" s="492"/>
      <c r="AC2097" s="493"/>
      <c r="AD2097" s="493"/>
      <c r="AE2097" s="493"/>
      <c r="AF2097" s="453"/>
      <c r="BB2097" s="492"/>
      <c r="BC2097" s="493"/>
      <c r="BD2097" s="493"/>
      <c r="BE2097" s="493"/>
      <c r="BF2097" s="453"/>
    </row>
    <row r="2100" spans="27:58" ht="14.5" thickBot="1"/>
    <row r="2101" spans="27:58">
      <c r="AA2101" s="114" t="s">
        <v>478</v>
      </c>
      <c r="AB2101" s="431" t="str">
        <f>AB60</f>
        <v>Select Equipment</v>
      </c>
      <c r="AC2101" s="432"/>
      <c r="AD2101" s="433"/>
      <c r="AE2101" s="434"/>
      <c r="AF2101" s="435"/>
      <c r="BB2101" s="431" t="str">
        <f>BB61</f>
        <v>Select Equipment</v>
      </c>
      <c r="BC2101" s="432"/>
      <c r="BD2101" s="433"/>
      <c r="BE2101" s="434"/>
      <c r="BF2101" s="435"/>
    </row>
    <row r="2102" spans="27:58">
      <c r="AA2102" s="114" t="s">
        <v>5</v>
      </c>
      <c r="AB2102" s="436" t="s">
        <v>1</v>
      </c>
      <c r="AC2102" s="437">
        <f>AC$14/AC$11/AC$10*VLOOKUP(AB2101,'Unit Ops'!$B$140:$J$209,2,FALSE)</f>
        <v>0</v>
      </c>
      <c r="AD2102" s="438" t="s">
        <v>586</v>
      </c>
      <c r="AE2102" s="1027">
        <f>AC2102*AC$306*AC$307</f>
        <v>0</v>
      </c>
      <c r="AF2102" s="439" t="s">
        <v>585</v>
      </c>
      <c r="BA2102" s="114" t="s">
        <v>478</v>
      </c>
      <c r="BB2102" s="436" t="s">
        <v>1</v>
      </c>
      <c r="BC2102" s="437">
        <f>BC$15/BC$11/BC$12*VLOOKUP(BB2101,'Unit Ops'!$B$140:$J$209,2,FALSE)</f>
        <v>0</v>
      </c>
      <c r="BD2102" s="438" t="s">
        <v>586</v>
      </c>
      <c r="BE2102" s="1027">
        <f>BC2102*BC$306*BC$307</f>
        <v>0</v>
      </c>
      <c r="BF2102" s="439" t="s">
        <v>585</v>
      </c>
    </row>
    <row r="2103" spans="27:58">
      <c r="AA2103" s="114" t="str">
        <f>$AB$44</f>
        <v>Hopper</v>
      </c>
      <c r="AB2103" s="436" t="s">
        <v>505</v>
      </c>
      <c r="AC2103" s="437">
        <f>ROUNDUP(AC2102*IF(VLOOKUP(AB2101,'Unit Ops'!$B$140:$L$209,11,FALSE)=1,1.5,0.75),1)</f>
        <v>0</v>
      </c>
      <c r="AD2103" s="438" t="s">
        <v>586</v>
      </c>
      <c r="AE2103" s="120">
        <f>AC2103*AC$306*AC$307</f>
        <v>0</v>
      </c>
      <c r="AF2103" s="439" t="s">
        <v>585</v>
      </c>
      <c r="BA2103" s="114" t="s">
        <v>5</v>
      </c>
      <c r="BB2103" s="436" t="s">
        <v>505</v>
      </c>
      <c r="BC2103" s="437">
        <f>ROUNDUP(BC2102*IF(VLOOKUP(BB2101,'Unit Ops'!$B$140:$L$209,11,FALSE)=1,1.5,0.75),1)</f>
        <v>0</v>
      </c>
      <c r="BD2103" s="438" t="s">
        <v>586</v>
      </c>
      <c r="BE2103" s="120">
        <f>BC2103*BC$306*BC$307</f>
        <v>0</v>
      </c>
      <c r="BF2103" s="439" t="s">
        <v>585</v>
      </c>
    </row>
    <row r="2104" spans="27:58">
      <c r="AA2104" s="114" t="str">
        <f>$AB$45</f>
        <v>Conveyor</v>
      </c>
      <c r="AB2104" s="441" t="s">
        <v>521</v>
      </c>
      <c r="AC2104" s="442" t="e">
        <f>AC2102/AC2103</f>
        <v>#DIV/0!</v>
      </c>
      <c r="AD2104" s="438"/>
      <c r="AE2104" s="443"/>
      <c r="AF2104" s="440"/>
      <c r="BA2104" s="114" t="str">
        <f>$BB$45</f>
        <v>Select Equipment</v>
      </c>
      <c r="BB2104" s="441" t="s">
        <v>521</v>
      </c>
      <c r="BC2104" s="442" t="e">
        <f>BC2102/BC2103</f>
        <v>#DIV/0!</v>
      </c>
      <c r="BD2104" s="438"/>
      <c r="BE2104" s="443"/>
      <c r="BF2104" s="440"/>
    </row>
    <row r="2105" spans="27:58">
      <c r="AA2105" s="114" t="str">
        <f>$AB$46</f>
        <v>Crusher</v>
      </c>
      <c r="AB2105" s="441" t="s">
        <v>506</v>
      </c>
      <c r="AC2105" s="445"/>
      <c r="AD2105" s="438" t="s">
        <v>454</v>
      </c>
      <c r="AE2105" s="443"/>
      <c r="AF2105" s="440"/>
      <c r="BA2105" s="114" t="str">
        <f>$BB$46</f>
        <v>Select Equipment</v>
      </c>
      <c r="BB2105" s="441" t="s">
        <v>506</v>
      </c>
      <c r="BC2105" s="445"/>
      <c r="BD2105" s="438" t="s">
        <v>454</v>
      </c>
      <c r="BE2105" s="443"/>
      <c r="BF2105" s="440"/>
    </row>
    <row r="2106" spans="27:58">
      <c r="AA2106" s="114" t="str">
        <f>$AB$47</f>
        <v>Screen, vibrating</v>
      </c>
      <c r="AB2106" s="436" t="s">
        <v>507</v>
      </c>
      <c r="AC2106" s="225" t="e">
        <f>(VLOOKUP(AB2101,'Unit Ops'!$B$140:$J$209,7,FALSE)*AC2103^VLOOKUP(AB2101,'Unit Ops'!$B$140:$J$209,8,FALSE)+VLOOKUP(AB2101,'Unit Ops'!$B$140:$J$209,9,FALSE))*IF(VLOOKUP(AB2101,'Unit Ops'!$B$140:$L$209,11,FALSE)=1,1,2)</f>
        <v>#NUM!</v>
      </c>
      <c r="AD2106" s="446" t="s">
        <v>454</v>
      </c>
      <c r="AE2106" s="443"/>
      <c r="AF2106" s="440"/>
      <c r="BA2106" s="114" t="str">
        <f>$BB$47</f>
        <v>Select Equipment</v>
      </c>
      <c r="BB2106" s="436" t="s">
        <v>507</v>
      </c>
      <c r="BC2106" s="225" t="e">
        <f>(VLOOKUP(BB2101,'Unit Ops'!$B$140:$J$209,7,FALSE)*BC2103^VLOOKUP(BB2101,'Unit Ops'!$B$140:$J$209,8,FALSE)+VLOOKUP(BB2101,'Unit Ops'!$B$140:$J$209,9,FALSE))*IF(VLOOKUP(BB2101,'Unit Ops'!$B$140:$L$209,11,FALSE)=1,1,2)</f>
        <v>#NUM!</v>
      </c>
      <c r="BD2106" s="446" t="s">
        <v>454</v>
      </c>
      <c r="BE2106" s="443"/>
      <c r="BF2106" s="440"/>
    </row>
    <row r="2107" spans="27:58">
      <c r="AA2107" s="114" t="str">
        <f>$AB$48</f>
        <v>Conveyor</v>
      </c>
      <c r="AB2107" s="441"/>
      <c r="AC2107" s="445"/>
      <c r="AD2107" s="447"/>
      <c r="AE2107" s="443"/>
      <c r="AF2107" s="440"/>
      <c r="BA2107" s="114" t="str">
        <f>$BB$48</f>
        <v>Select Equipment</v>
      </c>
      <c r="BB2107" s="441"/>
      <c r="BC2107" s="445"/>
      <c r="BD2107" s="447"/>
      <c r="BE2107" s="443"/>
      <c r="BF2107" s="440"/>
    </row>
    <row r="2108" spans="27:58">
      <c r="AA2108" s="114" t="str">
        <f>$AB$49</f>
        <v>Heat treatment furnace</v>
      </c>
      <c r="AB2108" s="441"/>
      <c r="AC2108" s="445"/>
      <c r="AD2108" s="447"/>
      <c r="AE2108" s="443"/>
      <c r="AF2108" s="440"/>
      <c r="BA2108" s="114" t="str">
        <f>$BB$49</f>
        <v>Select Equipment</v>
      </c>
      <c r="BB2108" s="441"/>
      <c r="BC2108" s="445"/>
      <c r="BD2108" s="447"/>
      <c r="BE2108" s="443"/>
      <c r="BF2108" s="440"/>
    </row>
    <row r="2109" spans="27:58">
      <c r="AA2109" s="114" t="str">
        <f>$AB$50</f>
        <v>Cyclone</v>
      </c>
      <c r="AB2109" s="449"/>
      <c r="AC2109" s="445"/>
      <c r="AD2109" s="447"/>
      <c r="AE2109" s="443"/>
      <c r="AF2109" s="440"/>
      <c r="BA2109" s="114" t="str">
        <f>$BB$50</f>
        <v>Select Equipment</v>
      </c>
      <c r="BB2109" s="449"/>
      <c r="BC2109" s="445"/>
      <c r="BD2109" s="447"/>
      <c r="BE2109" s="443"/>
      <c r="BF2109" s="440"/>
    </row>
    <row r="2110" spans="27:58" ht="14.5" thickBot="1">
      <c r="AA2110" s="114" t="str">
        <f>$AB$51</f>
        <v>Conveyor</v>
      </c>
      <c r="AB2110" s="450"/>
      <c r="AC2110" s="451"/>
      <c r="AD2110" s="451"/>
      <c r="AE2110" s="452"/>
      <c r="AF2110" s="453"/>
      <c r="BA2110" s="114" t="str">
        <f>$BB$51</f>
        <v>Select Equipment</v>
      </c>
      <c r="BB2110" s="450"/>
      <c r="BC2110" s="451"/>
      <c r="BD2110" s="451"/>
      <c r="BE2110" s="452"/>
      <c r="BF2110" s="453"/>
    </row>
    <row r="2111" spans="27:58">
      <c r="AA2111" s="114" t="str">
        <f>$AB$52</f>
        <v>Eddy current separator</v>
      </c>
      <c r="AB2111" s="449" t="s">
        <v>470</v>
      </c>
      <c r="AC2111" s="120"/>
      <c r="AD2111" s="454"/>
      <c r="AE2111" s="120"/>
      <c r="AF2111" s="440"/>
      <c r="BA2111" s="114" t="str">
        <f>$BB$52</f>
        <v>Select Equipment</v>
      </c>
      <c r="BB2111" s="449" t="s">
        <v>470</v>
      </c>
      <c r="BC2111" s="120"/>
      <c r="BD2111" s="454"/>
      <c r="BE2111" s="120"/>
      <c r="BF2111" s="440"/>
    </row>
    <row r="2112" spans="27:58" ht="14.5" customHeight="1">
      <c r="AA2112" s="114" t="str">
        <f>$AB$53</f>
        <v>Conveyor</v>
      </c>
      <c r="AB2112" s="1698"/>
      <c r="AC2112" s="1699"/>
      <c r="AD2112" s="1699"/>
      <c r="AE2112" s="1699"/>
      <c r="AF2112" s="1700"/>
      <c r="BA2112" s="114" t="str">
        <f>$BB$53</f>
        <v>Select Equipment</v>
      </c>
      <c r="BB2112" s="1698"/>
      <c r="BC2112" s="1699"/>
      <c r="BD2112" s="1699"/>
      <c r="BE2112" s="1699"/>
      <c r="BF2112" s="1700"/>
    </row>
    <row r="2113" spans="27:58">
      <c r="AA2113" s="114" t="str">
        <f>$AB$54</f>
        <v>Air classifier</v>
      </c>
      <c r="AB2113" s="436"/>
      <c r="AC2113" s="120"/>
      <c r="AD2113" s="455"/>
      <c r="AE2113" s="120"/>
      <c r="AF2113" s="440"/>
      <c r="BA2113" s="114" t="str">
        <f>$BB$54</f>
        <v>Select Equipment</v>
      </c>
      <c r="BB2113" s="436"/>
      <c r="BC2113" s="120"/>
      <c r="BD2113" s="455"/>
      <c r="BE2113" s="120"/>
      <c r="BF2113" s="440"/>
    </row>
    <row r="2114" spans="27:58">
      <c r="AA2114" s="114" t="str">
        <f>$AB$55</f>
        <v>Gas treatment</v>
      </c>
      <c r="AB2114" s="436"/>
      <c r="AC2114" s="120"/>
      <c r="AD2114" s="455"/>
      <c r="AE2114" s="120"/>
      <c r="AF2114" s="440"/>
      <c r="BA2114" s="114" t="str">
        <f>$BB$55</f>
        <v>Select Equipment</v>
      </c>
      <c r="BB2114" s="436"/>
      <c r="BC2114" s="120"/>
      <c r="BD2114" s="455"/>
      <c r="BE2114" s="120"/>
      <c r="BF2114" s="440"/>
    </row>
    <row r="2115" spans="27:58">
      <c r="AA2115" s="114" t="str">
        <f>$AB$56</f>
        <v>Wheel loader</v>
      </c>
      <c r="AB2115" s="456"/>
      <c r="AC2115" s="457"/>
      <c r="AD2115" s="457"/>
      <c r="AE2115" s="457"/>
      <c r="AF2115" s="458"/>
      <c r="BA2115" s="114" t="str">
        <f>$BB$56</f>
        <v>Select Equipment</v>
      </c>
      <c r="BB2115" s="456"/>
      <c r="BC2115" s="457"/>
      <c r="BD2115" s="457"/>
      <c r="BE2115" s="457"/>
      <c r="BF2115" s="458"/>
    </row>
    <row r="2116" spans="27:58">
      <c r="AA2116" s="114" t="str">
        <f>$AB$57</f>
        <v>Select Equipment</v>
      </c>
      <c r="AB2116" s="449" t="s">
        <v>471</v>
      </c>
      <c r="AC2116" s="120"/>
      <c r="AD2116" s="454"/>
      <c r="AE2116" s="120"/>
      <c r="AF2116" s="440"/>
      <c r="BA2116" s="114" t="str">
        <f>$BB$57</f>
        <v>Select Equipment</v>
      </c>
      <c r="BB2116" s="449" t="s">
        <v>471</v>
      </c>
      <c r="BC2116" s="120"/>
      <c r="BD2116" s="454"/>
      <c r="BE2116" s="120"/>
      <c r="BF2116" s="440"/>
    </row>
    <row r="2117" spans="27:58">
      <c r="AA2117" s="114" t="str">
        <f>$AB$58</f>
        <v>Select Equipment</v>
      </c>
      <c r="AB2117" s="436" t="s">
        <v>577</v>
      </c>
      <c r="AC2117" s="225" t="e">
        <f>AC2106*IF(AC2104&gt;1,1,AC2104)</f>
        <v>#NUM!</v>
      </c>
      <c r="AD2117" s="446" t="s">
        <v>454</v>
      </c>
      <c r="AE2117" s="120"/>
      <c r="AF2117" s="440"/>
      <c r="BA2117" s="114" t="str">
        <f>$BB$58</f>
        <v>Select Equipment</v>
      </c>
      <c r="BB2117" s="436" t="s">
        <v>577</v>
      </c>
      <c r="BC2117" s="225" t="e">
        <f>BC2106*IF(BC2104&gt;1,1,BC2104)</f>
        <v>#NUM!</v>
      </c>
      <c r="BD2117" s="446" t="s">
        <v>454</v>
      </c>
      <c r="BE2117" s="120"/>
      <c r="BF2117" s="440"/>
    </row>
    <row r="2118" spans="27:58">
      <c r="AA2118" s="114" t="str">
        <f>$AB$59</f>
        <v>Select Equipment</v>
      </c>
      <c r="AB2118" s="436" t="s">
        <v>578</v>
      </c>
      <c r="AC2118" s="225"/>
      <c r="AD2118" s="446" t="s">
        <v>579</v>
      </c>
      <c r="AE2118" s="120"/>
      <c r="AF2118" s="440"/>
      <c r="BA2118" s="114" t="str">
        <f>$BB$59</f>
        <v>Select Equipment</v>
      </c>
      <c r="BB2118" s="436" t="s">
        <v>578</v>
      </c>
      <c r="BC2118" s="225"/>
      <c r="BD2118" s="446" t="s">
        <v>579</v>
      </c>
      <c r="BE2118" s="120"/>
      <c r="BF2118" s="440"/>
    </row>
    <row r="2119" spans="27:58">
      <c r="AA2119" s="114" t="str">
        <f>$AB$60</f>
        <v>Select Equipment</v>
      </c>
      <c r="AB2119" s="436"/>
      <c r="AC2119" s="120"/>
      <c r="AD2119" s="446"/>
      <c r="AE2119" s="120"/>
      <c r="AF2119" s="440"/>
      <c r="BA2119" s="114" t="str">
        <f>$BB$60</f>
        <v>Select Equipment</v>
      </c>
      <c r="BB2119" s="436"/>
      <c r="BC2119" s="120"/>
      <c r="BD2119" s="446"/>
      <c r="BE2119" s="120"/>
      <c r="BF2119" s="440"/>
    </row>
    <row r="2120" spans="27:58">
      <c r="AA2120" s="114" t="str">
        <f>$AB$61</f>
        <v>Select Equipment</v>
      </c>
      <c r="AB2120" s="436" t="s">
        <v>8</v>
      </c>
      <c r="AC2120" s="120"/>
      <c r="AD2120" s="459" t="s">
        <v>564</v>
      </c>
      <c r="AE2120" s="120"/>
      <c r="AF2120" s="440"/>
      <c r="BA2120" s="114" t="str">
        <f>$BB$61</f>
        <v>Select Equipment</v>
      </c>
      <c r="BB2120" s="436" t="s">
        <v>8</v>
      </c>
      <c r="BC2120" s="120"/>
      <c r="BD2120" s="459" t="s">
        <v>564</v>
      </c>
      <c r="BE2120" s="120"/>
      <c r="BF2120" s="440"/>
    </row>
    <row r="2121" spans="27:58">
      <c r="AA2121" s="114" t="str">
        <f>$AB$62</f>
        <v>Select Equipment</v>
      </c>
      <c r="AB2121" s="436"/>
      <c r="AC2121" s="120"/>
      <c r="AD2121" s="459"/>
      <c r="AE2121" s="120"/>
      <c r="AF2121" s="440"/>
      <c r="BA2121" s="114" t="str">
        <f>$BB$62</f>
        <v>Select Equipment</v>
      </c>
      <c r="BB2121" s="436"/>
      <c r="BC2121" s="120"/>
      <c r="BD2121" s="459"/>
      <c r="BE2121" s="120"/>
      <c r="BF2121" s="440"/>
    </row>
    <row r="2122" spans="27:58">
      <c r="AA2122" s="114" t="str">
        <f>$AB$63</f>
        <v>Select Equipment</v>
      </c>
      <c r="AB2122" s="436" t="s">
        <v>7</v>
      </c>
      <c r="AC2122" s="120"/>
      <c r="AD2122" s="459" t="s">
        <v>564</v>
      </c>
      <c r="AE2122" s="120"/>
      <c r="AF2122" s="440"/>
      <c r="BA2122" s="114" t="str">
        <f>$BB$63</f>
        <v>Select Equipment</v>
      </c>
      <c r="BB2122" s="436" t="s">
        <v>7</v>
      </c>
      <c r="BC2122" s="120"/>
      <c r="BD2122" s="459" t="s">
        <v>564</v>
      </c>
      <c r="BE2122" s="120"/>
      <c r="BF2122" s="440"/>
    </row>
    <row r="2123" spans="27:58">
      <c r="AA2123"/>
      <c r="AB2123" s="436"/>
      <c r="AC2123" s="120"/>
      <c r="AD2123" s="459"/>
      <c r="AE2123" s="120"/>
      <c r="AF2123" s="440"/>
      <c r="BA2123" s="114" t="str">
        <f>$BB$64</f>
        <v>Select Equipment</v>
      </c>
      <c r="BB2123" s="436"/>
      <c r="BC2123" s="120"/>
      <c r="BD2123" s="459"/>
      <c r="BE2123" s="120"/>
      <c r="BF2123" s="440"/>
    </row>
    <row r="2124" spans="27:58">
      <c r="AA2124"/>
      <c r="AB2124" s="436" t="s">
        <v>9</v>
      </c>
      <c r="AC2124" s="120"/>
      <c r="AD2124" s="459" t="s">
        <v>564</v>
      </c>
      <c r="AE2124" s="120"/>
      <c r="AF2124" s="440"/>
      <c r="BA2124"/>
      <c r="BB2124" s="436" t="s">
        <v>9</v>
      </c>
      <c r="BC2124" s="120"/>
      <c r="BD2124" s="459" t="s">
        <v>564</v>
      </c>
      <c r="BE2124" s="120"/>
      <c r="BF2124" s="440"/>
    </row>
    <row r="2125" spans="27:58">
      <c r="AA2125"/>
      <c r="AB2125" s="436"/>
      <c r="AC2125" s="120"/>
      <c r="AD2125" s="459"/>
      <c r="AE2125" s="120"/>
      <c r="AF2125" s="440"/>
      <c r="BA2125"/>
      <c r="BB2125" s="436"/>
      <c r="BC2125" s="120"/>
      <c r="BD2125" s="459"/>
      <c r="BE2125" s="120"/>
      <c r="BF2125" s="440"/>
    </row>
    <row r="2126" spans="27:58">
      <c r="AA2126"/>
      <c r="AB2126" s="436" t="s">
        <v>324</v>
      </c>
      <c r="AC2126" s="120"/>
      <c r="AD2126" s="459" t="s">
        <v>564</v>
      </c>
      <c r="AE2126" s="120"/>
      <c r="AF2126" s="440" t="s">
        <v>569</v>
      </c>
      <c r="BA2126"/>
      <c r="BB2126" s="436" t="s">
        <v>324</v>
      </c>
      <c r="BC2126" s="120"/>
      <c r="BD2126" s="459" t="s">
        <v>564</v>
      </c>
      <c r="BE2126" s="120"/>
      <c r="BF2126" s="440" t="s">
        <v>569</v>
      </c>
    </row>
    <row r="2127" spans="27:58">
      <c r="AA2127"/>
      <c r="AB2127" s="436"/>
      <c r="AC2127" s="120"/>
      <c r="AD2127" s="468"/>
      <c r="AE2127" s="469"/>
      <c r="AF2127" s="440"/>
      <c r="BA2127"/>
      <c r="BB2127" s="436"/>
      <c r="BC2127" s="120"/>
      <c r="BD2127" s="468"/>
      <c r="BE2127" s="469"/>
      <c r="BF2127" s="440"/>
    </row>
    <row r="2128" spans="27:58">
      <c r="AA2128"/>
      <c r="AB2128" s="436" t="s">
        <v>374</v>
      </c>
      <c r="AC2128" s="120"/>
      <c r="AD2128" s="459" t="s">
        <v>564</v>
      </c>
      <c r="AE2128" s="469"/>
      <c r="AF2128" s="440" t="s">
        <v>569</v>
      </c>
      <c r="BA2128"/>
      <c r="BB2128" s="436" t="s">
        <v>374</v>
      </c>
      <c r="BC2128" s="120"/>
      <c r="BD2128" s="459" t="s">
        <v>564</v>
      </c>
      <c r="BE2128" s="469"/>
      <c r="BF2128" s="440" t="s">
        <v>569</v>
      </c>
    </row>
    <row r="2129" spans="27:58">
      <c r="AA2129"/>
      <c r="AB2129" s="436"/>
      <c r="AC2129" s="120"/>
      <c r="AD2129" s="472"/>
      <c r="AE2129" s="473"/>
      <c r="AF2129" s="440"/>
      <c r="BA2129"/>
      <c r="BB2129" s="436"/>
      <c r="BC2129" s="120"/>
      <c r="BD2129" s="472"/>
      <c r="BE2129" s="473"/>
      <c r="BF2129" s="440"/>
    </row>
    <row r="2130" spans="27:58">
      <c r="AA2130"/>
      <c r="AB2130" s="436" t="s">
        <v>580</v>
      </c>
      <c r="AC2130" s="120"/>
      <c r="AD2130" s="459" t="s">
        <v>564</v>
      </c>
      <c r="AE2130" s="473"/>
      <c r="AF2130" s="440" t="s">
        <v>569</v>
      </c>
      <c r="BA2130"/>
      <c r="BB2130" s="436" t="s">
        <v>580</v>
      </c>
      <c r="BC2130" s="120"/>
      <c r="BD2130" s="459" t="s">
        <v>564</v>
      </c>
      <c r="BE2130" s="473"/>
      <c r="BF2130" s="440" t="s">
        <v>569</v>
      </c>
    </row>
    <row r="2131" spans="27:58">
      <c r="AA2131"/>
      <c r="AB2131" s="476"/>
      <c r="AC2131" s="477"/>
      <c r="AD2131" s="478"/>
      <c r="AE2131" s="479"/>
      <c r="AF2131" s="458"/>
      <c r="BA2131"/>
      <c r="BB2131" s="476"/>
      <c r="BC2131" s="477"/>
      <c r="BD2131" s="478"/>
      <c r="BE2131" s="479"/>
      <c r="BF2131" s="458"/>
    </row>
    <row r="2132" spans="27:58">
      <c r="AA2132"/>
      <c r="AB2132" s="449" t="s">
        <v>473</v>
      </c>
      <c r="AC2132" s="467" t="s">
        <v>508</v>
      </c>
      <c r="AD2132" s="480"/>
      <c r="AE2132" s="481" t="s">
        <v>308</v>
      </c>
      <c r="AF2132" s="440"/>
      <c r="BA2132"/>
      <c r="BB2132" s="449" t="s">
        <v>473</v>
      </c>
      <c r="BC2132" s="467" t="s">
        <v>508</v>
      </c>
      <c r="BD2132" s="480"/>
      <c r="BE2132" s="481" t="s">
        <v>308</v>
      </c>
      <c r="BF2132" s="440"/>
    </row>
    <row r="2133" spans="27:58">
      <c r="AB2133" s="436"/>
      <c r="AC2133" s="483"/>
      <c r="AD2133" s="480"/>
      <c r="AE2133" s="484"/>
      <c r="AF2133" s="440"/>
      <c r="BA2133"/>
      <c r="BB2133" s="436"/>
      <c r="BC2133" s="483"/>
      <c r="BD2133" s="480"/>
      <c r="BE2133" s="484"/>
      <c r="BF2133" s="440"/>
    </row>
    <row r="2134" spans="27:58">
      <c r="AB2134" s="436"/>
      <c r="AC2134" s="120"/>
      <c r="AD2134" s="223"/>
      <c r="AE2134" s="467"/>
      <c r="AF2134" s="440"/>
      <c r="BB2134" s="436"/>
      <c r="BC2134" s="120"/>
      <c r="BD2134" s="223"/>
      <c r="BE2134" s="467"/>
      <c r="BF2134" s="440"/>
    </row>
    <row r="2135" spans="27:58">
      <c r="AB2135" s="436"/>
      <c r="AC2135" s="120"/>
      <c r="AD2135" s="466"/>
      <c r="AE2135" s="467"/>
      <c r="AF2135" s="440"/>
      <c r="BB2135" s="436"/>
      <c r="BC2135" s="120"/>
      <c r="BD2135" s="466"/>
      <c r="BE2135" s="467"/>
      <c r="BF2135" s="440"/>
    </row>
    <row r="2136" spans="27:58">
      <c r="AB2136" s="436"/>
      <c r="AC2136" s="120"/>
      <c r="AD2136" s="223"/>
      <c r="AE2136" s="467"/>
      <c r="AF2136" s="440"/>
      <c r="BB2136" s="436"/>
      <c r="BC2136" s="120"/>
      <c r="BD2136" s="223"/>
      <c r="BE2136" s="467"/>
      <c r="BF2136" s="440"/>
    </row>
    <row r="2137" spans="27:58">
      <c r="AB2137" s="436"/>
      <c r="AC2137" s="120"/>
      <c r="AD2137" s="223"/>
      <c r="AE2137" s="467"/>
      <c r="AF2137" s="440"/>
      <c r="BB2137" s="436"/>
      <c r="BC2137" s="120"/>
      <c r="BD2137" s="223"/>
      <c r="BE2137" s="467"/>
      <c r="BF2137" s="440"/>
    </row>
    <row r="2138" spans="27:58">
      <c r="AB2138" s="436"/>
      <c r="AC2138" s="120"/>
      <c r="AD2138" s="471"/>
      <c r="AE2138" s="467"/>
      <c r="AF2138" s="440"/>
      <c r="BB2138" s="436"/>
      <c r="BC2138" s="120"/>
      <c r="BD2138" s="471"/>
      <c r="BE2138" s="467"/>
      <c r="BF2138" s="440"/>
    </row>
    <row r="2139" spans="27:58">
      <c r="AB2139" s="436"/>
      <c r="AC2139" s="120"/>
      <c r="AD2139" s="223"/>
      <c r="AE2139" s="467"/>
      <c r="AF2139" s="440"/>
      <c r="BB2139" s="436"/>
      <c r="BC2139" s="120"/>
      <c r="BD2139" s="223"/>
      <c r="BE2139" s="467"/>
      <c r="BF2139" s="440"/>
    </row>
    <row r="2140" spans="27:58">
      <c r="AB2140" s="436"/>
      <c r="AC2140" s="120"/>
      <c r="AD2140" s="475"/>
      <c r="AE2140" s="467"/>
      <c r="AF2140" s="440"/>
      <c r="BB2140" s="436"/>
      <c r="BC2140" s="120"/>
      <c r="BD2140" s="475"/>
      <c r="BE2140" s="467"/>
      <c r="BF2140" s="440"/>
    </row>
    <row r="2141" spans="27:58">
      <c r="AB2141" s="436"/>
      <c r="AC2141" s="120"/>
      <c r="AD2141" s="223"/>
      <c r="AE2141" s="467"/>
      <c r="AF2141" s="440"/>
      <c r="BB2141" s="436"/>
      <c r="BC2141" s="120"/>
      <c r="BD2141" s="223"/>
      <c r="BE2141" s="467"/>
      <c r="BF2141" s="440"/>
    </row>
    <row r="2142" spans="27:58">
      <c r="AB2142" s="436"/>
      <c r="AC2142" s="120"/>
      <c r="AD2142" s="223"/>
      <c r="AE2142" s="467"/>
      <c r="AF2142" s="440"/>
      <c r="BB2142" s="436"/>
      <c r="BC2142" s="120"/>
      <c r="BD2142" s="223"/>
      <c r="BE2142" s="467"/>
      <c r="BF2142" s="440"/>
    </row>
    <row r="2143" spans="27:58">
      <c r="AB2143" s="436"/>
      <c r="AC2143" s="120"/>
      <c r="AD2143" s="223"/>
      <c r="AE2143" s="467"/>
      <c r="AF2143" s="440"/>
      <c r="BB2143" s="436"/>
      <c r="BC2143" s="120"/>
      <c r="BD2143" s="223"/>
      <c r="BE2143" s="467"/>
      <c r="BF2143" s="440"/>
    </row>
    <row r="2144" spans="27:58">
      <c r="AB2144" s="436"/>
      <c r="AC2144" s="120"/>
      <c r="AD2144" s="223"/>
      <c r="AE2144" s="467"/>
      <c r="AF2144" s="440"/>
      <c r="BB2144" s="436"/>
      <c r="BC2144" s="120"/>
      <c r="BD2144" s="223"/>
      <c r="BE2144" s="467"/>
      <c r="BF2144" s="440"/>
    </row>
    <row r="2145" spans="28:58">
      <c r="AB2145" s="436"/>
      <c r="AC2145" s="120"/>
      <c r="AD2145" s="120"/>
      <c r="AE2145" s="467"/>
      <c r="AF2145" s="440"/>
      <c r="BB2145" s="436"/>
      <c r="BC2145" s="120"/>
      <c r="BD2145" s="120"/>
      <c r="BE2145" s="467"/>
      <c r="BF2145" s="440"/>
    </row>
    <row r="2146" spans="28:58">
      <c r="AB2146" s="456"/>
      <c r="AC2146" s="457"/>
      <c r="AD2146" s="457"/>
      <c r="AE2146" s="477"/>
      <c r="AF2146" s="458"/>
      <c r="BB2146" s="456"/>
      <c r="BC2146" s="457"/>
      <c r="BD2146" s="457"/>
      <c r="BE2146" s="477"/>
      <c r="BF2146" s="458"/>
    </row>
    <row r="2147" spans="28:58">
      <c r="AB2147" s="449" t="s">
        <v>474</v>
      </c>
      <c r="AC2147" s="120"/>
      <c r="AD2147" s="120" t="s">
        <v>1</v>
      </c>
      <c r="AE2147" s="310" t="s">
        <v>307</v>
      </c>
      <c r="AF2147" s="440"/>
      <c r="BB2147" s="449" t="s">
        <v>474</v>
      </c>
      <c r="BC2147" s="120"/>
      <c r="BD2147" s="120" t="s">
        <v>1</v>
      </c>
      <c r="BE2147" s="310" t="s">
        <v>307</v>
      </c>
      <c r="BF2147" s="440"/>
    </row>
    <row r="2148" spans="28:58">
      <c r="AB2148" s="436"/>
      <c r="AC2148" s="223"/>
      <c r="AD2148" s="480"/>
      <c r="AE2148" s="484"/>
      <c r="AF2148" s="440"/>
      <c r="BB2148" s="436"/>
      <c r="BC2148" s="223"/>
      <c r="BD2148" s="480"/>
      <c r="BE2148" s="484"/>
      <c r="BF2148" s="440"/>
    </row>
    <row r="2149" spans="28:58">
      <c r="AB2149" s="436"/>
      <c r="AC2149" s="120"/>
      <c r="AD2149" s="120"/>
      <c r="AE2149" s="467"/>
      <c r="AF2149" s="440"/>
      <c r="BB2149" s="436"/>
      <c r="BC2149" s="120"/>
      <c r="BD2149" s="120"/>
      <c r="BE2149" s="467"/>
      <c r="BF2149" s="440"/>
    </row>
    <row r="2150" spans="28:58">
      <c r="AB2150" s="436"/>
      <c r="AC2150" s="120"/>
      <c r="AD2150" s="120"/>
      <c r="AE2150" s="467"/>
      <c r="AF2150" s="440"/>
      <c r="BB2150" s="436"/>
      <c r="BC2150" s="120"/>
      <c r="BD2150" s="120"/>
      <c r="BE2150" s="467"/>
      <c r="BF2150" s="440"/>
    </row>
    <row r="2151" spans="28:58">
      <c r="AB2151" s="436"/>
      <c r="AC2151" s="120"/>
      <c r="AD2151" s="120"/>
      <c r="AE2151" s="467"/>
      <c r="AF2151" s="440"/>
      <c r="BB2151" s="436"/>
      <c r="BC2151" s="120"/>
      <c r="BD2151" s="120"/>
      <c r="BE2151" s="467"/>
      <c r="BF2151" s="440"/>
    </row>
    <row r="2152" spans="28:58">
      <c r="AB2152" s="436"/>
      <c r="AC2152" s="120"/>
      <c r="AD2152" s="120"/>
      <c r="AE2152" s="467"/>
      <c r="AF2152" s="440"/>
      <c r="BB2152" s="436"/>
      <c r="BC2152" s="120"/>
      <c r="BD2152" s="120"/>
      <c r="BE2152" s="467"/>
      <c r="BF2152" s="440"/>
    </row>
    <row r="2153" spans="28:58">
      <c r="AB2153" s="436"/>
      <c r="AC2153" s="120"/>
      <c r="AD2153" s="120"/>
      <c r="AE2153" s="467"/>
      <c r="AF2153" s="440"/>
      <c r="BB2153" s="436"/>
      <c r="BC2153" s="120"/>
      <c r="BD2153" s="120"/>
      <c r="BE2153" s="467"/>
      <c r="BF2153" s="440"/>
    </row>
    <row r="2154" spans="28:58">
      <c r="AB2154" s="436"/>
      <c r="AC2154" s="120"/>
      <c r="AD2154" s="120"/>
      <c r="AE2154" s="467"/>
      <c r="AF2154" s="440"/>
      <c r="BB2154" s="436"/>
      <c r="BC2154" s="120"/>
      <c r="BD2154" s="120"/>
      <c r="BE2154" s="467"/>
      <c r="BF2154" s="440"/>
    </row>
    <row r="2155" spans="28:58">
      <c r="AB2155" s="436"/>
      <c r="AC2155" s="120"/>
      <c r="AD2155" s="120"/>
      <c r="AE2155" s="467"/>
      <c r="AF2155" s="440"/>
      <c r="BB2155" s="436"/>
      <c r="BC2155" s="120"/>
      <c r="BD2155" s="120"/>
      <c r="BE2155" s="467"/>
      <c r="BF2155" s="440"/>
    </row>
    <row r="2156" spans="28:58">
      <c r="AB2156" s="436"/>
      <c r="AC2156" s="120"/>
      <c r="AD2156" s="120"/>
      <c r="AE2156" s="467"/>
      <c r="AF2156" s="440"/>
      <c r="BB2156" s="436"/>
      <c r="BC2156" s="120"/>
      <c r="BD2156" s="120"/>
      <c r="BE2156" s="467"/>
      <c r="BF2156" s="440"/>
    </row>
    <row r="2157" spans="28:58">
      <c r="AB2157" s="436"/>
      <c r="AC2157" s="120"/>
      <c r="AD2157" s="120"/>
      <c r="AE2157" s="467"/>
      <c r="AF2157" s="440"/>
      <c r="BB2157" s="436"/>
      <c r="BC2157" s="120"/>
      <c r="BD2157" s="120"/>
      <c r="BE2157" s="467"/>
      <c r="BF2157" s="440"/>
    </row>
    <row r="2158" spans="28:58">
      <c r="AB2158" s="436"/>
      <c r="AC2158" s="120"/>
      <c r="AD2158" s="120"/>
      <c r="AE2158" s="467"/>
      <c r="AF2158" s="440"/>
      <c r="BB2158" s="436"/>
      <c r="BC2158" s="120"/>
      <c r="BD2158" s="120"/>
      <c r="BE2158" s="467"/>
      <c r="BF2158" s="440"/>
    </row>
    <row r="2159" spans="28:58">
      <c r="AB2159" s="436"/>
      <c r="AC2159" s="120"/>
      <c r="AD2159" s="120"/>
      <c r="AE2159" s="467"/>
      <c r="AF2159" s="440"/>
      <c r="BB2159" s="436"/>
      <c r="BC2159" s="120"/>
      <c r="BD2159" s="120"/>
      <c r="BE2159" s="467"/>
      <c r="BF2159" s="440"/>
    </row>
    <row r="2160" spans="28:58">
      <c r="AB2160" s="456"/>
      <c r="AC2160" s="457"/>
      <c r="AD2160" s="457"/>
      <c r="AE2160" s="477"/>
      <c r="AF2160" s="458"/>
      <c r="BB2160" s="456"/>
      <c r="BC2160" s="457"/>
      <c r="BD2160" s="457"/>
      <c r="BE2160" s="477"/>
      <c r="BF2160" s="458"/>
    </row>
    <row r="2161" spans="28:58">
      <c r="AB2161" s="456"/>
      <c r="AC2161" s="457"/>
      <c r="AD2161" s="457"/>
      <c r="AE2161" s="457"/>
      <c r="AF2161" s="458"/>
      <c r="BB2161" s="456"/>
      <c r="BC2161" s="457"/>
      <c r="BD2161" s="457"/>
      <c r="BE2161" s="457"/>
      <c r="BF2161" s="458"/>
    </row>
    <row r="2162" spans="28:58">
      <c r="AB2162" s="449" t="s">
        <v>475</v>
      </c>
      <c r="AC2162" s="120"/>
      <c r="AD2162" s="120"/>
      <c r="AE2162" s="120"/>
      <c r="AF2162" s="440"/>
      <c r="BB2162" s="449" t="s">
        <v>475</v>
      </c>
      <c r="BC2162" s="120"/>
      <c r="BD2162" s="120"/>
      <c r="BE2162" s="120"/>
      <c r="BF2162" s="440"/>
    </row>
    <row r="2163" spans="28:58">
      <c r="AB2163" s="436" t="s">
        <v>509</v>
      </c>
      <c r="AC2163" s="120"/>
      <c r="AD2163" s="120"/>
      <c r="AE2163" s="120"/>
      <c r="AF2163" s="440"/>
      <c r="BB2163" s="436" t="s">
        <v>509</v>
      </c>
      <c r="BC2163" s="120"/>
      <c r="BD2163" s="120"/>
      <c r="BE2163" s="120"/>
      <c r="BF2163" s="440"/>
    </row>
    <row r="2164" spans="28:58">
      <c r="AB2164" s="436" t="s">
        <v>510</v>
      </c>
      <c r="AC2164" s="120"/>
      <c r="AD2164" s="120"/>
      <c r="AE2164" s="120"/>
      <c r="AF2164" s="440"/>
      <c r="BB2164" s="436" t="s">
        <v>510</v>
      </c>
      <c r="BC2164" s="120"/>
      <c r="BD2164" s="120"/>
      <c r="BE2164" s="120"/>
      <c r="BF2164" s="440"/>
    </row>
    <row r="2165" spans="28:58">
      <c r="AB2165" s="436"/>
      <c r="AC2165" s="120"/>
      <c r="AD2165" s="120"/>
      <c r="AE2165" s="120"/>
      <c r="AF2165" s="440"/>
      <c r="BB2165" s="436"/>
      <c r="BC2165" s="120"/>
      <c r="BD2165" s="120"/>
      <c r="BE2165" s="120"/>
      <c r="BF2165" s="440"/>
    </row>
    <row r="2166" spans="28:58">
      <c r="AB2166" s="436"/>
      <c r="AC2166" s="120"/>
      <c r="AD2166" s="120"/>
      <c r="AE2166" s="120"/>
      <c r="AF2166" s="440"/>
      <c r="BB2166" s="436"/>
      <c r="BC2166" s="120"/>
      <c r="BD2166" s="120"/>
      <c r="BE2166" s="120"/>
      <c r="BF2166" s="440"/>
    </row>
    <row r="2167" spans="28:58">
      <c r="AB2167" s="436"/>
      <c r="AC2167" s="120"/>
      <c r="AD2167" s="120"/>
      <c r="AE2167" s="120"/>
      <c r="AF2167" s="440"/>
      <c r="BB2167" s="436"/>
      <c r="BC2167" s="120"/>
      <c r="BD2167" s="120"/>
      <c r="BE2167" s="120"/>
      <c r="BF2167" s="440"/>
    </row>
    <row r="2168" spans="28:58">
      <c r="AB2168" s="436"/>
      <c r="AC2168" s="120"/>
      <c r="AD2168" s="120"/>
      <c r="AE2168" s="120"/>
      <c r="AF2168" s="440"/>
      <c r="BB2168" s="436"/>
      <c r="BC2168" s="120"/>
      <c r="BD2168" s="120"/>
      <c r="BE2168" s="120"/>
      <c r="BF2168" s="440"/>
    </row>
    <row r="2169" spans="28:58">
      <c r="AB2169" s="436" t="s">
        <v>511</v>
      </c>
      <c r="AC2169" s="120">
        <v>0</v>
      </c>
      <c r="AD2169" s="120" t="s">
        <v>512</v>
      </c>
      <c r="AE2169" s="120"/>
      <c r="AF2169" s="440"/>
      <c r="BB2169" s="436" t="s">
        <v>511</v>
      </c>
      <c r="BC2169" s="120">
        <v>0</v>
      </c>
      <c r="BD2169" s="120" t="s">
        <v>512</v>
      </c>
      <c r="BE2169" s="120"/>
      <c r="BF2169" s="440"/>
    </row>
    <row r="2170" spans="28:58">
      <c r="AB2170" s="436" t="s">
        <v>513</v>
      </c>
      <c r="AC2170" s="120">
        <v>0</v>
      </c>
      <c r="AD2170" s="120" t="s">
        <v>512</v>
      </c>
      <c r="AE2170" s="120"/>
      <c r="AF2170" s="440"/>
      <c r="BB2170" s="436" t="s">
        <v>513</v>
      </c>
      <c r="BC2170" s="120">
        <v>0</v>
      </c>
      <c r="BD2170" s="120" t="s">
        <v>512</v>
      </c>
      <c r="BE2170" s="120"/>
      <c r="BF2170" s="440"/>
    </row>
    <row r="2171" spans="28:58">
      <c r="AB2171" s="456"/>
      <c r="AC2171" s="457"/>
      <c r="AD2171" s="457"/>
      <c r="AE2171" s="457"/>
      <c r="AF2171" s="458"/>
      <c r="BB2171" s="456"/>
      <c r="BC2171" s="457"/>
      <c r="BD2171" s="457"/>
      <c r="BE2171" s="457"/>
      <c r="BF2171" s="458"/>
    </row>
    <row r="2172" spans="28:58">
      <c r="AB2172" s="449" t="s">
        <v>461</v>
      </c>
      <c r="AC2172" s="120"/>
      <c r="AD2172" s="120"/>
      <c r="AE2172" s="120"/>
      <c r="AF2172" s="440"/>
      <c r="BB2172" s="449" t="s">
        <v>461</v>
      </c>
      <c r="BC2172" s="120"/>
      <c r="BD2172" s="120"/>
      <c r="BE2172" s="120"/>
      <c r="BF2172" s="440"/>
    </row>
    <row r="2173" spans="28:58">
      <c r="AB2173" s="436" t="s">
        <v>514</v>
      </c>
      <c r="AC2173" s="120">
        <f>VLOOKUP(AB2101,'Unit Ops'!$B$140:$K$209,10,FALSE)</f>
        <v>0</v>
      </c>
      <c r="AD2173" s="120" t="s">
        <v>515</v>
      </c>
      <c r="AE2173" s="120"/>
      <c r="AF2173" s="440"/>
      <c r="BB2173" s="436" t="s">
        <v>514</v>
      </c>
      <c r="BC2173" s="120">
        <f>VLOOKUP(BB2101,'Unit Ops'!$B$140:$K$209,10,FALSE)</f>
        <v>0</v>
      </c>
      <c r="BD2173" s="120" t="s">
        <v>515</v>
      </c>
      <c r="BE2173" s="120"/>
      <c r="BF2173" s="440"/>
    </row>
    <row r="2174" spans="28:58">
      <c r="AB2174" s="436" t="s">
        <v>516</v>
      </c>
      <c r="AC2174" s="120">
        <v>0</v>
      </c>
      <c r="AD2174" s="120" t="s">
        <v>515</v>
      </c>
      <c r="AE2174" s="120"/>
      <c r="AF2174" s="440"/>
      <c r="BB2174" s="436" t="s">
        <v>516</v>
      </c>
      <c r="BC2174" s="120">
        <v>0</v>
      </c>
      <c r="BD2174" s="120" t="s">
        <v>515</v>
      </c>
      <c r="BE2174" s="120"/>
      <c r="BF2174" s="440"/>
    </row>
    <row r="2175" spans="28:58">
      <c r="AB2175" s="436"/>
      <c r="AC2175" s="120"/>
      <c r="AD2175" s="120"/>
      <c r="AE2175" s="120"/>
      <c r="AF2175" s="440"/>
      <c r="BB2175" s="436"/>
      <c r="BC2175" s="120"/>
      <c r="BD2175" s="120"/>
      <c r="BE2175" s="120"/>
      <c r="BF2175" s="440"/>
    </row>
    <row r="2176" spans="28:58">
      <c r="AB2176" s="436"/>
      <c r="AC2176" s="120"/>
      <c r="AD2176" s="120"/>
      <c r="AE2176" s="120"/>
      <c r="AF2176" s="440"/>
      <c r="BB2176" s="436"/>
      <c r="BC2176" s="120"/>
      <c r="BD2176" s="120"/>
      <c r="BE2176" s="120"/>
      <c r="BF2176" s="440"/>
    </row>
    <row r="2177" spans="28:58">
      <c r="AB2177" s="436"/>
      <c r="AC2177" s="120"/>
      <c r="AD2177" s="120"/>
      <c r="AE2177" s="120"/>
      <c r="AF2177" s="440"/>
      <c r="BB2177" s="436"/>
      <c r="BC2177" s="120"/>
      <c r="BD2177" s="120"/>
      <c r="BE2177" s="120"/>
      <c r="BF2177" s="440"/>
    </row>
    <row r="2178" spans="28:58">
      <c r="AB2178" s="436"/>
      <c r="AC2178" s="120"/>
      <c r="AD2178" s="120"/>
      <c r="AE2178" s="120"/>
      <c r="AF2178" s="440"/>
      <c r="BB2178" s="436"/>
      <c r="BC2178" s="120"/>
      <c r="BD2178" s="120"/>
      <c r="BE2178" s="120"/>
      <c r="BF2178" s="440"/>
    </row>
    <row r="2179" spans="28:58">
      <c r="AB2179" s="436"/>
      <c r="AC2179" s="120"/>
      <c r="AD2179" s="120"/>
      <c r="AE2179" s="120"/>
      <c r="AF2179" s="440"/>
      <c r="BB2179" s="436"/>
      <c r="BC2179" s="120"/>
      <c r="BD2179" s="120"/>
      <c r="BE2179" s="120"/>
      <c r="BF2179" s="440"/>
    </row>
    <row r="2180" spans="28:58">
      <c r="AB2180" s="436" t="s">
        <v>464</v>
      </c>
      <c r="AC2180" s="120"/>
      <c r="AD2180" s="120"/>
      <c r="AE2180" s="120"/>
      <c r="AF2180" s="440"/>
      <c r="BB2180" s="436" t="s">
        <v>464</v>
      </c>
      <c r="BC2180" s="120"/>
      <c r="BD2180" s="120"/>
      <c r="BE2180" s="120"/>
      <c r="BF2180" s="440"/>
    </row>
    <row r="2181" spans="28:58">
      <c r="AB2181" s="456"/>
      <c r="AC2181" s="457"/>
      <c r="AD2181" s="457"/>
      <c r="AE2181" s="457"/>
      <c r="AF2181" s="458"/>
      <c r="BB2181" s="456"/>
      <c r="BC2181" s="457"/>
      <c r="BD2181" s="457"/>
      <c r="BE2181" s="457"/>
      <c r="BF2181" s="458"/>
    </row>
    <row r="2182" spans="28:58">
      <c r="AB2182" s="449" t="s">
        <v>472</v>
      </c>
      <c r="AC2182" s="467" t="s">
        <v>517</v>
      </c>
      <c r="AD2182" s="120" t="s">
        <v>518</v>
      </c>
      <c r="AE2182" s="467" t="s">
        <v>519</v>
      </c>
      <c r="AF2182" s="440" t="s">
        <v>518</v>
      </c>
      <c r="BB2182" s="449" t="s">
        <v>472</v>
      </c>
      <c r="BC2182" s="467" t="s">
        <v>517</v>
      </c>
      <c r="BD2182" s="120" t="s">
        <v>518</v>
      </c>
      <c r="BE2182" s="467" t="s">
        <v>519</v>
      </c>
      <c r="BF2182" s="440" t="s">
        <v>518</v>
      </c>
    </row>
    <row r="2183" spans="28:58">
      <c r="AB2183" s="436" t="s">
        <v>520</v>
      </c>
      <c r="AC2183" s="120"/>
      <c r="AD2183" s="120"/>
      <c r="AE2183" s="472">
        <f>((VLOOKUP(AB2101,'Unit Ops'!$B$140:$J$209,3,FALSE)*AC2103^VLOOKUP(AB2101,'Unit Ops'!$B$140:$J$209,4,FALSE)+VLOOKUP(AB2101,'Unit Ops'!$B$140:$J$209,5,FALSE))*VLOOKUP(AB2101,'Unit Ops'!$B$140:$J$209,6,FALSE))*IF(VLOOKUP(AB2101,'Unit Ops'!$B$140:$L$209,11,FALSE)=1,1,2)</f>
        <v>0</v>
      </c>
      <c r="AF2183" s="490">
        <f>'CM Rec Par.'!$C$7</f>
        <v>2022</v>
      </c>
      <c r="BB2183" s="436" t="s">
        <v>520</v>
      </c>
      <c r="BC2183" s="120"/>
      <c r="BD2183" s="120"/>
      <c r="BE2183" s="472">
        <f>((VLOOKUP(BB2101,'Unit Ops'!$B$140:$J$209,3,FALSE)*BC2103^VLOOKUP(BB2101,'Unit Ops'!$B$140:$J$209,4,FALSE)+VLOOKUP(BB2101,'Unit Ops'!$B$140:$J$209,5,FALSE))*VLOOKUP(BB2101,'Unit Ops'!$B$140:$J$209,6,FALSE))*IF(VLOOKUP(BB2101,'Unit Ops'!$B$140:$L$209,11,FALSE)=1,1,2)</f>
        <v>0</v>
      </c>
      <c r="BF2183" s="490">
        <f>'CM Rec Par.'!$C$7</f>
        <v>2022</v>
      </c>
    </row>
    <row r="2184" spans="28:58">
      <c r="AB2184" s="436"/>
      <c r="AC2184" s="120"/>
      <c r="AD2184" s="120"/>
      <c r="AE2184" s="120"/>
      <c r="AF2184" s="440"/>
      <c r="BB2184" s="436"/>
      <c r="BC2184" s="120"/>
      <c r="BD2184" s="120"/>
      <c r="BE2184" s="120"/>
      <c r="BF2184" s="440"/>
    </row>
    <row r="2185" spans="28:58">
      <c r="AB2185" s="436"/>
      <c r="AC2185" s="120"/>
      <c r="AD2185" s="120"/>
      <c r="AE2185" s="120"/>
      <c r="AF2185" s="440"/>
      <c r="BB2185" s="436"/>
      <c r="BC2185" s="120"/>
      <c r="BD2185" s="120"/>
      <c r="BE2185" s="120"/>
      <c r="BF2185" s="440"/>
    </row>
    <row r="2186" spans="28:58">
      <c r="AB2186" s="436"/>
      <c r="AC2186" s="120"/>
      <c r="AD2186" s="120"/>
      <c r="AE2186" s="120"/>
      <c r="AF2186" s="440"/>
      <c r="BB2186" s="436"/>
      <c r="BC2186" s="120"/>
      <c r="BD2186" s="120"/>
      <c r="BE2186" s="120"/>
      <c r="BF2186" s="440"/>
    </row>
    <row r="2187" spans="28:58">
      <c r="AB2187" s="436"/>
      <c r="AC2187" s="120"/>
      <c r="AD2187" s="120"/>
      <c r="AE2187" s="120"/>
      <c r="AF2187" s="440"/>
      <c r="BB2187" s="436"/>
      <c r="BC2187" s="120"/>
      <c r="BD2187" s="120"/>
      <c r="BE2187" s="120"/>
      <c r="BF2187" s="440"/>
    </row>
    <row r="2188" spans="28:58">
      <c r="AB2188" s="436"/>
      <c r="AC2188" s="120"/>
      <c r="AD2188" s="120"/>
      <c r="AE2188" s="120"/>
      <c r="AF2188" s="440"/>
      <c r="BB2188" s="436"/>
      <c r="BC2188" s="120"/>
      <c r="BD2188" s="120"/>
      <c r="BE2188" s="120"/>
      <c r="BF2188" s="440"/>
    </row>
    <row r="2189" spans="28:58">
      <c r="AB2189" s="436"/>
      <c r="AC2189" s="120"/>
      <c r="AD2189" s="120"/>
      <c r="AE2189" s="120"/>
      <c r="AF2189" s="440"/>
      <c r="BB2189" s="436"/>
      <c r="BC2189" s="120"/>
      <c r="BD2189" s="120"/>
      <c r="BE2189" s="120"/>
      <c r="BF2189" s="440"/>
    </row>
    <row r="2190" spans="28:58">
      <c r="AB2190" s="436"/>
      <c r="AC2190" s="120"/>
      <c r="AD2190" s="120"/>
      <c r="AE2190" s="120"/>
      <c r="AF2190" s="440"/>
      <c r="BB2190" s="436"/>
      <c r="BC2190" s="120"/>
      <c r="BD2190" s="120"/>
      <c r="BE2190" s="120"/>
      <c r="BF2190" s="440"/>
    </row>
    <row r="2191" spans="28:58">
      <c r="AB2191" s="436"/>
      <c r="AC2191" s="120"/>
      <c r="AD2191" s="120"/>
      <c r="AE2191" s="120"/>
      <c r="AF2191" s="440"/>
      <c r="BB2191" s="436"/>
      <c r="BC2191" s="120"/>
      <c r="BD2191" s="120"/>
      <c r="BE2191" s="120"/>
      <c r="BF2191" s="440"/>
    </row>
    <row r="2192" spans="28:58">
      <c r="AB2192" s="436"/>
      <c r="AC2192" s="120"/>
      <c r="AD2192" s="120"/>
      <c r="AE2192" s="120"/>
      <c r="AF2192" s="440"/>
      <c r="BB2192" s="436"/>
      <c r="BC2192" s="120"/>
      <c r="BD2192" s="120"/>
      <c r="BE2192" s="120"/>
      <c r="BF2192" s="440"/>
    </row>
    <row r="2193" spans="27:58">
      <c r="AB2193" s="436"/>
      <c r="AC2193" s="120"/>
      <c r="AD2193" s="120"/>
      <c r="AE2193" s="120"/>
      <c r="AF2193" s="440"/>
      <c r="BB2193" s="436"/>
      <c r="BC2193" s="120"/>
      <c r="BD2193" s="120"/>
      <c r="BE2193" s="120"/>
      <c r="BF2193" s="440"/>
    </row>
    <row r="2194" spans="27:58">
      <c r="AB2194" s="436"/>
      <c r="AC2194" s="120"/>
      <c r="AD2194" s="120"/>
      <c r="AE2194" s="120"/>
      <c r="AF2194" s="440"/>
      <c r="BB2194" s="436"/>
      <c r="BC2194" s="120"/>
      <c r="BD2194" s="120"/>
      <c r="BE2194" s="120"/>
      <c r="BF2194" s="440"/>
    </row>
    <row r="2195" spans="27:58">
      <c r="AB2195" s="436"/>
      <c r="AC2195" s="120"/>
      <c r="AD2195" s="120"/>
      <c r="AE2195" s="120"/>
      <c r="AF2195" s="440"/>
      <c r="BB2195" s="436"/>
      <c r="BC2195" s="120"/>
      <c r="BD2195" s="120"/>
      <c r="BE2195" s="120"/>
      <c r="BF2195" s="440"/>
    </row>
    <row r="2196" spans="27:58">
      <c r="AB2196" s="436"/>
      <c r="AC2196" s="120"/>
      <c r="AD2196" s="120"/>
      <c r="AE2196" s="120"/>
      <c r="AF2196" s="440"/>
      <c r="BB2196" s="436"/>
      <c r="BC2196" s="120"/>
      <c r="BD2196" s="120"/>
      <c r="BE2196" s="120"/>
      <c r="BF2196" s="440"/>
    </row>
    <row r="2197" spans="27:58" ht="14.5" thickBot="1">
      <c r="AB2197" s="492"/>
      <c r="AC2197" s="493"/>
      <c r="AD2197" s="493"/>
      <c r="AE2197" s="493"/>
      <c r="AF2197" s="453"/>
      <c r="BB2197" s="492"/>
      <c r="BC2197" s="493"/>
      <c r="BD2197" s="493"/>
      <c r="BE2197" s="493"/>
      <c r="BF2197" s="453"/>
    </row>
    <row r="2200" spans="27:58" ht="14.5" thickBot="1"/>
    <row r="2201" spans="27:58">
      <c r="AA2201" s="114" t="s">
        <v>478</v>
      </c>
      <c r="AB2201" s="431" t="str">
        <f>AB61</f>
        <v>Select Equipment</v>
      </c>
      <c r="AC2201" s="432"/>
      <c r="AD2201" s="433"/>
      <c r="AE2201" s="434"/>
      <c r="AF2201" s="435"/>
      <c r="BB2201" s="431" t="str">
        <f>BB62</f>
        <v>Select Equipment</v>
      </c>
      <c r="BC2201" s="432"/>
      <c r="BD2201" s="433"/>
      <c r="BE2201" s="434"/>
      <c r="BF2201" s="435"/>
    </row>
    <row r="2202" spans="27:58">
      <c r="AA2202" s="114" t="s">
        <v>5</v>
      </c>
      <c r="AB2202" s="436" t="s">
        <v>1</v>
      </c>
      <c r="AC2202" s="437">
        <f>AC$14/AC$11/AC$10*VLOOKUP(AB2201,'Unit Ops'!$B$140:$J$209,2,FALSE)</f>
        <v>0</v>
      </c>
      <c r="AD2202" s="438" t="s">
        <v>586</v>
      </c>
      <c r="AE2202" s="1027">
        <f>AC2202*AC$306*AC$307</f>
        <v>0</v>
      </c>
      <c r="AF2202" s="439" t="s">
        <v>585</v>
      </c>
      <c r="BA2202" s="114" t="s">
        <v>478</v>
      </c>
      <c r="BB2202" s="436" t="s">
        <v>1</v>
      </c>
      <c r="BC2202" s="437">
        <f>BC$15/BC$11/BC$12*VLOOKUP(BB2201,'Unit Ops'!$B$140:$J$209,2,FALSE)</f>
        <v>0</v>
      </c>
      <c r="BD2202" s="438" t="s">
        <v>586</v>
      </c>
      <c r="BE2202" s="1027">
        <f>BC2202*BC$306*BC$307</f>
        <v>0</v>
      </c>
      <c r="BF2202" s="439" t="s">
        <v>585</v>
      </c>
    </row>
    <row r="2203" spans="27:58">
      <c r="AA2203" s="114" t="str">
        <f>$AB$44</f>
        <v>Hopper</v>
      </c>
      <c r="AB2203" s="436" t="s">
        <v>505</v>
      </c>
      <c r="AC2203" s="437">
        <f>ROUNDUP(AC2202*IF(VLOOKUP(AB2201,'Unit Ops'!$B$140:$L$209,11,FALSE)=1,1.5,0.75),1)</f>
        <v>0</v>
      </c>
      <c r="AD2203" s="438" t="s">
        <v>586</v>
      </c>
      <c r="AE2203" s="120">
        <f>AC2203*AC$306*AC$307</f>
        <v>0</v>
      </c>
      <c r="AF2203" s="439" t="s">
        <v>585</v>
      </c>
      <c r="BA2203" s="114" t="s">
        <v>5</v>
      </c>
      <c r="BB2203" s="436" t="s">
        <v>505</v>
      </c>
      <c r="BC2203" s="437">
        <f>ROUNDUP(BC2202*IF(VLOOKUP(BB2201,'Unit Ops'!$B$140:$L$209,11,FALSE)=1,1.5,0.75),1)</f>
        <v>0</v>
      </c>
      <c r="BD2203" s="438" t="s">
        <v>586</v>
      </c>
      <c r="BE2203" s="120">
        <f>BC2203*BC$306*BC$307</f>
        <v>0</v>
      </c>
      <c r="BF2203" s="439" t="s">
        <v>585</v>
      </c>
    </row>
    <row r="2204" spans="27:58">
      <c r="AA2204" s="114" t="str">
        <f>$AB$45</f>
        <v>Conveyor</v>
      </c>
      <c r="AB2204" s="441" t="s">
        <v>521</v>
      </c>
      <c r="AC2204" s="442" t="e">
        <f>AC2202/AC2203</f>
        <v>#DIV/0!</v>
      </c>
      <c r="AD2204" s="438"/>
      <c r="AE2204" s="443"/>
      <c r="AF2204" s="440"/>
      <c r="BA2204" s="114" t="str">
        <f>$BB$45</f>
        <v>Select Equipment</v>
      </c>
      <c r="BB2204" s="441" t="s">
        <v>521</v>
      </c>
      <c r="BC2204" s="442" t="e">
        <f>BC2202/BC2203</f>
        <v>#DIV/0!</v>
      </c>
      <c r="BD2204" s="438"/>
      <c r="BE2204" s="443"/>
      <c r="BF2204" s="440"/>
    </row>
    <row r="2205" spans="27:58">
      <c r="AA2205" s="114" t="str">
        <f>$AB$46</f>
        <v>Crusher</v>
      </c>
      <c r="AB2205" s="441" t="s">
        <v>506</v>
      </c>
      <c r="AC2205" s="445"/>
      <c r="AD2205" s="438" t="s">
        <v>454</v>
      </c>
      <c r="AE2205" s="443"/>
      <c r="AF2205" s="440"/>
      <c r="BA2205" s="114" t="str">
        <f>$BB$46</f>
        <v>Select Equipment</v>
      </c>
      <c r="BB2205" s="441" t="s">
        <v>506</v>
      </c>
      <c r="BC2205" s="445"/>
      <c r="BD2205" s="438" t="s">
        <v>454</v>
      </c>
      <c r="BE2205" s="443"/>
      <c r="BF2205" s="440"/>
    </row>
    <row r="2206" spans="27:58">
      <c r="AA2206" s="114" t="str">
        <f>$AB$47</f>
        <v>Screen, vibrating</v>
      </c>
      <c r="AB2206" s="436" t="s">
        <v>507</v>
      </c>
      <c r="AC2206" s="225" t="e">
        <f>(VLOOKUP(AB2201,'Unit Ops'!$B$140:$J$209,7,FALSE)*AC2203^VLOOKUP(AB2201,'Unit Ops'!$B$140:$J$209,8,FALSE)+VLOOKUP(AB2201,'Unit Ops'!$B$140:$J$209,9,FALSE))*IF(VLOOKUP(AB2201,'Unit Ops'!$B$140:$L$209,11,FALSE)=1,1,2)</f>
        <v>#NUM!</v>
      </c>
      <c r="AD2206" s="446" t="s">
        <v>454</v>
      </c>
      <c r="AE2206" s="443"/>
      <c r="AF2206" s="440"/>
      <c r="BA2206" s="114" t="str">
        <f>$BB$47</f>
        <v>Select Equipment</v>
      </c>
      <c r="BB2206" s="436" t="s">
        <v>507</v>
      </c>
      <c r="BC2206" s="225" t="e">
        <f>(VLOOKUP(BB2201,'Unit Ops'!$B$140:$J$209,7,FALSE)*BC2203^VLOOKUP(BB2201,'Unit Ops'!$B$140:$J$209,8,FALSE)+VLOOKUP(BB2201,'Unit Ops'!$B$140:$J$209,9,FALSE))*IF(VLOOKUP(BB2201,'Unit Ops'!$B$140:$L$209,11,FALSE)=1,1,2)</f>
        <v>#NUM!</v>
      </c>
      <c r="BD2206" s="446" t="s">
        <v>454</v>
      </c>
      <c r="BE2206" s="443"/>
      <c r="BF2206" s="440"/>
    </row>
    <row r="2207" spans="27:58">
      <c r="AA2207" s="114" t="str">
        <f>$AB$48</f>
        <v>Conveyor</v>
      </c>
      <c r="AB2207" s="441"/>
      <c r="AC2207" s="445"/>
      <c r="AD2207" s="447"/>
      <c r="AE2207" s="443"/>
      <c r="AF2207" s="440"/>
      <c r="BA2207" s="114" t="str">
        <f>$BB$48</f>
        <v>Select Equipment</v>
      </c>
      <c r="BB2207" s="441"/>
      <c r="BC2207" s="445"/>
      <c r="BD2207" s="447"/>
      <c r="BE2207" s="443"/>
      <c r="BF2207" s="440"/>
    </row>
    <row r="2208" spans="27:58">
      <c r="AA2208" s="114" t="str">
        <f>$AB$49</f>
        <v>Heat treatment furnace</v>
      </c>
      <c r="AB2208" s="441"/>
      <c r="AC2208" s="445"/>
      <c r="AD2208" s="447"/>
      <c r="AE2208" s="443"/>
      <c r="AF2208" s="440"/>
      <c r="BA2208" s="114" t="str">
        <f>$BB$49</f>
        <v>Select Equipment</v>
      </c>
      <c r="BB2208" s="441"/>
      <c r="BC2208" s="445"/>
      <c r="BD2208" s="447"/>
      <c r="BE2208" s="443"/>
      <c r="BF2208" s="440"/>
    </row>
    <row r="2209" spans="27:58">
      <c r="AA2209" s="114" t="str">
        <f>$AB$50</f>
        <v>Cyclone</v>
      </c>
      <c r="AB2209" s="449"/>
      <c r="AC2209" s="445"/>
      <c r="AD2209" s="447"/>
      <c r="AE2209" s="443"/>
      <c r="AF2209" s="440"/>
      <c r="BA2209" s="114" t="str">
        <f>$BB$50</f>
        <v>Select Equipment</v>
      </c>
      <c r="BB2209" s="449"/>
      <c r="BC2209" s="445"/>
      <c r="BD2209" s="447"/>
      <c r="BE2209" s="443"/>
      <c r="BF2209" s="440"/>
    </row>
    <row r="2210" spans="27:58" ht="14.5" thickBot="1">
      <c r="AA2210" s="114" t="str">
        <f>$AB$51</f>
        <v>Conveyor</v>
      </c>
      <c r="AB2210" s="450"/>
      <c r="AC2210" s="451"/>
      <c r="AD2210" s="451"/>
      <c r="AE2210" s="452"/>
      <c r="AF2210" s="453"/>
      <c r="BA2210" s="114" t="str">
        <f>$BB$51</f>
        <v>Select Equipment</v>
      </c>
      <c r="BB2210" s="450"/>
      <c r="BC2210" s="451"/>
      <c r="BD2210" s="451"/>
      <c r="BE2210" s="452"/>
      <c r="BF2210" s="453"/>
    </row>
    <row r="2211" spans="27:58">
      <c r="AA2211" s="114" t="str">
        <f>$AB$52</f>
        <v>Eddy current separator</v>
      </c>
      <c r="AB2211" s="449" t="s">
        <v>470</v>
      </c>
      <c r="AC2211" s="120"/>
      <c r="AD2211" s="454"/>
      <c r="AE2211" s="120"/>
      <c r="AF2211" s="440"/>
      <c r="BA2211" s="114" t="str">
        <f>$BB$52</f>
        <v>Select Equipment</v>
      </c>
      <c r="BB2211" s="449" t="s">
        <v>470</v>
      </c>
      <c r="BC2211" s="120"/>
      <c r="BD2211" s="454"/>
      <c r="BE2211" s="120"/>
      <c r="BF2211" s="440"/>
    </row>
    <row r="2212" spans="27:58" ht="14.5" customHeight="1">
      <c r="AA2212" s="114" t="str">
        <f>$AB$53</f>
        <v>Conveyor</v>
      </c>
      <c r="AB2212" s="1698"/>
      <c r="AC2212" s="1699"/>
      <c r="AD2212" s="1699"/>
      <c r="AE2212" s="1699"/>
      <c r="AF2212" s="1700"/>
      <c r="BA2212" s="114" t="str">
        <f>$BB$53</f>
        <v>Select Equipment</v>
      </c>
      <c r="BB2212" s="1698"/>
      <c r="BC2212" s="1699"/>
      <c r="BD2212" s="1699"/>
      <c r="BE2212" s="1699"/>
      <c r="BF2212" s="1700"/>
    </row>
    <row r="2213" spans="27:58">
      <c r="AA2213" s="114" t="str">
        <f>$AB$54</f>
        <v>Air classifier</v>
      </c>
      <c r="AB2213" s="436"/>
      <c r="AC2213" s="120"/>
      <c r="AD2213" s="455"/>
      <c r="AE2213" s="120"/>
      <c r="AF2213" s="440"/>
      <c r="BA2213" s="114" t="str">
        <f>$BB$54</f>
        <v>Select Equipment</v>
      </c>
      <c r="BB2213" s="436"/>
      <c r="BC2213" s="120"/>
      <c r="BD2213" s="455"/>
      <c r="BE2213" s="120"/>
      <c r="BF2213" s="440"/>
    </row>
    <row r="2214" spans="27:58">
      <c r="AA2214" s="114" t="str">
        <f>$AB$55</f>
        <v>Gas treatment</v>
      </c>
      <c r="AB2214" s="436"/>
      <c r="AC2214" s="120"/>
      <c r="AD2214" s="455"/>
      <c r="AE2214" s="120"/>
      <c r="AF2214" s="440"/>
      <c r="BA2214" s="114" t="str">
        <f>$BB$55</f>
        <v>Select Equipment</v>
      </c>
      <c r="BB2214" s="436"/>
      <c r="BC2214" s="120"/>
      <c r="BD2214" s="455"/>
      <c r="BE2214" s="120"/>
      <c r="BF2214" s="440"/>
    </row>
    <row r="2215" spans="27:58">
      <c r="AA2215" s="114" t="str">
        <f>$AB$56</f>
        <v>Wheel loader</v>
      </c>
      <c r="AB2215" s="456"/>
      <c r="AC2215" s="457"/>
      <c r="AD2215" s="457"/>
      <c r="AE2215" s="457"/>
      <c r="AF2215" s="458"/>
      <c r="BA2215" s="114" t="str">
        <f>$BB$56</f>
        <v>Select Equipment</v>
      </c>
      <c r="BB2215" s="456"/>
      <c r="BC2215" s="457"/>
      <c r="BD2215" s="457"/>
      <c r="BE2215" s="457"/>
      <c r="BF2215" s="458"/>
    </row>
    <row r="2216" spans="27:58">
      <c r="AA2216" s="114" t="str">
        <f>$AB$57</f>
        <v>Select Equipment</v>
      </c>
      <c r="AB2216" s="449" t="s">
        <v>471</v>
      </c>
      <c r="AC2216" s="120"/>
      <c r="AD2216" s="454"/>
      <c r="AE2216" s="120"/>
      <c r="AF2216" s="440"/>
      <c r="BA2216" s="114" t="str">
        <f>$BB$57</f>
        <v>Select Equipment</v>
      </c>
      <c r="BB2216" s="449" t="s">
        <v>471</v>
      </c>
      <c r="BC2216" s="120"/>
      <c r="BD2216" s="454"/>
      <c r="BE2216" s="120"/>
      <c r="BF2216" s="440"/>
    </row>
    <row r="2217" spans="27:58">
      <c r="AA2217" s="114" t="str">
        <f>$AB$58</f>
        <v>Select Equipment</v>
      </c>
      <c r="AB2217" s="436" t="s">
        <v>577</v>
      </c>
      <c r="AC2217" s="225" t="e">
        <f>AC2206*IF(AC2204&gt;1,1,AC2204)</f>
        <v>#NUM!</v>
      </c>
      <c r="AD2217" s="446" t="s">
        <v>454</v>
      </c>
      <c r="AE2217" s="120"/>
      <c r="AF2217" s="440"/>
      <c r="BA2217" s="114" t="str">
        <f>$BB$58</f>
        <v>Select Equipment</v>
      </c>
      <c r="BB2217" s="436" t="s">
        <v>577</v>
      </c>
      <c r="BC2217" s="225" t="e">
        <f>BC2206*IF(BC2204&gt;1,1,BC2204)</f>
        <v>#NUM!</v>
      </c>
      <c r="BD2217" s="446" t="s">
        <v>454</v>
      </c>
      <c r="BE2217" s="120"/>
      <c r="BF2217" s="440"/>
    </row>
    <row r="2218" spans="27:58">
      <c r="AA2218" s="114" t="str">
        <f>$AB$59</f>
        <v>Select Equipment</v>
      </c>
      <c r="AB2218" s="436" t="s">
        <v>578</v>
      </c>
      <c r="AC2218" s="225"/>
      <c r="AD2218" s="446" t="s">
        <v>579</v>
      </c>
      <c r="AE2218" s="120"/>
      <c r="AF2218" s="440"/>
      <c r="BA2218" s="114" t="str">
        <f>$BB$59</f>
        <v>Select Equipment</v>
      </c>
      <c r="BB2218" s="436" t="s">
        <v>578</v>
      </c>
      <c r="BC2218" s="225"/>
      <c r="BD2218" s="446" t="s">
        <v>579</v>
      </c>
      <c r="BE2218" s="120"/>
      <c r="BF2218" s="440"/>
    </row>
    <row r="2219" spans="27:58">
      <c r="AA2219" s="114" t="str">
        <f>$AB$60</f>
        <v>Select Equipment</v>
      </c>
      <c r="AB2219" s="436"/>
      <c r="AC2219" s="120"/>
      <c r="AD2219" s="446"/>
      <c r="AE2219" s="120"/>
      <c r="AF2219" s="440"/>
      <c r="BA2219" s="114" t="str">
        <f>$BB$60</f>
        <v>Select Equipment</v>
      </c>
      <c r="BB2219" s="436"/>
      <c r="BC2219" s="120"/>
      <c r="BD2219" s="446"/>
      <c r="BE2219" s="120"/>
      <c r="BF2219" s="440"/>
    </row>
    <row r="2220" spans="27:58">
      <c r="AA2220" s="114" t="str">
        <f>$AB$61</f>
        <v>Select Equipment</v>
      </c>
      <c r="AB2220" s="436" t="s">
        <v>8</v>
      </c>
      <c r="AC2220" s="120"/>
      <c r="AD2220" s="459" t="s">
        <v>564</v>
      </c>
      <c r="AE2220" s="120"/>
      <c r="AF2220" s="440"/>
      <c r="BA2220" s="114" t="str">
        <f>$BB$61</f>
        <v>Select Equipment</v>
      </c>
      <c r="BB2220" s="436" t="s">
        <v>8</v>
      </c>
      <c r="BC2220" s="120"/>
      <c r="BD2220" s="459" t="s">
        <v>564</v>
      </c>
      <c r="BE2220" s="120"/>
      <c r="BF2220" s="440"/>
    </row>
    <row r="2221" spans="27:58">
      <c r="AA2221" s="114" t="str">
        <f>$AB$62</f>
        <v>Select Equipment</v>
      </c>
      <c r="AB2221" s="436"/>
      <c r="AC2221" s="120"/>
      <c r="AD2221" s="459"/>
      <c r="AE2221" s="120"/>
      <c r="AF2221" s="440"/>
      <c r="BA2221" s="114" t="str">
        <f>$BB$62</f>
        <v>Select Equipment</v>
      </c>
      <c r="BB2221" s="436"/>
      <c r="BC2221" s="120"/>
      <c r="BD2221" s="459"/>
      <c r="BE2221" s="120"/>
      <c r="BF2221" s="440"/>
    </row>
    <row r="2222" spans="27:58">
      <c r="AA2222" s="114" t="str">
        <f>$AB$63</f>
        <v>Select Equipment</v>
      </c>
      <c r="AB2222" s="436" t="s">
        <v>7</v>
      </c>
      <c r="AC2222" s="120"/>
      <c r="AD2222" s="459" t="s">
        <v>564</v>
      </c>
      <c r="AE2222" s="120"/>
      <c r="AF2222" s="440"/>
      <c r="BA2222" s="114" t="str">
        <f>$BB$63</f>
        <v>Select Equipment</v>
      </c>
      <c r="BB2222" s="436" t="s">
        <v>7</v>
      </c>
      <c r="BC2222" s="120"/>
      <c r="BD2222" s="459" t="s">
        <v>564</v>
      </c>
      <c r="BE2222" s="120"/>
      <c r="BF2222" s="440"/>
    </row>
    <row r="2223" spans="27:58">
      <c r="AA2223"/>
      <c r="AB2223" s="436"/>
      <c r="AC2223" s="120"/>
      <c r="AD2223" s="459"/>
      <c r="AE2223" s="120"/>
      <c r="AF2223" s="440"/>
      <c r="BA2223" s="114" t="str">
        <f>$BB$64</f>
        <v>Select Equipment</v>
      </c>
      <c r="BB2223" s="436"/>
      <c r="BC2223" s="120"/>
      <c r="BD2223" s="459"/>
      <c r="BE2223" s="120"/>
      <c r="BF2223" s="440"/>
    </row>
    <row r="2224" spans="27:58">
      <c r="AA2224"/>
      <c r="AB2224" s="436" t="s">
        <v>9</v>
      </c>
      <c r="AC2224" s="120"/>
      <c r="AD2224" s="459" t="s">
        <v>564</v>
      </c>
      <c r="AE2224" s="120"/>
      <c r="AF2224" s="440"/>
      <c r="BA2224"/>
      <c r="BB2224" s="436" t="s">
        <v>9</v>
      </c>
      <c r="BC2224" s="120"/>
      <c r="BD2224" s="459" t="s">
        <v>564</v>
      </c>
      <c r="BE2224" s="120"/>
      <c r="BF2224" s="440"/>
    </row>
    <row r="2225" spans="27:58">
      <c r="AA2225"/>
      <c r="AB2225" s="436"/>
      <c r="AC2225" s="120"/>
      <c r="AD2225" s="459"/>
      <c r="AE2225" s="120"/>
      <c r="AF2225" s="440"/>
      <c r="BA2225"/>
      <c r="BB2225" s="436"/>
      <c r="BC2225" s="120"/>
      <c r="BD2225" s="459"/>
      <c r="BE2225" s="120"/>
      <c r="BF2225" s="440"/>
    </row>
    <row r="2226" spans="27:58">
      <c r="AA2226"/>
      <c r="AB2226" s="436" t="s">
        <v>324</v>
      </c>
      <c r="AC2226" s="120"/>
      <c r="AD2226" s="459" t="s">
        <v>564</v>
      </c>
      <c r="AE2226" s="120"/>
      <c r="AF2226" s="440" t="s">
        <v>569</v>
      </c>
      <c r="BA2226"/>
      <c r="BB2226" s="436" t="s">
        <v>324</v>
      </c>
      <c r="BC2226" s="120"/>
      <c r="BD2226" s="459" t="s">
        <v>564</v>
      </c>
      <c r="BE2226" s="120"/>
      <c r="BF2226" s="440" t="s">
        <v>569</v>
      </c>
    </row>
    <row r="2227" spans="27:58">
      <c r="AA2227"/>
      <c r="AB2227" s="436"/>
      <c r="AC2227" s="120"/>
      <c r="AD2227" s="468"/>
      <c r="AE2227" s="469"/>
      <c r="AF2227" s="440"/>
      <c r="BA2227"/>
      <c r="BB2227" s="436"/>
      <c r="BC2227" s="120"/>
      <c r="BD2227" s="468"/>
      <c r="BE2227" s="469"/>
      <c r="BF2227" s="440"/>
    </row>
    <row r="2228" spans="27:58">
      <c r="AA2228"/>
      <c r="AB2228" s="436" t="s">
        <v>374</v>
      </c>
      <c r="AC2228" s="120"/>
      <c r="AD2228" s="459" t="s">
        <v>564</v>
      </c>
      <c r="AE2228" s="469"/>
      <c r="AF2228" s="440" t="s">
        <v>569</v>
      </c>
      <c r="BA2228"/>
      <c r="BB2228" s="436" t="s">
        <v>374</v>
      </c>
      <c r="BC2228" s="120"/>
      <c r="BD2228" s="459" t="s">
        <v>564</v>
      </c>
      <c r="BE2228" s="469"/>
      <c r="BF2228" s="440" t="s">
        <v>569</v>
      </c>
    </row>
    <row r="2229" spans="27:58">
      <c r="AA2229"/>
      <c r="AB2229" s="436"/>
      <c r="AC2229" s="120"/>
      <c r="AD2229" s="472"/>
      <c r="AE2229" s="473"/>
      <c r="AF2229" s="440"/>
      <c r="BA2229"/>
      <c r="BB2229" s="436"/>
      <c r="BC2229" s="120"/>
      <c r="BD2229" s="472"/>
      <c r="BE2229" s="473"/>
      <c r="BF2229" s="440"/>
    </row>
    <row r="2230" spans="27:58">
      <c r="AA2230"/>
      <c r="AB2230" s="436" t="s">
        <v>580</v>
      </c>
      <c r="AC2230" s="120"/>
      <c r="AD2230" s="459" t="s">
        <v>564</v>
      </c>
      <c r="AE2230" s="473"/>
      <c r="AF2230" s="440" t="s">
        <v>569</v>
      </c>
      <c r="BA2230"/>
      <c r="BB2230" s="436" t="s">
        <v>580</v>
      </c>
      <c r="BC2230" s="120"/>
      <c r="BD2230" s="459" t="s">
        <v>564</v>
      </c>
      <c r="BE2230" s="473"/>
      <c r="BF2230" s="440" t="s">
        <v>569</v>
      </c>
    </row>
    <row r="2231" spans="27:58">
      <c r="AA2231"/>
      <c r="AB2231" s="476"/>
      <c r="AC2231" s="477"/>
      <c r="AD2231" s="478"/>
      <c r="AE2231" s="479"/>
      <c r="AF2231" s="458"/>
      <c r="BA2231"/>
      <c r="BB2231" s="476"/>
      <c r="BC2231" s="477"/>
      <c r="BD2231" s="478"/>
      <c r="BE2231" s="479"/>
      <c r="BF2231" s="458"/>
    </row>
    <row r="2232" spans="27:58">
      <c r="AA2232"/>
      <c r="AB2232" s="449" t="s">
        <v>473</v>
      </c>
      <c r="AC2232" s="467" t="s">
        <v>508</v>
      </c>
      <c r="AD2232" s="480"/>
      <c r="AE2232" s="481" t="s">
        <v>308</v>
      </c>
      <c r="AF2232" s="440"/>
      <c r="BA2232"/>
      <c r="BB2232" s="449" t="s">
        <v>473</v>
      </c>
      <c r="BC2232" s="467" t="s">
        <v>508</v>
      </c>
      <c r="BD2232" s="480"/>
      <c r="BE2232" s="481" t="s">
        <v>308</v>
      </c>
      <c r="BF2232" s="440"/>
    </row>
    <row r="2233" spans="27:58">
      <c r="AB2233" s="436"/>
      <c r="AC2233" s="483"/>
      <c r="AD2233" s="480"/>
      <c r="AE2233" s="484"/>
      <c r="AF2233" s="440"/>
      <c r="BA2233"/>
      <c r="BB2233" s="436"/>
      <c r="BC2233" s="483"/>
      <c r="BD2233" s="480"/>
      <c r="BE2233" s="484"/>
      <c r="BF2233" s="440"/>
    </row>
    <row r="2234" spans="27:58">
      <c r="AB2234" s="436"/>
      <c r="AC2234" s="120"/>
      <c r="AD2234" s="223"/>
      <c r="AE2234" s="467"/>
      <c r="AF2234" s="440"/>
      <c r="BB2234" s="436"/>
      <c r="BC2234" s="120"/>
      <c r="BD2234" s="223"/>
      <c r="BE2234" s="467"/>
      <c r="BF2234" s="440"/>
    </row>
    <row r="2235" spans="27:58">
      <c r="AB2235" s="436"/>
      <c r="AC2235" s="120"/>
      <c r="AD2235" s="466"/>
      <c r="AE2235" s="467"/>
      <c r="AF2235" s="440"/>
      <c r="BB2235" s="436"/>
      <c r="BC2235" s="120"/>
      <c r="BD2235" s="466"/>
      <c r="BE2235" s="467"/>
      <c r="BF2235" s="440"/>
    </row>
    <row r="2236" spans="27:58">
      <c r="AB2236" s="436"/>
      <c r="AC2236" s="120"/>
      <c r="AD2236" s="223"/>
      <c r="AE2236" s="467"/>
      <c r="AF2236" s="440"/>
      <c r="BB2236" s="436"/>
      <c r="BC2236" s="120"/>
      <c r="BD2236" s="223"/>
      <c r="BE2236" s="467"/>
      <c r="BF2236" s="440"/>
    </row>
    <row r="2237" spans="27:58">
      <c r="AB2237" s="436"/>
      <c r="AC2237" s="120"/>
      <c r="AD2237" s="223"/>
      <c r="AE2237" s="467"/>
      <c r="AF2237" s="440"/>
      <c r="BB2237" s="436"/>
      <c r="BC2237" s="120"/>
      <c r="BD2237" s="223"/>
      <c r="BE2237" s="467"/>
      <c r="BF2237" s="440"/>
    </row>
    <row r="2238" spans="27:58">
      <c r="AB2238" s="436"/>
      <c r="AC2238" s="120"/>
      <c r="AD2238" s="471"/>
      <c r="AE2238" s="467"/>
      <c r="AF2238" s="440"/>
      <c r="BB2238" s="436"/>
      <c r="BC2238" s="120"/>
      <c r="BD2238" s="471"/>
      <c r="BE2238" s="467"/>
      <c r="BF2238" s="440"/>
    </row>
    <row r="2239" spans="27:58">
      <c r="AB2239" s="436"/>
      <c r="AC2239" s="120"/>
      <c r="AD2239" s="223"/>
      <c r="AE2239" s="467"/>
      <c r="AF2239" s="440"/>
      <c r="BB2239" s="436"/>
      <c r="BC2239" s="120"/>
      <c r="BD2239" s="223"/>
      <c r="BE2239" s="467"/>
      <c r="BF2239" s="440"/>
    </row>
    <row r="2240" spans="27:58">
      <c r="AB2240" s="436"/>
      <c r="AC2240" s="120"/>
      <c r="AD2240" s="475"/>
      <c r="AE2240" s="467"/>
      <c r="AF2240" s="440"/>
      <c r="BB2240" s="436"/>
      <c r="BC2240" s="120"/>
      <c r="BD2240" s="475"/>
      <c r="BE2240" s="467"/>
      <c r="BF2240" s="440"/>
    </row>
    <row r="2241" spans="28:58">
      <c r="AB2241" s="436"/>
      <c r="AC2241" s="120"/>
      <c r="AD2241" s="223"/>
      <c r="AE2241" s="467"/>
      <c r="AF2241" s="440"/>
      <c r="BB2241" s="436"/>
      <c r="BC2241" s="120"/>
      <c r="BD2241" s="223"/>
      <c r="BE2241" s="467"/>
      <c r="BF2241" s="440"/>
    </row>
    <row r="2242" spans="28:58">
      <c r="AB2242" s="436"/>
      <c r="AC2242" s="120"/>
      <c r="AD2242" s="223"/>
      <c r="AE2242" s="467"/>
      <c r="AF2242" s="440"/>
      <c r="BB2242" s="436"/>
      <c r="BC2242" s="120"/>
      <c r="BD2242" s="223"/>
      <c r="BE2242" s="467"/>
      <c r="BF2242" s="440"/>
    </row>
    <row r="2243" spans="28:58">
      <c r="AB2243" s="436"/>
      <c r="AC2243" s="120"/>
      <c r="AD2243" s="223"/>
      <c r="AE2243" s="467"/>
      <c r="AF2243" s="440"/>
      <c r="BB2243" s="436"/>
      <c r="BC2243" s="120"/>
      <c r="BD2243" s="223"/>
      <c r="BE2243" s="467"/>
      <c r="BF2243" s="440"/>
    </row>
    <row r="2244" spans="28:58">
      <c r="AB2244" s="436"/>
      <c r="AC2244" s="120"/>
      <c r="AD2244" s="223"/>
      <c r="AE2244" s="467"/>
      <c r="AF2244" s="440"/>
      <c r="BB2244" s="436"/>
      <c r="BC2244" s="120"/>
      <c r="BD2244" s="223"/>
      <c r="BE2244" s="467"/>
      <c r="BF2244" s="440"/>
    </row>
    <row r="2245" spans="28:58">
      <c r="AB2245" s="436"/>
      <c r="AC2245" s="120"/>
      <c r="AD2245" s="120"/>
      <c r="AE2245" s="467"/>
      <c r="AF2245" s="440"/>
      <c r="BB2245" s="436"/>
      <c r="BC2245" s="120"/>
      <c r="BD2245" s="120"/>
      <c r="BE2245" s="467"/>
      <c r="BF2245" s="440"/>
    </row>
    <row r="2246" spans="28:58">
      <c r="AB2246" s="456"/>
      <c r="AC2246" s="457"/>
      <c r="AD2246" s="457"/>
      <c r="AE2246" s="477"/>
      <c r="AF2246" s="458"/>
      <c r="BB2246" s="456"/>
      <c r="BC2246" s="457"/>
      <c r="BD2246" s="457"/>
      <c r="BE2246" s="477"/>
      <c r="BF2246" s="458"/>
    </row>
    <row r="2247" spans="28:58">
      <c r="AB2247" s="449" t="s">
        <v>474</v>
      </c>
      <c r="AC2247" s="120"/>
      <c r="AD2247" s="120" t="s">
        <v>1</v>
      </c>
      <c r="AE2247" s="310" t="s">
        <v>307</v>
      </c>
      <c r="AF2247" s="440"/>
      <c r="BB2247" s="449" t="s">
        <v>474</v>
      </c>
      <c r="BC2247" s="120"/>
      <c r="BD2247" s="120" t="s">
        <v>1</v>
      </c>
      <c r="BE2247" s="310" t="s">
        <v>307</v>
      </c>
      <c r="BF2247" s="440"/>
    </row>
    <row r="2248" spans="28:58">
      <c r="AB2248" s="436"/>
      <c r="AC2248" s="223"/>
      <c r="AD2248" s="480"/>
      <c r="AE2248" s="484"/>
      <c r="AF2248" s="440"/>
      <c r="BB2248" s="436"/>
      <c r="BC2248" s="223"/>
      <c r="BD2248" s="480"/>
      <c r="BE2248" s="484"/>
      <c r="BF2248" s="440"/>
    </row>
    <row r="2249" spans="28:58">
      <c r="AB2249" s="436"/>
      <c r="AC2249" s="120"/>
      <c r="AD2249" s="120"/>
      <c r="AE2249" s="467"/>
      <c r="AF2249" s="440"/>
      <c r="BB2249" s="436"/>
      <c r="BC2249" s="120"/>
      <c r="BD2249" s="120"/>
      <c r="BE2249" s="467"/>
      <c r="BF2249" s="440"/>
    </row>
    <row r="2250" spans="28:58">
      <c r="AB2250" s="436"/>
      <c r="AC2250" s="120"/>
      <c r="AD2250" s="120"/>
      <c r="AE2250" s="467"/>
      <c r="AF2250" s="440"/>
      <c r="BB2250" s="436"/>
      <c r="BC2250" s="120"/>
      <c r="BD2250" s="120"/>
      <c r="BE2250" s="467"/>
      <c r="BF2250" s="440"/>
    </row>
    <row r="2251" spans="28:58">
      <c r="AB2251" s="436"/>
      <c r="AC2251" s="120"/>
      <c r="AD2251" s="120"/>
      <c r="AE2251" s="467"/>
      <c r="AF2251" s="440"/>
      <c r="BB2251" s="436"/>
      <c r="BC2251" s="120"/>
      <c r="BD2251" s="120"/>
      <c r="BE2251" s="467"/>
      <c r="BF2251" s="440"/>
    </row>
    <row r="2252" spans="28:58">
      <c r="AB2252" s="436"/>
      <c r="AC2252" s="120"/>
      <c r="AD2252" s="120"/>
      <c r="AE2252" s="467"/>
      <c r="AF2252" s="440"/>
      <c r="BB2252" s="436"/>
      <c r="BC2252" s="120"/>
      <c r="BD2252" s="120"/>
      <c r="BE2252" s="467"/>
      <c r="BF2252" s="440"/>
    </row>
    <row r="2253" spans="28:58">
      <c r="AB2253" s="436"/>
      <c r="AC2253" s="120"/>
      <c r="AD2253" s="120"/>
      <c r="AE2253" s="467"/>
      <c r="AF2253" s="440"/>
      <c r="BB2253" s="436"/>
      <c r="BC2253" s="120"/>
      <c r="BD2253" s="120"/>
      <c r="BE2253" s="467"/>
      <c r="BF2253" s="440"/>
    </row>
    <row r="2254" spans="28:58">
      <c r="AB2254" s="436"/>
      <c r="AC2254" s="120"/>
      <c r="AD2254" s="120"/>
      <c r="AE2254" s="467"/>
      <c r="AF2254" s="440"/>
      <c r="BB2254" s="436"/>
      <c r="BC2254" s="120"/>
      <c r="BD2254" s="120"/>
      <c r="BE2254" s="467"/>
      <c r="BF2254" s="440"/>
    </row>
    <row r="2255" spans="28:58">
      <c r="AB2255" s="436"/>
      <c r="AC2255" s="120"/>
      <c r="AD2255" s="120"/>
      <c r="AE2255" s="467"/>
      <c r="AF2255" s="440"/>
      <c r="BB2255" s="436"/>
      <c r="BC2255" s="120"/>
      <c r="BD2255" s="120"/>
      <c r="BE2255" s="467"/>
      <c r="BF2255" s="440"/>
    </row>
    <row r="2256" spans="28:58">
      <c r="AB2256" s="436"/>
      <c r="AC2256" s="120"/>
      <c r="AD2256" s="120"/>
      <c r="AE2256" s="467"/>
      <c r="AF2256" s="440"/>
      <c r="BB2256" s="436"/>
      <c r="BC2256" s="120"/>
      <c r="BD2256" s="120"/>
      <c r="BE2256" s="467"/>
      <c r="BF2256" s="440"/>
    </row>
    <row r="2257" spans="28:58">
      <c r="AB2257" s="436"/>
      <c r="AC2257" s="120"/>
      <c r="AD2257" s="120"/>
      <c r="AE2257" s="467"/>
      <c r="AF2257" s="440"/>
      <c r="BB2257" s="436"/>
      <c r="BC2257" s="120"/>
      <c r="BD2257" s="120"/>
      <c r="BE2257" s="467"/>
      <c r="BF2257" s="440"/>
    </row>
    <row r="2258" spans="28:58">
      <c r="AB2258" s="436"/>
      <c r="AC2258" s="120"/>
      <c r="AD2258" s="120"/>
      <c r="AE2258" s="467"/>
      <c r="AF2258" s="440"/>
      <c r="BB2258" s="436"/>
      <c r="BC2258" s="120"/>
      <c r="BD2258" s="120"/>
      <c r="BE2258" s="467"/>
      <c r="BF2258" s="440"/>
    </row>
    <row r="2259" spans="28:58">
      <c r="AB2259" s="436"/>
      <c r="AC2259" s="120"/>
      <c r="AD2259" s="120"/>
      <c r="AE2259" s="467"/>
      <c r="AF2259" s="440"/>
      <c r="BB2259" s="436"/>
      <c r="BC2259" s="120"/>
      <c r="BD2259" s="120"/>
      <c r="BE2259" s="467"/>
      <c r="BF2259" s="440"/>
    </row>
    <row r="2260" spans="28:58">
      <c r="AB2260" s="456"/>
      <c r="AC2260" s="457"/>
      <c r="AD2260" s="457"/>
      <c r="AE2260" s="477"/>
      <c r="AF2260" s="458"/>
      <c r="BB2260" s="456"/>
      <c r="BC2260" s="457"/>
      <c r="BD2260" s="457"/>
      <c r="BE2260" s="477"/>
      <c r="BF2260" s="458"/>
    </row>
    <row r="2261" spans="28:58">
      <c r="AB2261" s="456"/>
      <c r="AC2261" s="457"/>
      <c r="AD2261" s="457"/>
      <c r="AE2261" s="457"/>
      <c r="AF2261" s="458"/>
      <c r="BB2261" s="456"/>
      <c r="BC2261" s="457"/>
      <c r="BD2261" s="457"/>
      <c r="BE2261" s="457"/>
      <c r="BF2261" s="458"/>
    </row>
    <row r="2262" spans="28:58">
      <c r="AB2262" s="449" t="s">
        <v>475</v>
      </c>
      <c r="AC2262" s="120"/>
      <c r="AD2262" s="120"/>
      <c r="AE2262" s="120"/>
      <c r="AF2262" s="440"/>
      <c r="BB2262" s="449" t="s">
        <v>475</v>
      </c>
      <c r="BC2262" s="120"/>
      <c r="BD2262" s="120"/>
      <c r="BE2262" s="120"/>
      <c r="BF2262" s="440"/>
    </row>
    <row r="2263" spans="28:58">
      <c r="AB2263" s="436" t="s">
        <v>509</v>
      </c>
      <c r="AC2263" s="120"/>
      <c r="AD2263" s="120"/>
      <c r="AE2263" s="120"/>
      <c r="AF2263" s="440"/>
      <c r="BB2263" s="436" t="s">
        <v>509</v>
      </c>
      <c r="BC2263" s="120"/>
      <c r="BD2263" s="120"/>
      <c r="BE2263" s="120"/>
      <c r="BF2263" s="440"/>
    </row>
    <row r="2264" spans="28:58">
      <c r="AB2264" s="436" t="s">
        <v>510</v>
      </c>
      <c r="AC2264" s="120"/>
      <c r="AD2264" s="120"/>
      <c r="AE2264" s="120"/>
      <c r="AF2264" s="440"/>
      <c r="BB2264" s="436" t="s">
        <v>510</v>
      </c>
      <c r="BC2264" s="120"/>
      <c r="BD2264" s="120"/>
      <c r="BE2264" s="120"/>
      <c r="BF2264" s="440"/>
    </row>
    <row r="2265" spans="28:58">
      <c r="AB2265" s="436"/>
      <c r="AC2265" s="120"/>
      <c r="AD2265" s="120"/>
      <c r="AE2265" s="120"/>
      <c r="AF2265" s="440"/>
      <c r="BB2265" s="436"/>
      <c r="BC2265" s="120"/>
      <c r="BD2265" s="120"/>
      <c r="BE2265" s="120"/>
      <c r="BF2265" s="440"/>
    </row>
    <row r="2266" spans="28:58">
      <c r="AB2266" s="436"/>
      <c r="AC2266" s="120"/>
      <c r="AD2266" s="120"/>
      <c r="AE2266" s="120"/>
      <c r="AF2266" s="440"/>
      <c r="BB2266" s="436"/>
      <c r="BC2266" s="120"/>
      <c r="BD2266" s="120"/>
      <c r="BE2266" s="120"/>
      <c r="BF2266" s="440"/>
    </row>
    <row r="2267" spans="28:58">
      <c r="AB2267" s="436"/>
      <c r="AC2267" s="120"/>
      <c r="AD2267" s="120"/>
      <c r="AE2267" s="120"/>
      <c r="AF2267" s="440"/>
      <c r="BB2267" s="436"/>
      <c r="BC2267" s="120"/>
      <c r="BD2267" s="120"/>
      <c r="BE2267" s="120"/>
      <c r="BF2267" s="440"/>
    </row>
    <row r="2268" spans="28:58">
      <c r="AB2268" s="436"/>
      <c r="AC2268" s="120"/>
      <c r="AD2268" s="120"/>
      <c r="AE2268" s="120"/>
      <c r="AF2268" s="440"/>
      <c r="BB2268" s="436"/>
      <c r="BC2268" s="120"/>
      <c r="BD2268" s="120"/>
      <c r="BE2268" s="120"/>
      <c r="BF2268" s="440"/>
    </row>
    <row r="2269" spans="28:58">
      <c r="AB2269" s="436" t="s">
        <v>511</v>
      </c>
      <c r="AC2269" s="120">
        <v>0</v>
      </c>
      <c r="AD2269" s="120" t="s">
        <v>512</v>
      </c>
      <c r="AE2269" s="120"/>
      <c r="AF2269" s="440"/>
      <c r="BB2269" s="436" t="s">
        <v>511</v>
      </c>
      <c r="BC2269" s="120">
        <v>0</v>
      </c>
      <c r="BD2269" s="120" t="s">
        <v>512</v>
      </c>
      <c r="BE2269" s="120"/>
      <c r="BF2269" s="440"/>
    </row>
    <row r="2270" spans="28:58">
      <c r="AB2270" s="436" t="s">
        <v>513</v>
      </c>
      <c r="AC2270" s="120">
        <v>0</v>
      </c>
      <c r="AD2270" s="120" t="s">
        <v>512</v>
      </c>
      <c r="AE2270" s="120"/>
      <c r="AF2270" s="440"/>
      <c r="BB2270" s="436" t="s">
        <v>513</v>
      </c>
      <c r="BC2270" s="120">
        <v>0</v>
      </c>
      <c r="BD2270" s="120" t="s">
        <v>512</v>
      </c>
      <c r="BE2270" s="120"/>
      <c r="BF2270" s="440"/>
    </row>
    <row r="2271" spans="28:58">
      <c r="AB2271" s="456"/>
      <c r="AC2271" s="457"/>
      <c r="AD2271" s="457"/>
      <c r="AE2271" s="457"/>
      <c r="AF2271" s="458"/>
      <c r="BB2271" s="456"/>
      <c r="BC2271" s="457"/>
      <c r="BD2271" s="457"/>
      <c r="BE2271" s="457"/>
      <c r="BF2271" s="458"/>
    </row>
    <row r="2272" spans="28:58">
      <c r="AB2272" s="449" t="s">
        <v>461</v>
      </c>
      <c r="AC2272" s="120"/>
      <c r="AD2272" s="120"/>
      <c r="AE2272" s="120"/>
      <c r="AF2272" s="440"/>
      <c r="BB2272" s="449" t="s">
        <v>461</v>
      </c>
      <c r="BC2272" s="120"/>
      <c r="BD2272" s="120"/>
      <c r="BE2272" s="120"/>
      <c r="BF2272" s="440"/>
    </row>
    <row r="2273" spans="28:58">
      <c r="AB2273" s="436" t="s">
        <v>514</v>
      </c>
      <c r="AC2273" s="120">
        <f>VLOOKUP(AB2201,'Unit Ops'!$B$140:$K$209,10,FALSE)</f>
        <v>0</v>
      </c>
      <c r="AD2273" s="120" t="s">
        <v>515</v>
      </c>
      <c r="AE2273" s="120"/>
      <c r="AF2273" s="440"/>
      <c r="BB2273" s="436" t="s">
        <v>514</v>
      </c>
      <c r="BC2273" s="120">
        <f>VLOOKUP(BB2201,'Unit Ops'!$B$140:$K$209,10,FALSE)</f>
        <v>0</v>
      </c>
      <c r="BD2273" s="120" t="s">
        <v>515</v>
      </c>
      <c r="BE2273" s="120"/>
      <c r="BF2273" s="440"/>
    </row>
    <row r="2274" spans="28:58">
      <c r="AB2274" s="436" t="s">
        <v>516</v>
      </c>
      <c r="AC2274" s="120">
        <v>0</v>
      </c>
      <c r="AD2274" s="120" t="s">
        <v>515</v>
      </c>
      <c r="AE2274" s="120"/>
      <c r="AF2274" s="440"/>
      <c r="BB2274" s="436" t="s">
        <v>516</v>
      </c>
      <c r="BC2274" s="120">
        <v>0</v>
      </c>
      <c r="BD2274" s="120" t="s">
        <v>515</v>
      </c>
      <c r="BE2274" s="120"/>
      <c r="BF2274" s="440"/>
    </row>
    <row r="2275" spans="28:58">
      <c r="AB2275" s="436"/>
      <c r="AC2275" s="120"/>
      <c r="AD2275" s="120"/>
      <c r="AE2275" s="120"/>
      <c r="AF2275" s="440"/>
      <c r="BB2275" s="436"/>
      <c r="BC2275" s="120"/>
      <c r="BD2275" s="120"/>
      <c r="BE2275" s="120"/>
      <c r="BF2275" s="440"/>
    </row>
    <row r="2276" spans="28:58">
      <c r="AB2276" s="436"/>
      <c r="AC2276" s="120"/>
      <c r="AD2276" s="120"/>
      <c r="AE2276" s="120"/>
      <c r="AF2276" s="440"/>
      <c r="BB2276" s="436"/>
      <c r="BC2276" s="120"/>
      <c r="BD2276" s="120"/>
      <c r="BE2276" s="120"/>
      <c r="BF2276" s="440"/>
    </row>
    <row r="2277" spans="28:58">
      <c r="AB2277" s="436"/>
      <c r="AC2277" s="120"/>
      <c r="AD2277" s="120"/>
      <c r="AE2277" s="120"/>
      <c r="AF2277" s="440"/>
      <c r="BB2277" s="436"/>
      <c r="BC2277" s="120"/>
      <c r="BD2277" s="120"/>
      <c r="BE2277" s="120"/>
      <c r="BF2277" s="440"/>
    </row>
    <row r="2278" spans="28:58">
      <c r="AB2278" s="436"/>
      <c r="AC2278" s="120"/>
      <c r="AD2278" s="120"/>
      <c r="AE2278" s="120"/>
      <c r="AF2278" s="440"/>
      <c r="BB2278" s="436"/>
      <c r="BC2278" s="120"/>
      <c r="BD2278" s="120"/>
      <c r="BE2278" s="120"/>
      <c r="BF2278" s="440"/>
    </row>
    <row r="2279" spans="28:58">
      <c r="AB2279" s="436"/>
      <c r="AC2279" s="120"/>
      <c r="AD2279" s="120"/>
      <c r="AE2279" s="120"/>
      <c r="AF2279" s="440"/>
      <c r="BB2279" s="436"/>
      <c r="BC2279" s="120"/>
      <c r="BD2279" s="120"/>
      <c r="BE2279" s="120"/>
      <c r="BF2279" s="440"/>
    </row>
    <row r="2280" spans="28:58">
      <c r="AB2280" s="436" t="s">
        <v>464</v>
      </c>
      <c r="AC2280" s="120"/>
      <c r="AD2280" s="120"/>
      <c r="AE2280" s="120"/>
      <c r="AF2280" s="440"/>
      <c r="BB2280" s="436" t="s">
        <v>464</v>
      </c>
      <c r="BC2280" s="120"/>
      <c r="BD2280" s="120"/>
      <c r="BE2280" s="120"/>
      <c r="BF2280" s="440"/>
    </row>
    <row r="2281" spans="28:58">
      <c r="AB2281" s="456"/>
      <c r="AC2281" s="457"/>
      <c r="AD2281" s="457"/>
      <c r="AE2281" s="457"/>
      <c r="AF2281" s="458"/>
      <c r="BB2281" s="456"/>
      <c r="BC2281" s="457"/>
      <c r="BD2281" s="457"/>
      <c r="BE2281" s="457"/>
      <c r="BF2281" s="458"/>
    </row>
    <row r="2282" spans="28:58">
      <c r="AB2282" s="449" t="s">
        <v>472</v>
      </c>
      <c r="AC2282" s="467" t="s">
        <v>517</v>
      </c>
      <c r="AD2282" s="120" t="s">
        <v>518</v>
      </c>
      <c r="AE2282" s="467" t="s">
        <v>519</v>
      </c>
      <c r="AF2282" s="440" t="s">
        <v>518</v>
      </c>
      <c r="BB2282" s="449" t="s">
        <v>472</v>
      </c>
      <c r="BC2282" s="467" t="s">
        <v>517</v>
      </c>
      <c r="BD2282" s="120" t="s">
        <v>518</v>
      </c>
      <c r="BE2282" s="467" t="s">
        <v>519</v>
      </c>
      <c r="BF2282" s="440" t="s">
        <v>518</v>
      </c>
    </row>
    <row r="2283" spans="28:58">
      <c r="AB2283" s="436" t="s">
        <v>520</v>
      </c>
      <c r="AC2283" s="120"/>
      <c r="AD2283" s="120"/>
      <c r="AE2283" s="472">
        <f>((VLOOKUP(AB2201,'Unit Ops'!$B$140:$J$209,3,FALSE)*AC2203^VLOOKUP(AB2201,'Unit Ops'!$B$140:$J$209,4,FALSE)+VLOOKUP(AB2201,'Unit Ops'!$B$140:$J$209,5,FALSE))*VLOOKUP(AB2201,'Unit Ops'!$B$140:$J$209,6,FALSE))*IF(VLOOKUP(AB2201,'Unit Ops'!$B$140:$L$209,11,FALSE)=1,1,2)</f>
        <v>0</v>
      </c>
      <c r="AF2283" s="490">
        <f>'CM Rec Par.'!$C$7</f>
        <v>2022</v>
      </c>
      <c r="BB2283" s="436" t="s">
        <v>520</v>
      </c>
      <c r="BC2283" s="120"/>
      <c r="BD2283" s="120"/>
      <c r="BE2283" s="472">
        <f>((VLOOKUP(BB2201,'Unit Ops'!$B$140:$J$209,3,FALSE)*BC2203^VLOOKUP(BB2201,'Unit Ops'!$B$140:$J$209,4,FALSE)+VLOOKUP(BB2201,'Unit Ops'!$B$140:$J$209,5,FALSE))*VLOOKUP(BB2201,'Unit Ops'!$B$140:$J$209,6,FALSE))*IF(VLOOKUP(BB2201,'Unit Ops'!$B$140:$L$209,11,FALSE)=1,1,2)</f>
        <v>0</v>
      </c>
      <c r="BF2283" s="490">
        <f>'CM Rec Par.'!$C$7</f>
        <v>2022</v>
      </c>
    </row>
    <row r="2284" spans="28:58">
      <c r="AB2284" s="436"/>
      <c r="AC2284" s="120"/>
      <c r="AD2284" s="120"/>
      <c r="AE2284" s="120"/>
      <c r="AF2284" s="440"/>
      <c r="BB2284" s="436"/>
      <c r="BC2284" s="120"/>
      <c r="BD2284" s="120"/>
      <c r="BE2284" s="120"/>
      <c r="BF2284" s="440"/>
    </row>
    <row r="2285" spans="28:58">
      <c r="AB2285" s="436"/>
      <c r="AC2285" s="120"/>
      <c r="AD2285" s="120"/>
      <c r="AE2285" s="120"/>
      <c r="AF2285" s="440"/>
      <c r="BB2285" s="436"/>
      <c r="BC2285" s="120"/>
      <c r="BD2285" s="120"/>
      <c r="BE2285" s="120"/>
      <c r="BF2285" s="440"/>
    </row>
    <row r="2286" spans="28:58">
      <c r="AB2286" s="436"/>
      <c r="AC2286" s="120"/>
      <c r="AD2286" s="120"/>
      <c r="AE2286" s="120"/>
      <c r="AF2286" s="440"/>
      <c r="BB2286" s="436"/>
      <c r="BC2286" s="120"/>
      <c r="BD2286" s="120"/>
      <c r="BE2286" s="120"/>
      <c r="BF2286" s="440"/>
    </row>
    <row r="2287" spans="28:58">
      <c r="AB2287" s="436"/>
      <c r="AC2287" s="120"/>
      <c r="AD2287" s="120"/>
      <c r="AE2287" s="120"/>
      <c r="AF2287" s="440"/>
      <c r="BB2287" s="436"/>
      <c r="BC2287" s="120"/>
      <c r="BD2287" s="120"/>
      <c r="BE2287" s="120"/>
      <c r="BF2287" s="440"/>
    </row>
    <row r="2288" spans="28:58">
      <c r="AB2288" s="436"/>
      <c r="AC2288" s="120"/>
      <c r="AD2288" s="120"/>
      <c r="AE2288" s="120"/>
      <c r="AF2288" s="440"/>
      <c r="BB2288" s="436"/>
      <c r="BC2288" s="120"/>
      <c r="BD2288" s="120"/>
      <c r="BE2288" s="120"/>
      <c r="BF2288" s="440"/>
    </row>
    <row r="2289" spans="27:58">
      <c r="AB2289" s="436"/>
      <c r="AC2289" s="120"/>
      <c r="AD2289" s="120"/>
      <c r="AE2289" s="120"/>
      <c r="AF2289" s="440"/>
      <c r="BB2289" s="436"/>
      <c r="BC2289" s="120"/>
      <c r="BD2289" s="120"/>
      <c r="BE2289" s="120"/>
      <c r="BF2289" s="440"/>
    </row>
    <row r="2290" spans="27:58">
      <c r="AB2290" s="436"/>
      <c r="AC2290" s="120"/>
      <c r="AD2290" s="120"/>
      <c r="AE2290" s="120"/>
      <c r="AF2290" s="440"/>
      <c r="BB2290" s="436"/>
      <c r="BC2290" s="120"/>
      <c r="BD2290" s="120"/>
      <c r="BE2290" s="120"/>
      <c r="BF2290" s="440"/>
    </row>
    <row r="2291" spans="27:58">
      <c r="AB2291" s="436"/>
      <c r="AC2291" s="120"/>
      <c r="AD2291" s="120"/>
      <c r="AE2291" s="120"/>
      <c r="AF2291" s="440"/>
      <c r="BB2291" s="436"/>
      <c r="BC2291" s="120"/>
      <c r="BD2291" s="120"/>
      <c r="BE2291" s="120"/>
      <c r="BF2291" s="440"/>
    </row>
    <row r="2292" spans="27:58">
      <c r="AB2292" s="436"/>
      <c r="AC2292" s="120"/>
      <c r="AD2292" s="120"/>
      <c r="AE2292" s="120"/>
      <c r="AF2292" s="440"/>
      <c r="BB2292" s="436"/>
      <c r="BC2292" s="120"/>
      <c r="BD2292" s="120"/>
      <c r="BE2292" s="120"/>
      <c r="BF2292" s="440"/>
    </row>
    <row r="2293" spans="27:58">
      <c r="AB2293" s="436"/>
      <c r="AC2293" s="120"/>
      <c r="AD2293" s="120"/>
      <c r="AE2293" s="120"/>
      <c r="AF2293" s="440"/>
      <c r="BB2293" s="436"/>
      <c r="BC2293" s="120"/>
      <c r="BD2293" s="120"/>
      <c r="BE2293" s="120"/>
      <c r="BF2293" s="440"/>
    </row>
    <row r="2294" spans="27:58">
      <c r="AB2294" s="436"/>
      <c r="AC2294" s="120"/>
      <c r="AD2294" s="120"/>
      <c r="AE2294" s="120"/>
      <c r="AF2294" s="440"/>
      <c r="BB2294" s="436"/>
      <c r="BC2294" s="120"/>
      <c r="BD2294" s="120"/>
      <c r="BE2294" s="120"/>
      <c r="BF2294" s="440"/>
    </row>
    <row r="2295" spans="27:58">
      <c r="AB2295" s="436"/>
      <c r="AC2295" s="120"/>
      <c r="AD2295" s="120"/>
      <c r="AE2295" s="120"/>
      <c r="AF2295" s="440"/>
      <c r="BB2295" s="436"/>
      <c r="BC2295" s="120"/>
      <c r="BD2295" s="120"/>
      <c r="BE2295" s="120"/>
      <c r="BF2295" s="440"/>
    </row>
    <row r="2296" spans="27:58">
      <c r="AB2296" s="436"/>
      <c r="AC2296" s="120"/>
      <c r="AD2296" s="120"/>
      <c r="AE2296" s="120"/>
      <c r="AF2296" s="440"/>
      <c r="BB2296" s="436"/>
      <c r="BC2296" s="120"/>
      <c r="BD2296" s="120"/>
      <c r="BE2296" s="120"/>
      <c r="BF2296" s="440"/>
    </row>
    <row r="2297" spans="27:58" ht="14.5" thickBot="1">
      <c r="AB2297" s="492"/>
      <c r="AC2297" s="493"/>
      <c r="AD2297" s="493"/>
      <c r="AE2297" s="493"/>
      <c r="AF2297" s="453"/>
      <c r="BB2297" s="492"/>
      <c r="BC2297" s="493"/>
      <c r="BD2297" s="493"/>
      <c r="BE2297" s="493"/>
      <c r="BF2297" s="453"/>
    </row>
    <row r="2300" spans="27:58" ht="14.5" thickBot="1"/>
    <row r="2301" spans="27:58">
      <c r="AA2301" s="114" t="s">
        <v>478</v>
      </c>
      <c r="AB2301" s="431" t="str">
        <f>AB62</f>
        <v>Select Equipment</v>
      </c>
      <c r="AC2301" s="432"/>
      <c r="AD2301" s="433"/>
      <c r="AE2301" s="434"/>
      <c r="AF2301" s="435"/>
      <c r="BB2301" s="431" t="str">
        <f>BB63</f>
        <v>Select Equipment</v>
      </c>
      <c r="BC2301" s="432"/>
      <c r="BD2301" s="433"/>
      <c r="BE2301" s="434"/>
      <c r="BF2301" s="435"/>
    </row>
    <row r="2302" spans="27:58">
      <c r="AA2302" s="114" t="s">
        <v>5</v>
      </c>
      <c r="AB2302" s="436" t="s">
        <v>1</v>
      </c>
      <c r="AC2302" s="437">
        <f>AC$14/AC$11/AC$10*VLOOKUP(AB2301,'Unit Ops'!$B$140:$J$209,2,FALSE)</f>
        <v>0</v>
      </c>
      <c r="AD2302" s="438" t="s">
        <v>586</v>
      </c>
      <c r="AE2302" s="1027">
        <f>AC2302*AC$306*AC$307</f>
        <v>0</v>
      </c>
      <c r="AF2302" s="439" t="s">
        <v>585</v>
      </c>
      <c r="BA2302" s="114" t="s">
        <v>478</v>
      </c>
      <c r="BB2302" s="436" t="s">
        <v>1</v>
      </c>
      <c r="BC2302" s="437">
        <f>BC$15/BC$11/BC$12*VLOOKUP(BB2301,'Unit Ops'!$B$140:$J$209,2,FALSE)</f>
        <v>0</v>
      </c>
      <c r="BD2302" s="438" t="s">
        <v>586</v>
      </c>
      <c r="BE2302" s="1027">
        <f>BC2302*BC$306*BC$307</f>
        <v>0</v>
      </c>
      <c r="BF2302" s="439" t="s">
        <v>585</v>
      </c>
    </row>
    <row r="2303" spans="27:58">
      <c r="AA2303" s="114" t="str">
        <f>$AB$44</f>
        <v>Hopper</v>
      </c>
      <c r="AB2303" s="436" t="s">
        <v>505</v>
      </c>
      <c r="AC2303" s="437">
        <f>ROUNDUP(AC2302*IF(VLOOKUP(AB2301,'Unit Ops'!$B$140:$L$209,11,FALSE)=1,1.5,0.75),1)</f>
        <v>0</v>
      </c>
      <c r="AD2303" s="438" t="s">
        <v>586</v>
      </c>
      <c r="AE2303" s="120">
        <f>AC2303*AC$306*AC$307</f>
        <v>0</v>
      </c>
      <c r="AF2303" s="439" t="s">
        <v>585</v>
      </c>
      <c r="BA2303" s="114" t="s">
        <v>5</v>
      </c>
      <c r="BB2303" s="436" t="s">
        <v>505</v>
      </c>
      <c r="BC2303" s="437">
        <f>ROUNDUP(BC2302*IF(VLOOKUP(BB2301,'Unit Ops'!$B$140:$L$209,11,FALSE)=1,1.5,0.75),1)</f>
        <v>0</v>
      </c>
      <c r="BD2303" s="438" t="s">
        <v>586</v>
      </c>
      <c r="BE2303" s="120">
        <f>BC2303*BC$306*BC$307</f>
        <v>0</v>
      </c>
      <c r="BF2303" s="439" t="s">
        <v>585</v>
      </c>
    </row>
    <row r="2304" spans="27:58">
      <c r="AA2304" s="114" t="str">
        <f>$AB$45</f>
        <v>Conveyor</v>
      </c>
      <c r="AB2304" s="441" t="s">
        <v>521</v>
      </c>
      <c r="AC2304" s="442" t="e">
        <f>AC2302/AC2303</f>
        <v>#DIV/0!</v>
      </c>
      <c r="AD2304" s="438"/>
      <c r="AE2304" s="443"/>
      <c r="AF2304" s="440"/>
      <c r="BA2304" s="114" t="str">
        <f>$BB$45</f>
        <v>Select Equipment</v>
      </c>
      <c r="BB2304" s="441" t="s">
        <v>521</v>
      </c>
      <c r="BC2304" s="442" t="e">
        <f>BC2302/BC2303</f>
        <v>#DIV/0!</v>
      </c>
      <c r="BD2304" s="438"/>
      <c r="BE2304" s="443"/>
      <c r="BF2304" s="440"/>
    </row>
    <row r="2305" spans="27:58">
      <c r="AA2305" s="114" t="str">
        <f>$AB$46</f>
        <v>Crusher</v>
      </c>
      <c r="AB2305" s="441" t="s">
        <v>506</v>
      </c>
      <c r="AC2305" s="445"/>
      <c r="AD2305" s="438" t="s">
        <v>454</v>
      </c>
      <c r="AE2305" s="443"/>
      <c r="AF2305" s="440"/>
      <c r="BA2305" s="114" t="str">
        <f>$BB$46</f>
        <v>Select Equipment</v>
      </c>
      <c r="BB2305" s="441" t="s">
        <v>506</v>
      </c>
      <c r="BC2305" s="445"/>
      <c r="BD2305" s="438" t="s">
        <v>454</v>
      </c>
      <c r="BE2305" s="443"/>
      <c r="BF2305" s="440"/>
    </row>
    <row r="2306" spans="27:58">
      <c r="AA2306" s="114" t="str">
        <f>$AB$47</f>
        <v>Screen, vibrating</v>
      </c>
      <c r="AB2306" s="436" t="s">
        <v>507</v>
      </c>
      <c r="AC2306" s="225" t="e">
        <f>(VLOOKUP(AB2301,'Unit Ops'!$B$140:$J$209,7,FALSE)*AC2303^VLOOKUP(AB2301,'Unit Ops'!$B$140:$J$209,8,FALSE)+VLOOKUP(AB2301,'Unit Ops'!$B$140:$J$209,9,FALSE))*IF(VLOOKUP(AB2301,'Unit Ops'!$B$140:$L$209,11,FALSE)=1,1,2)</f>
        <v>#NUM!</v>
      </c>
      <c r="AD2306" s="446" t="s">
        <v>454</v>
      </c>
      <c r="AE2306" s="443"/>
      <c r="AF2306" s="440"/>
      <c r="BA2306" s="114" t="str">
        <f>$BB$47</f>
        <v>Select Equipment</v>
      </c>
      <c r="BB2306" s="436" t="s">
        <v>507</v>
      </c>
      <c r="BC2306" s="225" t="e">
        <f>(VLOOKUP(BB2301,'Unit Ops'!$B$140:$J$209,7,FALSE)*BC2303^VLOOKUP(BB2301,'Unit Ops'!$B$140:$J$209,8,FALSE)+VLOOKUP(BB2301,'Unit Ops'!$B$140:$J$209,9,FALSE))*IF(VLOOKUP(BB2301,'Unit Ops'!$B$140:$L$209,11,FALSE)=1,1,2)</f>
        <v>#NUM!</v>
      </c>
      <c r="BD2306" s="446" t="s">
        <v>454</v>
      </c>
      <c r="BE2306" s="443"/>
      <c r="BF2306" s="440"/>
    </row>
    <row r="2307" spans="27:58">
      <c r="AA2307" s="114" t="str">
        <f>$AB$48</f>
        <v>Conveyor</v>
      </c>
      <c r="AB2307" s="441"/>
      <c r="AC2307" s="445"/>
      <c r="AD2307" s="447"/>
      <c r="AE2307" s="443"/>
      <c r="AF2307" s="440"/>
      <c r="BA2307" s="114" t="str">
        <f>$BB$48</f>
        <v>Select Equipment</v>
      </c>
      <c r="BB2307" s="441"/>
      <c r="BC2307" s="445"/>
      <c r="BD2307" s="447"/>
      <c r="BE2307" s="443"/>
      <c r="BF2307" s="440"/>
    </row>
    <row r="2308" spans="27:58">
      <c r="AA2308" s="114" t="str">
        <f>$AB$49</f>
        <v>Heat treatment furnace</v>
      </c>
      <c r="AB2308" s="441"/>
      <c r="AC2308" s="445"/>
      <c r="AD2308" s="447"/>
      <c r="AE2308" s="443"/>
      <c r="AF2308" s="440"/>
      <c r="BA2308" s="114" t="str">
        <f>$BB$49</f>
        <v>Select Equipment</v>
      </c>
      <c r="BB2308" s="441"/>
      <c r="BC2308" s="445"/>
      <c r="BD2308" s="447"/>
      <c r="BE2308" s="443"/>
      <c r="BF2308" s="440"/>
    </row>
    <row r="2309" spans="27:58">
      <c r="AA2309" s="114" t="str">
        <f>$AB$50</f>
        <v>Cyclone</v>
      </c>
      <c r="AB2309" s="449"/>
      <c r="AC2309" s="445"/>
      <c r="AD2309" s="447"/>
      <c r="AE2309" s="443"/>
      <c r="AF2309" s="440"/>
      <c r="BA2309" s="114" t="str">
        <f>$BB$50</f>
        <v>Select Equipment</v>
      </c>
      <c r="BB2309" s="449"/>
      <c r="BC2309" s="445"/>
      <c r="BD2309" s="447"/>
      <c r="BE2309" s="443"/>
      <c r="BF2309" s="440"/>
    </row>
    <row r="2310" spans="27:58" ht="14.5" thickBot="1">
      <c r="AA2310" s="114" t="str">
        <f>$AB$51</f>
        <v>Conveyor</v>
      </c>
      <c r="AB2310" s="450"/>
      <c r="AC2310" s="451"/>
      <c r="AD2310" s="451"/>
      <c r="AE2310" s="452"/>
      <c r="AF2310" s="453"/>
      <c r="BA2310" s="114" t="str">
        <f>$BB$51</f>
        <v>Select Equipment</v>
      </c>
      <c r="BB2310" s="450"/>
      <c r="BC2310" s="451"/>
      <c r="BD2310" s="451"/>
      <c r="BE2310" s="452"/>
      <c r="BF2310" s="453"/>
    </row>
    <row r="2311" spans="27:58">
      <c r="AA2311" s="114" t="str">
        <f>$AB$52</f>
        <v>Eddy current separator</v>
      </c>
      <c r="AB2311" s="449" t="s">
        <v>470</v>
      </c>
      <c r="AC2311" s="120"/>
      <c r="AD2311" s="454"/>
      <c r="AE2311" s="120"/>
      <c r="AF2311" s="440"/>
      <c r="BA2311" s="114" t="str">
        <f>$BB$52</f>
        <v>Select Equipment</v>
      </c>
      <c r="BB2311" s="449" t="s">
        <v>470</v>
      </c>
      <c r="BC2311" s="120"/>
      <c r="BD2311" s="454"/>
      <c r="BE2311" s="120"/>
      <c r="BF2311" s="440"/>
    </row>
    <row r="2312" spans="27:58" ht="14.5" customHeight="1">
      <c r="AA2312" s="114" t="str">
        <f>$AB$53</f>
        <v>Conveyor</v>
      </c>
      <c r="AB2312" s="1698"/>
      <c r="AC2312" s="1699"/>
      <c r="AD2312" s="1699"/>
      <c r="AE2312" s="1699"/>
      <c r="AF2312" s="1700"/>
      <c r="BA2312" s="114" t="str">
        <f>$BB$53</f>
        <v>Select Equipment</v>
      </c>
      <c r="BB2312" s="1698"/>
      <c r="BC2312" s="1699"/>
      <c r="BD2312" s="1699"/>
      <c r="BE2312" s="1699"/>
      <c r="BF2312" s="1700"/>
    </row>
    <row r="2313" spans="27:58">
      <c r="AA2313" s="114" t="str">
        <f>$AB$54</f>
        <v>Air classifier</v>
      </c>
      <c r="AB2313" s="436"/>
      <c r="AC2313" s="120"/>
      <c r="AD2313" s="455"/>
      <c r="AE2313" s="120"/>
      <c r="AF2313" s="440"/>
      <c r="BA2313" s="114" t="str">
        <f>$BB$54</f>
        <v>Select Equipment</v>
      </c>
      <c r="BB2313" s="436"/>
      <c r="BC2313" s="120"/>
      <c r="BD2313" s="455"/>
      <c r="BE2313" s="120"/>
      <c r="BF2313" s="440"/>
    </row>
    <row r="2314" spans="27:58">
      <c r="AA2314" s="114" t="str">
        <f>$AB$55</f>
        <v>Gas treatment</v>
      </c>
      <c r="AB2314" s="436"/>
      <c r="AC2314" s="120"/>
      <c r="AD2314" s="455"/>
      <c r="AE2314" s="120"/>
      <c r="AF2314" s="440"/>
      <c r="BA2314" s="114" t="str">
        <f>$BB$55</f>
        <v>Select Equipment</v>
      </c>
      <c r="BB2314" s="436"/>
      <c r="BC2314" s="120"/>
      <c r="BD2314" s="455"/>
      <c r="BE2314" s="120"/>
      <c r="BF2314" s="440"/>
    </row>
    <row r="2315" spans="27:58">
      <c r="AA2315" s="114" t="str">
        <f>$AB$56</f>
        <v>Wheel loader</v>
      </c>
      <c r="AB2315" s="456"/>
      <c r="AC2315" s="457"/>
      <c r="AD2315" s="457"/>
      <c r="AE2315" s="457"/>
      <c r="AF2315" s="458"/>
      <c r="BA2315" s="114" t="str">
        <f>$BB$56</f>
        <v>Select Equipment</v>
      </c>
      <c r="BB2315" s="456"/>
      <c r="BC2315" s="457"/>
      <c r="BD2315" s="457"/>
      <c r="BE2315" s="457"/>
      <c r="BF2315" s="458"/>
    </row>
    <row r="2316" spans="27:58">
      <c r="AA2316" s="114" t="str">
        <f>$AB$57</f>
        <v>Select Equipment</v>
      </c>
      <c r="AB2316" s="449" t="s">
        <v>471</v>
      </c>
      <c r="AC2316" s="120"/>
      <c r="AD2316" s="454"/>
      <c r="AE2316" s="120"/>
      <c r="AF2316" s="440"/>
      <c r="BA2316" s="114" t="str">
        <f>$BB$57</f>
        <v>Select Equipment</v>
      </c>
      <c r="BB2316" s="449" t="s">
        <v>471</v>
      </c>
      <c r="BC2316" s="120"/>
      <c r="BD2316" s="454"/>
      <c r="BE2316" s="120"/>
      <c r="BF2316" s="440"/>
    </row>
    <row r="2317" spans="27:58">
      <c r="AA2317" s="114" t="str">
        <f>$AB$58</f>
        <v>Select Equipment</v>
      </c>
      <c r="AB2317" s="436" t="s">
        <v>577</v>
      </c>
      <c r="AC2317" s="225" t="e">
        <f>AC2306*IF(AC2304&gt;1,1,AC2304)</f>
        <v>#NUM!</v>
      </c>
      <c r="AD2317" s="446" t="s">
        <v>454</v>
      </c>
      <c r="AE2317" s="120"/>
      <c r="AF2317" s="440"/>
      <c r="BA2317" s="114" t="str">
        <f>$BB$58</f>
        <v>Select Equipment</v>
      </c>
      <c r="BB2317" s="436" t="s">
        <v>577</v>
      </c>
      <c r="BC2317" s="225" t="e">
        <f>BC2306*IF(BC2304&gt;1,1,BC2304)</f>
        <v>#NUM!</v>
      </c>
      <c r="BD2317" s="446" t="s">
        <v>454</v>
      </c>
      <c r="BE2317" s="120"/>
      <c r="BF2317" s="440"/>
    </row>
    <row r="2318" spans="27:58">
      <c r="AA2318" s="114" t="str">
        <f>$AB$59</f>
        <v>Select Equipment</v>
      </c>
      <c r="AB2318" s="436" t="s">
        <v>578</v>
      </c>
      <c r="AC2318" s="225"/>
      <c r="AD2318" s="446" t="s">
        <v>579</v>
      </c>
      <c r="AE2318" s="120"/>
      <c r="AF2318" s="440"/>
      <c r="BA2318" s="114" t="str">
        <f>$BB$59</f>
        <v>Select Equipment</v>
      </c>
      <c r="BB2318" s="436" t="s">
        <v>578</v>
      </c>
      <c r="BC2318" s="225"/>
      <c r="BD2318" s="446" t="s">
        <v>579</v>
      </c>
      <c r="BE2318" s="120"/>
      <c r="BF2318" s="440"/>
    </row>
    <row r="2319" spans="27:58">
      <c r="AA2319" s="114" t="str">
        <f>$AB$60</f>
        <v>Select Equipment</v>
      </c>
      <c r="AB2319" s="436"/>
      <c r="AC2319" s="120"/>
      <c r="AD2319" s="446"/>
      <c r="AE2319" s="120"/>
      <c r="AF2319" s="440"/>
      <c r="BA2319" s="114" t="str">
        <f>$BB$60</f>
        <v>Select Equipment</v>
      </c>
      <c r="BB2319" s="436"/>
      <c r="BC2319" s="120"/>
      <c r="BD2319" s="446"/>
      <c r="BE2319" s="120"/>
      <c r="BF2319" s="440"/>
    </row>
    <row r="2320" spans="27:58">
      <c r="AA2320" s="114" t="str">
        <f>$AB$61</f>
        <v>Select Equipment</v>
      </c>
      <c r="AB2320" s="436" t="s">
        <v>8</v>
      </c>
      <c r="AC2320" s="120"/>
      <c r="AD2320" s="459" t="s">
        <v>564</v>
      </c>
      <c r="AE2320" s="120"/>
      <c r="AF2320" s="440"/>
      <c r="BA2320" s="114" t="str">
        <f>$BB$61</f>
        <v>Select Equipment</v>
      </c>
      <c r="BB2320" s="436" t="s">
        <v>8</v>
      </c>
      <c r="BC2320" s="120"/>
      <c r="BD2320" s="459" t="s">
        <v>564</v>
      </c>
      <c r="BE2320" s="120"/>
      <c r="BF2320" s="440"/>
    </row>
    <row r="2321" spans="27:58">
      <c r="AA2321" s="114" t="str">
        <f>$AB$62</f>
        <v>Select Equipment</v>
      </c>
      <c r="AB2321" s="436"/>
      <c r="AC2321" s="120"/>
      <c r="AD2321" s="459"/>
      <c r="AE2321" s="120"/>
      <c r="AF2321" s="440"/>
      <c r="BA2321" s="114" t="str">
        <f>$BB$62</f>
        <v>Select Equipment</v>
      </c>
      <c r="BB2321" s="436"/>
      <c r="BC2321" s="120"/>
      <c r="BD2321" s="459"/>
      <c r="BE2321" s="120"/>
      <c r="BF2321" s="440"/>
    </row>
    <row r="2322" spans="27:58">
      <c r="AA2322" s="114" t="str">
        <f>$AB$63</f>
        <v>Select Equipment</v>
      </c>
      <c r="AB2322" s="436" t="s">
        <v>7</v>
      </c>
      <c r="AC2322" s="120"/>
      <c r="AD2322" s="459" t="s">
        <v>564</v>
      </c>
      <c r="AE2322" s="120"/>
      <c r="AF2322" s="440"/>
      <c r="BA2322" s="114" t="str">
        <f>$BB$63</f>
        <v>Select Equipment</v>
      </c>
      <c r="BB2322" s="436" t="s">
        <v>7</v>
      </c>
      <c r="BC2322" s="120"/>
      <c r="BD2322" s="459" t="s">
        <v>564</v>
      </c>
      <c r="BE2322" s="120"/>
      <c r="BF2322" s="440"/>
    </row>
    <row r="2323" spans="27:58">
      <c r="AA2323"/>
      <c r="AB2323" s="436"/>
      <c r="AC2323" s="120"/>
      <c r="AD2323" s="459"/>
      <c r="AE2323" s="120"/>
      <c r="AF2323" s="440"/>
      <c r="BA2323" s="114" t="str">
        <f>$BB$64</f>
        <v>Select Equipment</v>
      </c>
      <c r="BB2323" s="436"/>
      <c r="BC2323" s="120"/>
      <c r="BD2323" s="459"/>
      <c r="BE2323" s="120"/>
      <c r="BF2323" s="440"/>
    </row>
    <row r="2324" spans="27:58">
      <c r="AA2324"/>
      <c r="AB2324" s="436" t="s">
        <v>9</v>
      </c>
      <c r="AC2324" s="120"/>
      <c r="AD2324" s="459" t="s">
        <v>564</v>
      </c>
      <c r="AE2324" s="120"/>
      <c r="AF2324" s="440"/>
      <c r="BA2324"/>
      <c r="BB2324" s="436" t="s">
        <v>9</v>
      </c>
      <c r="BC2324" s="120"/>
      <c r="BD2324" s="459" t="s">
        <v>564</v>
      </c>
      <c r="BE2324" s="120"/>
      <c r="BF2324" s="440"/>
    </row>
    <row r="2325" spans="27:58">
      <c r="AA2325"/>
      <c r="AB2325" s="436"/>
      <c r="AC2325" s="120"/>
      <c r="AD2325" s="459"/>
      <c r="AE2325" s="120"/>
      <c r="AF2325" s="440"/>
      <c r="BA2325"/>
      <c r="BB2325" s="436"/>
      <c r="BC2325" s="120"/>
      <c r="BD2325" s="459"/>
      <c r="BE2325" s="120"/>
      <c r="BF2325" s="440"/>
    </row>
    <row r="2326" spans="27:58">
      <c r="AA2326"/>
      <c r="AB2326" s="436" t="s">
        <v>324</v>
      </c>
      <c r="AC2326" s="120"/>
      <c r="AD2326" s="459" t="s">
        <v>564</v>
      </c>
      <c r="AE2326" s="120"/>
      <c r="AF2326" s="440" t="s">
        <v>569</v>
      </c>
      <c r="BA2326"/>
      <c r="BB2326" s="436" t="s">
        <v>324</v>
      </c>
      <c r="BC2326" s="120"/>
      <c r="BD2326" s="459" t="s">
        <v>564</v>
      </c>
      <c r="BE2326" s="120"/>
      <c r="BF2326" s="440" t="s">
        <v>569</v>
      </c>
    </row>
    <row r="2327" spans="27:58">
      <c r="AA2327"/>
      <c r="AB2327" s="436"/>
      <c r="AC2327" s="120"/>
      <c r="AD2327" s="468"/>
      <c r="AE2327" s="469"/>
      <c r="AF2327" s="440"/>
      <c r="BA2327"/>
      <c r="BB2327" s="436"/>
      <c r="BC2327" s="120"/>
      <c r="BD2327" s="468"/>
      <c r="BE2327" s="469"/>
      <c r="BF2327" s="440"/>
    </row>
    <row r="2328" spans="27:58">
      <c r="AA2328"/>
      <c r="AB2328" s="436" t="s">
        <v>374</v>
      </c>
      <c r="AC2328" s="120"/>
      <c r="AD2328" s="459" t="s">
        <v>564</v>
      </c>
      <c r="AE2328" s="469"/>
      <c r="AF2328" s="440" t="s">
        <v>569</v>
      </c>
      <c r="BA2328"/>
      <c r="BB2328" s="436" t="s">
        <v>374</v>
      </c>
      <c r="BC2328" s="120"/>
      <c r="BD2328" s="459" t="s">
        <v>564</v>
      </c>
      <c r="BE2328" s="469"/>
      <c r="BF2328" s="440" t="s">
        <v>569</v>
      </c>
    </row>
    <row r="2329" spans="27:58">
      <c r="AA2329"/>
      <c r="AB2329" s="436"/>
      <c r="AC2329" s="120"/>
      <c r="AD2329" s="472"/>
      <c r="AE2329" s="473"/>
      <c r="AF2329" s="440"/>
      <c r="BA2329"/>
      <c r="BB2329" s="436"/>
      <c r="BC2329" s="120"/>
      <c r="BD2329" s="472"/>
      <c r="BE2329" s="473"/>
      <c r="BF2329" s="440"/>
    </row>
    <row r="2330" spans="27:58">
      <c r="AA2330"/>
      <c r="AB2330" s="436" t="s">
        <v>580</v>
      </c>
      <c r="AC2330" s="120"/>
      <c r="AD2330" s="459" t="s">
        <v>564</v>
      </c>
      <c r="AE2330" s="473"/>
      <c r="AF2330" s="440" t="s">
        <v>569</v>
      </c>
      <c r="BA2330"/>
      <c r="BB2330" s="436" t="s">
        <v>580</v>
      </c>
      <c r="BC2330" s="120"/>
      <c r="BD2330" s="459" t="s">
        <v>564</v>
      </c>
      <c r="BE2330" s="473"/>
      <c r="BF2330" s="440" t="s">
        <v>569</v>
      </c>
    </row>
    <row r="2331" spans="27:58">
      <c r="AA2331"/>
      <c r="AB2331" s="476"/>
      <c r="AC2331" s="477"/>
      <c r="AD2331" s="478"/>
      <c r="AE2331" s="479"/>
      <c r="AF2331" s="458"/>
      <c r="BA2331"/>
      <c r="BB2331" s="476"/>
      <c r="BC2331" s="477"/>
      <c r="BD2331" s="478"/>
      <c r="BE2331" s="479"/>
      <c r="BF2331" s="458"/>
    </row>
    <row r="2332" spans="27:58">
      <c r="AA2332"/>
      <c r="AB2332" s="449" t="s">
        <v>473</v>
      </c>
      <c r="AC2332" s="467" t="s">
        <v>508</v>
      </c>
      <c r="AD2332" s="480"/>
      <c r="AE2332" s="481" t="s">
        <v>308</v>
      </c>
      <c r="AF2332" s="440"/>
      <c r="BA2332"/>
      <c r="BB2332" s="449" t="s">
        <v>473</v>
      </c>
      <c r="BC2332" s="467" t="s">
        <v>508</v>
      </c>
      <c r="BD2332" s="480"/>
      <c r="BE2332" s="481" t="s">
        <v>308</v>
      </c>
      <c r="BF2332" s="440"/>
    </row>
    <row r="2333" spans="27:58">
      <c r="AB2333" s="436"/>
      <c r="AC2333" s="483"/>
      <c r="AD2333" s="480"/>
      <c r="AE2333" s="484"/>
      <c r="AF2333" s="440"/>
      <c r="BA2333"/>
      <c r="BB2333" s="436"/>
      <c r="BC2333" s="483"/>
      <c r="BD2333" s="480"/>
      <c r="BE2333" s="484"/>
      <c r="BF2333" s="440"/>
    </row>
    <row r="2334" spans="27:58">
      <c r="AB2334" s="436"/>
      <c r="AC2334" s="120"/>
      <c r="AD2334" s="223"/>
      <c r="AE2334" s="467"/>
      <c r="AF2334" s="440"/>
      <c r="BB2334" s="436"/>
      <c r="BC2334" s="120"/>
      <c r="BD2334" s="223"/>
      <c r="BE2334" s="467"/>
      <c r="BF2334" s="440"/>
    </row>
    <row r="2335" spans="27:58">
      <c r="AB2335" s="436"/>
      <c r="AC2335" s="120"/>
      <c r="AD2335" s="466"/>
      <c r="AE2335" s="467"/>
      <c r="AF2335" s="440"/>
      <c r="BB2335" s="436"/>
      <c r="BC2335" s="120"/>
      <c r="BD2335" s="466"/>
      <c r="BE2335" s="467"/>
      <c r="BF2335" s="440"/>
    </row>
    <row r="2336" spans="27:58">
      <c r="AB2336" s="436"/>
      <c r="AC2336" s="120"/>
      <c r="AD2336" s="223"/>
      <c r="AE2336" s="467"/>
      <c r="AF2336" s="440"/>
      <c r="BB2336" s="436"/>
      <c r="BC2336" s="120"/>
      <c r="BD2336" s="223"/>
      <c r="BE2336" s="467"/>
      <c r="BF2336" s="440"/>
    </row>
    <row r="2337" spans="28:58">
      <c r="AB2337" s="436"/>
      <c r="AC2337" s="120"/>
      <c r="AD2337" s="223"/>
      <c r="AE2337" s="467"/>
      <c r="AF2337" s="440"/>
      <c r="BB2337" s="436"/>
      <c r="BC2337" s="120"/>
      <c r="BD2337" s="223"/>
      <c r="BE2337" s="467"/>
      <c r="BF2337" s="440"/>
    </row>
    <row r="2338" spans="28:58">
      <c r="AB2338" s="436"/>
      <c r="AC2338" s="120"/>
      <c r="AD2338" s="471"/>
      <c r="AE2338" s="467"/>
      <c r="AF2338" s="440"/>
      <c r="BB2338" s="436"/>
      <c r="BC2338" s="120"/>
      <c r="BD2338" s="471"/>
      <c r="BE2338" s="467"/>
      <c r="BF2338" s="440"/>
    </row>
    <row r="2339" spans="28:58">
      <c r="AB2339" s="436"/>
      <c r="AC2339" s="120"/>
      <c r="AD2339" s="223"/>
      <c r="AE2339" s="467"/>
      <c r="AF2339" s="440"/>
      <c r="BB2339" s="436"/>
      <c r="BC2339" s="120"/>
      <c r="BD2339" s="223"/>
      <c r="BE2339" s="467"/>
      <c r="BF2339" s="440"/>
    </row>
    <row r="2340" spans="28:58">
      <c r="AB2340" s="436"/>
      <c r="AC2340" s="120"/>
      <c r="AD2340" s="475"/>
      <c r="AE2340" s="467"/>
      <c r="AF2340" s="440"/>
      <c r="BB2340" s="436"/>
      <c r="BC2340" s="120"/>
      <c r="BD2340" s="475"/>
      <c r="BE2340" s="467"/>
      <c r="BF2340" s="440"/>
    </row>
    <row r="2341" spans="28:58">
      <c r="AB2341" s="436"/>
      <c r="AC2341" s="120"/>
      <c r="AD2341" s="223"/>
      <c r="AE2341" s="467"/>
      <c r="AF2341" s="440"/>
      <c r="BB2341" s="436"/>
      <c r="BC2341" s="120"/>
      <c r="BD2341" s="223"/>
      <c r="BE2341" s="467"/>
      <c r="BF2341" s="440"/>
    </row>
    <row r="2342" spans="28:58">
      <c r="AB2342" s="436"/>
      <c r="AC2342" s="120"/>
      <c r="AD2342" s="223"/>
      <c r="AE2342" s="467"/>
      <c r="AF2342" s="440"/>
      <c r="BB2342" s="436"/>
      <c r="BC2342" s="120"/>
      <c r="BD2342" s="223"/>
      <c r="BE2342" s="467"/>
      <c r="BF2342" s="440"/>
    </row>
    <row r="2343" spans="28:58">
      <c r="AB2343" s="436"/>
      <c r="AC2343" s="120"/>
      <c r="AD2343" s="223"/>
      <c r="AE2343" s="467"/>
      <c r="AF2343" s="440"/>
      <c r="BB2343" s="436"/>
      <c r="BC2343" s="120"/>
      <c r="BD2343" s="223"/>
      <c r="BE2343" s="467"/>
      <c r="BF2343" s="440"/>
    </row>
    <row r="2344" spans="28:58">
      <c r="AB2344" s="436"/>
      <c r="AC2344" s="120"/>
      <c r="AD2344" s="223"/>
      <c r="AE2344" s="467"/>
      <c r="AF2344" s="440"/>
      <c r="BB2344" s="436"/>
      <c r="BC2344" s="120"/>
      <c r="BD2344" s="223"/>
      <c r="BE2344" s="467"/>
      <c r="BF2344" s="440"/>
    </row>
    <row r="2345" spans="28:58">
      <c r="AB2345" s="436"/>
      <c r="AC2345" s="120"/>
      <c r="AD2345" s="120"/>
      <c r="AE2345" s="467"/>
      <c r="AF2345" s="440"/>
      <c r="BB2345" s="436"/>
      <c r="BC2345" s="120"/>
      <c r="BD2345" s="120"/>
      <c r="BE2345" s="467"/>
      <c r="BF2345" s="440"/>
    </row>
    <row r="2346" spans="28:58">
      <c r="AB2346" s="456"/>
      <c r="AC2346" s="457"/>
      <c r="AD2346" s="457"/>
      <c r="AE2346" s="477"/>
      <c r="AF2346" s="458"/>
      <c r="BB2346" s="456"/>
      <c r="BC2346" s="457"/>
      <c r="BD2346" s="457"/>
      <c r="BE2346" s="477"/>
      <c r="BF2346" s="458"/>
    </row>
    <row r="2347" spans="28:58">
      <c r="AB2347" s="449" t="s">
        <v>474</v>
      </c>
      <c r="AC2347" s="120"/>
      <c r="AD2347" s="120" t="s">
        <v>1</v>
      </c>
      <c r="AE2347" s="310" t="s">
        <v>307</v>
      </c>
      <c r="AF2347" s="440"/>
      <c r="BB2347" s="449" t="s">
        <v>474</v>
      </c>
      <c r="BC2347" s="120"/>
      <c r="BD2347" s="120" t="s">
        <v>1</v>
      </c>
      <c r="BE2347" s="310" t="s">
        <v>307</v>
      </c>
      <c r="BF2347" s="440"/>
    </row>
    <row r="2348" spans="28:58">
      <c r="AB2348" s="436"/>
      <c r="AC2348" s="223"/>
      <c r="AD2348" s="480"/>
      <c r="AE2348" s="484"/>
      <c r="AF2348" s="440"/>
      <c r="BB2348" s="436"/>
      <c r="BC2348" s="223"/>
      <c r="BD2348" s="480"/>
      <c r="BE2348" s="484"/>
      <c r="BF2348" s="440"/>
    </row>
    <row r="2349" spans="28:58">
      <c r="AB2349" s="436"/>
      <c r="AC2349" s="120"/>
      <c r="AD2349" s="120"/>
      <c r="AE2349" s="467"/>
      <c r="AF2349" s="440"/>
      <c r="BB2349" s="436"/>
      <c r="BC2349" s="120"/>
      <c r="BD2349" s="120"/>
      <c r="BE2349" s="467"/>
      <c r="BF2349" s="440"/>
    </row>
    <row r="2350" spans="28:58">
      <c r="AB2350" s="436"/>
      <c r="AC2350" s="120"/>
      <c r="AD2350" s="120"/>
      <c r="AE2350" s="467"/>
      <c r="AF2350" s="440"/>
      <c r="BB2350" s="436"/>
      <c r="BC2350" s="120"/>
      <c r="BD2350" s="120"/>
      <c r="BE2350" s="467"/>
      <c r="BF2350" s="440"/>
    </row>
    <row r="2351" spans="28:58">
      <c r="AB2351" s="436"/>
      <c r="AC2351" s="120"/>
      <c r="AD2351" s="120"/>
      <c r="AE2351" s="467"/>
      <c r="AF2351" s="440"/>
      <c r="BB2351" s="436"/>
      <c r="BC2351" s="120"/>
      <c r="BD2351" s="120"/>
      <c r="BE2351" s="467"/>
      <c r="BF2351" s="440"/>
    </row>
    <row r="2352" spans="28:58">
      <c r="AB2352" s="436"/>
      <c r="AC2352" s="120"/>
      <c r="AD2352" s="120"/>
      <c r="AE2352" s="467"/>
      <c r="AF2352" s="440"/>
      <c r="BB2352" s="436"/>
      <c r="BC2352" s="120"/>
      <c r="BD2352" s="120"/>
      <c r="BE2352" s="467"/>
      <c r="BF2352" s="440"/>
    </row>
    <row r="2353" spans="28:58">
      <c r="AB2353" s="436"/>
      <c r="AC2353" s="120"/>
      <c r="AD2353" s="120"/>
      <c r="AE2353" s="467"/>
      <c r="AF2353" s="440"/>
      <c r="BB2353" s="436"/>
      <c r="BC2353" s="120"/>
      <c r="BD2353" s="120"/>
      <c r="BE2353" s="467"/>
      <c r="BF2353" s="440"/>
    </row>
    <row r="2354" spans="28:58">
      <c r="AB2354" s="436"/>
      <c r="AC2354" s="120"/>
      <c r="AD2354" s="120"/>
      <c r="AE2354" s="467"/>
      <c r="AF2354" s="440"/>
      <c r="BB2354" s="436"/>
      <c r="BC2354" s="120"/>
      <c r="BD2354" s="120"/>
      <c r="BE2354" s="467"/>
      <c r="BF2354" s="440"/>
    </row>
    <row r="2355" spans="28:58">
      <c r="AB2355" s="436"/>
      <c r="AC2355" s="120"/>
      <c r="AD2355" s="120"/>
      <c r="AE2355" s="467"/>
      <c r="AF2355" s="440"/>
      <c r="BB2355" s="436"/>
      <c r="BC2355" s="120"/>
      <c r="BD2355" s="120"/>
      <c r="BE2355" s="467"/>
      <c r="BF2355" s="440"/>
    </row>
    <row r="2356" spans="28:58">
      <c r="AB2356" s="436"/>
      <c r="AC2356" s="120"/>
      <c r="AD2356" s="120"/>
      <c r="AE2356" s="467"/>
      <c r="AF2356" s="440"/>
      <c r="BB2356" s="436"/>
      <c r="BC2356" s="120"/>
      <c r="BD2356" s="120"/>
      <c r="BE2356" s="467"/>
      <c r="BF2356" s="440"/>
    </row>
    <row r="2357" spans="28:58">
      <c r="AB2357" s="436"/>
      <c r="AC2357" s="120"/>
      <c r="AD2357" s="120"/>
      <c r="AE2357" s="467"/>
      <c r="AF2357" s="440"/>
      <c r="BB2357" s="436"/>
      <c r="BC2357" s="120"/>
      <c r="BD2357" s="120"/>
      <c r="BE2357" s="467"/>
      <c r="BF2357" s="440"/>
    </row>
    <row r="2358" spans="28:58">
      <c r="AB2358" s="436"/>
      <c r="AC2358" s="120"/>
      <c r="AD2358" s="120"/>
      <c r="AE2358" s="467"/>
      <c r="AF2358" s="440"/>
      <c r="BB2358" s="436"/>
      <c r="BC2358" s="120"/>
      <c r="BD2358" s="120"/>
      <c r="BE2358" s="467"/>
      <c r="BF2358" s="440"/>
    </row>
    <row r="2359" spans="28:58">
      <c r="AB2359" s="436"/>
      <c r="AC2359" s="120"/>
      <c r="AD2359" s="120"/>
      <c r="AE2359" s="467"/>
      <c r="AF2359" s="440"/>
      <c r="BB2359" s="436"/>
      <c r="BC2359" s="120"/>
      <c r="BD2359" s="120"/>
      <c r="BE2359" s="467"/>
      <c r="BF2359" s="440"/>
    </row>
    <row r="2360" spans="28:58">
      <c r="AB2360" s="456"/>
      <c r="AC2360" s="457"/>
      <c r="AD2360" s="457"/>
      <c r="AE2360" s="477"/>
      <c r="AF2360" s="458"/>
      <c r="BB2360" s="456"/>
      <c r="BC2360" s="457"/>
      <c r="BD2360" s="457"/>
      <c r="BE2360" s="477"/>
      <c r="BF2360" s="458"/>
    </row>
    <row r="2361" spans="28:58">
      <c r="AB2361" s="456"/>
      <c r="AC2361" s="457"/>
      <c r="AD2361" s="457"/>
      <c r="AE2361" s="457"/>
      <c r="AF2361" s="458"/>
      <c r="BB2361" s="456"/>
      <c r="BC2361" s="457"/>
      <c r="BD2361" s="457"/>
      <c r="BE2361" s="457"/>
      <c r="BF2361" s="458"/>
    </row>
    <row r="2362" spans="28:58">
      <c r="AB2362" s="449" t="s">
        <v>475</v>
      </c>
      <c r="AC2362" s="120"/>
      <c r="AD2362" s="120"/>
      <c r="AE2362" s="120"/>
      <c r="AF2362" s="440"/>
      <c r="BB2362" s="449" t="s">
        <v>475</v>
      </c>
      <c r="BC2362" s="120"/>
      <c r="BD2362" s="120"/>
      <c r="BE2362" s="120"/>
      <c r="BF2362" s="440"/>
    </row>
    <row r="2363" spans="28:58">
      <c r="AB2363" s="436" t="s">
        <v>509</v>
      </c>
      <c r="AC2363" s="120"/>
      <c r="AD2363" s="120"/>
      <c r="AE2363" s="120"/>
      <c r="AF2363" s="440"/>
      <c r="BB2363" s="436" t="s">
        <v>509</v>
      </c>
      <c r="BC2363" s="120"/>
      <c r="BD2363" s="120"/>
      <c r="BE2363" s="120"/>
      <c r="BF2363" s="440"/>
    </row>
    <row r="2364" spans="28:58">
      <c r="AB2364" s="436" t="s">
        <v>510</v>
      </c>
      <c r="AC2364" s="120"/>
      <c r="AD2364" s="120"/>
      <c r="AE2364" s="120"/>
      <c r="AF2364" s="440"/>
      <c r="BB2364" s="436" t="s">
        <v>510</v>
      </c>
      <c r="BC2364" s="120"/>
      <c r="BD2364" s="120"/>
      <c r="BE2364" s="120"/>
      <c r="BF2364" s="440"/>
    </row>
    <row r="2365" spans="28:58">
      <c r="AB2365" s="436"/>
      <c r="AC2365" s="120"/>
      <c r="AD2365" s="120"/>
      <c r="AE2365" s="120"/>
      <c r="AF2365" s="440"/>
      <c r="BB2365" s="436"/>
      <c r="BC2365" s="120"/>
      <c r="BD2365" s="120"/>
      <c r="BE2365" s="120"/>
      <c r="BF2365" s="440"/>
    </row>
    <row r="2366" spans="28:58">
      <c r="AB2366" s="436"/>
      <c r="AC2366" s="120"/>
      <c r="AD2366" s="120"/>
      <c r="AE2366" s="120"/>
      <c r="AF2366" s="440"/>
      <c r="BB2366" s="436"/>
      <c r="BC2366" s="120"/>
      <c r="BD2366" s="120"/>
      <c r="BE2366" s="120"/>
      <c r="BF2366" s="440"/>
    </row>
    <row r="2367" spans="28:58">
      <c r="AB2367" s="436"/>
      <c r="AC2367" s="120"/>
      <c r="AD2367" s="120"/>
      <c r="AE2367" s="120"/>
      <c r="AF2367" s="440"/>
      <c r="BB2367" s="436"/>
      <c r="BC2367" s="120"/>
      <c r="BD2367" s="120"/>
      <c r="BE2367" s="120"/>
      <c r="BF2367" s="440"/>
    </row>
    <row r="2368" spans="28:58">
      <c r="AB2368" s="436"/>
      <c r="AC2368" s="120"/>
      <c r="AD2368" s="120"/>
      <c r="AE2368" s="120"/>
      <c r="AF2368" s="440"/>
      <c r="BB2368" s="436"/>
      <c r="BC2368" s="120"/>
      <c r="BD2368" s="120"/>
      <c r="BE2368" s="120"/>
      <c r="BF2368" s="440"/>
    </row>
    <row r="2369" spans="28:58">
      <c r="AB2369" s="436" t="s">
        <v>511</v>
      </c>
      <c r="AC2369" s="120">
        <v>0</v>
      </c>
      <c r="AD2369" s="120" t="s">
        <v>512</v>
      </c>
      <c r="AE2369" s="120"/>
      <c r="AF2369" s="440"/>
      <c r="BB2369" s="436" t="s">
        <v>511</v>
      </c>
      <c r="BC2369" s="120">
        <v>0</v>
      </c>
      <c r="BD2369" s="120" t="s">
        <v>512</v>
      </c>
      <c r="BE2369" s="120"/>
      <c r="BF2369" s="440"/>
    </row>
    <row r="2370" spans="28:58">
      <c r="AB2370" s="436" t="s">
        <v>513</v>
      </c>
      <c r="AC2370" s="120">
        <v>0</v>
      </c>
      <c r="AD2370" s="120" t="s">
        <v>512</v>
      </c>
      <c r="AE2370" s="120"/>
      <c r="AF2370" s="440"/>
      <c r="BB2370" s="436" t="s">
        <v>513</v>
      </c>
      <c r="BC2370" s="120">
        <v>0</v>
      </c>
      <c r="BD2370" s="120" t="s">
        <v>512</v>
      </c>
      <c r="BE2370" s="120"/>
      <c r="BF2370" s="440"/>
    </row>
    <row r="2371" spans="28:58">
      <c r="AB2371" s="456"/>
      <c r="AC2371" s="457"/>
      <c r="AD2371" s="457"/>
      <c r="AE2371" s="457"/>
      <c r="AF2371" s="458"/>
      <c r="BB2371" s="456"/>
      <c r="BC2371" s="457"/>
      <c r="BD2371" s="457"/>
      <c r="BE2371" s="457"/>
      <c r="BF2371" s="458"/>
    </row>
    <row r="2372" spans="28:58">
      <c r="AB2372" s="449" t="s">
        <v>461</v>
      </c>
      <c r="AC2372" s="120"/>
      <c r="AD2372" s="120"/>
      <c r="AE2372" s="120"/>
      <c r="AF2372" s="440"/>
      <c r="BB2372" s="449" t="s">
        <v>461</v>
      </c>
      <c r="BC2372" s="120"/>
      <c r="BD2372" s="120"/>
      <c r="BE2372" s="120"/>
      <c r="BF2372" s="440"/>
    </row>
    <row r="2373" spans="28:58">
      <c r="AB2373" s="436" t="s">
        <v>514</v>
      </c>
      <c r="AC2373" s="120">
        <f>VLOOKUP(AB2301,'Unit Ops'!$B$140:$K$209,10,FALSE)</f>
        <v>0</v>
      </c>
      <c r="AD2373" s="120" t="s">
        <v>515</v>
      </c>
      <c r="AE2373" s="120"/>
      <c r="AF2373" s="440"/>
      <c r="BB2373" s="436" t="s">
        <v>514</v>
      </c>
      <c r="BC2373" s="120">
        <f>VLOOKUP(BB2301,'Unit Ops'!$B$140:$K$209,10,FALSE)</f>
        <v>0</v>
      </c>
      <c r="BD2373" s="120" t="s">
        <v>515</v>
      </c>
      <c r="BE2373" s="120"/>
      <c r="BF2373" s="440"/>
    </row>
    <row r="2374" spans="28:58">
      <c r="AB2374" s="436" t="s">
        <v>516</v>
      </c>
      <c r="AC2374" s="120">
        <v>0</v>
      </c>
      <c r="AD2374" s="120" t="s">
        <v>515</v>
      </c>
      <c r="AE2374" s="120"/>
      <c r="AF2374" s="440"/>
      <c r="BB2374" s="436" t="s">
        <v>516</v>
      </c>
      <c r="BC2374" s="120">
        <v>0</v>
      </c>
      <c r="BD2374" s="120" t="s">
        <v>515</v>
      </c>
      <c r="BE2374" s="120"/>
      <c r="BF2374" s="440"/>
    </row>
    <row r="2375" spans="28:58">
      <c r="AB2375" s="436"/>
      <c r="AC2375" s="120"/>
      <c r="AD2375" s="120"/>
      <c r="AE2375" s="120"/>
      <c r="AF2375" s="440"/>
      <c r="BB2375" s="436"/>
      <c r="BC2375" s="120"/>
      <c r="BD2375" s="120"/>
      <c r="BE2375" s="120"/>
      <c r="BF2375" s="440"/>
    </row>
    <row r="2376" spans="28:58">
      <c r="AB2376" s="436"/>
      <c r="AC2376" s="120"/>
      <c r="AD2376" s="120"/>
      <c r="AE2376" s="120"/>
      <c r="AF2376" s="440"/>
      <c r="BB2376" s="436"/>
      <c r="BC2376" s="120"/>
      <c r="BD2376" s="120"/>
      <c r="BE2376" s="120"/>
      <c r="BF2376" s="440"/>
    </row>
    <row r="2377" spans="28:58">
      <c r="AB2377" s="436"/>
      <c r="AC2377" s="120"/>
      <c r="AD2377" s="120"/>
      <c r="AE2377" s="120"/>
      <c r="AF2377" s="440"/>
      <c r="BB2377" s="436"/>
      <c r="BC2377" s="120"/>
      <c r="BD2377" s="120"/>
      <c r="BE2377" s="120"/>
      <c r="BF2377" s="440"/>
    </row>
    <row r="2378" spans="28:58">
      <c r="AB2378" s="436"/>
      <c r="AC2378" s="120"/>
      <c r="AD2378" s="120"/>
      <c r="AE2378" s="120"/>
      <c r="AF2378" s="440"/>
      <c r="BB2378" s="436"/>
      <c r="BC2378" s="120"/>
      <c r="BD2378" s="120"/>
      <c r="BE2378" s="120"/>
      <c r="BF2378" s="440"/>
    </row>
    <row r="2379" spans="28:58">
      <c r="AB2379" s="436"/>
      <c r="AC2379" s="120"/>
      <c r="AD2379" s="120"/>
      <c r="AE2379" s="120"/>
      <c r="AF2379" s="440"/>
      <c r="BB2379" s="436"/>
      <c r="BC2379" s="120"/>
      <c r="BD2379" s="120"/>
      <c r="BE2379" s="120"/>
      <c r="BF2379" s="440"/>
    </row>
    <row r="2380" spans="28:58">
      <c r="AB2380" s="436" t="s">
        <v>464</v>
      </c>
      <c r="AC2380" s="120"/>
      <c r="AD2380" s="120"/>
      <c r="AE2380" s="120"/>
      <c r="AF2380" s="440"/>
      <c r="BB2380" s="436" t="s">
        <v>464</v>
      </c>
      <c r="BC2380" s="120"/>
      <c r="BD2380" s="120"/>
      <c r="BE2380" s="120"/>
      <c r="BF2380" s="440"/>
    </row>
    <row r="2381" spans="28:58">
      <c r="AB2381" s="456"/>
      <c r="AC2381" s="457"/>
      <c r="AD2381" s="457"/>
      <c r="AE2381" s="457"/>
      <c r="AF2381" s="458"/>
      <c r="BB2381" s="456"/>
      <c r="BC2381" s="457"/>
      <c r="BD2381" s="457"/>
      <c r="BE2381" s="457"/>
      <c r="BF2381" s="458"/>
    </row>
    <row r="2382" spans="28:58">
      <c r="AB2382" s="449" t="s">
        <v>472</v>
      </c>
      <c r="AC2382" s="467" t="s">
        <v>517</v>
      </c>
      <c r="AD2382" s="120" t="s">
        <v>518</v>
      </c>
      <c r="AE2382" s="467" t="s">
        <v>519</v>
      </c>
      <c r="AF2382" s="440" t="s">
        <v>518</v>
      </c>
      <c r="BB2382" s="449" t="s">
        <v>472</v>
      </c>
      <c r="BC2382" s="467" t="s">
        <v>517</v>
      </c>
      <c r="BD2382" s="120" t="s">
        <v>518</v>
      </c>
      <c r="BE2382" s="467" t="s">
        <v>519</v>
      </c>
      <c r="BF2382" s="440" t="s">
        <v>518</v>
      </c>
    </row>
    <row r="2383" spans="28:58">
      <c r="AB2383" s="436" t="s">
        <v>520</v>
      </c>
      <c r="AC2383" s="120"/>
      <c r="AD2383" s="120"/>
      <c r="AE2383" s="472">
        <f>((VLOOKUP(AB2301,'Unit Ops'!$B$140:$J$209,3,FALSE)*AC2303^VLOOKUP(AB2301,'Unit Ops'!$B$140:$J$209,4,FALSE)+VLOOKUP(AB2301,'Unit Ops'!$B$140:$J$209,5,FALSE))*VLOOKUP(AB2301,'Unit Ops'!$B$140:$J$209,6,FALSE))*IF(VLOOKUP(AB2301,'Unit Ops'!$B$140:$L$209,11,FALSE)=1,1,2)</f>
        <v>0</v>
      </c>
      <c r="AF2383" s="490">
        <f>'CM Rec Par.'!$C$7</f>
        <v>2022</v>
      </c>
      <c r="BB2383" s="436" t="s">
        <v>520</v>
      </c>
      <c r="BC2383" s="120"/>
      <c r="BD2383" s="120"/>
      <c r="BE2383" s="472">
        <f>((VLOOKUP(BB2301,'Unit Ops'!$B$140:$J$209,3,FALSE)*BC2303^VLOOKUP(BB2301,'Unit Ops'!$B$140:$J$209,4,FALSE)+VLOOKUP(BB2301,'Unit Ops'!$B$140:$J$209,5,FALSE))*VLOOKUP(BB2301,'Unit Ops'!$B$140:$J$209,6,FALSE))*IF(VLOOKUP(BB2301,'Unit Ops'!$B$140:$L$209,11,FALSE)=1,1,2)</f>
        <v>0</v>
      </c>
      <c r="BF2383" s="490">
        <f>'CM Rec Par.'!$C$7</f>
        <v>2022</v>
      </c>
    </row>
    <row r="2384" spans="28:58">
      <c r="AB2384" s="436"/>
      <c r="AC2384" s="120"/>
      <c r="AD2384" s="120"/>
      <c r="AE2384" s="120"/>
      <c r="AF2384" s="440"/>
      <c r="BB2384" s="436"/>
      <c r="BC2384" s="120"/>
      <c r="BD2384" s="120"/>
      <c r="BE2384" s="120"/>
      <c r="BF2384" s="440"/>
    </row>
    <row r="2385" spans="28:58">
      <c r="AB2385" s="436"/>
      <c r="AC2385" s="120"/>
      <c r="AD2385" s="120"/>
      <c r="AE2385" s="120"/>
      <c r="AF2385" s="440"/>
      <c r="BB2385" s="436"/>
      <c r="BC2385" s="120"/>
      <c r="BD2385" s="120"/>
      <c r="BE2385" s="120"/>
      <c r="BF2385" s="440"/>
    </row>
    <row r="2386" spans="28:58">
      <c r="AB2386" s="436"/>
      <c r="AC2386" s="120"/>
      <c r="AD2386" s="120"/>
      <c r="AE2386" s="120"/>
      <c r="AF2386" s="440"/>
      <c r="BB2386" s="436"/>
      <c r="BC2386" s="120"/>
      <c r="BD2386" s="120"/>
      <c r="BE2386" s="120"/>
      <c r="BF2386" s="440"/>
    </row>
    <row r="2387" spans="28:58">
      <c r="AB2387" s="436"/>
      <c r="AC2387" s="120"/>
      <c r="AD2387" s="120"/>
      <c r="AE2387" s="120"/>
      <c r="AF2387" s="440"/>
      <c r="BB2387" s="436"/>
      <c r="BC2387" s="120"/>
      <c r="BD2387" s="120"/>
      <c r="BE2387" s="120"/>
      <c r="BF2387" s="440"/>
    </row>
    <row r="2388" spans="28:58">
      <c r="AB2388" s="436"/>
      <c r="AC2388" s="120"/>
      <c r="AD2388" s="120"/>
      <c r="AE2388" s="120"/>
      <c r="AF2388" s="440"/>
      <c r="BB2388" s="436"/>
      <c r="BC2388" s="120"/>
      <c r="BD2388" s="120"/>
      <c r="BE2388" s="120"/>
      <c r="BF2388" s="440"/>
    </row>
    <row r="2389" spans="28:58">
      <c r="AB2389" s="436"/>
      <c r="AC2389" s="120"/>
      <c r="AD2389" s="120"/>
      <c r="AE2389" s="120"/>
      <c r="AF2389" s="440"/>
      <c r="BB2389" s="436"/>
      <c r="BC2389" s="120"/>
      <c r="BD2389" s="120"/>
      <c r="BE2389" s="120"/>
      <c r="BF2389" s="440"/>
    </row>
    <row r="2390" spans="28:58">
      <c r="AB2390" s="436"/>
      <c r="AC2390" s="120"/>
      <c r="AD2390" s="120"/>
      <c r="AE2390" s="120"/>
      <c r="AF2390" s="440"/>
      <c r="BB2390" s="436"/>
      <c r="BC2390" s="120"/>
      <c r="BD2390" s="120"/>
      <c r="BE2390" s="120"/>
      <c r="BF2390" s="440"/>
    </row>
    <row r="2391" spans="28:58">
      <c r="AB2391" s="436"/>
      <c r="AC2391" s="120"/>
      <c r="AD2391" s="120"/>
      <c r="AE2391" s="120"/>
      <c r="AF2391" s="440"/>
      <c r="BB2391" s="436"/>
      <c r="BC2391" s="120"/>
      <c r="BD2391" s="120"/>
      <c r="BE2391" s="120"/>
      <c r="BF2391" s="440"/>
    </row>
    <row r="2392" spans="28:58">
      <c r="AB2392" s="436"/>
      <c r="AC2392" s="120"/>
      <c r="AD2392" s="120"/>
      <c r="AE2392" s="120"/>
      <c r="AF2392" s="440"/>
      <c r="BB2392" s="436"/>
      <c r="BC2392" s="120"/>
      <c r="BD2392" s="120"/>
      <c r="BE2392" s="120"/>
      <c r="BF2392" s="440"/>
    </row>
    <row r="2393" spans="28:58">
      <c r="AB2393" s="436"/>
      <c r="AC2393" s="120"/>
      <c r="AD2393" s="120"/>
      <c r="AE2393" s="120"/>
      <c r="AF2393" s="440"/>
      <c r="BB2393" s="436"/>
      <c r="BC2393" s="120"/>
      <c r="BD2393" s="120"/>
      <c r="BE2393" s="120"/>
      <c r="BF2393" s="440"/>
    </row>
    <row r="2394" spans="28:58">
      <c r="AB2394" s="436"/>
      <c r="AC2394" s="120"/>
      <c r="AD2394" s="120"/>
      <c r="AE2394" s="120"/>
      <c r="AF2394" s="440"/>
      <c r="BB2394" s="436"/>
      <c r="BC2394" s="120"/>
      <c r="BD2394" s="120"/>
      <c r="BE2394" s="120"/>
      <c r="BF2394" s="440"/>
    </row>
    <row r="2395" spans="28:58">
      <c r="AB2395" s="436"/>
      <c r="AC2395" s="120"/>
      <c r="AD2395" s="120"/>
      <c r="AE2395" s="120"/>
      <c r="AF2395" s="440"/>
      <c r="BB2395" s="436"/>
      <c r="BC2395" s="120"/>
      <c r="BD2395" s="120"/>
      <c r="BE2395" s="120"/>
      <c r="BF2395" s="440"/>
    </row>
    <row r="2396" spans="28:58">
      <c r="AB2396" s="436"/>
      <c r="AC2396" s="120"/>
      <c r="AD2396" s="120"/>
      <c r="AE2396" s="120"/>
      <c r="AF2396" s="440"/>
      <c r="BB2396" s="436"/>
      <c r="BC2396" s="120"/>
      <c r="BD2396" s="120"/>
      <c r="BE2396" s="120"/>
      <c r="BF2396" s="440"/>
    </row>
    <row r="2397" spans="28:58" ht="14.5" thickBot="1">
      <c r="AB2397" s="492"/>
      <c r="AC2397" s="493"/>
      <c r="AD2397" s="493"/>
      <c r="AE2397" s="493"/>
      <c r="AF2397" s="453"/>
      <c r="BB2397" s="492"/>
      <c r="BC2397" s="493"/>
      <c r="BD2397" s="493"/>
      <c r="BE2397" s="493"/>
      <c r="BF2397" s="453"/>
    </row>
    <row r="2400" spans="28:58" ht="14.5" thickBot="1"/>
    <row r="2401" spans="27:58">
      <c r="AA2401" s="114" t="s">
        <v>478</v>
      </c>
      <c r="AB2401" s="431" t="str">
        <f>AB63</f>
        <v>Select Equipment</v>
      </c>
      <c r="AC2401" s="432"/>
      <c r="AD2401" s="433"/>
      <c r="AE2401" s="434"/>
      <c r="AF2401" s="435"/>
      <c r="BB2401" s="431" t="str">
        <f>BB64</f>
        <v>Select Equipment</v>
      </c>
      <c r="BC2401" s="432"/>
      <c r="BD2401" s="433"/>
      <c r="BE2401" s="434"/>
      <c r="BF2401" s="435"/>
    </row>
    <row r="2402" spans="27:58">
      <c r="AA2402" s="114" t="s">
        <v>5</v>
      </c>
      <c r="AB2402" s="436" t="s">
        <v>1</v>
      </c>
      <c r="AC2402" s="437">
        <f>AC$14/AC$11/AC$10*VLOOKUP(AB2401,'Unit Ops'!$B$140:$J$209,2,FALSE)</f>
        <v>0</v>
      </c>
      <c r="AD2402" s="438" t="s">
        <v>586</v>
      </c>
      <c r="AE2402" s="1027">
        <f>AC2402*AC$306*AC$307</f>
        <v>0</v>
      </c>
      <c r="AF2402" s="439" t="s">
        <v>585</v>
      </c>
      <c r="BA2402" s="114" t="s">
        <v>478</v>
      </c>
      <c r="BB2402" s="436" t="s">
        <v>1</v>
      </c>
      <c r="BC2402" s="437">
        <f>BC$15/BC$11/BC$12*VLOOKUP(BB2401,'Unit Ops'!$B$140:$J$209,2,FALSE)</f>
        <v>0</v>
      </c>
      <c r="BD2402" s="438" t="s">
        <v>586</v>
      </c>
      <c r="BE2402" s="1027">
        <f>BC2402*BC$306*BC$307</f>
        <v>0</v>
      </c>
      <c r="BF2402" s="439" t="s">
        <v>585</v>
      </c>
    </row>
    <row r="2403" spans="27:58">
      <c r="AA2403" s="114" t="str">
        <f>$AB$44</f>
        <v>Hopper</v>
      </c>
      <c r="AB2403" s="436" t="s">
        <v>505</v>
      </c>
      <c r="AC2403" s="437">
        <f>ROUNDUP(AC2402*IF(VLOOKUP(AB2401,'Unit Ops'!$B$140:$L$209,11,FALSE)=1,1.5,0.75),1)</f>
        <v>0</v>
      </c>
      <c r="AD2403" s="438" t="s">
        <v>586</v>
      </c>
      <c r="AE2403" s="120">
        <f>AC2403*AC$306*AC$307</f>
        <v>0</v>
      </c>
      <c r="AF2403" s="439" t="s">
        <v>585</v>
      </c>
      <c r="BA2403" s="114" t="s">
        <v>5</v>
      </c>
      <c r="BB2403" s="436" t="s">
        <v>505</v>
      </c>
      <c r="BC2403" s="437">
        <f>ROUNDUP(BC2402*IF(VLOOKUP(BB2401,'Unit Ops'!$B$140:$L$209,11,FALSE)=1,1.5,0.75),1)</f>
        <v>0</v>
      </c>
      <c r="BD2403" s="438" t="s">
        <v>586</v>
      </c>
      <c r="BE2403" s="120">
        <f>BC2403*BC$306*BC$307</f>
        <v>0</v>
      </c>
      <c r="BF2403" s="439" t="s">
        <v>585</v>
      </c>
    </row>
    <row r="2404" spans="27:58">
      <c r="AA2404" s="114" t="str">
        <f>$AB$45</f>
        <v>Conveyor</v>
      </c>
      <c r="AB2404" s="441" t="s">
        <v>521</v>
      </c>
      <c r="AC2404" s="442" t="e">
        <f>AC2402/AC2403</f>
        <v>#DIV/0!</v>
      </c>
      <c r="AD2404" s="438"/>
      <c r="AE2404" s="443"/>
      <c r="AF2404" s="440"/>
      <c r="BA2404" s="114" t="str">
        <f>$BB$45</f>
        <v>Select Equipment</v>
      </c>
      <c r="BB2404" s="441" t="s">
        <v>521</v>
      </c>
      <c r="BC2404" s="442" t="e">
        <f>BC2402/BC2403</f>
        <v>#DIV/0!</v>
      </c>
      <c r="BD2404" s="438"/>
      <c r="BE2404" s="443"/>
      <c r="BF2404" s="440"/>
    </row>
    <row r="2405" spans="27:58">
      <c r="AA2405" s="114" t="str">
        <f>$AB$46</f>
        <v>Crusher</v>
      </c>
      <c r="AB2405" s="441" t="s">
        <v>506</v>
      </c>
      <c r="AC2405" s="445"/>
      <c r="AD2405" s="438" t="s">
        <v>454</v>
      </c>
      <c r="AE2405" s="443"/>
      <c r="AF2405" s="440"/>
      <c r="BA2405" s="114" t="str">
        <f>$BB$46</f>
        <v>Select Equipment</v>
      </c>
      <c r="BB2405" s="441" t="s">
        <v>506</v>
      </c>
      <c r="BC2405" s="445"/>
      <c r="BD2405" s="438" t="s">
        <v>454</v>
      </c>
      <c r="BE2405" s="443"/>
      <c r="BF2405" s="440"/>
    </row>
    <row r="2406" spans="27:58">
      <c r="AA2406" s="114" t="str">
        <f>$AB$47</f>
        <v>Screen, vibrating</v>
      </c>
      <c r="AB2406" s="436" t="s">
        <v>507</v>
      </c>
      <c r="AC2406" s="225" t="e">
        <f>(VLOOKUP(AB2401,'Unit Ops'!$B$140:$J$209,7,FALSE)*AC2403^VLOOKUP(AB2401,'Unit Ops'!$B$140:$J$209,8,FALSE)+VLOOKUP(AB2401,'Unit Ops'!$B$140:$J$209,9,FALSE))*IF(VLOOKUP(AB2401,'Unit Ops'!$B$140:$L$209,11,FALSE)=1,1,2)</f>
        <v>#NUM!</v>
      </c>
      <c r="AD2406" s="446" t="s">
        <v>454</v>
      </c>
      <c r="AE2406" s="443"/>
      <c r="AF2406" s="440"/>
      <c r="BA2406" s="114" t="str">
        <f>$BB$47</f>
        <v>Select Equipment</v>
      </c>
      <c r="BB2406" s="436" t="s">
        <v>507</v>
      </c>
      <c r="BC2406" s="225" t="e">
        <f>(VLOOKUP(BB2401,'Unit Ops'!$B$140:$J$209,7,FALSE)*BC2403^VLOOKUP(BB2401,'Unit Ops'!$B$140:$J$209,8,FALSE)+VLOOKUP(BB2401,'Unit Ops'!$B$140:$J$209,9,FALSE))*IF(VLOOKUP(BB2401,'Unit Ops'!$B$140:$L$209,11,FALSE)=1,1,2)</f>
        <v>#NUM!</v>
      </c>
      <c r="BD2406" s="446" t="s">
        <v>454</v>
      </c>
      <c r="BE2406" s="443"/>
      <c r="BF2406" s="440"/>
    </row>
    <row r="2407" spans="27:58">
      <c r="AA2407" s="114" t="str">
        <f>$AB$48</f>
        <v>Conveyor</v>
      </c>
      <c r="AB2407" s="441"/>
      <c r="AC2407" s="445"/>
      <c r="AD2407" s="447"/>
      <c r="AE2407" s="443"/>
      <c r="AF2407" s="440"/>
      <c r="BA2407" s="114" t="str">
        <f>$BB$48</f>
        <v>Select Equipment</v>
      </c>
      <c r="BB2407" s="441"/>
      <c r="BC2407" s="445"/>
      <c r="BD2407" s="447"/>
      <c r="BE2407" s="443"/>
      <c r="BF2407" s="440"/>
    </row>
    <row r="2408" spans="27:58">
      <c r="AA2408" s="114" t="str">
        <f>$AB$49</f>
        <v>Heat treatment furnace</v>
      </c>
      <c r="AB2408" s="441"/>
      <c r="AC2408" s="445"/>
      <c r="AD2408" s="447"/>
      <c r="AE2408" s="443"/>
      <c r="AF2408" s="440"/>
      <c r="BA2408" s="114" t="str">
        <f>$BB$49</f>
        <v>Select Equipment</v>
      </c>
      <c r="BB2408" s="441"/>
      <c r="BC2408" s="445"/>
      <c r="BD2408" s="447"/>
      <c r="BE2408" s="443"/>
      <c r="BF2408" s="440"/>
    </row>
    <row r="2409" spans="27:58">
      <c r="AA2409" s="114" t="str">
        <f>$AB$50</f>
        <v>Cyclone</v>
      </c>
      <c r="AB2409" s="449"/>
      <c r="AC2409" s="445"/>
      <c r="AD2409" s="447"/>
      <c r="AE2409" s="443"/>
      <c r="AF2409" s="440"/>
      <c r="BA2409" s="114" t="str">
        <f>$BB$50</f>
        <v>Select Equipment</v>
      </c>
      <c r="BB2409" s="449"/>
      <c r="BC2409" s="445"/>
      <c r="BD2409" s="447"/>
      <c r="BE2409" s="443"/>
      <c r="BF2409" s="440"/>
    </row>
    <row r="2410" spans="27:58" ht="14.5" thickBot="1">
      <c r="AA2410" s="114" t="str">
        <f>$AB$51</f>
        <v>Conveyor</v>
      </c>
      <c r="AB2410" s="450"/>
      <c r="AC2410" s="451"/>
      <c r="AD2410" s="451"/>
      <c r="AE2410" s="452"/>
      <c r="AF2410" s="453"/>
      <c r="BA2410" s="114" t="str">
        <f>$BB$51</f>
        <v>Select Equipment</v>
      </c>
      <c r="BB2410" s="450"/>
      <c r="BC2410" s="451"/>
      <c r="BD2410" s="451"/>
      <c r="BE2410" s="452"/>
      <c r="BF2410" s="453"/>
    </row>
    <row r="2411" spans="27:58">
      <c r="AA2411" s="114" t="str">
        <f>$AB$52</f>
        <v>Eddy current separator</v>
      </c>
      <c r="AB2411" s="449" t="s">
        <v>470</v>
      </c>
      <c r="AC2411" s="120"/>
      <c r="AD2411" s="454"/>
      <c r="AE2411" s="120"/>
      <c r="AF2411" s="440"/>
      <c r="BA2411" s="114" t="str">
        <f>$BB$52</f>
        <v>Select Equipment</v>
      </c>
      <c r="BB2411" s="449" t="s">
        <v>470</v>
      </c>
      <c r="BC2411" s="120"/>
      <c r="BD2411" s="454"/>
      <c r="BE2411" s="120"/>
      <c r="BF2411" s="440"/>
    </row>
    <row r="2412" spans="27:58" ht="14.5" customHeight="1">
      <c r="AA2412" s="114" t="str">
        <f>$AB$53</f>
        <v>Conveyor</v>
      </c>
      <c r="AB2412" s="1698"/>
      <c r="AC2412" s="1699"/>
      <c r="AD2412" s="1699"/>
      <c r="AE2412" s="1699"/>
      <c r="AF2412" s="1700"/>
      <c r="BA2412" s="114" t="str">
        <f>$BB$53</f>
        <v>Select Equipment</v>
      </c>
      <c r="BB2412" s="1698"/>
      <c r="BC2412" s="1699"/>
      <c r="BD2412" s="1699"/>
      <c r="BE2412" s="1699"/>
      <c r="BF2412" s="1700"/>
    </row>
    <row r="2413" spans="27:58">
      <c r="AA2413" s="114" t="str">
        <f>$AB$54</f>
        <v>Air classifier</v>
      </c>
      <c r="AB2413" s="436"/>
      <c r="AC2413" s="120"/>
      <c r="AD2413" s="455"/>
      <c r="AE2413" s="120"/>
      <c r="AF2413" s="440"/>
      <c r="BA2413" s="114" t="str">
        <f>$BB$54</f>
        <v>Select Equipment</v>
      </c>
      <c r="BB2413" s="436"/>
      <c r="BC2413" s="120"/>
      <c r="BD2413" s="455"/>
      <c r="BE2413" s="120"/>
      <c r="BF2413" s="440"/>
    </row>
    <row r="2414" spans="27:58">
      <c r="AA2414" s="114" t="str">
        <f>$AB$55</f>
        <v>Gas treatment</v>
      </c>
      <c r="AB2414" s="436"/>
      <c r="AC2414" s="120"/>
      <c r="AD2414" s="455"/>
      <c r="AE2414" s="120"/>
      <c r="AF2414" s="440"/>
      <c r="BA2414" s="114" t="str">
        <f>$BB$55</f>
        <v>Select Equipment</v>
      </c>
      <c r="BB2414" s="436"/>
      <c r="BC2414" s="120"/>
      <c r="BD2414" s="455"/>
      <c r="BE2414" s="120"/>
      <c r="BF2414" s="440"/>
    </row>
    <row r="2415" spans="27:58">
      <c r="AA2415" s="114" t="str">
        <f>$AB$56</f>
        <v>Wheel loader</v>
      </c>
      <c r="AB2415" s="456"/>
      <c r="AC2415" s="457"/>
      <c r="AD2415" s="457"/>
      <c r="AE2415" s="457"/>
      <c r="AF2415" s="458"/>
      <c r="BA2415" s="114" t="str">
        <f>$BB$56</f>
        <v>Select Equipment</v>
      </c>
      <c r="BB2415" s="456"/>
      <c r="BC2415" s="457"/>
      <c r="BD2415" s="457"/>
      <c r="BE2415" s="457"/>
      <c r="BF2415" s="458"/>
    </row>
    <row r="2416" spans="27:58">
      <c r="AA2416" s="114" t="str">
        <f>$AB$57</f>
        <v>Select Equipment</v>
      </c>
      <c r="AB2416" s="449" t="s">
        <v>471</v>
      </c>
      <c r="AC2416" s="120"/>
      <c r="AD2416" s="454"/>
      <c r="AE2416" s="120"/>
      <c r="AF2416" s="440"/>
      <c r="BA2416" s="114" t="str">
        <f>$BB$57</f>
        <v>Select Equipment</v>
      </c>
      <c r="BB2416" s="449" t="s">
        <v>471</v>
      </c>
      <c r="BC2416" s="120"/>
      <c r="BD2416" s="454"/>
      <c r="BE2416" s="120"/>
      <c r="BF2416" s="440"/>
    </row>
    <row r="2417" spans="27:58">
      <c r="AA2417" s="114" t="str">
        <f>$AB$58</f>
        <v>Select Equipment</v>
      </c>
      <c r="AB2417" s="436" t="s">
        <v>577</v>
      </c>
      <c r="AC2417" s="225" t="e">
        <f>AC2406*IF(AC2404&gt;1,1,AC2404)</f>
        <v>#NUM!</v>
      </c>
      <c r="AD2417" s="446" t="s">
        <v>454</v>
      </c>
      <c r="AE2417" s="120"/>
      <c r="AF2417" s="440"/>
      <c r="BA2417" s="114" t="str">
        <f>$BB$58</f>
        <v>Select Equipment</v>
      </c>
      <c r="BB2417" s="436" t="s">
        <v>577</v>
      </c>
      <c r="BC2417" s="225" t="e">
        <f>BC2406*IF(BC2404&gt;1,1,BC2404)</f>
        <v>#NUM!</v>
      </c>
      <c r="BD2417" s="446" t="s">
        <v>454</v>
      </c>
      <c r="BE2417" s="120"/>
      <c r="BF2417" s="440"/>
    </row>
    <row r="2418" spans="27:58">
      <c r="AA2418" s="114" t="str">
        <f>$AB$59</f>
        <v>Select Equipment</v>
      </c>
      <c r="AB2418" s="436" t="s">
        <v>578</v>
      </c>
      <c r="AC2418" s="225"/>
      <c r="AD2418" s="446" t="s">
        <v>579</v>
      </c>
      <c r="AE2418" s="120"/>
      <c r="AF2418" s="440"/>
      <c r="BA2418" s="114" t="str">
        <f>$BB$59</f>
        <v>Select Equipment</v>
      </c>
      <c r="BB2418" s="436" t="s">
        <v>578</v>
      </c>
      <c r="BC2418" s="225"/>
      <c r="BD2418" s="446" t="s">
        <v>579</v>
      </c>
      <c r="BE2418" s="120"/>
      <c r="BF2418" s="440"/>
    </row>
    <row r="2419" spans="27:58">
      <c r="AA2419" s="114" t="str">
        <f>$AB$60</f>
        <v>Select Equipment</v>
      </c>
      <c r="AB2419" s="436"/>
      <c r="AC2419" s="120"/>
      <c r="AD2419" s="446"/>
      <c r="AE2419" s="120"/>
      <c r="AF2419" s="440"/>
      <c r="BA2419" s="114" t="str">
        <f>$BB$60</f>
        <v>Select Equipment</v>
      </c>
      <c r="BB2419" s="436"/>
      <c r="BC2419" s="120"/>
      <c r="BD2419" s="446"/>
      <c r="BE2419" s="120"/>
      <c r="BF2419" s="440"/>
    </row>
    <row r="2420" spans="27:58">
      <c r="AA2420" s="114" t="str">
        <f>$AB$61</f>
        <v>Select Equipment</v>
      </c>
      <c r="AB2420" s="436" t="s">
        <v>8</v>
      </c>
      <c r="AC2420" s="120"/>
      <c r="AD2420" s="459" t="s">
        <v>564</v>
      </c>
      <c r="AE2420" s="120"/>
      <c r="AF2420" s="440"/>
      <c r="BA2420" s="114" t="str">
        <f>$BB$61</f>
        <v>Select Equipment</v>
      </c>
      <c r="BB2420" s="436" t="s">
        <v>8</v>
      </c>
      <c r="BC2420" s="120"/>
      <c r="BD2420" s="459" t="s">
        <v>564</v>
      </c>
      <c r="BE2420" s="120"/>
      <c r="BF2420" s="440"/>
    </row>
    <row r="2421" spans="27:58">
      <c r="AA2421" s="114" t="str">
        <f>$AB$62</f>
        <v>Select Equipment</v>
      </c>
      <c r="AB2421" s="436"/>
      <c r="AC2421" s="120"/>
      <c r="AD2421" s="459"/>
      <c r="AE2421" s="120"/>
      <c r="AF2421" s="440"/>
      <c r="BA2421" s="114" t="str">
        <f>$BB$62</f>
        <v>Select Equipment</v>
      </c>
      <c r="BB2421" s="436"/>
      <c r="BC2421" s="120"/>
      <c r="BD2421" s="459"/>
      <c r="BE2421" s="120"/>
      <c r="BF2421" s="440"/>
    </row>
    <row r="2422" spans="27:58">
      <c r="AA2422" s="114" t="str">
        <f>$AB$63</f>
        <v>Select Equipment</v>
      </c>
      <c r="AB2422" s="436" t="s">
        <v>7</v>
      </c>
      <c r="AC2422" s="120"/>
      <c r="AD2422" s="459" t="s">
        <v>564</v>
      </c>
      <c r="AE2422" s="120"/>
      <c r="AF2422" s="440"/>
      <c r="BA2422" s="114" t="str">
        <f>$BB$63</f>
        <v>Select Equipment</v>
      </c>
      <c r="BB2422" s="436" t="s">
        <v>7</v>
      </c>
      <c r="BC2422" s="120"/>
      <c r="BD2422" s="459" t="s">
        <v>564</v>
      </c>
      <c r="BE2422" s="120"/>
      <c r="BF2422" s="440"/>
    </row>
    <row r="2423" spans="27:58">
      <c r="AA2423"/>
      <c r="AB2423" s="436"/>
      <c r="AC2423" s="120"/>
      <c r="AD2423" s="459"/>
      <c r="AE2423" s="120"/>
      <c r="AF2423" s="440"/>
      <c r="BA2423" s="114" t="str">
        <f>$BB$64</f>
        <v>Select Equipment</v>
      </c>
      <c r="BB2423" s="436"/>
      <c r="BC2423" s="120"/>
      <c r="BD2423" s="459"/>
      <c r="BE2423" s="120"/>
      <c r="BF2423" s="440"/>
    </row>
    <row r="2424" spans="27:58">
      <c r="AA2424"/>
      <c r="AB2424" s="436" t="s">
        <v>9</v>
      </c>
      <c r="AC2424" s="120"/>
      <c r="AD2424" s="459" t="s">
        <v>564</v>
      </c>
      <c r="AE2424" s="120"/>
      <c r="AF2424" s="440"/>
      <c r="BA2424"/>
      <c r="BB2424" s="436" t="s">
        <v>9</v>
      </c>
      <c r="BC2424" s="120"/>
      <c r="BD2424" s="459" t="s">
        <v>564</v>
      </c>
      <c r="BE2424" s="120"/>
      <c r="BF2424" s="440"/>
    </row>
    <row r="2425" spans="27:58">
      <c r="AA2425"/>
      <c r="AB2425" s="436"/>
      <c r="AC2425" s="120"/>
      <c r="AD2425" s="459"/>
      <c r="AE2425" s="120"/>
      <c r="AF2425" s="440"/>
      <c r="BA2425"/>
      <c r="BB2425" s="436"/>
      <c r="BC2425" s="120"/>
      <c r="BD2425" s="459"/>
      <c r="BE2425" s="120"/>
      <c r="BF2425" s="440"/>
    </row>
    <row r="2426" spans="27:58">
      <c r="AA2426"/>
      <c r="AB2426" s="436" t="s">
        <v>324</v>
      </c>
      <c r="AC2426" s="120"/>
      <c r="AD2426" s="459" t="s">
        <v>564</v>
      </c>
      <c r="AE2426" s="120"/>
      <c r="AF2426" s="440" t="s">
        <v>569</v>
      </c>
      <c r="BA2426"/>
      <c r="BB2426" s="436" t="s">
        <v>324</v>
      </c>
      <c r="BC2426" s="120"/>
      <c r="BD2426" s="459" t="s">
        <v>564</v>
      </c>
      <c r="BE2426" s="120"/>
      <c r="BF2426" s="440" t="s">
        <v>569</v>
      </c>
    </row>
    <row r="2427" spans="27:58">
      <c r="AA2427"/>
      <c r="AB2427" s="436"/>
      <c r="AC2427" s="120"/>
      <c r="AD2427" s="468"/>
      <c r="AE2427" s="469"/>
      <c r="AF2427" s="440"/>
      <c r="BA2427"/>
      <c r="BB2427" s="436"/>
      <c r="BC2427" s="120"/>
      <c r="BD2427" s="468"/>
      <c r="BE2427" s="469"/>
      <c r="BF2427" s="440"/>
    </row>
    <row r="2428" spans="27:58">
      <c r="AA2428"/>
      <c r="AB2428" s="436" t="s">
        <v>374</v>
      </c>
      <c r="AC2428" s="120"/>
      <c r="AD2428" s="459" t="s">
        <v>564</v>
      </c>
      <c r="AE2428" s="469"/>
      <c r="AF2428" s="440" t="s">
        <v>569</v>
      </c>
      <c r="BA2428"/>
      <c r="BB2428" s="436" t="s">
        <v>374</v>
      </c>
      <c r="BC2428" s="120"/>
      <c r="BD2428" s="459" t="s">
        <v>564</v>
      </c>
      <c r="BE2428" s="469"/>
      <c r="BF2428" s="440" t="s">
        <v>569</v>
      </c>
    </row>
    <row r="2429" spans="27:58">
      <c r="AA2429"/>
      <c r="AB2429" s="436"/>
      <c r="AC2429" s="120"/>
      <c r="AD2429" s="472"/>
      <c r="AE2429" s="473"/>
      <c r="AF2429" s="440"/>
      <c r="BA2429"/>
      <c r="BB2429" s="436"/>
      <c r="BC2429" s="120"/>
      <c r="BD2429" s="472"/>
      <c r="BE2429" s="473"/>
      <c r="BF2429" s="440"/>
    </row>
    <row r="2430" spans="27:58">
      <c r="AA2430"/>
      <c r="AB2430" s="436" t="s">
        <v>580</v>
      </c>
      <c r="AC2430" s="120"/>
      <c r="AD2430" s="459" t="s">
        <v>564</v>
      </c>
      <c r="AE2430" s="473"/>
      <c r="AF2430" s="440" t="s">
        <v>569</v>
      </c>
      <c r="BA2430"/>
      <c r="BB2430" s="436" t="s">
        <v>580</v>
      </c>
      <c r="BC2430" s="120"/>
      <c r="BD2430" s="459" t="s">
        <v>564</v>
      </c>
      <c r="BE2430" s="473"/>
      <c r="BF2430" s="440" t="s">
        <v>569</v>
      </c>
    </row>
    <row r="2431" spans="27:58">
      <c r="AA2431"/>
      <c r="AB2431" s="476"/>
      <c r="AC2431" s="477"/>
      <c r="AD2431" s="478"/>
      <c r="AE2431" s="479"/>
      <c r="AF2431" s="458"/>
      <c r="BA2431"/>
      <c r="BB2431" s="476"/>
      <c r="BC2431" s="477"/>
      <c r="BD2431" s="478"/>
      <c r="BE2431" s="479"/>
      <c r="BF2431" s="458"/>
    </row>
    <row r="2432" spans="27:58">
      <c r="AA2432"/>
      <c r="AB2432" s="449" t="s">
        <v>473</v>
      </c>
      <c r="AC2432" s="467" t="s">
        <v>508</v>
      </c>
      <c r="AD2432" s="480"/>
      <c r="AE2432" s="481" t="s">
        <v>308</v>
      </c>
      <c r="AF2432" s="440"/>
      <c r="BA2432"/>
      <c r="BB2432" s="449" t="s">
        <v>473</v>
      </c>
      <c r="BC2432" s="467" t="s">
        <v>508</v>
      </c>
      <c r="BD2432" s="480"/>
      <c r="BE2432" s="481" t="s">
        <v>308</v>
      </c>
      <c r="BF2432" s="440"/>
    </row>
    <row r="2433" spans="28:58">
      <c r="AB2433" s="436"/>
      <c r="AC2433" s="483"/>
      <c r="AD2433" s="480"/>
      <c r="AE2433" s="484"/>
      <c r="AF2433" s="440"/>
      <c r="BA2433"/>
      <c r="BB2433" s="436"/>
      <c r="BC2433" s="483"/>
      <c r="BD2433" s="480"/>
      <c r="BE2433" s="484"/>
      <c r="BF2433" s="440"/>
    </row>
    <row r="2434" spans="28:58">
      <c r="AB2434" s="436"/>
      <c r="AC2434" s="120"/>
      <c r="AD2434" s="223"/>
      <c r="AE2434" s="467"/>
      <c r="AF2434" s="440"/>
      <c r="BB2434" s="436"/>
      <c r="BC2434" s="120"/>
      <c r="BD2434" s="223"/>
      <c r="BE2434" s="467"/>
      <c r="BF2434" s="440"/>
    </row>
    <row r="2435" spans="28:58">
      <c r="AB2435" s="436"/>
      <c r="AC2435" s="120"/>
      <c r="AD2435" s="466"/>
      <c r="AE2435" s="467"/>
      <c r="AF2435" s="440"/>
      <c r="BB2435" s="436"/>
      <c r="BC2435" s="120"/>
      <c r="BD2435" s="466"/>
      <c r="BE2435" s="467"/>
      <c r="BF2435" s="440"/>
    </row>
    <row r="2436" spans="28:58">
      <c r="AB2436" s="436"/>
      <c r="AC2436" s="120"/>
      <c r="AD2436" s="223"/>
      <c r="AE2436" s="467"/>
      <c r="AF2436" s="440"/>
      <c r="BB2436" s="436"/>
      <c r="BC2436" s="120"/>
      <c r="BD2436" s="223"/>
      <c r="BE2436" s="467"/>
      <c r="BF2436" s="440"/>
    </row>
    <row r="2437" spans="28:58">
      <c r="AB2437" s="436"/>
      <c r="AC2437" s="120"/>
      <c r="AD2437" s="223"/>
      <c r="AE2437" s="467"/>
      <c r="AF2437" s="440"/>
      <c r="BB2437" s="436"/>
      <c r="BC2437" s="120"/>
      <c r="BD2437" s="223"/>
      <c r="BE2437" s="467"/>
      <c r="BF2437" s="440"/>
    </row>
    <row r="2438" spans="28:58">
      <c r="AB2438" s="436"/>
      <c r="AC2438" s="120"/>
      <c r="AD2438" s="471"/>
      <c r="AE2438" s="467"/>
      <c r="AF2438" s="440"/>
      <c r="BB2438" s="436"/>
      <c r="BC2438" s="120"/>
      <c r="BD2438" s="471"/>
      <c r="BE2438" s="467"/>
      <c r="BF2438" s="440"/>
    </row>
    <row r="2439" spans="28:58">
      <c r="AB2439" s="436"/>
      <c r="AC2439" s="120"/>
      <c r="AD2439" s="223"/>
      <c r="AE2439" s="467"/>
      <c r="AF2439" s="440"/>
      <c r="BB2439" s="436"/>
      <c r="BC2439" s="120"/>
      <c r="BD2439" s="223"/>
      <c r="BE2439" s="467"/>
      <c r="BF2439" s="440"/>
    </row>
    <row r="2440" spans="28:58">
      <c r="AB2440" s="436"/>
      <c r="AC2440" s="120"/>
      <c r="AD2440" s="475"/>
      <c r="AE2440" s="467"/>
      <c r="AF2440" s="440"/>
      <c r="BB2440" s="436"/>
      <c r="BC2440" s="120"/>
      <c r="BD2440" s="475"/>
      <c r="BE2440" s="467"/>
      <c r="BF2440" s="440"/>
    </row>
    <row r="2441" spans="28:58">
      <c r="AB2441" s="436"/>
      <c r="AC2441" s="120"/>
      <c r="AD2441" s="223"/>
      <c r="AE2441" s="467"/>
      <c r="AF2441" s="440"/>
      <c r="BB2441" s="436"/>
      <c r="BC2441" s="120"/>
      <c r="BD2441" s="223"/>
      <c r="BE2441" s="467"/>
      <c r="BF2441" s="440"/>
    </row>
    <row r="2442" spans="28:58">
      <c r="AB2442" s="436"/>
      <c r="AC2442" s="120"/>
      <c r="AD2442" s="223"/>
      <c r="AE2442" s="467"/>
      <c r="AF2442" s="440"/>
      <c r="BB2442" s="436"/>
      <c r="BC2442" s="120"/>
      <c r="BD2442" s="223"/>
      <c r="BE2442" s="467"/>
      <c r="BF2442" s="440"/>
    </row>
    <row r="2443" spans="28:58">
      <c r="AB2443" s="436"/>
      <c r="AC2443" s="120"/>
      <c r="AD2443" s="223"/>
      <c r="AE2443" s="467"/>
      <c r="AF2443" s="440"/>
      <c r="BB2443" s="436"/>
      <c r="BC2443" s="120"/>
      <c r="BD2443" s="223"/>
      <c r="BE2443" s="467"/>
      <c r="BF2443" s="440"/>
    </row>
    <row r="2444" spans="28:58">
      <c r="AB2444" s="436"/>
      <c r="AC2444" s="120"/>
      <c r="AD2444" s="223"/>
      <c r="AE2444" s="467"/>
      <c r="AF2444" s="440"/>
      <c r="BB2444" s="436"/>
      <c r="BC2444" s="120"/>
      <c r="BD2444" s="223"/>
      <c r="BE2444" s="467"/>
      <c r="BF2444" s="440"/>
    </row>
    <row r="2445" spans="28:58">
      <c r="AB2445" s="436"/>
      <c r="AC2445" s="120"/>
      <c r="AD2445" s="120"/>
      <c r="AE2445" s="467"/>
      <c r="AF2445" s="440"/>
      <c r="BB2445" s="436"/>
      <c r="BC2445" s="120"/>
      <c r="BD2445" s="120"/>
      <c r="BE2445" s="467"/>
      <c r="BF2445" s="440"/>
    </row>
    <row r="2446" spans="28:58">
      <c r="AB2446" s="456"/>
      <c r="AC2446" s="457"/>
      <c r="AD2446" s="457"/>
      <c r="AE2446" s="477"/>
      <c r="AF2446" s="458"/>
      <c r="BB2446" s="456"/>
      <c r="BC2446" s="457"/>
      <c r="BD2446" s="457"/>
      <c r="BE2446" s="477"/>
      <c r="BF2446" s="458"/>
    </row>
    <row r="2447" spans="28:58">
      <c r="AB2447" s="449" t="s">
        <v>474</v>
      </c>
      <c r="AC2447" s="120"/>
      <c r="AD2447" s="120" t="s">
        <v>1</v>
      </c>
      <c r="AE2447" s="310" t="s">
        <v>307</v>
      </c>
      <c r="AF2447" s="440"/>
      <c r="BB2447" s="449" t="s">
        <v>474</v>
      </c>
      <c r="BC2447" s="120"/>
      <c r="BD2447" s="120" t="s">
        <v>1</v>
      </c>
      <c r="BE2447" s="310" t="s">
        <v>307</v>
      </c>
      <c r="BF2447" s="440"/>
    </row>
    <row r="2448" spans="28:58">
      <c r="AB2448" s="436"/>
      <c r="AC2448" s="223"/>
      <c r="AD2448" s="480"/>
      <c r="AE2448" s="484"/>
      <c r="AF2448" s="440"/>
      <c r="BB2448" s="436"/>
      <c r="BC2448" s="223"/>
      <c r="BD2448" s="480"/>
      <c r="BE2448" s="484"/>
      <c r="BF2448" s="440"/>
    </row>
    <row r="2449" spans="28:58">
      <c r="AB2449" s="436"/>
      <c r="AC2449" s="120"/>
      <c r="AD2449" s="120"/>
      <c r="AE2449" s="467"/>
      <c r="AF2449" s="440"/>
      <c r="BB2449" s="436"/>
      <c r="BC2449" s="120"/>
      <c r="BD2449" s="120"/>
      <c r="BE2449" s="467"/>
      <c r="BF2449" s="440"/>
    </row>
    <row r="2450" spans="28:58">
      <c r="AB2450" s="436"/>
      <c r="AC2450" s="120"/>
      <c r="AD2450" s="120"/>
      <c r="AE2450" s="467"/>
      <c r="AF2450" s="440"/>
      <c r="BB2450" s="436"/>
      <c r="BC2450" s="120"/>
      <c r="BD2450" s="120"/>
      <c r="BE2450" s="467"/>
      <c r="BF2450" s="440"/>
    </row>
    <row r="2451" spans="28:58">
      <c r="AB2451" s="436"/>
      <c r="AC2451" s="120"/>
      <c r="AD2451" s="120"/>
      <c r="AE2451" s="467"/>
      <c r="AF2451" s="440"/>
      <c r="BB2451" s="436"/>
      <c r="BC2451" s="120"/>
      <c r="BD2451" s="120"/>
      <c r="BE2451" s="467"/>
      <c r="BF2451" s="440"/>
    </row>
    <row r="2452" spans="28:58">
      <c r="AB2452" s="436"/>
      <c r="AC2452" s="120"/>
      <c r="AD2452" s="120"/>
      <c r="AE2452" s="467"/>
      <c r="AF2452" s="440"/>
      <c r="BB2452" s="436"/>
      <c r="BC2452" s="120"/>
      <c r="BD2452" s="120"/>
      <c r="BE2452" s="467"/>
      <c r="BF2452" s="440"/>
    </row>
    <row r="2453" spans="28:58">
      <c r="AB2453" s="436"/>
      <c r="AC2453" s="120"/>
      <c r="AD2453" s="120"/>
      <c r="AE2453" s="467"/>
      <c r="AF2453" s="440"/>
      <c r="BB2453" s="436"/>
      <c r="BC2453" s="120"/>
      <c r="BD2453" s="120"/>
      <c r="BE2453" s="467"/>
      <c r="BF2453" s="440"/>
    </row>
    <row r="2454" spans="28:58">
      <c r="AB2454" s="436"/>
      <c r="AC2454" s="120"/>
      <c r="AD2454" s="120"/>
      <c r="AE2454" s="467"/>
      <c r="AF2454" s="440"/>
      <c r="BB2454" s="436"/>
      <c r="BC2454" s="120"/>
      <c r="BD2454" s="120"/>
      <c r="BE2454" s="467"/>
      <c r="BF2454" s="440"/>
    </row>
    <row r="2455" spans="28:58">
      <c r="AB2455" s="436"/>
      <c r="AC2455" s="120"/>
      <c r="AD2455" s="120"/>
      <c r="AE2455" s="467"/>
      <c r="AF2455" s="440"/>
      <c r="BB2455" s="436"/>
      <c r="BC2455" s="120"/>
      <c r="BD2455" s="120"/>
      <c r="BE2455" s="467"/>
      <c r="BF2455" s="440"/>
    </row>
    <row r="2456" spans="28:58">
      <c r="AB2456" s="436"/>
      <c r="AC2456" s="120"/>
      <c r="AD2456" s="120"/>
      <c r="AE2456" s="467"/>
      <c r="AF2456" s="440"/>
      <c r="BB2456" s="436"/>
      <c r="BC2456" s="120"/>
      <c r="BD2456" s="120"/>
      <c r="BE2456" s="467"/>
      <c r="BF2456" s="440"/>
    </row>
    <row r="2457" spans="28:58">
      <c r="AB2457" s="436"/>
      <c r="AC2457" s="120"/>
      <c r="AD2457" s="120"/>
      <c r="AE2457" s="467"/>
      <c r="AF2457" s="440"/>
      <c r="BB2457" s="436"/>
      <c r="BC2457" s="120"/>
      <c r="BD2457" s="120"/>
      <c r="BE2457" s="467"/>
      <c r="BF2457" s="440"/>
    </row>
    <row r="2458" spans="28:58">
      <c r="AB2458" s="436"/>
      <c r="AC2458" s="120"/>
      <c r="AD2458" s="120"/>
      <c r="AE2458" s="467"/>
      <c r="AF2458" s="440"/>
      <c r="BB2458" s="436"/>
      <c r="BC2458" s="120"/>
      <c r="BD2458" s="120"/>
      <c r="BE2458" s="467"/>
      <c r="BF2458" s="440"/>
    </row>
    <row r="2459" spans="28:58">
      <c r="AB2459" s="436"/>
      <c r="AC2459" s="120"/>
      <c r="AD2459" s="120"/>
      <c r="AE2459" s="467"/>
      <c r="AF2459" s="440"/>
      <c r="BB2459" s="436"/>
      <c r="BC2459" s="120"/>
      <c r="BD2459" s="120"/>
      <c r="BE2459" s="467"/>
      <c r="BF2459" s="440"/>
    </row>
    <row r="2460" spans="28:58">
      <c r="AB2460" s="456"/>
      <c r="AC2460" s="457"/>
      <c r="AD2460" s="457"/>
      <c r="AE2460" s="477"/>
      <c r="AF2460" s="458"/>
      <c r="BB2460" s="456"/>
      <c r="BC2460" s="457"/>
      <c r="BD2460" s="457"/>
      <c r="BE2460" s="477"/>
      <c r="BF2460" s="458"/>
    </row>
    <row r="2461" spans="28:58">
      <c r="AB2461" s="456"/>
      <c r="AC2461" s="457"/>
      <c r="AD2461" s="457"/>
      <c r="AE2461" s="457"/>
      <c r="AF2461" s="458"/>
      <c r="BB2461" s="456"/>
      <c r="BC2461" s="457"/>
      <c r="BD2461" s="457"/>
      <c r="BE2461" s="457"/>
      <c r="BF2461" s="458"/>
    </row>
    <row r="2462" spans="28:58">
      <c r="AB2462" s="449" t="s">
        <v>475</v>
      </c>
      <c r="AC2462" s="120"/>
      <c r="AD2462" s="120"/>
      <c r="AE2462" s="120"/>
      <c r="AF2462" s="440"/>
      <c r="BB2462" s="449" t="s">
        <v>475</v>
      </c>
      <c r="BC2462" s="120"/>
      <c r="BD2462" s="120"/>
      <c r="BE2462" s="120"/>
      <c r="BF2462" s="440"/>
    </row>
    <row r="2463" spans="28:58">
      <c r="AB2463" s="436" t="s">
        <v>509</v>
      </c>
      <c r="AC2463" s="120"/>
      <c r="AD2463" s="120"/>
      <c r="AE2463" s="120"/>
      <c r="AF2463" s="440"/>
      <c r="BB2463" s="436" t="s">
        <v>509</v>
      </c>
      <c r="BC2463" s="120"/>
      <c r="BD2463" s="120"/>
      <c r="BE2463" s="120"/>
      <c r="BF2463" s="440"/>
    </row>
    <row r="2464" spans="28:58">
      <c r="AB2464" s="436" t="s">
        <v>510</v>
      </c>
      <c r="AC2464" s="120"/>
      <c r="AD2464" s="120"/>
      <c r="AE2464" s="120"/>
      <c r="AF2464" s="440"/>
      <c r="BB2464" s="436" t="s">
        <v>510</v>
      </c>
      <c r="BC2464" s="120"/>
      <c r="BD2464" s="120"/>
      <c r="BE2464" s="120"/>
      <c r="BF2464" s="440"/>
    </row>
    <row r="2465" spans="28:58">
      <c r="AB2465" s="436"/>
      <c r="AC2465" s="120"/>
      <c r="AD2465" s="120"/>
      <c r="AE2465" s="120"/>
      <c r="AF2465" s="440"/>
      <c r="BB2465" s="436"/>
      <c r="BC2465" s="120"/>
      <c r="BD2465" s="120"/>
      <c r="BE2465" s="120"/>
      <c r="BF2465" s="440"/>
    </row>
    <row r="2466" spans="28:58">
      <c r="AB2466" s="436"/>
      <c r="AC2466" s="120"/>
      <c r="AD2466" s="120"/>
      <c r="AE2466" s="120"/>
      <c r="AF2466" s="440"/>
      <c r="BB2466" s="436"/>
      <c r="BC2466" s="120"/>
      <c r="BD2466" s="120"/>
      <c r="BE2466" s="120"/>
      <c r="BF2466" s="440"/>
    </row>
    <row r="2467" spans="28:58">
      <c r="AB2467" s="436"/>
      <c r="AC2467" s="120"/>
      <c r="AD2467" s="120"/>
      <c r="AE2467" s="120"/>
      <c r="AF2467" s="440"/>
      <c r="BB2467" s="436"/>
      <c r="BC2467" s="120"/>
      <c r="BD2467" s="120"/>
      <c r="BE2467" s="120"/>
      <c r="BF2467" s="440"/>
    </row>
    <row r="2468" spans="28:58">
      <c r="AB2468" s="436"/>
      <c r="AC2468" s="120"/>
      <c r="AD2468" s="120"/>
      <c r="AE2468" s="120"/>
      <c r="AF2468" s="440"/>
      <c r="BB2468" s="436"/>
      <c r="BC2468" s="120"/>
      <c r="BD2468" s="120"/>
      <c r="BE2468" s="120"/>
      <c r="BF2468" s="440"/>
    </row>
    <row r="2469" spans="28:58">
      <c r="AB2469" s="436" t="s">
        <v>511</v>
      </c>
      <c r="AC2469" s="120">
        <v>0</v>
      </c>
      <c r="AD2469" s="120" t="s">
        <v>512</v>
      </c>
      <c r="AE2469" s="120"/>
      <c r="AF2469" s="440"/>
      <c r="BB2469" s="436" t="s">
        <v>511</v>
      </c>
      <c r="BC2469" s="120">
        <v>0</v>
      </c>
      <c r="BD2469" s="120" t="s">
        <v>512</v>
      </c>
      <c r="BE2469" s="120"/>
      <c r="BF2469" s="440"/>
    </row>
    <row r="2470" spans="28:58">
      <c r="AB2470" s="436" t="s">
        <v>513</v>
      </c>
      <c r="AC2470" s="120">
        <v>0</v>
      </c>
      <c r="AD2470" s="120" t="s">
        <v>512</v>
      </c>
      <c r="AE2470" s="120"/>
      <c r="AF2470" s="440"/>
      <c r="BB2470" s="436" t="s">
        <v>513</v>
      </c>
      <c r="BC2470" s="120">
        <v>0</v>
      </c>
      <c r="BD2470" s="120" t="s">
        <v>512</v>
      </c>
      <c r="BE2470" s="120"/>
      <c r="BF2470" s="440"/>
    </row>
    <row r="2471" spans="28:58">
      <c r="AB2471" s="456"/>
      <c r="AC2471" s="457"/>
      <c r="AD2471" s="457"/>
      <c r="AE2471" s="457"/>
      <c r="AF2471" s="458"/>
      <c r="BB2471" s="456"/>
      <c r="BC2471" s="457"/>
      <c r="BD2471" s="457"/>
      <c r="BE2471" s="457"/>
      <c r="BF2471" s="458"/>
    </row>
    <row r="2472" spans="28:58">
      <c r="AB2472" s="449" t="s">
        <v>461</v>
      </c>
      <c r="AC2472" s="120"/>
      <c r="AD2472" s="120"/>
      <c r="AE2472" s="120"/>
      <c r="AF2472" s="440"/>
      <c r="BB2472" s="449" t="s">
        <v>461</v>
      </c>
      <c r="BC2472" s="120"/>
      <c r="BD2472" s="120"/>
      <c r="BE2472" s="120"/>
      <c r="BF2472" s="440"/>
    </row>
    <row r="2473" spans="28:58">
      <c r="AB2473" s="436" t="s">
        <v>514</v>
      </c>
      <c r="AC2473" s="120">
        <f>VLOOKUP(AB2401,'Unit Ops'!$B$140:$K$209,10,FALSE)</f>
        <v>0</v>
      </c>
      <c r="AD2473" s="120" t="s">
        <v>515</v>
      </c>
      <c r="AE2473" s="120"/>
      <c r="AF2473" s="440"/>
      <c r="BB2473" s="436" t="s">
        <v>514</v>
      </c>
      <c r="BC2473" s="120">
        <f>VLOOKUP(BB2401,'Unit Ops'!$B$140:$K$209,10,FALSE)</f>
        <v>0</v>
      </c>
      <c r="BD2473" s="120" t="s">
        <v>515</v>
      </c>
      <c r="BE2473" s="120"/>
      <c r="BF2473" s="440"/>
    </row>
    <row r="2474" spans="28:58">
      <c r="AB2474" s="436" t="s">
        <v>516</v>
      </c>
      <c r="AC2474" s="120">
        <v>0</v>
      </c>
      <c r="AD2474" s="120" t="s">
        <v>515</v>
      </c>
      <c r="AE2474" s="120"/>
      <c r="AF2474" s="440"/>
      <c r="BB2474" s="436" t="s">
        <v>516</v>
      </c>
      <c r="BC2474" s="120">
        <v>0</v>
      </c>
      <c r="BD2474" s="120" t="s">
        <v>515</v>
      </c>
      <c r="BE2474" s="120"/>
      <c r="BF2474" s="440"/>
    </row>
    <row r="2475" spans="28:58">
      <c r="AB2475" s="436"/>
      <c r="AC2475" s="120"/>
      <c r="AD2475" s="120"/>
      <c r="AE2475" s="120"/>
      <c r="AF2475" s="440"/>
      <c r="BB2475" s="436"/>
      <c r="BC2475" s="120"/>
      <c r="BD2475" s="120"/>
      <c r="BE2475" s="120"/>
      <c r="BF2475" s="440"/>
    </row>
    <row r="2476" spans="28:58">
      <c r="AB2476" s="436"/>
      <c r="AC2476" s="120"/>
      <c r="AD2476" s="120"/>
      <c r="AE2476" s="120"/>
      <c r="AF2476" s="440"/>
      <c r="BB2476" s="436"/>
      <c r="BC2476" s="120"/>
      <c r="BD2476" s="120"/>
      <c r="BE2476" s="120"/>
      <c r="BF2476" s="440"/>
    </row>
    <row r="2477" spans="28:58">
      <c r="AB2477" s="436"/>
      <c r="AC2477" s="120"/>
      <c r="AD2477" s="120"/>
      <c r="AE2477" s="120"/>
      <c r="AF2477" s="440"/>
      <c r="BB2477" s="436"/>
      <c r="BC2477" s="120"/>
      <c r="BD2477" s="120"/>
      <c r="BE2477" s="120"/>
      <c r="BF2477" s="440"/>
    </row>
    <row r="2478" spans="28:58">
      <c r="AB2478" s="436"/>
      <c r="AC2478" s="120"/>
      <c r="AD2478" s="120"/>
      <c r="AE2478" s="120"/>
      <c r="AF2478" s="440"/>
      <c r="BB2478" s="436"/>
      <c r="BC2478" s="120"/>
      <c r="BD2478" s="120"/>
      <c r="BE2478" s="120"/>
      <c r="BF2478" s="440"/>
    </row>
    <row r="2479" spans="28:58">
      <c r="AB2479" s="436"/>
      <c r="AC2479" s="120"/>
      <c r="AD2479" s="120"/>
      <c r="AE2479" s="120"/>
      <c r="AF2479" s="440"/>
      <c r="BB2479" s="436"/>
      <c r="BC2479" s="120"/>
      <c r="BD2479" s="120"/>
      <c r="BE2479" s="120"/>
      <c r="BF2479" s="440"/>
    </row>
    <row r="2480" spans="28:58">
      <c r="AB2480" s="436" t="s">
        <v>464</v>
      </c>
      <c r="AC2480" s="120"/>
      <c r="AD2480" s="120"/>
      <c r="AE2480" s="120"/>
      <c r="AF2480" s="440"/>
      <c r="BB2480" s="436" t="s">
        <v>464</v>
      </c>
      <c r="BC2480" s="120"/>
      <c r="BD2480" s="120"/>
      <c r="BE2480" s="120"/>
      <c r="BF2480" s="440"/>
    </row>
    <row r="2481" spans="28:58">
      <c r="AB2481" s="456"/>
      <c r="AC2481" s="457"/>
      <c r="AD2481" s="457"/>
      <c r="AE2481" s="457"/>
      <c r="AF2481" s="458"/>
      <c r="BB2481" s="456"/>
      <c r="BC2481" s="457"/>
      <c r="BD2481" s="457"/>
      <c r="BE2481" s="457"/>
      <c r="BF2481" s="458"/>
    </row>
    <row r="2482" spans="28:58">
      <c r="AB2482" s="449" t="s">
        <v>472</v>
      </c>
      <c r="AC2482" s="467" t="s">
        <v>517</v>
      </c>
      <c r="AD2482" s="120" t="s">
        <v>518</v>
      </c>
      <c r="AE2482" s="467" t="s">
        <v>519</v>
      </c>
      <c r="AF2482" s="440" t="s">
        <v>518</v>
      </c>
      <c r="BB2482" s="449" t="s">
        <v>472</v>
      </c>
      <c r="BC2482" s="467" t="s">
        <v>517</v>
      </c>
      <c r="BD2482" s="120" t="s">
        <v>518</v>
      </c>
      <c r="BE2482" s="467" t="s">
        <v>519</v>
      </c>
      <c r="BF2482" s="440" t="s">
        <v>518</v>
      </c>
    </row>
    <row r="2483" spans="28:58">
      <c r="AB2483" s="436" t="s">
        <v>520</v>
      </c>
      <c r="AC2483" s="120"/>
      <c r="AD2483" s="120"/>
      <c r="AE2483" s="472">
        <f>((VLOOKUP(AB2401,'Unit Ops'!$B$140:$J$209,3,FALSE)*AC2403^VLOOKUP(AB2401,'Unit Ops'!$B$140:$J$209,4,FALSE)+VLOOKUP(AB2401,'Unit Ops'!$B$140:$J$209,5,FALSE))*VLOOKUP(AB2401,'Unit Ops'!$B$140:$J$209,6,FALSE))*IF(VLOOKUP(AB2401,'Unit Ops'!$B$140:$L$209,11,FALSE)=1,1,2)</f>
        <v>0</v>
      </c>
      <c r="AF2483" s="490">
        <f>'CM Rec Par.'!$C$7</f>
        <v>2022</v>
      </c>
      <c r="BB2483" s="436" t="s">
        <v>520</v>
      </c>
      <c r="BC2483" s="120"/>
      <c r="BD2483" s="120"/>
      <c r="BE2483" s="472">
        <f>((VLOOKUP(BB2401,'Unit Ops'!$B$140:$J$209,3,FALSE)*BC2403^VLOOKUP(BB2401,'Unit Ops'!$B$140:$J$209,4,FALSE)+VLOOKUP(BB2401,'Unit Ops'!$B$140:$J$209,5,FALSE))*VLOOKUP(BB2401,'Unit Ops'!$B$140:$J$209,6,FALSE))*IF(VLOOKUP(BB2401,'Unit Ops'!$B$140:$L$209,11,FALSE)=1,1,2)</f>
        <v>0</v>
      </c>
      <c r="BF2483" s="490">
        <f>'CM Rec Par.'!$C$7</f>
        <v>2022</v>
      </c>
    </row>
    <row r="2484" spans="28:58">
      <c r="AB2484" s="436"/>
      <c r="AC2484" s="120"/>
      <c r="AD2484" s="120"/>
      <c r="AE2484" s="120"/>
      <c r="AF2484" s="440"/>
      <c r="BB2484" s="436"/>
      <c r="BC2484" s="120"/>
      <c r="BD2484" s="120"/>
      <c r="BE2484" s="120"/>
      <c r="BF2484" s="440"/>
    </row>
    <row r="2485" spans="28:58">
      <c r="AB2485" s="436"/>
      <c r="AC2485" s="120"/>
      <c r="AD2485" s="120"/>
      <c r="AE2485" s="120"/>
      <c r="AF2485" s="440"/>
      <c r="BB2485" s="436"/>
      <c r="BC2485" s="120"/>
      <c r="BD2485" s="120"/>
      <c r="BE2485" s="120"/>
      <c r="BF2485" s="440"/>
    </row>
    <row r="2486" spans="28:58">
      <c r="AB2486" s="436"/>
      <c r="AC2486" s="120"/>
      <c r="AD2486" s="120"/>
      <c r="AE2486" s="120"/>
      <c r="AF2486" s="440"/>
      <c r="BB2486" s="436"/>
      <c r="BC2486" s="120"/>
      <c r="BD2486" s="120"/>
      <c r="BE2486" s="120"/>
      <c r="BF2486" s="440"/>
    </row>
    <row r="2487" spans="28:58">
      <c r="AB2487" s="436"/>
      <c r="AC2487" s="120"/>
      <c r="AD2487" s="120"/>
      <c r="AE2487" s="120"/>
      <c r="AF2487" s="440"/>
      <c r="BB2487" s="436"/>
      <c r="BC2487" s="120"/>
      <c r="BD2487" s="120"/>
      <c r="BE2487" s="120"/>
      <c r="BF2487" s="440"/>
    </row>
    <row r="2488" spans="28:58">
      <c r="AB2488" s="436"/>
      <c r="AC2488" s="120"/>
      <c r="AD2488" s="120"/>
      <c r="AE2488" s="120"/>
      <c r="AF2488" s="440"/>
      <c r="BB2488" s="436"/>
      <c r="BC2488" s="120"/>
      <c r="BD2488" s="120"/>
      <c r="BE2488" s="120"/>
      <c r="BF2488" s="440"/>
    </row>
    <row r="2489" spans="28:58">
      <c r="AB2489" s="436"/>
      <c r="AC2489" s="120"/>
      <c r="AD2489" s="120"/>
      <c r="AE2489" s="120"/>
      <c r="AF2489" s="440"/>
      <c r="BB2489" s="436"/>
      <c r="BC2489" s="120"/>
      <c r="BD2489" s="120"/>
      <c r="BE2489" s="120"/>
      <c r="BF2489" s="440"/>
    </row>
    <row r="2490" spans="28:58">
      <c r="AB2490" s="436"/>
      <c r="AC2490" s="120"/>
      <c r="AD2490" s="120"/>
      <c r="AE2490" s="120"/>
      <c r="AF2490" s="440"/>
      <c r="BB2490" s="436"/>
      <c r="BC2490" s="120"/>
      <c r="BD2490" s="120"/>
      <c r="BE2490" s="120"/>
      <c r="BF2490" s="440"/>
    </row>
    <row r="2491" spans="28:58">
      <c r="AB2491" s="436"/>
      <c r="AC2491" s="120"/>
      <c r="AD2491" s="120"/>
      <c r="AE2491" s="120"/>
      <c r="AF2491" s="440"/>
      <c r="BB2491" s="436"/>
      <c r="BC2491" s="120"/>
      <c r="BD2491" s="120"/>
      <c r="BE2491" s="120"/>
      <c r="BF2491" s="440"/>
    </row>
    <row r="2492" spans="28:58">
      <c r="AB2492" s="436"/>
      <c r="AC2492" s="120"/>
      <c r="AD2492" s="120"/>
      <c r="AE2492" s="120"/>
      <c r="AF2492" s="440"/>
      <c r="BB2492" s="436"/>
      <c r="BC2492" s="120"/>
      <c r="BD2492" s="120"/>
      <c r="BE2492" s="120"/>
      <c r="BF2492" s="440"/>
    </row>
    <row r="2493" spans="28:58">
      <c r="AB2493" s="436"/>
      <c r="AC2493" s="120"/>
      <c r="AD2493" s="120"/>
      <c r="AE2493" s="120"/>
      <c r="AF2493" s="440"/>
      <c r="BB2493" s="436"/>
      <c r="BC2493" s="120"/>
      <c r="BD2493" s="120"/>
      <c r="BE2493" s="120"/>
      <c r="BF2493" s="440"/>
    </row>
    <row r="2494" spans="28:58">
      <c r="AB2494" s="436"/>
      <c r="AC2494" s="120"/>
      <c r="AD2494" s="120"/>
      <c r="AE2494" s="120"/>
      <c r="AF2494" s="440"/>
      <c r="BB2494" s="436"/>
      <c r="BC2494" s="120"/>
      <c r="BD2494" s="120"/>
      <c r="BE2494" s="120"/>
      <c r="BF2494" s="440"/>
    </row>
    <row r="2495" spans="28:58">
      <c r="AB2495" s="436"/>
      <c r="AC2495" s="120"/>
      <c r="AD2495" s="120"/>
      <c r="AE2495" s="120"/>
      <c r="AF2495" s="440"/>
      <c r="BB2495" s="436"/>
      <c r="BC2495" s="120"/>
      <c r="BD2495" s="120"/>
      <c r="BE2495" s="120"/>
      <c r="BF2495" s="440"/>
    </row>
    <row r="2496" spans="28:58">
      <c r="AB2496" s="436"/>
      <c r="AC2496" s="120"/>
      <c r="AD2496" s="120"/>
      <c r="AE2496" s="120"/>
      <c r="AF2496" s="440"/>
      <c r="BB2496" s="436"/>
      <c r="BC2496" s="120"/>
      <c r="BD2496" s="120"/>
      <c r="BE2496" s="120"/>
      <c r="BF2496" s="440"/>
    </row>
    <row r="2497" spans="28:59" ht="14.5" thickBot="1">
      <c r="AB2497" s="492"/>
      <c r="AC2497" s="493"/>
      <c r="AD2497" s="493"/>
      <c r="AE2497" s="493"/>
      <c r="AF2497" s="453"/>
      <c r="BB2497" s="492"/>
      <c r="BC2497" s="493"/>
      <c r="BD2497" s="493"/>
      <c r="BE2497" s="493"/>
      <c r="BF2497" s="453"/>
    </row>
    <row r="2501" spans="28:59" ht="15" customHeight="1">
      <c r="AB2501" s="410"/>
      <c r="AC2501" s="410"/>
      <c r="AD2501" s="410"/>
      <c r="AE2501" s="410"/>
      <c r="AF2501" s="410"/>
      <c r="AG2501" s="410"/>
      <c r="BB2501" s="410"/>
      <c r="BC2501" s="410"/>
      <c r="BD2501" s="410"/>
      <c r="BE2501" s="410"/>
      <c r="BF2501" s="410"/>
    </row>
    <row r="2502" spans="28:59" ht="15" customHeight="1">
      <c r="AB2502" s="410"/>
      <c r="AC2502" s="410"/>
      <c r="AD2502" s="410"/>
      <c r="AE2502" s="410"/>
      <c r="AF2502" s="410"/>
      <c r="AG2502" s="410"/>
      <c r="BB2502" s="410"/>
      <c r="BC2502" s="410"/>
      <c r="BD2502" s="410"/>
      <c r="BE2502" s="410"/>
      <c r="BF2502" s="410"/>
      <c r="BG2502" s="410"/>
    </row>
    <row r="2503" spans="28:59" ht="17.5">
      <c r="AB2503" s="522"/>
      <c r="AC2503" s="522"/>
      <c r="AD2503" s="507"/>
      <c r="AE2503" s="522"/>
      <c r="AF2503" s="522"/>
      <c r="AG2503" s="507"/>
      <c r="BB2503" s="522"/>
      <c r="BC2503" s="522"/>
      <c r="BD2503" s="507"/>
      <c r="BE2503" s="522"/>
      <c r="BF2503" s="522"/>
      <c r="BG2503" s="410"/>
    </row>
    <row r="2504" spans="28:59">
      <c r="AB2504" s="522"/>
      <c r="AC2504" s="522"/>
      <c r="AD2504" s="523"/>
      <c r="AE2504" s="522"/>
      <c r="AF2504" s="522"/>
      <c r="AG2504" s="523"/>
      <c r="BB2504" s="522"/>
      <c r="BC2504" s="522"/>
      <c r="BD2504" s="523"/>
      <c r="BE2504" s="522"/>
      <c r="BF2504" s="522"/>
      <c r="BG2504" s="507"/>
    </row>
    <row r="2505" spans="28:59">
      <c r="AB2505" s="522"/>
      <c r="AC2505" s="522"/>
      <c r="AD2505" s="507"/>
      <c r="AE2505" s="522"/>
      <c r="AF2505" s="522"/>
      <c r="AG2505" s="507"/>
      <c r="BB2505" s="522"/>
      <c r="BC2505" s="522"/>
      <c r="BD2505" s="507"/>
      <c r="BE2505" s="522"/>
      <c r="BF2505" s="522"/>
      <c r="BG2505" s="523"/>
    </row>
    <row r="2506" spans="28:59">
      <c r="AB2506" s="522"/>
      <c r="AC2506" s="522"/>
      <c r="AD2506" s="518"/>
      <c r="AE2506" s="522"/>
      <c r="AF2506" s="522"/>
      <c r="AG2506" s="518"/>
      <c r="BG2506" s="507"/>
    </row>
    <row r="2507" spans="28:59">
      <c r="AB2507" s="522"/>
      <c r="AC2507" s="522"/>
      <c r="AD2507" s="519"/>
      <c r="AE2507" s="522"/>
      <c r="AF2507" s="522"/>
      <c r="AG2507" s="519"/>
    </row>
    <row r="2508" spans="28:59">
      <c r="AB2508" s="522"/>
      <c r="AC2508" s="522"/>
      <c r="AD2508" s="524"/>
      <c r="AE2508" s="522"/>
      <c r="AF2508" s="522"/>
      <c r="AG2508" s="524"/>
    </row>
    <row r="2509" spans="28:59">
      <c r="AB2509" s="522"/>
      <c r="AC2509" s="522"/>
      <c r="AD2509" s="524"/>
      <c r="AE2509" s="522"/>
      <c r="AF2509" s="522"/>
      <c r="AG2509" s="524"/>
    </row>
    <row r="2510" spans="28:59">
      <c r="AB2510" s="522"/>
      <c r="AC2510" s="522"/>
      <c r="AD2510" s="524"/>
      <c r="AE2510" s="522"/>
      <c r="AF2510" s="522"/>
      <c r="AG2510" s="524"/>
    </row>
    <row r="2511" spans="28:59">
      <c r="AB2511" s="463"/>
      <c r="AC2511" s="463"/>
      <c r="AD2511" s="460"/>
      <c r="AE2511" s="463"/>
      <c r="AF2511" s="463"/>
      <c r="AG2511" s="460"/>
    </row>
    <row r="2512" spans="28:59">
      <c r="AD2512" s="474"/>
      <c r="AF2512" s="525"/>
      <c r="AG2512" s="474"/>
    </row>
    <row r="2513" spans="28:34">
      <c r="AD2513" s="505"/>
      <c r="AE2513" s="491"/>
      <c r="AF2513" s="491"/>
      <c r="AG2513" s="505"/>
    </row>
    <row r="2514" spans="28:34">
      <c r="AD2514" s="408"/>
      <c r="AE2514" s="463"/>
      <c r="AF2514" s="463"/>
      <c r="AG2514" s="408"/>
    </row>
    <row r="2515" spans="28:34">
      <c r="AB2515" s="407"/>
      <c r="AC2515" s="463"/>
      <c r="AD2515" s="460"/>
      <c r="AE2515" s="463"/>
      <c r="AF2515" s="463"/>
      <c r="AG2515" s="460"/>
      <c r="AH2515" s="502"/>
    </row>
    <row r="2516" spans="28:34">
      <c r="AB2516" s="407"/>
      <c r="AD2516" s="474"/>
      <c r="AF2516" s="525"/>
      <c r="AG2516" s="474"/>
      <c r="AH2516" s="502"/>
    </row>
    <row r="2517" spans="28:34" ht="15.5">
      <c r="AB2517" s="526"/>
      <c r="AD2517" s="527"/>
      <c r="AE2517" s="407"/>
      <c r="AF2517" s="407"/>
      <c r="AG2517" s="527"/>
      <c r="AH2517" s="502"/>
    </row>
    <row r="2518" spans="28:34">
      <c r="AD2518" s="528"/>
      <c r="AE2518" s="407"/>
      <c r="AF2518" s="407"/>
      <c r="AG2518" s="528"/>
      <c r="AH2518" s="502"/>
    </row>
    <row r="2519" spans="28:34">
      <c r="AD2519" s="508"/>
      <c r="AE2519" s="407"/>
      <c r="AF2519" s="407"/>
      <c r="AG2519" s="508"/>
      <c r="AH2519" s="502"/>
    </row>
    <row r="2520" spans="28:34">
      <c r="AD2520" s="507"/>
      <c r="AE2520" s="407"/>
      <c r="AF2520" s="407"/>
      <c r="AG2520" s="507"/>
    </row>
    <row r="2521" spans="28:34">
      <c r="AD2521" s="408"/>
      <c r="AE2521" s="407"/>
      <c r="AF2521" s="407"/>
      <c r="AG2521" s="408"/>
    </row>
    <row r="2522" spans="28:34">
      <c r="AD2522" s="408"/>
      <c r="AE2522" s="407"/>
      <c r="AF2522" s="407"/>
      <c r="AG2522" s="408"/>
    </row>
    <row r="2523" spans="28:34">
      <c r="AD2523" s="529"/>
      <c r="AE2523" s="407"/>
      <c r="AF2523" s="407"/>
      <c r="AG2523" s="529"/>
    </row>
    <row r="2524" spans="28:34">
      <c r="AD2524" s="530"/>
      <c r="AE2524" s="407"/>
      <c r="AF2524" s="407"/>
      <c r="AG2524" s="530"/>
    </row>
    <row r="2525" spans="28:34">
      <c r="AD2525" s="474"/>
      <c r="AE2525" s="407"/>
      <c r="AF2525" s="407"/>
      <c r="AG2525" s="474"/>
    </row>
    <row r="2526" spans="28:34">
      <c r="AD2526" s="408"/>
      <c r="AE2526" s="407"/>
      <c r="AF2526" s="407"/>
      <c r="AG2526" s="408"/>
    </row>
    <row r="2527" spans="28:34">
      <c r="AD2527" s="530"/>
      <c r="AE2527" s="407"/>
      <c r="AF2527" s="407"/>
      <c r="AG2527" s="530"/>
    </row>
    <row r="2528" spans="28:34">
      <c r="AD2528" s="474"/>
      <c r="AE2528" s="407"/>
      <c r="AF2528" s="407"/>
      <c r="AG2528" s="474"/>
    </row>
    <row r="2529" spans="28:34">
      <c r="AB2529" s="133"/>
      <c r="AD2529" s="531"/>
      <c r="AE2529" s="407"/>
      <c r="AF2529" s="525"/>
      <c r="AG2529" s="531"/>
    </row>
    <row r="2530" spans="28:34">
      <c r="AD2530" s="532"/>
      <c r="AE2530" s="463"/>
      <c r="AF2530" s="463"/>
      <c r="AG2530" s="532"/>
    </row>
    <row r="2531" spans="28:34">
      <c r="AD2531" s="474"/>
      <c r="AG2531" s="474"/>
    </row>
    <row r="2532" spans="28:34">
      <c r="AD2532" s="474"/>
      <c r="AG2532" s="474"/>
    </row>
    <row r="2533" spans="28:34">
      <c r="AD2533" s="503"/>
      <c r="AG2533" s="503"/>
    </row>
    <row r="2534" spans="28:34">
      <c r="AB2534" s="133"/>
      <c r="AC2534" s="133"/>
      <c r="AD2534" s="531"/>
      <c r="AG2534" s="531"/>
    </row>
    <row r="2535" spans="28:34">
      <c r="AD2535" s="474"/>
      <c r="AG2535" s="474"/>
    </row>
    <row r="2536" spans="28:34">
      <c r="AD2536" s="474"/>
      <c r="AG2536" s="474"/>
      <c r="AH2536" s="533"/>
    </row>
    <row r="2537" spans="28:34">
      <c r="AD2537" s="534"/>
      <c r="AG2537" s="534"/>
      <c r="AH2537" s="533"/>
    </row>
    <row r="2538" spans="28:34">
      <c r="AD2538" s="534"/>
      <c r="AG2538" s="534"/>
      <c r="AH2538" s="502"/>
    </row>
    <row r="2539" spans="28:34">
      <c r="AD2539" s="534"/>
      <c r="AG2539" s="534"/>
    </row>
    <row r="2540" spans="28:34">
      <c r="AD2540" s="474"/>
      <c r="AG2540" s="474"/>
    </row>
    <row r="2542" spans="28:34">
      <c r="AD2542" s="119"/>
      <c r="AG2542" s="119"/>
    </row>
    <row r="2543" spans="28:34">
      <c r="AD2543" s="119"/>
      <c r="AG2543" s="119"/>
    </row>
    <row r="2544" spans="28:34">
      <c r="AD2544" s="119"/>
      <c r="AG2544" s="119"/>
    </row>
    <row r="2545" spans="29:33">
      <c r="AD2545" s="119"/>
      <c r="AG2545" s="119"/>
    </row>
    <row r="2546" spans="29:33">
      <c r="AD2546" s="180"/>
      <c r="AG2546" s="180"/>
    </row>
    <row r="2547" spans="29:33">
      <c r="AD2547" s="119"/>
      <c r="AG2547" s="119"/>
    </row>
    <row r="2548" spans="29:33">
      <c r="AD2548" s="408"/>
      <c r="AG2548" s="408"/>
    </row>
    <row r="2549" spans="29:33">
      <c r="AD2549" s="408"/>
      <c r="AG2549" s="408"/>
    </row>
    <row r="2551" spans="29:33">
      <c r="AD2551" s="460"/>
      <c r="AE2551" s="535"/>
      <c r="AF2551" s="535"/>
      <c r="AG2551" s="460"/>
    </row>
    <row r="2552" spans="29:33">
      <c r="AC2552" s="460"/>
      <c r="AD2552" s="408"/>
      <c r="AE2552" s="218"/>
      <c r="AF2552" s="218"/>
      <c r="AG2552" s="408"/>
    </row>
    <row r="2553" spans="29:33">
      <c r="AD2553" s="460"/>
      <c r="AE2553" s="535"/>
      <c r="AF2553" s="535"/>
      <c r="AG2553" s="460"/>
    </row>
    <row r="2554" spans="29:33">
      <c r="AC2554" s="460"/>
      <c r="AD2554" s="408"/>
      <c r="AE2554" s="218"/>
      <c r="AF2554" s="218"/>
      <c r="AG2554" s="408"/>
    </row>
    <row r="2555" spans="29:33">
      <c r="AD2555" s="460"/>
      <c r="AE2555" s="535"/>
      <c r="AF2555" s="535"/>
      <c r="AG2555" s="460"/>
    </row>
    <row r="2556" spans="29:33">
      <c r="AC2556" s="460"/>
      <c r="AD2556" s="408"/>
      <c r="AE2556" s="218"/>
      <c r="AF2556" s="218"/>
      <c r="AG2556" s="408"/>
    </row>
    <row r="2557" spans="29:33">
      <c r="AC2557" s="408"/>
      <c r="AD2557" s="411"/>
      <c r="AG2557" s="411"/>
    </row>
    <row r="2558" spans="29:33">
      <c r="AD2558" s="520"/>
      <c r="AG2558" s="520"/>
    </row>
    <row r="2559" spans="29:33">
      <c r="AD2559" s="520"/>
      <c r="AG2559" s="520"/>
    </row>
    <row r="2560" spans="29:33">
      <c r="AD2560" s="520"/>
      <c r="AG2560" s="520"/>
    </row>
    <row r="2561" spans="28:33">
      <c r="AD2561" s="536"/>
      <c r="AG2561" s="536"/>
    </row>
    <row r="2562" spans="28:33">
      <c r="AD2562" s="408"/>
      <c r="AG2562" s="408"/>
    </row>
    <row r="2563" spans="28:33">
      <c r="AD2563" s="408"/>
      <c r="AG2563" s="408"/>
    </row>
    <row r="2564" spans="28:33">
      <c r="AD2564" s="408"/>
      <c r="AG2564" s="408"/>
    </row>
    <row r="2565" spans="28:33">
      <c r="AD2565" s="408"/>
      <c r="AG2565" s="408"/>
    </row>
    <row r="2566" spans="28:33">
      <c r="AD2566" s="408"/>
      <c r="AG2566" s="408"/>
    </row>
    <row r="2567" spans="28:33">
      <c r="AD2567" s="408"/>
      <c r="AG2567" s="408"/>
    </row>
    <row r="2568" spans="28:33">
      <c r="AD2568" s="537"/>
      <c r="AG2568" s="537"/>
    </row>
    <row r="2569" spans="28:33">
      <c r="AD2569" s="408"/>
      <c r="AG2569" s="408"/>
    </row>
    <row r="2570" spans="28:33">
      <c r="AD2570" s="408"/>
      <c r="AG2570" s="408"/>
    </row>
    <row r="2571" spans="28:33">
      <c r="AD2571" s="474"/>
      <c r="AG2571" s="474"/>
    </row>
    <row r="2572" spans="28:33">
      <c r="AD2572" s="474"/>
      <c r="AG2572" s="474"/>
    </row>
    <row r="2573" spans="28:33">
      <c r="AD2573" s="474"/>
      <c r="AG2573" s="474"/>
    </row>
    <row r="2575" spans="28:33">
      <c r="AB2575" s="133"/>
    </row>
    <row r="2576" spans="28:33">
      <c r="AD2576" s="266"/>
      <c r="AG2576" s="266"/>
    </row>
    <row r="2577" spans="30:33">
      <c r="AD2577" s="266"/>
      <c r="AG2577" s="266"/>
    </row>
    <row r="2578" spans="30:33">
      <c r="AD2578" s="266"/>
      <c r="AG2578" s="266"/>
    </row>
    <row r="2579" spans="30:33">
      <c r="AD2579" s="266"/>
      <c r="AG2579" s="266"/>
    </row>
    <row r="2580" spans="30:33">
      <c r="AD2580" s="266"/>
      <c r="AG2580" s="266"/>
    </row>
    <row r="2581" spans="30:33">
      <c r="AD2581" s="266"/>
      <c r="AG2581" s="266"/>
    </row>
    <row r="2582" spans="30:33">
      <c r="AD2582" s="266"/>
      <c r="AG2582" s="266"/>
    </row>
    <row r="2583" spans="30:33">
      <c r="AD2583" s="266"/>
      <c r="AG2583" s="266"/>
    </row>
    <row r="2584" spans="30:33">
      <c r="AD2584" s="266"/>
      <c r="AG2584" s="266"/>
    </row>
    <row r="2585" spans="30:33">
      <c r="AD2585" s="266"/>
      <c r="AG2585" s="266"/>
    </row>
    <row r="2586" spans="30:33">
      <c r="AD2586" s="266"/>
      <c r="AG2586" s="266"/>
    </row>
    <row r="2587" spans="30:33">
      <c r="AD2587" s="266"/>
      <c r="AG2587" s="266"/>
    </row>
    <row r="2592" spans="30:33">
      <c r="AD2592" s="266"/>
      <c r="AG2592" s="266"/>
    </row>
    <row r="2595" spans="28:33" ht="20">
      <c r="AB2595" s="538"/>
      <c r="AC2595" s="538"/>
      <c r="AD2595" s="539"/>
      <c r="AE2595" s="540"/>
      <c r="AF2595" s="540"/>
      <c r="AG2595" s="539"/>
    </row>
    <row r="2596" spans="28:33">
      <c r="AE2596" s="540"/>
      <c r="AF2596" s="540"/>
    </row>
    <row r="2597" spans="28:33">
      <c r="AB2597" s="541"/>
      <c r="AD2597" s="542"/>
      <c r="AE2597" s="514"/>
      <c r="AF2597" s="514"/>
      <c r="AG2597" s="542"/>
    </row>
    <row r="2598" spans="28:33">
      <c r="AB2598" s="541"/>
      <c r="AC2598" s="542"/>
      <c r="AD2598" s="540"/>
      <c r="AE2598" s="514"/>
      <c r="AF2598" s="514"/>
      <c r="AG2598" s="540"/>
    </row>
    <row r="2599" spans="28:33">
      <c r="AB2599" s="541"/>
      <c r="AD2599" s="542"/>
      <c r="AE2599" s="540"/>
      <c r="AF2599" s="540"/>
      <c r="AG2599" s="542"/>
    </row>
    <row r="2600" spans="28:33">
      <c r="AB2600" s="541"/>
      <c r="AC2600" s="542"/>
      <c r="AD2600" s="540"/>
      <c r="AE2600" s="540"/>
      <c r="AF2600" s="540"/>
      <c r="AG2600" s="540"/>
    </row>
    <row r="2601" spans="28:33">
      <c r="AB2601" s="541"/>
      <c r="AD2601" s="542"/>
      <c r="AG2601" s="542"/>
    </row>
    <row r="2602" spans="28:33">
      <c r="AB2602" s="541"/>
      <c r="AC2602" s="542"/>
      <c r="AD2602" s="540"/>
      <c r="AG2602" s="540"/>
    </row>
    <row r="2603" spans="28:33">
      <c r="AB2603" s="541"/>
      <c r="AD2603" s="542"/>
      <c r="AG2603" s="542"/>
    </row>
    <row r="2604" spans="28:33">
      <c r="AB2604" s="541"/>
      <c r="AC2604" s="542"/>
      <c r="AD2604" s="540"/>
      <c r="AG2604" s="540"/>
    </row>
    <row r="2605" spans="28:33">
      <c r="AB2605" s="541"/>
      <c r="AD2605" s="542"/>
      <c r="AG2605" s="542"/>
    </row>
    <row r="2606" spans="28:33">
      <c r="AB2606" s="541"/>
      <c r="AC2606" s="542"/>
      <c r="AD2606" s="540"/>
      <c r="AG2606" s="540"/>
    </row>
    <row r="2607" spans="28:33">
      <c r="AD2607" s="542"/>
      <c r="AG2607" s="542"/>
    </row>
    <row r="2608" spans="28:33">
      <c r="AC2608" s="542"/>
      <c r="AD2608" s="540"/>
      <c r="AG2608" s="540"/>
    </row>
    <row r="2609" spans="28:35">
      <c r="AD2609" s="542"/>
      <c r="AG2609" s="542"/>
    </row>
    <row r="2610" spans="28:35">
      <c r="AC2610" s="542"/>
      <c r="AD2610" s="540"/>
      <c r="AG2610" s="540"/>
    </row>
    <row r="2611" spans="28:35">
      <c r="AD2611" s="542"/>
      <c r="AG2611" s="542"/>
    </row>
    <row r="2612" spans="28:35">
      <c r="AC2612" s="542"/>
      <c r="AD2612" s="540"/>
      <c r="AG2612" s="540"/>
    </row>
    <row r="2613" spans="28:35" ht="20">
      <c r="AB2613" s="538"/>
      <c r="AC2613" s="538"/>
      <c r="AD2613" s="539"/>
      <c r="AE2613" s="540"/>
      <c r="AF2613" s="540"/>
      <c r="AG2613" s="539"/>
    </row>
    <row r="2614" spans="28:35">
      <c r="AD2614" s="542"/>
      <c r="AE2614" s="540"/>
      <c r="AF2614" s="540"/>
      <c r="AG2614" s="542"/>
    </row>
    <row r="2615" spans="28:35">
      <c r="AC2615" s="542"/>
      <c r="AD2615" s="543"/>
      <c r="AE2615" s="540"/>
      <c r="AF2615" s="540"/>
      <c r="AG2615" s="543"/>
    </row>
    <row r="2616" spans="28:35">
      <c r="AD2616" s="542"/>
      <c r="AG2616" s="542"/>
    </row>
    <row r="2617" spans="28:35">
      <c r="AC2617" s="542"/>
      <c r="AD2617" s="543"/>
      <c r="AG2617" s="543"/>
    </row>
    <row r="2618" spans="28:35">
      <c r="AD2618" s="542"/>
      <c r="AG2618" s="542"/>
    </row>
    <row r="2619" spans="28:35">
      <c r="AC2619" s="542"/>
      <c r="AD2619" s="543"/>
      <c r="AG2619" s="543"/>
    </row>
    <row r="2620" spans="28:35" ht="20">
      <c r="AB2620" s="538"/>
      <c r="AC2620" s="538"/>
      <c r="AD2620" s="539"/>
      <c r="AG2620" s="539"/>
    </row>
    <row r="2622" spans="28:35" ht="20">
      <c r="AB2622" s="538"/>
      <c r="AC2622" s="538"/>
      <c r="AD2622" s="544"/>
      <c r="AG2622" s="544"/>
      <c r="AI2622" s="504"/>
    </row>
    <row r="2623" spans="28:35" ht="20">
      <c r="AB2623" s="538"/>
      <c r="AC2623" s="544"/>
      <c r="AD2623" s="545"/>
      <c r="AG2623" s="545"/>
      <c r="AI2623" s="504"/>
    </row>
    <row r="2624" spans="28:35">
      <c r="AB2624" s="541"/>
      <c r="AC2624" s="541"/>
      <c r="AI2624" s="504"/>
    </row>
    <row r="2625" spans="28:35" ht="20">
      <c r="AB2625" s="538"/>
      <c r="AC2625" s="538"/>
      <c r="AD2625" s="539"/>
      <c r="AE2625" s="514"/>
      <c r="AF2625" s="180"/>
      <c r="AG2625" s="539"/>
      <c r="AI2625" s="504"/>
    </row>
    <row r="2626" spans="28:35">
      <c r="AI2626" s="504"/>
    </row>
    <row r="2627" spans="28:35" ht="20">
      <c r="AB2627" s="538"/>
      <c r="AC2627" s="538"/>
      <c r="AD2627" s="546"/>
      <c r="AE2627" s="119"/>
      <c r="AF2627" s="119"/>
      <c r="AG2627" s="546"/>
      <c r="AI2627" s="504"/>
    </row>
    <row r="2628" spans="28:35">
      <c r="AD2628" s="540"/>
      <c r="AE2628" s="540"/>
      <c r="AF2628" s="540"/>
      <c r="AG2628" s="540"/>
      <c r="AI2628" s="504"/>
    </row>
    <row r="2629" spans="28:35">
      <c r="AB2629" s="541"/>
      <c r="AD2629" s="547"/>
      <c r="AG2629" s="547"/>
      <c r="AI2629" s="504"/>
    </row>
    <row r="2630" spans="28:35">
      <c r="AB2630" s="541"/>
      <c r="AC2630" s="547"/>
      <c r="AD2630" s="540"/>
      <c r="AE2630" s="119"/>
      <c r="AG2630" s="540"/>
      <c r="AH2630" s="119"/>
      <c r="AI2630" s="504"/>
    </row>
    <row r="2631" spans="28:35">
      <c r="AB2631" s="541"/>
      <c r="AD2631" s="548"/>
      <c r="AE2631" s="119"/>
      <c r="AF2631" s="119"/>
      <c r="AG2631" s="548"/>
      <c r="AI2631" s="504"/>
    </row>
    <row r="2632" spans="28:35">
      <c r="AB2632" s="541"/>
      <c r="AC2632" s="542"/>
      <c r="AD2632" s="540"/>
      <c r="AE2632" s="119"/>
      <c r="AF2632" s="180"/>
      <c r="AG2632" s="540"/>
      <c r="AI2632" s="504"/>
    </row>
    <row r="2633" spans="28:35">
      <c r="AB2633" s="541"/>
      <c r="AD2633" s="542"/>
      <c r="AE2633" s="119"/>
      <c r="AF2633" s="180"/>
      <c r="AG2633" s="542"/>
      <c r="AI2633" s="504"/>
    </row>
    <row r="2634" spans="28:35">
      <c r="AB2634" s="541"/>
      <c r="AC2634" s="542"/>
      <c r="AD2634" s="540"/>
      <c r="AE2634" s="119"/>
      <c r="AF2634" s="119"/>
      <c r="AG2634" s="540"/>
      <c r="AI2634" s="504"/>
    </row>
    <row r="2635" spans="28:35">
      <c r="AB2635" s="541"/>
      <c r="AD2635" s="548"/>
      <c r="AE2635" s="119"/>
      <c r="AF2635" s="119"/>
      <c r="AG2635" s="548"/>
      <c r="AI2635" s="504"/>
    </row>
    <row r="2636" spans="28:35">
      <c r="AB2636" s="541"/>
      <c r="AC2636" s="548"/>
      <c r="AD2636" s="540"/>
      <c r="AE2636" s="514"/>
      <c r="AF2636" s="180"/>
      <c r="AG2636" s="540"/>
      <c r="AI2636" s="504"/>
    </row>
    <row r="2637" spans="28:35">
      <c r="AB2637" s="541"/>
      <c r="AD2637" s="542"/>
      <c r="AE2637" s="180"/>
      <c r="AF2637" s="180"/>
      <c r="AG2637" s="542"/>
      <c r="AI2637" s="504"/>
    </row>
    <row r="2638" spans="28:35">
      <c r="AB2638" s="541"/>
      <c r="AC2638" s="542"/>
      <c r="AD2638" s="540"/>
      <c r="AG2638" s="540"/>
      <c r="AI2638" s="504"/>
    </row>
    <row r="2639" spans="28:35">
      <c r="AB2639" s="541"/>
      <c r="AD2639" s="542"/>
      <c r="AG2639" s="542"/>
      <c r="AI2639" s="504"/>
    </row>
    <row r="2640" spans="28:35">
      <c r="AB2640" s="541"/>
      <c r="AC2640" s="542"/>
      <c r="AD2640" s="543"/>
      <c r="AG2640" s="543"/>
      <c r="AI2640" s="504"/>
    </row>
    <row r="2641" spans="28:35">
      <c r="AB2641" s="541"/>
      <c r="AD2641" s="542"/>
      <c r="AG2641" s="542"/>
      <c r="AI2641" s="504"/>
    </row>
    <row r="2642" spans="28:35">
      <c r="AB2642" s="541"/>
      <c r="AC2642" s="542"/>
      <c r="AD2642" s="543"/>
      <c r="AG2642" s="543"/>
      <c r="AI2642" s="504"/>
    </row>
    <row r="2643" spans="28:35">
      <c r="AB2643" s="541"/>
      <c r="AD2643" s="542"/>
      <c r="AG2643" s="542"/>
      <c r="AI2643" s="504"/>
    </row>
    <row r="2644" spans="28:35">
      <c r="AB2644" s="541"/>
      <c r="AC2644" s="542"/>
      <c r="AD2644" s="540"/>
      <c r="AE2644" s="180"/>
      <c r="AF2644" s="180"/>
      <c r="AG2644" s="540"/>
      <c r="AI2644" s="504"/>
    </row>
    <row r="2645" spans="28:35">
      <c r="AC2645" s="540"/>
      <c r="AD2645" s="540"/>
      <c r="AE2645" s="514"/>
      <c r="AF2645" s="180"/>
      <c r="AG2645" s="540"/>
      <c r="AI2645" s="504"/>
    </row>
    <row r="2646" spans="28:35">
      <c r="AB2646" s="541"/>
      <c r="AD2646" s="548"/>
      <c r="AG2646" s="548"/>
      <c r="AI2646" s="504"/>
    </row>
    <row r="2647" spans="28:35">
      <c r="AB2647" s="541"/>
      <c r="AD2647" s="540"/>
      <c r="AE2647" s="514"/>
      <c r="AF2647" s="180"/>
      <c r="AG2647" s="540"/>
      <c r="AI2647" s="504"/>
    </row>
    <row r="2648" spans="28:35">
      <c r="AB2648" s="541"/>
      <c r="AD2648" s="542"/>
      <c r="AG2648" s="542"/>
      <c r="AI2648" s="504"/>
    </row>
    <row r="2649" spans="28:35">
      <c r="AB2649" s="541"/>
      <c r="AC2649" s="542"/>
      <c r="AD2649" s="543"/>
      <c r="AG2649" s="543"/>
      <c r="AI2649" s="504"/>
    </row>
    <row r="2650" spans="28:35">
      <c r="AB2650" s="541"/>
      <c r="AD2650" s="542"/>
      <c r="AG2650" s="542"/>
      <c r="AI2650" s="504"/>
    </row>
    <row r="2651" spans="28:35">
      <c r="AB2651" s="541"/>
      <c r="AC2651" s="542"/>
      <c r="AD2651" s="543"/>
      <c r="AG2651" s="543"/>
      <c r="AI2651" s="504"/>
    </row>
    <row r="2652" spans="28:35">
      <c r="AB2652" s="541"/>
      <c r="AD2652" s="542"/>
      <c r="AG2652" s="542"/>
      <c r="AI2652" s="504"/>
    </row>
    <row r="2653" spans="28:35">
      <c r="AB2653" s="541"/>
      <c r="AC2653" s="542"/>
      <c r="AD2653" s="543"/>
      <c r="AG2653" s="543"/>
      <c r="AI2653" s="504"/>
    </row>
    <row r="2654" spans="28:35">
      <c r="AB2654" s="541"/>
      <c r="AC2654" s="542"/>
      <c r="AD2654" s="542"/>
      <c r="AG2654" s="542"/>
      <c r="AI2654" s="504"/>
    </row>
    <row r="2655" spans="28:35">
      <c r="AB2655" s="541"/>
      <c r="AC2655" s="542"/>
      <c r="AD2655" s="543"/>
      <c r="AG2655" s="543"/>
      <c r="AI2655" s="504"/>
    </row>
    <row r="2656" spans="28:35">
      <c r="AD2656" s="542"/>
      <c r="AG2656" s="542"/>
      <c r="AI2656" s="504"/>
    </row>
    <row r="2657" spans="28:35">
      <c r="AC2657" s="542"/>
      <c r="AD2657" s="540"/>
      <c r="AE2657" s="514"/>
      <c r="AF2657" s="180"/>
      <c r="AG2657" s="540"/>
      <c r="AI2657" s="504"/>
    </row>
    <row r="2658" spans="28:35" ht="20">
      <c r="AB2658" s="538"/>
      <c r="AC2658" s="538"/>
      <c r="AD2658" s="546"/>
      <c r="AE2658" s="514"/>
      <c r="AF2658" s="540"/>
      <c r="AG2658" s="546"/>
      <c r="AI2658" s="504"/>
    </row>
    <row r="2659" spans="28:35">
      <c r="AD2659" s="542"/>
      <c r="AG2659" s="542"/>
      <c r="AI2659" s="504"/>
    </row>
    <row r="2660" spans="28:35">
      <c r="AC2660" s="542"/>
      <c r="AD2660" s="540"/>
      <c r="AG2660" s="540"/>
      <c r="AI2660" s="504"/>
    </row>
    <row r="2661" spans="28:35">
      <c r="AD2661" s="542"/>
      <c r="AG2661" s="542"/>
      <c r="AI2661" s="504"/>
    </row>
    <row r="2662" spans="28:35">
      <c r="AC2662" s="542"/>
      <c r="AD2662" s="540"/>
      <c r="AE2662" s="514"/>
      <c r="AF2662" s="180"/>
      <c r="AG2662" s="540"/>
      <c r="AI2662" s="504"/>
    </row>
    <row r="2663" spans="28:35">
      <c r="AD2663" s="542"/>
      <c r="AG2663" s="542"/>
      <c r="AI2663" s="504"/>
    </row>
    <row r="2664" spans="28:35">
      <c r="AC2664" s="542"/>
      <c r="AD2664" s="540"/>
      <c r="AE2664" s="514"/>
      <c r="AF2664" s="180"/>
      <c r="AG2664" s="540"/>
      <c r="AI2664" s="504"/>
    </row>
    <row r="2665" spans="28:35">
      <c r="AC2665" s="314"/>
      <c r="AD2665" s="543"/>
      <c r="AG2665" s="543"/>
      <c r="AI2665" s="504"/>
    </row>
    <row r="2666" spans="28:35" ht="20">
      <c r="AB2666" s="538"/>
      <c r="AC2666" s="538"/>
      <c r="AD2666" s="546"/>
      <c r="AG2666" s="546"/>
      <c r="AI2666" s="504"/>
    </row>
    <row r="2667" spans="28:35">
      <c r="AD2667" s="549"/>
      <c r="AG2667" s="549"/>
      <c r="AI2667" s="504"/>
    </row>
    <row r="2668" spans="28:35">
      <c r="AD2668" s="540"/>
      <c r="AG2668" s="540"/>
      <c r="AI2668" s="504"/>
    </row>
    <row r="2669" spans="28:35">
      <c r="AB2669" s="541"/>
      <c r="AD2669" s="550"/>
      <c r="AG2669" s="550"/>
      <c r="AH2669" s="541"/>
      <c r="AI2669" s="504"/>
    </row>
    <row r="2670" spans="28:35">
      <c r="AE2670" s="550"/>
      <c r="AF2670" s="550"/>
      <c r="AI2670" s="504"/>
    </row>
    <row r="2671" spans="28:35">
      <c r="AB2671" s="551"/>
      <c r="AC2671" s="551"/>
      <c r="AE2671" s="543"/>
      <c r="AF2671" s="543"/>
      <c r="AI2671" s="504"/>
    </row>
    <row r="2672" spans="28:35">
      <c r="AB2672" s="541"/>
      <c r="AC2672" s="541"/>
      <c r="AD2672" s="552"/>
      <c r="AE2672" s="543"/>
      <c r="AF2672" s="543"/>
      <c r="AG2672" s="552"/>
    </row>
    <row r="2673" spans="33:35">
      <c r="AG2673" s="550"/>
      <c r="AI2673" s="119"/>
    </row>
    <row r="2674" spans="33:35">
      <c r="AG2674" s="550"/>
      <c r="AI2674" s="119"/>
    </row>
    <row r="2675" spans="33:35">
      <c r="AG2675" s="550"/>
    </row>
    <row r="2676" spans="33:35">
      <c r="AG2676" s="550"/>
    </row>
  </sheetData>
  <mergeCells count="44">
    <mergeCell ref="AB912:AF912"/>
    <mergeCell ref="BB912:BF912"/>
    <mergeCell ref="AB5:AE5"/>
    <mergeCell ref="AC66:AE66"/>
    <mergeCell ref="AC100:AE100"/>
    <mergeCell ref="AC115:AE115"/>
    <mergeCell ref="AB512:AF512"/>
    <mergeCell ref="AB712:AF712"/>
    <mergeCell ref="BB712:BF712"/>
    <mergeCell ref="AB812:AF812"/>
    <mergeCell ref="BB812:BF812"/>
    <mergeCell ref="BB512:BF512"/>
    <mergeCell ref="AB612:AF612"/>
    <mergeCell ref="BB612:BF612"/>
    <mergeCell ref="AB1112:AF1112"/>
    <mergeCell ref="BB1112:BF1112"/>
    <mergeCell ref="AB1212:AF1212"/>
    <mergeCell ref="BB1212:BF1212"/>
    <mergeCell ref="AB1012:AF1012"/>
    <mergeCell ref="BB1012:BF1012"/>
    <mergeCell ref="AB1512:AF1512"/>
    <mergeCell ref="BB1512:BF1512"/>
    <mergeCell ref="AB1612:AF1612"/>
    <mergeCell ref="BB1612:BF1612"/>
    <mergeCell ref="AB1312:AF1312"/>
    <mergeCell ref="BB1312:BF1312"/>
    <mergeCell ref="AB1412:AF1412"/>
    <mergeCell ref="BB1412:BF1412"/>
    <mergeCell ref="AB1912:AF1912"/>
    <mergeCell ref="BB1912:BF1912"/>
    <mergeCell ref="AB2012:AF2012"/>
    <mergeCell ref="BB2012:BF2012"/>
    <mergeCell ref="AB1712:AF1712"/>
    <mergeCell ref="BB1712:BF1712"/>
    <mergeCell ref="AB1812:AF1812"/>
    <mergeCell ref="BB1812:BF1812"/>
    <mergeCell ref="AB2312:AF2312"/>
    <mergeCell ref="BB2312:BF2312"/>
    <mergeCell ref="AB2412:AF2412"/>
    <mergeCell ref="BB2412:BF2412"/>
    <mergeCell ref="AB2112:AF2112"/>
    <mergeCell ref="BB2112:BF2112"/>
    <mergeCell ref="AB2212:AF2212"/>
    <mergeCell ref="BB2212:BF2212"/>
  </mergeCells>
  <phoneticPr fontId="145" type="noConversion"/>
  <conditionalFormatting sqref="E123:E125">
    <cfRule type="duplicateValues" dxfId="1" priority="1"/>
  </conditionalFormatting>
  <conditionalFormatting sqref="E111:E113">
    <cfRule type="duplicateValues" dxfId="0" priority="2"/>
  </conditionalFormatting>
  <dataValidations count="6">
    <dataValidation type="list" allowBlank="1" showInputMessage="1" showErrorMessage="1" sqref="AB68:AB72 BB68:BB72" xr:uid="{D91B64B3-BA29-A143-A207-96DD1F1B8DF6}">
      <formula1>Material</formula1>
    </dataValidation>
    <dataValidation type="list" allowBlank="1" showInputMessage="1" showErrorMessage="1" sqref="AB44:AB63 BB45:BB64" xr:uid="{62AB0E1A-568B-1D42-A7EA-CB03EFA68764}">
      <formula1>Equipment</formula1>
    </dataValidation>
    <dataValidation type="list" allowBlank="1" showInputMessage="1" showErrorMessage="1" sqref="BC88:BC97 AC88:AC97" xr:uid="{2992F79A-0832-BB49-9009-9A014C5F6781}">
      <formula1>Fate</formula1>
    </dataValidation>
    <dataValidation type="list" allowBlank="1" showInputMessage="1" showErrorMessage="1" sqref="AB102:AB109" xr:uid="{0A6395FA-28A4-41A3-A799-20DD6148E13B}">
      <formula1>Preprocessing_Output</formula1>
    </dataValidation>
    <dataValidation type="list" allowBlank="1" showInputMessage="1" showErrorMessage="1" sqref="BB102:BB112" xr:uid="{63A87FC7-DB7E-4483-AF29-58ADD3682283}">
      <formula1>Custompre_Output</formula1>
    </dataValidation>
    <dataValidation type="list" allowBlank="1" showInputMessage="1" showErrorMessage="1" sqref="BC8" xr:uid="{A4FB4CE2-8FB2-4FB5-9728-94E67588BD0D}">
      <formula1>Select_plant_type</formula1>
    </dataValidation>
  </dataValidations>
  <hyperlinks>
    <hyperlink ref="AA44" location="'Preproc. Par.'!AA530" display="'Preproc. Par.'!AA530" xr:uid="{E08EAB38-8AA4-AE4D-AE7C-905A3CB1DC6F}"/>
    <hyperlink ref="AA45" location="'Preproc. Par.'!AA625" display="'Preproc. Par.'!AA625" xr:uid="{0E27EFB7-3B64-B441-931C-5A3DF4D15BF5}"/>
    <hyperlink ref="AA46" location="'Preproc. Par.'!AA725" display="'Preproc. Par.'!AA725" xr:uid="{38478B95-1C07-264B-A125-D207A9F6E2E8}"/>
    <hyperlink ref="AA47" location="'Preproc. Par.'!AA825" display="'Preproc. Par.'!AA825" xr:uid="{1F465ECA-9DA8-2341-8FA6-D0475C5DC170}"/>
    <hyperlink ref="AA48" location="'Preproc. Par.'!AA925" display="'Preproc. Par.'!AA925" xr:uid="{D3DC4C59-D485-9B46-BCD0-EB0AB1E05D17}"/>
    <hyperlink ref="AA49" location="'Preproc. Par.'!AA1025" display="'Preproc. Par.'!AA1025" xr:uid="{4AB61B97-4FD4-6C49-9694-16517CCE162E}"/>
    <hyperlink ref="AA50" location="'Preproc. Par.'!AA1125" display="'Preproc. Par.'!AA1125" xr:uid="{9785298E-FBBB-694F-9388-50ADD804C5CC}"/>
    <hyperlink ref="AA51" location="'Preproc. Par.'!AA1225" display="'Preproc. Par.'!AA1225" xr:uid="{EE7CC582-179C-B943-99CC-FB963BA1FA96}"/>
    <hyperlink ref="AA52" location="'Preproc. Par.'!AA1325" display="'Preproc. Par.'!AA1325" xr:uid="{025A914B-BB9B-F54C-B7FF-E3F03B153F52}"/>
    <hyperlink ref="AA53" location="'Preproc. Par.'!AA1425" display="'Preproc. Par.'!AA1425" xr:uid="{F1BD1DF0-7C3E-B945-A733-34A2A94211A4}"/>
    <hyperlink ref="AA54" location="'Preproc. Par.'!AA1525" display="'Preproc. Par.'!AA1525" xr:uid="{FDC2981F-54D3-2B4C-8231-09968269AE06}"/>
    <hyperlink ref="AA55" location="'Preproc. Par.'!AA1625" display="'Preproc. Par.'!AA1625" xr:uid="{E4D862B4-433D-3147-A248-8DA8FABF4CB4}"/>
    <hyperlink ref="AA56" location="'Preproc. Par.'!AA1725" display="'Preproc. Par.'!AA1725" xr:uid="{2E57A405-418F-F345-96D5-92918857C191}"/>
    <hyperlink ref="AA57" location="'Preproc. Par.'!AA1825" display="'Preproc. Par.'!AA1825" xr:uid="{801E33DA-3774-5142-9AD0-10D6664C0DCB}"/>
    <hyperlink ref="AA58" location="'Preproc. Par.'!AA1925" display="'Preproc. Par.'!AA1925" xr:uid="{BF21F053-B804-094A-B5C9-90B0471C977A}"/>
    <hyperlink ref="AA59" location="'Preproc. Par.'!AA2025" display="'Preproc. Par.'!AA2025" xr:uid="{2C3C4566-E423-CF45-9131-F8B01009358A}"/>
    <hyperlink ref="AA60" location="'Preproc. Par.'!AA2125" display="'Preproc. Par.'!AA2125" xr:uid="{F61E6ACA-4B84-3B46-8C30-9579CDBA36FB}"/>
    <hyperlink ref="AA61" location="'Preproc. Par.'!AA2225" display="'Preproc. Par.'!AA2225" xr:uid="{58E04D3A-0D5D-4D4B-8390-9A43BB3124C0}"/>
    <hyperlink ref="AA62" location="'Preproc. Par.'!AA2325" display="'Preproc. Par.'!AA2325" xr:uid="{57132CEC-0B3A-3040-8936-AF7C96E44D9D}"/>
    <hyperlink ref="AA63" location="'Preproc. Par.'!AA2425" display="'Preproc. Par.'!AA2425" xr:uid="{22F61A40-9CDE-8F45-8FFB-FB692F0F0122}"/>
    <hyperlink ref="AA503" location="'Preproc. Par.'!AA500" display="'Preproc. Par.'!AA500" xr:uid="{68F4C9FE-A120-9242-AFCC-F735866648EC}"/>
    <hyperlink ref="AA502" location="'Preproc. Par.'!AA40" display="Process" xr:uid="{51FBAD31-B145-C445-98B5-7BE59BEF73B4}"/>
    <hyperlink ref="AA504" location="'Preproc. Par.'!AA600" display="'Preproc. Par.'!AA600" xr:uid="{F05C6570-A865-6B48-8A8D-24555AF3C019}"/>
    <hyperlink ref="AA505" location="'Preproc. Par.'!AA700" display="'Preproc. Par.'!AA700" xr:uid="{4BE8AE0E-746A-9C4D-BE86-1A7CA7A4F424}"/>
    <hyperlink ref="AA506" location="'Preproc. Par.'!AA800" display="'Preproc. Par.'!AA800" xr:uid="{C8939A5C-2994-0A41-909D-619709C755C2}"/>
    <hyperlink ref="AA507" location="'Preproc. Par.'!AA900" display="'Preproc. Par.'!AA900" xr:uid="{1620D817-E9F0-2640-9820-691784B169AD}"/>
    <hyperlink ref="AA508" location="'Preproc. Par.'!AA1000" display="'Preproc. Par.'!AA1000" xr:uid="{0D6DE850-85F4-504F-B95F-528ACFBBFDFB}"/>
    <hyperlink ref="AA509" location="'Preproc. Par.'!AA1100" display="'Preproc. Par.'!AA1100" xr:uid="{90923480-9DAE-F440-AA0D-54F631D1DD7A}"/>
    <hyperlink ref="AA510" location="'Preproc. Par.'!AA1200" display="'Preproc. Par.'!AA1200" xr:uid="{87925EA0-F365-8740-ABDB-3B462C31C307}"/>
    <hyperlink ref="AA511" location="'Preproc. Par.'!AA1300" display="'Preproc. Par.'!AA1300" xr:uid="{09651BBE-1CB0-5245-B051-4DFADFD9F1EE}"/>
    <hyperlink ref="AA512" location="'Preproc. Par.'!AA1400" display="'Preproc. Par.'!AA1400" xr:uid="{938F074B-9901-F543-A01F-C6E0A148D507}"/>
    <hyperlink ref="AA513" location="'Preproc. Par.'!AA1500" display="'Preproc. Par.'!AA1500" xr:uid="{DB79EDB3-2773-294F-8CAB-F587442E59D6}"/>
    <hyperlink ref="AA514" location="'Preproc. Par.'!AA1600" display="'Preproc. Par.'!AA1600" xr:uid="{C026C13D-B05E-C044-8842-5830FC23B5BD}"/>
    <hyperlink ref="AA515" location="'Preproc. Par.'!AA1700" display="'Preproc. Par.'!AA1700" xr:uid="{DA23735C-8C47-AA4A-92FB-D1424F228B6B}"/>
    <hyperlink ref="AA516" location="'Preproc. Par.'!AA1800" display="'Preproc. Par.'!AA1800" xr:uid="{26D7E817-D2EB-9D42-AEA0-0533097CD7AF}"/>
    <hyperlink ref="AA517" location="'Preproc. Par.'!AA1900" display="'Preproc. Par.'!AA1900" xr:uid="{4A32F4BA-E58E-5246-AE31-1B319A6D4FBB}"/>
    <hyperlink ref="AA518" location="'Preproc. Par.'!AA2000" display="'Preproc. Par.'!AA2000" xr:uid="{5DEEA9CB-9E99-4C49-86D7-B3AEB33D3DA0}"/>
    <hyperlink ref="AA519" location="'Preproc. Par.'!AA2100" display="'Preproc. Par.'!AA2100" xr:uid="{91D053FB-23AB-504F-9256-DD20DB7C6F6E}"/>
    <hyperlink ref="AA520" location="'Preproc. Par.'!AA2200" display="'Preproc. Par.'!AA2200" xr:uid="{7B507CAA-6DAF-314D-9684-F8467FDD93E6}"/>
    <hyperlink ref="AA521" location="'Preproc. Par.'!AA2300" display="'Preproc. Par.'!AA2300" xr:uid="{13A315F4-6AE2-5E48-ABD8-771CB5C31455}"/>
    <hyperlink ref="AA522" location="'Preproc. Par.'!AA2400" display="'Preproc. Par.'!AA2400" xr:uid="{09249014-4A69-D041-8271-444BD52ADDE5}"/>
    <hyperlink ref="AA501" location="'Preproc. Par.'!AA6" display="Top" xr:uid="{61F43F6C-DA4D-6A48-920C-CBE19C0F5DE9}"/>
    <hyperlink ref="AD74" location="Materials!A120" display="Materials!A120" xr:uid="{0DF86042-A6A6-C345-8F31-9B83B3825A92}"/>
    <hyperlink ref="AD75" location="Materials!A120" display="Materials!A120" xr:uid="{9B8AB7ED-37F8-8F48-BABE-21359E87CEF1}"/>
    <hyperlink ref="BA47" location="'Preproc. Par.'!BA725" display="'Preproc. Par.'!BA725" xr:uid="{FD24AD81-4AA7-8945-BC9D-C6E7B111C948}"/>
    <hyperlink ref="BA48" location="'Preproc. Par.'!BA825" display="'Preproc. Par.'!BA825" xr:uid="{58004035-B0BB-A84A-B5FC-839A3691FEA3}"/>
    <hyperlink ref="BA49" location="'Preproc. Par.'!BA925" display="'Preproc. Par.'!BA925" xr:uid="{132AB9EF-B6F1-3242-855E-BFACCEC64741}"/>
    <hyperlink ref="BA50" location="'Preproc. Par.'!BA1025" display="'Preproc. Par.'!BA1025" xr:uid="{C6C26F70-0461-3A41-82D5-1726CE617094}"/>
    <hyperlink ref="BA51" location="'Preproc. Par.'!BA1125" display="'Preproc. Par.'!BA1125" xr:uid="{39436A6C-6D1D-DE4D-81F2-E9BF1E3240C0}"/>
    <hyperlink ref="BA52" location="'Preproc. Par.'!BA1225" display="'Preproc. Par.'!BA1225" xr:uid="{21A64844-6429-7C48-8746-B3117BACE7B7}"/>
    <hyperlink ref="BA53" location="'Preproc. Par.'!BA1325" display="'Preproc. Par.'!BA1325" xr:uid="{F4ED694E-1845-834A-80DA-8A9A1D968345}"/>
    <hyperlink ref="BA54" location="'Preproc. Par.'!BA1425" display="'Preproc. Par.'!BA1425" xr:uid="{0BFCCF06-21D5-F046-9D74-23C8A2D39657}"/>
    <hyperlink ref="BA55" location="'Preproc. Par.'!BA1525" display="'Preproc. Par.'!BA1525" xr:uid="{DA76135F-FB51-C845-9601-EF54CF8F81FE}"/>
    <hyperlink ref="BA56" location="'Preproc. Par.'!BA1625" display="'Preproc. Par.'!BA1625" xr:uid="{61C30D6B-C6D0-7649-B81A-C5F610B2AE13}"/>
    <hyperlink ref="BA57" location="'Preproc. Par.'!BA1725" display="'Preproc. Par.'!BA1725" xr:uid="{69DFA2A4-6E3B-F648-B4D0-E9AAACBBA8A4}"/>
    <hyperlink ref="BA58" location="'Preproc. Par.'!BA1825" display="'Preproc. Par.'!BA1825" xr:uid="{2846918F-5332-AA4B-ACBD-0DD98876054A}"/>
    <hyperlink ref="BA59" location="'Preproc. Par.'!BA1925" display="'Preproc. Par.'!BA1925" xr:uid="{BB6647DC-2D2D-DE40-A7D1-FB226EF52CA9}"/>
    <hyperlink ref="BA60" location="'Preproc. Par.'!BA2025" display="'Preproc. Par.'!BA2025" xr:uid="{9F8D4997-C192-1A44-AE53-E51588F211E9}"/>
    <hyperlink ref="BA61" location="'Preproc. Par.'!BA2125" display="'Preproc. Par.'!BA2125" xr:uid="{0444506B-D863-3441-A087-538B167ED0DC}"/>
    <hyperlink ref="BA62" location="'Preproc. Par.'!BA2225" display="'Preproc. Par.'!BA2225" xr:uid="{ECCAA111-5532-F24A-B2BE-580DF4AD242A}"/>
    <hyperlink ref="BA63" location="'Preproc. Par.'!BA2325" display="'Preproc. Par.'!BA2325" xr:uid="{2D154F9E-E521-8B4B-9FD7-50563A03DA07}"/>
    <hyperlink ref="BA64" location="'Preproc. Par.'!BA2425" display="'Preproc. Par.'!BA2425" xr:uid="{36BAE4AE-DB23-C14D-BEAE-1311BBC00239}"/>
    <hyperlink ref="BA46" location="'Preproc. Par.'!BA625" display="'Preproc. Par.'!BA625" xr:uid="{6F9215F7-BFE2-454E-B0B3-96C423F13D88}"/>
    <hyperlink ref="BA45" location="'Preproc. Par.'!BA525" display="'Preproc. Par.'!BA525" xr:uid="{5384A6ED-72BB-1549-9D18-546B2D586E43}"/>
    <hyperlink ref="BA504" location="'Preproc. Par.'!BA500" display="'Preproc. Par.'!BA500" xr:uid="{CCC7143C-5A0A-EF47-85F3-F7C74B5B0C9B}"/>
    <hyperlink ref="BA503" location="'Preproc. Par.'!BA40" display="Process" xr:uid="{278CE93E-0A8F-F048-B4FC-2F80B9489B4B}"/>
    <hyperlink ref="BA502" location="'Preproc. Par.'!BA6" display="Top" xr:uid="{E762C090-FBAD-2848-8E8F-3EC97C39976E}"/>
    <hyperlink ref="BA505" location="'Preproc. Par.'!BA600" display="'Preproc. Par.'!BA600" xr:uid="{997B8EEB-E0E6-7547-BFE9-5C1A3D206124}"/>
    <hyperlink ref="BA506" location="'Preproc. Par.'!BA700" display="'Preproc. Par.'!BA700" xr:uid="{D6D8EAB8-352F-B44D-9A7B-C9592580FD53}"/>
    <hyperlink ref="BA507" location="'Preproc. Par.'!BA800" display="'Preproc. Par.'!BA800" xr:uid="{00944227-1296-0C4B-BC0F-D227D4F79387}"/>
    <hyperlink ref="BA508" location="'Preproc. Par.'!BA900" display="'Preproc. Par.'!BA900" xr:uid="{C539F9F1-A038-4B4A-8061-431526DD948C}"/>
    <hyperlink ref="BA509" location="'Preproc. Par.'!BA1000" display="'Preproc. Par.'!BA1000" xr:uid="{23ED6E40-0D31-8940-82F1-0777BB1F2626}"/>
    <hyperlink ref="BA510" location="'Preproc. Par.'!BA1100" display="'Preproc. Par.'!BA1100" xr:uid="{ACE8015F-A493-4F49-876A-25B2B62C7521}"/>
    <hyperlink ref="BA511" location="'Preproc. Par.'!BA1200" display="'Preproc. Par.'!BA1200" xr:uid="{51BAB6EA-5897-3449-B93D-1889AD3B8BBE}"/>
    <hyperlink ref="BA512" location="'Preproc. Par.'!BA1300" display="'Preproc. Par.'!BA1300" xr:uid="{DD81B956-6FB1-E743-97D8-364BEE2A6572}"/>
    <hyperlink ref="BA513" location="'Preproc. Par.'!BA1400" display="'Preproc. Par.'!BA1400" xr:uid="{F8B0CA43-D4F6-0940-85D8-1DF37F6C541C}"/>
    <hyperlink ref="BA514" location="'Preproc. Par.'!BA1500" display="'Preproc. Par.'!BA1500" xr:uid="{7C8C7766-D84A-904A-8635-26F5AD3B3AEE}"/>
    <hyperlink ref="BA515" location="'Preproc. Par.'!BA1600" display="'Preproc. Par.'!BA1600" xr:uid="{E4AE381D-8EAE-7B40-B678-BFAE43E06297}"/>
    <hyperlink ref="BA516" location="'Preproc. Par.'!BA1700" display="'Preproc. Par.'!BA1700" xr:uid="{2538BBF2-DF3E-144B-820B-F3DF326AA735}"/>
    <hyperlink ref="BA517" location="'Preproc. Par.'!BA1800" display="'Preproc. Par.'!BA1800" xr:uid="{4CA5570B-BFDB-5A49-93CF-CA49C90AEE2C}"/>
    <hyperlink ref="BA518" location="'Preproc. Par.'!BA1900" display="'Preproc. Par.'!BA1900" xr:uid="{7A9CBA77-B681-A245-B376-5A37F7B9D0E9}"/>
    <hyperlink ref="BA519" location="'Preproc. Par.'!BA2000" display="'Preproc. Par.'!BA2000" xr:uid="{70BD3C4D-C80D-FD4A-8D1B-67F2E9ACD4C5}"/>
    <hyperlink ref="BA520" location="'Preproc. Par.'!BA2100" display="'Preproc. Par.'!BA2100" xr:uid="{A8FF45B5-88B7-8147-A148-DB6688543D1B}"/>
    <hyperlink ref="BA521" location="'Preproc. Par.'!BA2200" display="'Preproc. Par.'!BA2200" xr:uid="{304212FA-6FFB-194B-B136-EFFF3830940A}"/>
    <hyperlink ref="BA522" location="'Preproc. Par.'!BA2300" display="'Preproc. Par.'!BA2300" xr:uid="{762365B8-7241-1F40-8A29-D1756E12A36A}"/>
    <hyperlink ref="BA523" location="'Preproc. Par.'!BA2400" display="'Preproc. Par.'!BA2400" xr:uid="{D4169F80-2493-D14D-8BD1-959A473B2130}"/>
    <hyperlink ref="AA603" location="'Preproc. Par.'!AA500" display="'Preproc. Par.'!AA500" xr:uid="{7C5D8D66-64BE-40BA-A77C-4A92644479FA}"/>
    <hyperlink ref="AA602" location="'Preproc. Par.'!AA40" display="Process" xr:uid="{F88F50A0-A558-4AEF-8350-0C76E696D31F}"/>
    <hyperlink ref="AA604" location="'Preproc. Par.'!AA600" display="'Preproc. Par.'!AA600" xr:uid="{DC703003-1367-4917-A7EB-3605BC81D8D9}"/>
    <hyperlink ref="AA605" location="'Preproc. Par.'!AA700" display="'Preproc. Par.'!AA700" xr:uid="{B558B299-4CD1-4C5C-8E4F-B506920B6A89}"/>
    <hyperlink ref="AA606" location="'Preproc. Par.'!AA800" display="'Preproc. Par.'!AA800" xr:uid="{CD54C8EE-DD51-412E-B710-15456FEB0AED}"/>
    <hyperlink ref="AA607" location="'Preproc. Par.'!AA900" display="'Preproc. Par.'!AA900" xr:uid="{45A501F9-4ACD-45EC-96AB-205971BFEDAA}"/>
    <hyperlink ref="AA608" location="'Preproc. Par.'!AA1000" display="'Preproc. Par.'!AA1000" xr:uid="{2C6CEB9D-8F89-4D09-AC1F-5D2ECE52AE6D}"/>
    <hyperlink ref="AA609" location="'Preproc. Par.'!AA1100" display="'Preproc. Par.'!AA1100" xr:uid="{3E4B6F39-D088-46CA-9EC7-58B234B85F56}"/>
    <hyperlink ref="AA610" location="'Preproc. Par.'!AA1200" display="'Preproc. Par.'!AA1200" xr:uid="{2AE6EAD0-E9B5-4572-91D7-07E737F094FB}"/>
    <hyperlink ref="AA611" location="'Preproc. Par.'!AA1300" display="'Preproc. Par.'!AA1300" xr:uid="{D44D7494-89AC-4F72-BCAC-0410038B5E2D}"/>
    <hyperlink ref="AA612" location="'Preproc. Par.'!AA1400" display="'Preproc. Par.'!AA1400" xr:uid="{D9275E8B-4ED6-4805-BB7B-4E1330B75306}"/>
    <hyperlink ref="AA613" location="'Preproc. Par.'!AA1500" display="'Preproc. Par.'!AA1500" xr:uid="{7D80453E-2B73-46D2-A383-FA5A944E63FD}"/>
    <hyperlink ref="AA614" location="'Preproc. Par.'!AA1600" display="'Preproc. Par.'!AA1600" xr:uid="{5830DCF7-AE4A-40C2-B66D-D3077223E4F5}"/>
    <hyperlink ref="AA615" location="'Preproc. Par.'!AA1700" display="'Preproc. Par.'!AA1700" xr:uid="{B508D7AD-A02E-4368-8F40-73FA4D921D82}"/>
    <hyperlink ref="AA616" location="'Preproc. Par.'!AA1800" display="'Preproc. Par.'!AA1800" xr:uid="{2FCF436E-53EE-44A7-A739-ADD083D355E7}"/>
    <hyperlink ref="AA617" location="'Preproc. Par.'!AA1900" display="'Preproc. Par.'!AA1900" xr:uid="{126855CB-1275-4D7F-9F32-BE13A8CA1C57}"/>
    <hyperlink ref="AA618" location="'Preproc. Par.'!AA2000" display="'Preproc. Par.'!AA2000" xr:uid="{BF424AD9-852E-4D08-AEF8-3D093CCC8DF4}"/>
    <hyperlink ref="AA619" location="'Preproc. Par.'!AA2100" display="'Preproc. Par.'!AA2100" xr:uid="{9ADCC68B-F5CC-4456-98C1-E870498339C3}"/>
    <hyperlink ref="AA620" location="'Preproc. Par.'!AA2200" display="'Preproc. Par.'!AA2200" xr:uid="{7F84A759-1326-4D9B-909E-5091001676FE}"/>
    <hyperlink ref="AA621" location="'Preproc. Par.'!AA2300" display="'Preproc. Par.'!AA2300" xr:uid="{38C93F10-15B7-4255-A3A8-ECB0560F137F}"/>
    <hyperlink ref="AA622" location="'Preproc. Par.'!AA2400" display="'Preproc. Par.'!AA2400" xr:uid="{53C3DB41-824C-499A-ADF8-3EA968F97AB4}"/>
    <hyperlink ref="AA601" location="'Preproc. Par.'!AA6" display="Top" xr:uid="{4F95F70D-6EF8-45BB-A8CB-36BA4C4D5282}"/>
    <hyperlink ref="AA703" location="'Preproc. Par.'!AA500" display="'Preproc. Par.'!AA500" xr:uid="{770396E1-89F7-4064-8929-9EC4EDA8EABD}"/>
    <hyperlink ref="AA702" location="'Preproc. Par.'!AA40" display="Process" xr:uid="{500A8F37-0458-476B-B5C6-4F17E5D62DDA}"/>
    <hyperlink ref="AA704" location="'Preproc. Par.'!AA600" display="'Preproc. Par.'!AA600" xr:uid="{949120AB-3652-40F1-B4CB-E56DB7DC323D}"/>
    <hyperlink ref="AA705" location="'Preproc. Par.'!AA700" display="'Preproc. Par.'!AA700" xr:uid="{64C24B41-C28E-47C4-B5A8-491A252522BA}"/>
    <hyperlink ref="AA706" location="'Preproc. Par.'!AA800" display="'Preproc. Par.'!AA800" xr:uid="{E48A6B1B-D973-4243-8129-CA5D8836250E}"/>
    <hyperlink ref="AA707" location="'Preproc. Par.'!AA900" display="'Preproc. Par.'!AA900" xr:uid="{1EC9618F-86D1-4F41-9F08-239A00722D34}"/>
    <hyperlink ref="AA708" location="'Preproc. Par.'!AA1000" display="'Preproc. Par.'!AA1000" xr:uid="{D3DDB48E-815A-4B27-98D2-FD9CEA07338B}"/>
    <hyperlink ref="AA709" location="'Preproc. Par.'!AA1100" display="'Preproc. Par.'!AA1100" xr:uid="{9DFB4AE0-8E7D-42DB-9F9D-CAF4773CE000}"/>
    <hyperlink ref="AA710" location="'Preproc. Par.'!AA1200" display="'Preproc. Par.'!AA1200" xr:uid="{684140E2-3979-4352-8247-FB260AA03A4F}"/>
    <hyperlink ref="AA711" location="'Preproc. Par.'!AA1300" display="'Preproc. Par.'!AA1300" xr:uid="{C16D53D8-29B0-4CC0-899E-664361F2E0EE}"/>
    <hyperlink ref="AA712" location="'Preproc. Par.'!AA1400" display="'Preproc. Par.'!AA1400" xr:uid="{EA83B21F-4D4A-4CB7-AAFA-FB535ED73B70}"/>
    <hyperlink ref="AA713" location="'Preproc. Par.'!AA1500" display="'Preproc. Par.'!AA1500" xr:uid="{740A4EC2-24BC-48EA-BD1B-C56EEF5AD51D}"/>
    <hyperlink ref="AA714" location="'Preproc. Par.'!AA1600" display="'Preproc. Par.'!AA1600" xr:uid="{EB3DE02F-D0D8-4035-9966-96E46808DF68}"/>
    <hyperlink ref="AA715" location="'Preproc. Par.'!AA1700" display="'Preproc. Par.'!AA1700" xr:uid="{114E5915-C575-4CA0-9E56-0932FA902418}"/>
    <hyperlink ref="AA716" location="'Preproc. Par.'!AA1800" display="'Preproc. Par.'!AA1800" xr:uid="{1FE232B3-5AD2-4119-8D70-89D5B94D8AE3}"/>
    <hyperlink ref="AA717" location="'Preproc. Par.'!AA1900" display="'Preproc. Par.'!AA1900" xr:uid="{78C6B830-C083-4432-9927-D30159E7078A}"/>
    <hyperlink ref="AA718" location="'Preproc. Par.'!AA2000" display="'Preproc. Par.'!AA2000" xr:uid="{B42F311E-C319-4E16-8790-7BDB91D1D7C7}"/>
    <hyperlink ref="AA719" location="'Preproc. Par.'!AA2100" display="'Preproc. Par.'!AA2100" xr:uid="{589F4231-8EF1-413C-9907-E0A402968764}"/>
    <hyperlink ref="AA720" location="'Preproc. Par.'!AA2200" display="'Preproc. Par.'!AA2200" xr:uid="{6625476E-4B1E-42E7-AFEB-9F60FDB95BCC}"/>
    <hyperlink ref="AA721" location="'Preproc. Par.'!AA2300" display="'Preproc. Par.'!AA2300" xr:uid="{99E1D373-5A03-4F02-A2DF-31570635F183}"/>
    <hyperlink ref="AA722" location="'Preproc. Par.'!AA2400" display="'Preproc. Par.'!AA2400" xr:uid="{2081A4BF-B85B-4912-8997-A9904AADB89B}"/>
    <hyperlink ref="AA701" location="'Preproc. Par.'!AA6" display="Top" xr:uid="{55C2C5F2-DDEA-4F52-8767-D99E9196629E}"/>
    <hyperlink ref="AA803" location="'Preproc. Par.'!AA500" display="'Preproc. Par.'!AA500" xr:uid="{DD1634D9-2834-49EE-99BD-9E7F2022B4F1}"/>
    <hyperlink ref="AA802" location="'Preproc. Par.'!AA40" display="Process" xr:uid="{C53F3256-7800-4F5C-B218-19A834BFC577}"/>
    <hyperlink ref="AA804" location="'Preproc. Par.'!AA600" display="'Preproc. Par.'!AA600" xr:uid="{18035A35-86CA-4864-B184-AAA3B39DE47F}"/>
    <hyperlink ref="AA805" location="'Preproc. Par.'!AA700" display="'Preproc. Par.'!AA700" xr:uid="{E48465F7-8777-4CA8-8ED0-CD47DD5A7E6C}"/>
    <hyperlink ref="AA806" location="'Preproc. Par.'!AA800" display="'Preproc. Par.'!AA800" xr:uid="{E6BEFFD6-F6F9-424F-8488-DEA55AD63C59}"/>
    <hyperlink ref="AA807" location="'Preproc. Par.'!AA900" display="'Preproc. Par.'!AA900" xr:uid="{A23C9D04-7F54-43B5-8148-6AC4FB8EDE15}"/>
    <hyperlink ref="AA808" location="'Preproc. Par.'!AA1000" display="'Preproc. Par.'!AA1000" xr:uid="{62BE65F5-4DF9-42BC-BECC-40CBFC1C6608}"/>
    <hyperlink ref="AA809" location="'Preproc. Par.'!AA1100" display="'Preproc. Par.'!AA1100" xr:uid="{5E398273-E683-457D-B5EB-061B35F16B61}"/>
    <hyperlink ref="AA810" location="'Preproc. Par.'!AA1200" display="'Preproc. Par.'!AA1200" xr:uid="{E4A54DA4-2BAC-435F-BB72-DBC5F8B0BA31}"/>
    <hyperlink ref="AA811" location="'Preproc. Par.'!AA1300" display="'Preproc. Par.'!AA1300" xr:uid="{5070AB6B-43AE-47BB-ABA4-1B8CBEA484FA}"/>
    <hyperlink ref="AA812" location="'Preproc. Par.'!AA1400" display="'Preproc. Par.'!AA1400" xr:uid="{31940696-3E98-45B0-B4FC-72A40DE27045}"/>
    <hyperlink ref="AA813" location="'Preproc. Par.'!AA1500" display="'Preproc. Par.'!AA1500" xr:uid="{3AAEB52F-AEB7-4E2C-850D-24BBB7812D81}"/>
    <hyperlink ref="AA814" location="'Preproc. Par.'!AA1600" display="'Preproc. Par.'!AA1600" xr:uid="{B43267E7-042D-43C3-A64E-CC04C830C15D}"/>
    <hyperlink ref="AA815" location="'Preproc. Par.'!AA1700" display="'Preproc. Par.'!AA1700" xr:uid="{4471AC41-6B76-45EE-B24D-83A1F2A1D324}"/>
    <hyperlink ref="AA816" location="'Preproc. Par.'!AA1800" display="'Preproc. Par.'!AA1800" xr:uid="{A9DF1ADA-AB39-4458-BD6B-717B7B101859}"/>
    <hyperlink ref="AA817" location="'Preproc. Par.'!AA1900" display="'Preproc. Par.'!AA1900" xr:uid="{E0F15C5B-CC32-4AF2-93D2-DEC7F7332AAE}"/>
    <hyperlink ref="AA818" location="'Preproc. Par.'!AA2000" display="'Preproc. Par.'!AA2000" xr:uid="{FE1B6AEE-89BA-4234-B673-2DCFB4567761}"/>
    <hyperlink ref="AA819" location="'Preproc. Par.'!AA2100" display="'Preproc. Par.'!AA2100" xr:uid="{622FC178-E3B6-4157-870D-8742EC064766}"/>
    <hyperlink ref="AA820" location="'Preproc. Par.'!AA2200" display="'Preproc. Par.'!AA2200" xr:uid="{EC489BD9-F86F-4B8A-8C3A-689A23180C88}"/>
    <hyperlink ref="AA821" location="'Preproc. Par.'!AA2300" display="'Preproc. Par.'!AA2300" xr:uid="{9FF86820-C03E-4A66-8DB0-A4B69CE0ED28}"/>
    <hyperlink ref="AA822" location="'Preproc. Par.'!AA2400" display="'Preproc. Par.'!AA2400" xr:uid="{FE870184-DCB0-4DFC-A5DA-FCBABF6771DC}"/>
    <hyperlink ref="AA801" location="'Preproc. Par.'!AA6" display="Top" xr:uid="{39A7707B-58FF-4EB5-8C09-A28CD0B36617}"/>
    <hyperlink ref="AA903" location="'Preproc. Par.'!AA500" display="'Preproc. Par.'!AA500" xr:uid="{D5F6B1E0-018E-4AEE-ADEC-94D3D260B389}"/>
    <hyperlink ref="AA902" location="'Preproc. Par.'!AA40" display="Process" xr:uid="{66D2F927-197E-41BD-94EB-14B3B132EBD2}"/>
    <hyperlink ref="AA904" location="'Preproc. Par.'!AA600" display="'Preproc. Par.'!AA600" xr:uid="{4A941E5C-D8C7-438A-90B7-A78D542D3E02}"/>
    <hyperlink ref="AA905" location="'Preproc. Par.'!AA700" display="'Preproc. Par.'!AA700" xr:uid="{4299F813-CC8B-4BD6-9A8F-0831096B5D86}"/>
    <hyperlink ref="AA906" location="'Preproc. Par.'!AA800" display="'Preproc. Par.'!AA800" xr:uid="{40534001-CCB2-4765-8282-9190236903A2}"/>
    <hyperlink ref="AA907" location="'Preproc. Par.'!AA900" display="'Preproc. Par.'!AA900" xr:uid="{45EEC4B4-CDF7-4C56-A8FA-A944A7E28363}"/>
    <hyperlink ref="AA908" location="'Preproc. Par.'!AA1000" display="'Preproc. Par.'!AA1000" xr:uid="{62C82A4D-D42C-4DF4-9035-EFC1D7B60BF7}"/>
    <hyperlink ref="AA909" location="'Preproc. Par.'!AA1100" display="'Preproc. Par.'!AA1100" xr:uid="{5F757779-1518-4D4E-A003-F8AC9B775A6C}"/>
    <hyperlink ref="AA910" location="'Preproc. Par.'!AA1200" display="'Preproc. Par.'!AA1200" xr:uid="{D8CCACA1-8D84-4138-8512-FC38B83DB750}"/>
    <hyperlink ref="AA911" location="'Preproc. Par.'!AA1300" display="'Preproc. Par.'!AA1300" xr:uid="{E9559019-A516-4843-A2A9-48F593B21782}"/>
    <hyperlink ref="AA912" location="'Preproc. Par.'!AA1400" display="'Preproc. Par.'!AA1400" xr:uid="{A3E2A453-0CA1-464F-ABD1-931A58B415E7}"/>
    <hyperlink ref="AA913" location="'Preproc. Par.'!AA1500" display="'Preproc. Par.'!AA1500" xr:uid="{9DAB59FA-813D-4525-8363-47372402AEB1}"/>
    <hyperlink ref="AA914" location="'Preproc. Par.'!AA1600" display="'Preproc. Par.'!AA1600" xr:uid="{0BA33682-42AE-45EB-8BBA-B9BAED291E04}"/>
    <hyperlink ref="AA915" location="'Preproc. Par.'!AA1700" display="'Preproc. Par.'!AA1700" xr:uid="{1C3A19F2-BAA5-41F0-AE7B-C09B5EA1FB48}"/>
    <hyperlink ref="AA916" location="'Preproc. Par.'!AA1800" display="'Preproc. Par.'!AA1800" xr:uid="{68B226CE-619F-458F-B3AB-66245355DBE5}"/>
    <hyperlink ref="AA917" location="'Preproc. Par.'!AA1900" display="'Preproc. Par.'!AA1900" xr:uid="{CF3CCE59-87E7-4077-8884-D62844D78F41}"/>
    <hyperlink ref="AA918" location="'Preproc. Par.'!AA2000" display="'Preproc. Par.'!AA2000" xr:uid="{247583EA-618A-4BBE-BD84-8A9C365061B9}"/>
    <hyperlink ref="AA919" location="'Preproc. Par.'!AA2100" display="'Preproc. Par.'!AA2100" xr:uid="{E42CA57B-68DE-414D-BF22-4BAD4F73ADE1}"/>
    <hyperlink ref="AA920" location="'Preproc. Par.'!AA2200" display="'Preproc. Par.'!AA2200" xr:uid="{0B381ACB-DBF6-4B5F-B0EC-E9A0B2755B8B}"/>
    <hyperlink ref="AA921" location="'Preproc. Par.'!AA2300" display="'Preproc. Par.'!AA2300" xr:uid="{83E1742C-9061-49A6-824E-0C0989A34ACB}"/>
    <hyperlink ref="AA922" location="'Preproc. Par.'!AA2400" display="'Preproc. Par.'!AA2400" xr:uid="{393A280B-B48C-4549-89AD-85E49BCDBA59}"/>
    <hyperlink ref="AA901" location="'Preproc. Par.'!AA6" display="Top" xr:uid="{8447F895-E8BA-445E-970E-8631BB22A113}"/>
    <hyperlink ref="AA1003" location="'Preproc. Par.'!AA500" display="'Preproc. Par.'!AA500" xr:uid="{00773D0D-A084-40F0-82C1-F86443C6A958}"/>
    <hyperlink ref="AA1002" location="'Preproc. Par.'!AA40" display="Process" xr:uid="{5DB8C085-D9D9-49DC-B526-0277BC6C4199}"/>
    <hyperlink ref="AA1004" location="'Preproc. Par.'!AA600" display="'Preproc. Par.'!AA600" xr:uid="{8EBF0CF2-5111-4EDC-88DE-26F0890678B9}"/>
    <hyperlink ref="AA1005" location="'Preproc. Par.'!AA700" display="'Preproc. Par.'!AA700" xr:uid="{FFA5B7D0-28E7-4F4F-9CD6-403A0ADC9417}"/>
    <hyperlink ref="AA1006" location="'Preproc. Par.'!AA800" display="'Preproc. Par.'!AA800" xr:uid="{08CA5F48-4E8B-41D0-968A-EE545D7A2DB5}"/>
    <hyperlink ref="AA1007" location="'Preproc. Par.'!AA900" display="'Preproc. Par.'!AA900" xr:uid="{BB74C9EC-9299-43B6-B03D-6A0B8FF537B6}"/>
    <hyperlink ref="AA1008" location="'Preproc. Par.'!AA1000" display="'Preproc. Par.'!AA1000" xr:uid="{5CF276DB-EA87-4795-8868-34E362D1FECE}"/>
    <hyperlink ref="AA1009" location="'Preproc. Par.'!AA1100" display="'Preproc. Par.'!AA1100" xr:uid="{65EA97B8-C57F-45EB-B539-E85F7F47B893}"/>
    <hyperlink ref="AA1010" location="'Preproc. Par.'!AA1200" display="'Preproc. Par.'!AA1200" xr:uid="{FD599D51-D0B0-4E57-8835-80786E00FD3D}"/>
    <hyperlink ref="AA1011" location="'Preproc. Par.'!AA1300" display="'Preproc. Par.'!AA1300" xr:uid="{43E985BC-6A2E-460A-8088-A0E52E4EAC0A}"/>
    <hyperlink ref="AA1012" location="'Preproc. Par.'!AA1400" display="'Preproc. Par.'!AA1400" xr:uid="{4E659F3F-B3A6-40CD-B8D5-9697E08A64A8}"/>
    <hyperlink ref="AA1013" location="'Preproc. Par.'!AA1500" display="'Preproc. Par.'!AA1500" xr:uid="{92BC88E9-EE25-4A6B-BB93-F7D873F0C499}"/>
    <hyperlink ref="AA1014" location="'Preproc. Par.'!AA1600" display="'Preproc. Par.'!AA1600" xr:uid="{0BFEAA48-7582-47AA-AF21-3EB7013686EE}"/>
    <hyperlink ref="AA1015" location="'Preproc. Par.'!AA1700" display="'Preproc. Par.'!AA1700" xr:uid="{B8FE4008-3451-439A-B141-AE8C1F24F341}"/>
    <hyperlink ref="AA1016" location="'Preproc. Par.'!AA1800" display="'Preproc. Par.'!AA1800" xr:uid="{D9901D94-2725-4150-93A6-8280E4BA1714}"/>
    <hyperlink ref="AA1017" location="'Preproc. Par.'!AA1900" display="'Preproc. Par.'!AA1900" xr:uid="{1D0860F7-CA9D-4784-881A-936ED76DE707}"/>
    <hyperlink ref="AA1018" location="'Preproc. Par.'!AA2000" display="'Preproc. Par.'!AA2000" xr:uid="{44CC8B2E-AA1B-416E-9C17-BCBA12307A37}"/>
    <hyperlink ref="AA1019" location="'Preproc. Par.'!AA2100" display="'Preproc. Par.'!AA2100" xr:uid="{5A6BCFF3-DDF5-4F13-A0E4-7B025A3C61D5}"/>
    <hyperlink ref="AA1020" location="'Preproc. Par.'!AA2200" display="'Preproc. Par.'!AA2200" xr:uid="{A8C59827-9257-419E-8060-22DA46353C4D}"/>
    <hyperlink ref="AA1021" location="'Preproc. Par.'!AA2300" display="'Preproc. Par.'!AA2300" xr:uid="{194D730B-061C-445D-8D41-DA8E4D089DBF}"/>
    <hyperlink ref="AA1022" location="'Preproc. Par.'!AA2400" display="'Preproc. Par.'!AA2400" xr:uid="{50C5AE17-DB91-4A84-A91B-7181A0D0E35C}"/>
    <hyperlink ref="AA1001" location="'Preproc. Par.'!AA6" display="Top" xr:uid="{238BD6A7-E7D8-4294-B3C0-5F8BA98D3AFF}"/>
    <hyperlink ref="AA1103" location="'Preproc. Par.'!AA500" display="'Preproc. Par.'!AA500" xr:uid="{ED410BB3-676B-40F4-BB02-7E412E52D2A3}"/>
    <hyperlink ref="AA1102" location="'Preproc. Par.'!AA40" display="Process" xr:uid="{9CD0E2F2-F986-44A8-AF72-5FCF9D36530F}"/>
    <hyperlink ref="AA1104" location="'Preproc. Par.'!AA600" display="'Preproc. Par.'!AA600" xr:uid="{FEFCDF77-8DCC-48EF-B31B-EC8F19A2BB0A}"/>
    <hyperlink ref="AA1105" location="'Preproc. Par.'!AA700" display="'Preproc. Par.'!AA700" xr:uid="{F2F0A046-B4C8-4CA6-93E7-BC5708BB6910}"/>
    <hyperlink ref="AA1106" location="'Preproc. Par.'!AA800" display="'Preproc. Par.'!AA800" xr:uid="{5123D87D-061C-4FC7-9EB5-A4CA15B96374}"/>
    <hyperlink ref="AA1107" location="'Preproc. Par.'!AA900" display="'Preproc. Par.'!AA900" xr:uid="{8BD40995-22BA-4F66-9364-2D0F23B69190}"/>
    <hyperlink ref="AA1108" location="'Preproc. Par.'!AA1000" display="'Preproc. Par.'!AA1000" xr:uid="{E8EAED02-9716-4298-B4D5-1C44BC11F312}"/>
    <hyperlink ref="AA1109" location="'Preproc. Par.'!AA1100" display="'Preproc. Par.'!AA1100" xr:uid="{BB576BF3-6741-459D-AE7C-7E892210732D}"/>
    <hyperlink ref="AA1110" location="'Preproc. Par.'!AA1200" display="'Preproc. Par.'!AA1200" xr:uid="{FDEA129F-7010-4A37-BF9C-BD580DD6B53D}"/>
    <hyperlink ref="AA1111" location="'Preproc. Par.'!AA1300" display="'Preproc. Par.'!AA1300" xr:uid="{648633F8-F95D-4167-8463-BE73E7C4663E}"/>
    <hyperlink ref="AA1112" location="'Preproc. Par.'!AA1400" display="'Preproc. Par.'!AA1400" xr:uid="{F288862D-D220-4754-AB94-2F3C816A982C}"/>
    <hyperlink ref="AA1113" location="'Preproc. Par.'!AA1500" display="'Preproc. Par.'!AA1500" xr:uid="{A148A399-8360-4E95-87D8-F0D096EC7354}"/>
    <hyperlink ref="AA1114" location="'Preproc. Par.'!AA1600" display="'Preproc. Par.'!AA1600" xr:uid="{BA7C0AE2-4B1E-4E6A-8B71-C39695FAE374}"/>
    <hyperlink ref="AA1115" location="'Preproc. Par.'!AA1700" display="'Preproc. Par.'!AA1700" xr:uid="{F9D64E35-9339-4B6E-AD11-6F88FC5D29A3}"/>
    <hyperlink ref="AA1116" location="'Preproc. Par.'!AA1800" display="'Preproc. Par.'!AA1800" xr:uid="{2D51E1AD-88CD-4972-A490-5825B86E566B}"/>
    <hyperlink ref="AA1117" location="'Preproc. Par.'!AA1900" display="'Preproc. Par.'!AA1900" xr:uid="{42AC233D-5C56-4F80-B7D0-D2DE29208922}"/>
    <hyperlink ref="AA1118" location="'Preproc. Par.'!AA2000" display="'Preproc. Par.'!AA2000" xr:uid="{AF5F691F-496A-4616-B4D3-A68B2F824910}"/>
    <hyperlink ref="AA1119" location="'Preproc. Par.'!AA2100" display="'Preproc. Par.'!AA2100" xr:uid="{0C51A97F-2328-4E9A-A585-AFD3677FD791}"/>
    <hyperlink ref="AA1120" location="'Preproc. Par.'!AA2200" display="'Preproc. Par.'!AA2200" xr:uid="{918A1953-9FDB-48FB-A658-229C7B26AA46}"/>
    <hyperlink ref="AA1121" location="'Preproc. Par.'!AA2300" display="'Preproc. Par.'!AA2300" xr:uid="{D680EDF6-71C0-4C77-B37A-7419EA8995F1}"/>
    <hyperlink ref="AA1122" location="'Preproc. Par.'!AA2400" display="'Preproc. Par.'!AA2400" xr:uid="{0003FCEE-CA20-439C-B12A-5599614C56D6}"/>
    <hyperlink ref="AA1101" location="'Preproc. Par.'!AA6" display="Top" xr:uid="{084728EE-1A19-4085-84EB-350AC0029A18}"/>
    <hyperlink ref="AA1203" location="'Preproc. Par.'!AA500" display="'Preproc. Par.'!AA500" xr:uid="{172691AB-0B42-4401-B427-0676ABA0EFAC}"/>
    <hyperlink ref="AA1202" location="'Preproc. Par.'!AA40" display="Process" xr:uid="{C060A203-554F-4939-9732-12E8C55E369D}"/>
    <hyperlink ref="AA1204" location="'Preproc. Par.'!AA600" display="'Preproc. Par.'!AA600" xr:uid="{2A3D9597-F09B-4952-993A-2320A4B477EE}"/>
    <hyperlink ref="AA1205" location="'Preproc. Par.'!AA700" display="'Preproc. Par.'!AA700" xr:uid="{B83CC28B-8D62-46F1-82C9-2687227320DC}"/>
    <hyperlink ref="AA1206" location="'Preproc. Par.'!AA800" display="'Preproc. Par.'!AA800" xr:uid="{A46500F6-35D5-49F2-B88C-9668FA028A2D}"/>
    <hyperlink ref="AA1207" location="'Preproc. Par.'!AA900" display="'Preproc. Par.'!AA900" xr:uid="{37E56F03-27B7-482E-BDC1-2C80DB460EBF}"/>
    <hyperlink ref="AA1208" location="'Preproc. Par.'!AA1000" display="'Preproc. Par.'!AA1000" xr:uid="{4ECBBD96-D3EF-487D-AD5E-DB9CC1C68C18}"/>
    <hyperlink ref="AA1209" location="'Preproc. Par.'!AA1100" display="'Preproc. Par.'!AA1100" xr:uid="{40DE3954-41B2-4ACF-9B8E-A53E2F9886EC}"/>
    <hyperlink ref="AA1210" location="'Preproc. Par.'!AA1200" display="'Preproc. Par.'!AA1200" xr:uid="{71DA5DC2-3C8E-4C11-A391-7285CF84A590}"/>
    <hyperlink ref="AA1211" location="'Preproc. Par.'!AA1300" display="'Preproc. Par.'!AA1300" xr:uid="{F1CB0D8F-B098-4441-8FA5-7797EFC938C7}"/>
    <hyperlink ref="AA1212" location="'Preproc. Par.'!AA1400" display="'Preproc. Par.'!AA1400" xr:uid="{8E404017-20A9-469B-9D39-B7FAD3173BA8}"/>
    <hyperlink ref="AA1213" location="'Preproc. Par.'!AA1500" display="'Preproc. Par.'!AA1500" xr:uid="{F58C84C7-A68E-4BD2-80EB-472A0346A310}"/>
    <hyperlink ref="AA1214" location="'Preproc. Par.'!AA1600" display="'Preproc. Par.'!AA1600" xr:uid="{95F5E75E-1DF3-4789-AA02-FEEC31DC4F0B}"/>
    <hyperlink ref="AA1215" location="'Preproc. Par.'!AA1700" display="'Preproc. Par.'!AA1700" xr:uid="{49832DD6-86EF-4284-82D9-60AB2B3B5129}"/>
    <hyperlink ref="AA1216" location="'Preproc. Par.'!AA1800" display="'Preproc. Par.'!AA1800" xr:uid="{C6A76446-B1A4-4DA2-96E3-0EA5DC951493}"/>
    <hyperlink ref="AA1217" location="'Preproc. Par.'!AA1900" display="'Preproc. Par.'!AA1900" xr:uid="{018EB7FF-F0A4-46D3-A75B-2E92CFC2A70E}"/>
    <hyperlink ref="AA1218" location="'Preproc. Par.'!AA2000" display="'Preproc. Par.'!AA2000" xr:uid="{82F87E81-81C3-4D49-A83C-71754B9814B0}"/>
    <hyperlink ref="AA1219" location="'Preproc. Par.'!AA2100" display="'Preproc. Par.'!AA2100" xr:uid="{9C1DEE18-75BC-4680-BE6D-4C20F7FF296E}"/>
    <hyperlink ref="AA1220" location="'Preproc. Par.'!AA2200" display="'Preproc. Par.'!AA2200" xr:uid="{BD92056A-6B5E-41C6-AD7C-50A416381267}"/>
    <hyperlink ref="AA1221" location="'Preproc. Par.'!AA2300" display="'Preproc. Par.'!AA2300" xr:uid="{80E501F4-69AA-4E1A-940D-FCD59AA70930}"/>
    <hyperlink ref="AA1222" location="'Preproc. Par.'!AA2400" display="'Preproc. Par.'!AA2400" xr:uid="{1D590274-B4ED-4A87-A226-D940E9FAC766}"/>
    <hyperlink ref="AA1201" location="'Preproc. Par.'!AA6" display="Top" xr:uid="{1B222D78-09E3-4BD9-8F77-564FCDDBBFD5}"/>
    <hyperlink ref="AA1303" location="'Preproc. Par.'!AA500" display="'Preproc. Par.'!AA500" xr:uid="{8D08AAA4-9434-4279-9F56-821E2931FD6F}"/>
    <hyperlink ref="AA1302" location="'Preproc. Par.'!AA40" display="Process" xr:uid="{6A7C6439-472F-486F-B92B-E884F956CA23}"/>
    <hyperlink ref="AA1304" location="'Preproc. Par.'!AA600" display="'Preproc. Par.'!AA600" xr:uid="{7FA9E2BA-C240-43D8-8D36-536D5C24F2C3}"/>
    <hyperlink ref="AA1305" location="'Preproc. Par.'!AA700" display="'Preproc. Par.'!AA700" xr:uid="{801BDE48-15A5-46EB-A091-577945A0D579}"/>
    <hyperlink ref="AA1306" location="'Preproc. Par.'!AA800" display="'Preproc. Par.'!AA800" xr:uid="{2E8B15FD-1B46-4592-87A4-5D2E26D3A83F}"/>
    <hyperlink ref="AA1307" location="'Preproc. Par.'!AA900" display="'Preproc. Par.'!AA900" xr:uid="{F80312EF-8C26-41C5-829C-7A469E3B9485}"/>
    <hyperlink ref="AA1308" location="'Preproc. Par.'!AA1000" display="'Preproc. Par.'!AA1000" xr:uid="{3B068F1D-6097-4ACB-A62D-ABC77A1EE08D}"/>
    <hyperlink ref="AA1309" location="'Preproc. Par.'!AA1100" display="'Preproc. Par.'!AA1100" xr:uid="{7CE81557-CE53-47C4-80DC-0E6116C30116}"/>
    <hyperlink ref="AA1310" location="'Preproc. Par.'!AA1200" display="'Preproc. Par.'!AA1200" xr:uid="{1DE6E206-6EAB-4450-AC40-58F2AF5E5485}"/>
    <hyperlink ref="AA1311" location="'Preproc. Par.'!AA1300" display="'Preproc. Par.'!AA1300" xr:uid="{2E79ECF5-7549-4A94-B30C-D5B4F393E2AE}"/>
    <hyperlink ref="AA1312" location="'Preproc. Par.'!AA1400" display="'Preproc. Par.'!AA1400" xr:uid="{412282B6-CD78-468B-A1E5-4A03B485BBC4}"/>
    <hyperlink ref="AA1313" location="'Preproc. Par.'!AA1500" display="'Preproc. Par.'!AA1500" xr:uid="{987C0EC0-D947-4EB1-A719-DE0148D7D359}"/>
    <hyperlink ref="AA1314" location="'Preproc. Par.'!AA1600" display="'Preproc. Par.'!AA1600" xr:uid="{1FABF9CE-4C5C-4417-B5C8-AE90E6228DCC}"/>
    <hyperlink ref="AA1315" location="'Preproc. Par.'!AA1700" display="'Preproc. Par.'!AA1700" xr:uid="{CFFE4FA9-0F4C-4FD8-BB84-0BA391BD4DDF}"/>
    <hyperlink ref="AA1316" location="'Preproc. Par.'!AA1800" display="'Preproc. Par.'!AA1800" xr:uid="{D9BFDF74-0B47-4FB5-9F95-69ED82FADF23}"/>
    <hyperlink ref="AA1317" location="'Preproc. Par.'!AA1900" display="'Preproc. Par.'!AA1900" xr:uid="{DB2CFD66-68AF-4A66-B00B-56E51930EA97}"/>
    <hyperlink ref="AA1318" location="'Preproc. Par.'!AA2000" display="'Preproc. Par.'!AA2000" xr:uid="{C5CB8AAD-1184-4F6A-92D2-946F04F045EA}"/>
    <hyperlink ref="AA1319" location="'Preproc. Par.'!AA2100" display="'Preproc. Par.'!AA2100" xr:uid="{CBC27102-F41E-4DD1-852F-AEF62BAF2C40}"/>
    <hyperlink ref="AA1320" location="'Preproc. Par.'!AA2200" display="'Preproc. Par.'!AA2200" xr:uid="{36D4E3BE-68A9-4C50-AF2B-697CB4CB660B}"/>
    <hyperlink ref="AA1321" location="'Preproc. Par.'!AA2300" display="'Preproc. Par.'!AA2300" xr:uid="{19D500DA-82FC-484D-A443-2D67865FF544}"/>
    <hyperlink ref="AA1322" location="'Preproc. Par.'!AA2400" display="'Preproc. Par.'!AA2400" xr:uid="{D931670E-6451-46B3-9190-E98AC657BFCB}"/>
    <hyperlink ref="AA1301" location="'Preproc. Par.'!AA6" display="Top" xr:uid="{156AB5F7-3429-4876-B628-85B8B81D5A60}"/>
    <hyperlink ref="AA1403" location="'Preproc. Par.'!AA500" display="'Preproc. Par.'!AA500" xr:uid="{E82ED370-011E-41E7-B51D-882F165C717E}"/>
    <hyperlink ref="AA1402" location="'Preproc. Par.'!AA40" display="Process" xr:uid="{8774A59F-3E11-4377-917E-43DE66489035}"/>
    <hyperlink ref="AA1404" location="'Preproc. Par.'!AA600" display="'Preproc. Par.'!AA600" xr:uid="{49FE79D2-3F31-4F3B-B69A-7E5E61084F2A}"/>
    <hyperlink ref="AA1405" location="'Preproc. Par.'!AA700" display="'Preproc. Par.'!AA700" xr:uid="{C3860B8D-DC76-4B12-9797-89BEC81BCCC1}"/>
    <hyperlink ref="AA1406" location="'Preproc. Par.'!AA800" display="'Preproc. Par.'!AA800" xr:uid="{B0FDC3CF-8E73-4A10-B1FB-B70F34E182FC}"/>
    <hyperlink ref="AA1407" location="'Preproc. Par.'!AA900" display="'Preproc. Par.'!AA900" xr:uid="{AC1A3CD8-4B1B-4AF7-8661-9D7BDD92B030}"/>
    <hyperlink ref="AA1408" location="'Preproc. Par.'!AA1000" display="'Preproc. Par.'!AA1000" xr:uid="{B2B5D333-CB53-4DC8-A1D4-19E52964C80B}"/>
    <hyperlink ref="AA1409" location="'Preproc. Par.'!AA1100" display="'Preproc. Par.'!AA1100" xr:uid="{8BA6B09D-FC44-4457-B193-853AF1520011}"/>
    <hyperlink ref="AA1410" location="'Preproc. Par.'!AA1200" display="'Preproc. Par.'!AA1200" xr:uid="{C9F90FD6-2266-481F-B7A2-28C7D7A1A533}"/>
    <hyperlink ref="AA1411" location="'Preproc. Par.'!AA1300" display="'Preproc. Par.'!AA1300" xr:uid="{ECD18C18-F976-4047-8B48-A96A3DB071A3}"/>
    <hyperlink ref="AA1412" location="'Preproc. Par.'!AA1400" display="'Preproc. Par.'!AA1400" xr:uid="{D87CE100-3160-4AEF-AC81-3B74BB1FE864}"/>
    <hyperlink ref="AA1413" location="'Preproc. Par.'!AA1500" display="'Preproc. Par.'!AA1500" xr:uid="{86E378E9-BF56-475C-A6D0-20971F5AF22A}"/>
    <hyperlink ref="AA1414" location="'Preproc. Par.'!AA1600" display="'Preproc. Par.'!AA1600" xr:uid="{93E1278A-5972-4B3E-B2D5-1673EBC6DF71}"/>
    <hyperlink ref="AA1415" location="'Preproc. Par.'!AA1700" display="'Preproc. Par.'!AA1700" xr:uid="{19220389-3FFC-45FB-B79E-88DEE155764C}"/>
    <hyperlink ref="AA1416" location="'Preproc. Par.'!AA1800" display="'Preproc. Par.'!AA1800" xr:uid="{3B463938-4898-410C-A6AD-83009BEE90AC}"/>
    <hyperlink ref="AA1417" location="'Preproc. Par.'!AA1900" display="'Preproc. Par.'!AA1900" xr:uid="{20993EF1-A1C9-40C2-B80E-C52B74C7DA86}"/>
    <hyperlink ref="AA1418" location="'Preproc. Par.'!AA2000" display="'Preproc. Par.'!AA2000" xr:uid="{C3F4FD69-540A-4265-A32F-FE3EC0457A4A}"/>
    <hyperlink ref="AA1419" location="'Preproc. Par.'!AA2100" display="'Preproc. Par.'!AA2100" xr:uid="{D797F8B8-BE29-4A5A-849B-D1D01BE09C72}"/>
    <hyperlink ref="AA1420" location="'Preproc. Par.'!AA2200" display="'Preproc. Par.'!AA2200" xr:uid="{F47D7E19-4352-4F73-8258-1779A6D19B0E}"/>
    <hyperlink ref="AA1421" location="'Preproc. Par.'!AA2300" display="'Preproc. Par.'!AA2300" xr:uid="{707B35F8-FE35-4660-9FFD-19B9ADFE9708}"/>
    <hyperlink ref="AA1422" location="'Preproc. Par.'!AA2400" display="'Preproc. Par.'!AA2400" xr:uid="{B1961514-FD31-4DB3-B55A-1FE265C25D39}"/>
    <hyperlink ref="AA1401" location="'Preproc. Par.'!AA6" display="Top" xr:uid="{31F93DEE-E2AC-4BB3-BD91-47791F51424E}"/>
    <hyperlink ref="AA1503" location="'Preproc. Par.'!AA500" display="'Preproc. Par.'!AA500" xr:uid="{F6664F77-4D3D-492D-A7B4-0C1C055D178E}"/>
    <hyperlink ref="AA1502" location="'Preproc. Par.'!AA40" display="Process" xr:uid="{A43AFEEA-A989-4CBC-911C-8174F5AAC03D}"/>
    <hyperlink ref="AA1504" location="'Preproc. Par.'!AA600" display="'Preproc. Par.'!AA600" xr:uid="{81BFC5F6-848E-4445-95A2-F0D4B832275A}"/>
    <hyperlink ref="AA1505" location="'Preproc. Par.'!AA700" display="'Preproc. Par.'!AA700" xr:uid="{901B2EDA-D6C8-402D-8DD5-C0956EAA8503}"/>
    <hyperlink ref="AA1506" location="'Preproc. Par.'!AA800" display="'Preproc. Par.'!AA800" xr:uid="{95495119-D2FD-440F-B0D1-86174826C502}"/>
    <hyperlink ref="AA1507" location="'Preproc. Par.'!AA900" display="'Preproc. Par.'!AA900" xr:uid="{06A1E6B8-792E-464D-8A06-57E71AF6D23B}"/>
    <hyperlink ref="AA1508" location="'Preproc. Par.'!AA1000" display="'Preproc. Par.'!AA1000" xr:uid="{C6E474E1-E431-4FBE-AB6B-4F8FBFB4BF2C}"/>
    <hyperlink ref="AA1509" location="'Preproc. Par.'!AA1100" display="'Preproc. Par.'!AA1100" xr:uid="{3021CF6E-372E-49C3-8774-739C8F81FE7C}"/>
    <hyperlink ref="AA1510" location="'Preproc. Par.'!AA1200" display="'Preproc. Par.'!AA1200" xr:uid="{87A0EC59-ED49-4C7D-8708-3D62C8ED4751}"/>
    <hyperlink ref="AA1511" location="'Preproc. Par.'!AA1300" display="'Preproc. Par.'!AA1300" xr:uid="{CEDE8B86-6547-49BD-8FC8-95BFD58698D8}"/>
    <hyperlink ref="AA1512" location="'Preproc. Par.'!AA1400" display="'Preproc. Par.'!AA1400" xr:uid="{8E0EA2D5-E9A6-45DE-B018-58F14EDFDBF6}"/>
    <hyperlink ref="AA1513" location="'Preproc. Par.'!AA1500" display="'Preproc. Par.'!AA1500" xr:uid="{E1F9BEF5-68A0-4A7D-B3D8-7C8B0FC41384}"/>
    <hyperlink ref="AA1514" location="'Preproc. Par.'!AA1600" display="'Preproc. Par.'!AA1600" xr:uid="{4F181447-EC97-4F89-A746-C6A0AB11F421}"/>
    <hyperlink ref="AA1515" location="'Preproc. Par.'!AA1700" display="'Preproc. Par.'!AA1700" xr:uid="{34AEC83D-EEFA-4EA8-9CFE-A927B5CE6DC3}"/>
    <hyperlink ref="AA1516" location="'Preproc. Par.'!AA1800" display="'Preproc. Par.'!AA1800" xr:uid="{8CFDE6DB-E7E2-4E3E-A06A-6C670EB16F64}"/>
    <hyperlink ref="AA1517" location="'Preproc. Par.'!AA1900" display="'Preproc. Par.'!AA1900" xr:uid="{76D5F31B-5DF1-4FD7-8142-560F53336340}"/>
    <hyperlink ref="AA1518" location="'Preproc. Par.'!AA2000" display="'Preproc. Par.'!AA2000" xr:uid="{3E84D43E-B3AE-424D-A921-E90DC239BC02}"/>
    <hyperlink ref="AA1519" location="'Preproc. Par.'!AA2100" display="'Preproc. Par.'!AA2100" xr:uid="{9876D49D-D4E3-4681-B614-DE60A7F6147F}"/>
    <hyperlink ref="AA1520" location="'Preproc. Par.'!AA2200" display="'Preproc. Par.'!AA2200" xr:uid="{8B026647-FFEC-4547-97B6-DE6B7FB56314}"/>
    <hyperlink ref="AA1521" location="'Preproc. Par.'!AA2300" display="'Preproc. Par.'!AA2300" xr:uid="{0796C564-F1A1-40F4-B40F-F8CD9799461A}"/>
    <hyperlink ref="AA1522" location="'Preproc. Par.'!AA2400" display="'Preproc. Par.'!AA2400" xr:uid="{93E231A6-1296-4113-A7CD-E116D8EA4089}"/>
    <hyperlink ref="AA1501" location="'Preproc. Par.'!AA6" display="Top" xr:uid="{B7B0CF37-D570-46A2-9702-D302118AEDF9}"/>
    <hyperlink ref="AA1603" location="'Preproc. Par.'!AA500" display="'Preproc. Par.'!AA500" xr:uid="{DD353C52-9916-403F-84EB-CA3935D508D9}"/>
    <hyperlink ref="AA1602" location="'Preproc. Par.'!AA40" display="Process" xr:uid="{556098AA-BD3B-4AF7-86F4-8252D12F69E4}"/>
    <hyperlink ref="AA1604" location="'Preproc. Par.'!AA600" display="'Preproc. Par.'!AA600" xr:uid="{A3664185-B98A-4984-974C-6AFFE7BCD7A3}"/>
    <hyperlink ref="AA1605" location="'Preproc. Par.'!AA700" display="'Preproc. Par.'!AA700" xr:uid="{FAA5FE85-7F4D-40FA-8C1E-9D4F4DC5D043}"/>
    <hyperlink ref="AA1606" location="'Preproc. Par.'!AA800" display="'Preproc. Par.'!AA800" xr:uid="{1563EA0C-4DA7-4558-AA0F-3FEF8AE507E5}"/>
    <hyperlink ref="AA1607" location="'Preproc. Par.'!AA900" display="'Preproc. Par.'!AA900" xr:uid="{4C495EE6-E3DC-44D1-8F7C-070147D1A2E7}"/>
    <hyperlink ref="AA1608" location="'Preproc. Par.'!AA1000" display="'Preproc. Par.'!AA1000" xr:uid="{752C9DE3-38E8-4E33-B20E-128B2D3074C1}"/>
    <hyperlink ref="AA1609" location="'Preproc. Par.'!AA1100" display="'Preproc. Par.'!AA1100" xr:uid="{63EEE2E6-0B95-40D9-B1D8-0CB66CAC96CC}"/>
    <hyperlink ref="AA1610" location="'Preproc. Par.'!AA1200" display="'Preproc. Par.'!AA1200" xr:uid="{188934BD-9CCB-4597-9F59-6EA94FDC1D5C}"/>
    <hyperlink ref="AA1611" location="'Preproc. Par.'!AA1300" display="'Preproc. Par.'!AA1300" xr:uid="{AB6A50A5-8D40-402E-BEEC-703507E74DF5}"/>
    <hyperlink ref="AA1612" location="'Preproc. Par.'!AA1400" display="'Preproc. Par.'!AA1400" xr:uid="{2255A760-1082-41DE-8340-7657EE2D05D5}"/>
    <hyperlink ref="AA1613" location="'Preproc. Par.'!AA1500" display="'Preproc. Par.'!AA1500" xr:uid="{81BD0E22-3AB1-4CE4-BF00-A50C7564201C}"/>
    <hyperlink ref="AA1614" location="'Preproc. Par.'!AA1600" display="'Preproc. Par.'!AA1600" xr:uid="{9A3F3764-2ED2-4DED-A89E-4AE4C19FA01B}"/>
    <hyperlink ref="AA1615" location="'Preproc. Par.'!AA1700" display="'Preproc. Par.'!AA1700" xr:uid="{EDEFF257-5F3B-44F5-B0A1-7862E404F723}"/>
    <hyperlink ref="AA1616" location="'Preproc. Par.'!AA1800" display="'Preproc. Par.'!AA1800" xr:uid="{125EAC50-D09A-4D02-8ECC-4BD026830CE3}"/>
    <hyperlink ref="AA1617" location="'Preproc. Par.'!AA1900" display="'Preproc. Par.'!AA1900" xr:uid="{B52F1CE7-4CFF-4B65-9C57-7E86CB3F291A}"/>
    <hyperlink ref="AA1618" location="'Preproc. Par.'!AA2000" display="'Preproc. Par.'!AA2000" xr:uid="{866DD71C-A424-4E49-BF59-A95D69600DAE}"/>
    <hyperlink ref="AA1619" location="'Preproc. Par.'!AA2100" display="'Preproc. Par.'!AA2100" xr:uid="{00E0AACD-AC68-45CE-8656-C46A2EFB43AA}"/>
    <hyperlink ref="AA1620" location="'Preproc. Par.'!AA2200" display="'Preproc. Par.'!AA2200" xr:uid="{6AF29D73-DDCA-44E9-8B23-CB50FF6B6B9E}"/>
    <hyperlink ref="AA1621" location="'Preproc. Par.'!AA2300" display="'Preproc. Par.'!AA2300" xr:uid="{AED013F7-8A5B-4800-8B13-2AC840980808}"/>
    <hyperlink ref="AA1622" location="'Preproc. Par.'!AA2400" display="'Preproc. Par.'!AA2400" xr:uid="{50CCDC6C-1B5C-4D05-8EB1-4FC5394AE448}"/>
    <hyperlink ref="AA1601" location="'Preproc. Par.'!AA6" display="Top" xr:uid="{CD94CD71-2056-4CCC-B34B-944722BF3778}"/>
    <hyperlink ref="AA1703" location="'Preproc. Par.'!AA500" display="'Preproc. Par.'!AA500" xr:uid="{1164F913-85F5-4F24-83FF-51143E1401E5}"/>
    <hyperlink ref="AA1702" location="'Preproc. Par.'!AA40" display="Process" xr:uid="{82878806-55C2-44C4-819D-1DB32D24A5B1}"/>
    <hyperlink ref="AA1704" location="'Preproc. Par.'!AA600" display="'Preproc. Par.'!AA600" xr:uid="{1AECC44C-8DCB-4C95-AE65-FE7455AAC225}"/>
    <hyperlink ref="AA1705" location="'Preproc. Par.'!AA700" display="'Preproc. Par.'!AA700" xr:uid="{880BD543-0084-477C-8352-B6B5C7530D15}"/>
    <hyperlink ref="AA1706" location="'Preproc. Par.'!AA800" display="'Preproc. Par.'!AA800" xr:uid="{5C297E9C-DA11-4440-90B9-B51190E7A093}"/>
    <hyperlink ref="AA1707" location="'Preproc. Par.'!AA900" display="'Preproc. Par.'!AA900" xr:uid="{3E43431B-8F31-4090-A3B5-5A1E638584EF}"/>
    <hyperlink ref="AA1708" location="'Preproc. Par.'!AA1000" display="'Preproc. Par.'!AA1000" xr:uid="{8834A093-B166-4589-8C0D-6511044D2E23}"/>
    <hyperlink ref="AA1709" location="'Preproc. Par.'!AA1100" display="'Preproc. Par.'!AA1100" xr:uid="{132D5EC0-8AD1-4F78-9611-66A6F5FB6221}"/>
    <hyperlink ref="AA1710" location="'Preproc. Par.'!AA1200" display="'Preproc. Par.'!AA1200" xr:uid="{2E76BD0D-D597-4763-8A9B-B436AEF5F7FB}"/>
    <hyperlink ref="AA1711" location="'Preproc. Par.'!AA1300" display="'Preproc. Par.'!AA1300" xr:uid="{E35C0651-E886-4CC5-90C4-2B4E47921ABD}"/>
    <hyperlink ref="AA1712" location="'Preproc. Par.'!AA1400" display="'Preproc. Par.'!AA1400" xr:uid="{44FD8EF4-D945-45ED-B461-B2DDD0BDD3B2}"/>
    <hyperlink ref="AA1713" location="'Preproc. Par.'!AA1500" display="'Preproc. Par.'!AA1500" xr:uid="{3231D03C-BAA9-4117-8841-90386604CB0F}"/>
    <hyperlink ref="AA1714" location="'Preproc. Par.'!AA1600" display="'Preproc. Par.'!AA1600" xr:uid="{55FA5C41-E799-490D-B09F-7551FEE9D5C8}"/>
    <hyperlink ref="AA1715" location="'Preproc. Par.'!AA1700" display="'Preproc. Par.'!AA1700" xr:uid="{1E141977-7A19-4C78-9DF0-82FB01BC25EA}"/>
    <hyperlink ref="AA1716" location="'Preproc. Par.'!AA1800" display="'Preproc. Par.'!AA1800" xr:uid="{F59410BF-49C1-40A9-9AC6-AF03D0BD2551}"/>
    <hyperlink ref="AA1717" location="'Preproc. Par.'!AA1900" display="'Preproc. Par.'!AA1900" xr:uid="{3712E517-0670-4C53-B7EB-8E3CCBB42B0A}"/>
    <hyperlink ref="AA1718" location="'Preproc. Par.'!AA2000" display="'Preproc. Par.'!AA2000" xr:uid="{2F7993BF-A08F-4313-88D0-3B1E4A1A644C}"/>
    <hyperlink ref="AA1719" location="'Preproc. Par.'!AA2100" display="'Preproc. Par.'!AA2100" xr:uid="{9B43E7DA-E8A2-4527-9FCC-66F87C980F63}"/>
    <hyperlink ref="AA1720" location="'Preproc. Par.'!AA2200" display="'Preproc. Par.'!AA2200" xr:uid="{428EB08F-6ABF-4CBA-BE29-1B867CC42296}"/>
    <hyperlink ref="AA1721" location="'Preproc. Par.'!AA2300" display="'Preproc. Par.'!AA2300" xr:uid="{BADB00D6-29AD-40A7-B9CC-0141515DD898}"/>
    <hyperlink ref="AA1722" location="'Preproc. Par.'!AA2400" display="'Preproc. Par.'!AA2400" xr:uid="{C872A41D-72C1-4211-B5C8-BCD8E6C06C2D}"/>
    <hyperlink ref="AA1701" location="'Preproc. Par.'!AA6" display="Top" xr:uid="{5F661C91-4C36-4228-81B2-EC2D8A9078E2}"/>
    <hyperlink ref="AA1803" location="'Preproc. Par.'!AA500" display="'Preproc. Par.'!AA500" xr:uid="{AD75A36F-9EA9-47ED-8A76-1DCB2FC60054}"/>
    <hyperlink ref="AA1802" location="'Preproc. Par.'!AA40" display="Process" xr:uid="{1630DD24-2933-4CFD-8C43-ADC70FCFB122}"/>
    <hyperlink ref="AA1804" location="'Preproc. Par.'!AA600" display="'Preproc. Par.'!AA600" xr:uid="{68C547F3-FCD2-457F-ACAA-74A41A9542DF}"/>
    <hyperlink ref="AA1805" location="'Preproc. Par.'!AA700" display="'Preproc. Par.'!AA700" xr:uid="{12606C00-506A-42CB-858E-E1C7EF83D2BC}"/>
    <hyperlink ref="AA1806" location="'Preproc. Par.'!AA800" display="'Preproc. Par.'!AA800" xr:uid="{876806FE-B32A-4A1B-B84A-C5ACBEFCF200}"/>
    <hyperlink ref="AA1807" location="'Preproc. Par.'!AA900" display="'Preproc. Par.'!AA900" xr:uid="{6A9CFDE5-D84B-494C-A379-B291BBC59E60}"/>
    <hyperlink ref="AA1808" location="'Preproc. Par.'!AA1000" display="'Preproc. Par.'!AA1000" xr:uid="{38945DAD-846D-46D2-857E-7DFFD11B3514}"/>
    <hyperlink ref="AA1809" location="'Preproc. Par.'!AA1100" display="'Preproc. Par.'!AA1100" xr:uid="{8ADBC34D-9D1F-4AB8-A78F-3960B75C25BE}"/>
    <hyperlink ref="AA1810" location="'Preproc. Par.'!AA1200" display="'Preproc. Par.'!AA1200" xr:uid="{8B316B5D-B208-40CC-A002-3833A5D47F1A}"/>
    <hyperlink ref="AA1811" location="'Preproc. Par.'!AA1300" display="'Preproc. Par.'!AA1300" xr:uid="{D455D903-305C-41D1-81CB-B74A8F71F181}"/>
    <hyperlink ref="AA1812" location="'Preproc. Par.'!AA1400" display="'Preproc. Par.'!AA1400" xr:uid="{D0A98538-C0DB-47A0-96F3-AB426D2E1B8B}"/>
    <hyperlink ref="AA1813" location="'Preproc. Par.'!AA1500" display="'Preproc. Par.'!AA1500" xr:uid="{DDA0E3D8-D9A6-44D0-8176-1C53C5E67E4F}"/>
    <hyperlink ref="AA1814" location="'Preproc. Par.'!AA1600" display="'Preproc. Par.'!AA1600" xr:uid="{9B0B7963-4AB0-4421-93C2-5BA69B6BF233}"/>
    <hyperlink ref="AA1815" location="'Preproc. Par.'!AA1700" display="'Preproc. Par.'!AA1700" xr:uid="{1253D6E4-A645-4939-9659-B53470EE67C2}"/>
    <hyperlink ref="AA1816" location="'Preproc. Par.'!AA1800" display="'Preproc. Par.'!AA1800" xr:uid="{3282B642-E615-4688-B944-7A99107F6C8D}"/>
    <hyperlink ref="AA1817" location="'Preproc. Par.'!AA1900" display="'Preproc. Par.'!AA1900" xr:uid="{E51B31D9-0B4F-4623-96EC-6EE67F306110}"/>
    <hyperlink ref="AA1818" location="'Preproc. Par.'!AA2000" display="'Preproc. Par.'!AA2000" xr:uid="{E4307060-F7AF-4BEA-843B-DCF172BD9270}"/>
    <hyperlink ref="AA1819" location="'Preproc. Par.'!AA2100" display="'Preproc. Par.'!AA2100" xr:uid="{3C607DAB-DFEC-41C9-B229-E9715537375C}"/>
    <hyperlink ref="AA1820" location="'Preproc. Par.'!AA2200" display="'Preproc. Par.'!AA2200" xr:uid="{828BDEC8-147C-4304-9592-71C01F4354C4}"/>
    <hyperlink ref="AA1821" location="'Preproc. Par.'!AA2300" display="'Preproc. Par.'!AA2300" xr:uid="{D38B55C6-232A-47D3-8CAC-0E2A71F902ED}"/>
    <hyperlink ref="AA1822" location="'Preproc. Par.'!AA2400" display="'Preproc. Par.'!AA2400" xr:uid="{B26AE53C-C367-495C-8960-1E44BA0D250F}"/>
    <hyperlink ref="AA1801" location="'Preproc. Par.'!AA6" display="Top" xr:uid="{C1AF351E-4355-4AFD-A279-5281604D6B58}"/>
    <hyperlink ref="AA1903" location="'Preproc. Par.'!AA500" display="'Preproc. Par.'!AA500" xr:uid="{C1F10190-9B30-4024-91F9-1280BA0C1821}"/>
    <hyperlink ref="AA1902" location="'Preproc. Par.'!AA40" display="Process" xr:uid="{F2FEE5EA-A9E7-4DDD-859B-551894A2D969}"/>
    <hyperlink ref="AA1904" location="'Preproc. Par.'!AA600" display="'Preproc. Par.'!AA600" xr:uid="{AA45EBD2-D741-4878-827C-C34A95D8CB93}"/>
    <hyperlink ref="AA1905" location="'Preproc. Par.'!AA700" display="'Preproc. Par.'!AA700" xr:uid="{52A25103-BB34-4D11-81B7-278791AB7CEF}"/>
    <hyperlink ref="AA1906" location="'Preproc. Par.'!AA800" display="'Preproc. Par.'!AA800" xr:uid="{7E443DF4-5E8F-4EF2-9018-088870025765}"/>
    <hyperlink ref="AA1907" location="'Preproc. Par.'!AA900" display="'Preproc. Par.'!AA900" xr:uid="{E7594528-CD29-4A48-B680-5AFC3B768FEF}"/>
    <hyperlink ref="AA1908" location="'Preproc. Par.'!AA1000" display="'Preproc. Par.'!AA1000" xr:uid="{2DDF8B7E-E29F-493E-B238-C6C7B435CA7E}"/>
    <hyperlink ref="AA1909" location="'Preproc. Par.'!AA1100" display="'Preproc. Par.'!AA1100" xr:uid="{27C68F95-6DD9-412C-A87D-CE08C00ACEE8}"/>
    <hyperlink ref="AA1910" location="'Preproc. Par.'!AA1200" display="'Preproc. Par.'!AA1200" xr:uid="{1BA43237-0A02-45DA-AFBD-D81C80C14CC6}"/>
    <hyperlink ref="AA1911" location="'Preproc. Par.'!AA1300" display="'Preproc. Par.'!AA1300" xr:uid="{FC81025F-7D3A-4569-A3C0-FEEF23EA7078}"/>
    <hyperlink ref="AA1912" location="'Preproc. Par.'!AA1400" display="'Preproc. Par.'!AA1400" xr:uid="{BCC5BCCD-5EBF-4FB8-A2DB-63EAB7AA171A}"/>
    <hyperlink ref="AA1913" location="'Preproc. Par.'!AA1500" display="'Preproc. Par.'!AA1500" xr:uid="{38000EE1-4D17-40FA-871F-ED3B591F2B8E}"/>
    <hyperlink ref="AA1914" location="'Preproc. Par.'!AA1600" display="'Preproc. Par.'!AA1600" xr:uid="{89B24BD1-CEC0-4605-BAF5-B02C46E483FA}"/>
    <hyperlink ref="AA1915" location="'Preproc. Par.'!AA1700" display="'Preproc. Par.'!AA1700" xr:uid="{ADF3E89E-564A-4E8B-BEAF-674890F51A41}"/>
    <hyperlink ref="AA1916" location="'Preproc. Par.'!AA1800" display="'Preproc. Par.'!AA1800" xr:uid="{5D320048-D590-498B-94A7-09E0370BC5B3}"/>
    <hyperlink ref="AA1917" location="'Preproc. Par.'!AA1900" display="'Preproc. Par.'!AA1900" xr:uid="{7AFC60B4-D91E-44AE-BDD7-2329E750E472}"/>
    <hyperlink ref="AA1918" location="'Preproc. Par.'!AA2000" display="'Preproc. Par.'!AA2000" xr:uid="{11C0DC60-C7F5-450B-B48C-870BB921F504}"/>
    <hyperlink ref="AA1919" location="'Preproc. Par.'!AA2100" display="'Preproc. Par.'!AA2100" xr:uid="{F021E268-4378-422F-9C0E-5E2D6725D937}"/>
    <hyperlink ref="AA1920" location="'Preproc. Par.'!AA2200" display="'Preproc. Par.'!AA2200" xr:uid="{39233683-01A4-4890-9285-5EE2AEDA7CFF}"/>
    <hyperlink ref="AA1921" location="'Preproc. Par.'!AA2300" display="'Preproc. Par.'!AA2300" xr:uid="{3B50330F-DB86-41C4-99DD-5332B4EAF79A}"/>
    <hyperlink ref="AA1922" location="'Preproc. Par.'!AA2400" display="'Preproc. Par.'!AA2400" xr:uid="{7004A584-76E2-437F-9EB3-C16804FC3604}"/>
    <hyperlink ref="AA1901" location="'Preproc. Par.'!AA6" display="Top" xr:uid="{B55245D5-143F-4077-9C08-469067354ED2}"/>
    <hyperlink ref="AA2003" location="'Preproc. Par.'!AA500" display="'Preproc. Par.'!AA500" xr:uid="{2A138C37-DDA1-414F-8EA8-AD4B5C23E8BC}"/>
    <hyperlink ref="AA2002" location="'Preproc. Par.'!AA40" display="Process" xr:uid="{47B9F13F-B7CD-4C75-8A15-92D22E70DCFF}"/>
    <hyperlink ref="AA2004" location="'Preproc. Par.'!AA600" display="'Preproc. Par.'!AA600" xr:uid="{6A9B0BB7-E394-4538-8191-95FB738FE93B}"/>
    <hyperlink ref="AA2005" location="'Preproc. Par.'!AA700" display="'Preproc. Par.'!AA700" xr:uid="{9C347E56-93D0-4461-AD9D-12D34EAE8CF2}"/>
    <hyperlink ref="AA2006" location="'Preproc. Par.'!AA800" display="'Preproc. Par.'!AA800" xr:uid="{924ACF34-1334-4ADC-983B-403E4C680678}"/>
    <hyperlink ref="AA2007" location="'Preproc. Par.'!AA900" display="'Preproc. Par.'!AA900" xr:uid="{99EFB8EC-9D4D-4D32-81AA-D75B8E034630}"/>
    <hyperlink ref="AA2008" location="'Preproc. Par.'!AA1000" display="'Preproc. Par.'!AA1000" xr:uid="{C0EE4E09-9DF4-41BE-8D22-097078D0CF18}"/>
    <hyperlink ref="AA2009" location="'Preproc. Par.'!AA1100" display="'Preproc. Par.'!AA1100" xr:uid="{9D33C70D-3610-4F13-AE57-AB505561EFEF}"/>
    <hyperlink ref="AA2010" location="'Preproc. Par.'!AA1200" display="'Preproc. Par.'!AA1200" xr:uid="{EFC30574-D842-4C57-8B2B-3272C3D7CBBF}"/>
    <hyperlink ref="AA2011" location="'Preproc. Par.'!AA1300" display="'Preproc. Par.'!AA1300" xr:uid="{AF51CBDD-36C3-4BF7-BDD1-884F2EC6D9E2}"/>
    <hyperlink ref="AA2012" location="'Preproc. Par.'!AA1400" display="'Preproc. Par.'!AA1400" xr:uid="{BC5D51FD-2912-407F-BF6A-4D8B92FD928B}"/>
    <hyperlink ref="AA2013" location="'Preproc. Par.'!AA1500" display="'Preproc. Par.'!AA1500" xr:uid="{621D7EA6-E530-44C2-AD80-63F146FF4B6D}"/>
    <hyperlink ref="AA2014" location="'Preproc. Par.'!AA1600" display="'Preproc. Par.'!AA1600" xr:uid="{8CD86947-F64B-4F88-BF0A-845F0D0173C9}"/>
    <hyperlink ref="AA2015" location="'Preproc. Par.'!AA1700" display="'Preproc. Par.'!AA1700" xr:uid="{7183A847-3096-4312-9BF7-4B665412DDBA}"/>
    <hyperlink ref="AA2016" location="'Preproc. Par.'!AA1800" display="'Preproc. Par.'!AA1800" xr:uid="{E5C25871-74EF-4E72-AEA3-48CAF064CF51}"/>
    <hyperlink ref="AA2017" location="'Preproc. Par.'!AA1900" display="'Preproc. Par.'!AA1900" xr:uid="{05448C1A-25CA-4D04-AC43-F71019E61006}"/>
    <hyperlink ref="AA2018" location="'Preproc. Par.'!AA2000" display="'Preproc. Par.'!AA2000" xr:uid="{56CF0F45-5F50-49F5-9C5B-127DE37B3F44}"/>
    <hyperlink ref="AA2019" location="'Preproc. Par.'!AA2100" display="'Preproc. Par.'!AA2100" xr:uid="{8159D1B8-B20A-4A01-9047-98DE9D648A46}"/>
    <hyperlink ref="AA2020" location="'Preproc. Par.'!AA2200" display="'Preproc. Par.'!AA2200" xr:uid="{D072AA5D-F660-4589-974B-9F4CC59D3EAC}"/>
    <hyperlink ref="AA2021" location="'Preproc. Par.'!AA2300" display="'Preproc. Par.'!AA2300" xr:uid="{745F9B73-E37D-4FA1-990E-E7C301723379}"/>
    <hyperlink ref="AA2022" location="'Preproc. Par.'!AA2400" display="'Preproc. Par.'!AA2400" xr:uid="{B7F2640B-6675-4143-9954-E1234A46EC41}"/>
    <hyperlink ref="AA2001" location="'Preproc. Par.'!AA6" display="Top" xr:uid="{0C625711-7B0F-41E8-8F35-88039C0859D7}"/>
    <hyperlink ref="AA2103" location="'Preproc. Par.'!AA500" display="'Preproc. Par.'!AA500" xr:uid="{C9C7B42A-2076-4940-BA6E-34CC5B2A0409}"/>
    <hyperlink ref="AA2102" location="'Preproc. Par.'!AA40" display="Process" xr:uid="{A59146B0-E875-49A0-966D-6656FB2902F9}"/>
    <hyperlink ref="AA2104" location="'Preproc. Par.'!AA600" display="'Preproc. Par.'!AA600" xr:uid="{7A609D4B-3775-47CD-9697-ABC0D173A37C}"/>
    <hyperlink ref="AA2105" location="'Preproc. Par.'!AA700" display="'Preproc. Par.'!AA700" xr:uid="{DD870EC6-3391-45E7-B4A2-CBF505C7BAE6}"/>
    <hyperlink ref="AA2106" location="'Preproc. Par.'!AA800" display="'Preproc. Par.'!AA800" xr:uid="{2FBE407B-7807-46FE-A805-6F326611A434}"/>
    <hyperlink ref="AA2107" location="'Preproc. Par.'!AA900" display="'Preproc. Par.'!AA900" xr:uid="{CDCFEC2C-890D-4D8D-AC45-CD0E8CB3D203}"/>
    <hyperlink ref="AA2108" location="'Preproc. Par.'!AA1000" display="'Preproc. Par.'!AA1000" xr:uid="{9F923A78-D232-4362-8A14-1A6189527165}"/>
    <hyperlink ref="AA2109" location="'Preproc. Par.'!AA1100" display="'Preproc. Par.'!AA1100" xr:uid="{45CB9401-39C4-44BC-A06F-C74F9903D954}"/>
    <hyperlink ref="AA2110" location="'Preproc. Par.'!AA1200" display="'Preproc. Par.'!AA1200" xr:uid="{C8765C54-DA80-4410-9B87-1DD6823BB042}"/>
    <hyperlink ref="AA2111" location="'Preproc. Par.'!AA1300" display="'Preproc. Par.'!AA1300" xr:uid="{81AA65EA-89C2-419F-B2A8-92E4747F5AE8}"/>
    <hyperlink ref="AA2112" location="'Preproc. Par.'!AA1400" display="'Preproc. Par.'!AA1400" xr:uid="{C2D5A490-9AE7-4736-936B-08ECD2697844}"/>
    <hyperlink ref="AA2113" location="'Preproc. Par.'!AA1500" display="'Preproc. Par.'!AA1500" xr:uid="{C4ADFC18-DF68-40FE-BC9E-196B7C25D80C}"/>
    <hyperlink ref="AA2114" location="'Preproc. Par.'!AA1600" display="'Preproc. Par.'!AA1600" xr:uid="{6EE48CF2-DDF6-49BD-8F35-DF35E94C425E}"/>
    <hyperlink ref="AA2115" location="'Preproc. Par.'!AA1700" display="'Preproc. Par.'!AA1700" xr:uid="{3C7D97DD-E882-41FA-A2B3-26C453D7198C}"/>
    <hyperlink ref="AA2116" location="'Preproc. Par.'!AA1800" display="'Preproc. Par.'!AA1800" xr:uid="{304FB27D-15D4-4BD2-A6EC-BB9697922AEC}"/>
    <hyperlink ref="AA2117" location="'Preproc. Par.'!AA1900" display="'Preproc. Par.'!AA1900" xr:uid="{6F04AA53-90E3-49E1-B463-C3D691EAFE5B}"/>
    <hyperlink ref="AA2118" location="'Preproc. Par.'!AA2000" display="'Preproc. Par.'!AA2000" xr:uid="{621D09E6-4152-4861-BF8F-0452E0900CD4}"/>
    <hyperlink ref="AA2119" location="'Preproc. Par.'!AA2100" display="'Preproc. Par.'!AA2100" xr:uid="{EC57BD6A-ABD5-4566-888A-EC72B571676A}"/>
    <hyperlink ref="AA2120" location="'Preproc. Par.'!AA2200" display="'Preproc. Par.'!AA2200" xr:uid="{8884A41C-C7A5-4BCB-AAC1-D5EE99F2D7C6}"/>
    <hyperlink ref="AA2121" location="'Preproc. Par.'!AA2300" display="'Preproc. Par.'!AA2300" xr:uid="{C2D5DC26-5083-4C90-92A6-B1A929E27718}"/>
    <hyperlink ref="AA2122" location="'Preproc. Par.'!AA2400" display="'Preproc. Par.'!AA2400" xr:uid="{9D34F947-7C8F-45C1-B99B-D205BA199D7D}"/>
    <hyperlink ref="AA2101" location="'Preproc. Par.'!AA6" display="Top" xr:uid="{2528B7CC-93D8-4CAC-BACA-E2B01EA3FBFE}"/>
    <hyperlink ref="AA2203" location="'Preproc. Par.'!AA500" display="'Preproc. Par.'!AA500" xr:uid="{CC037227-B927-4472-BB0D-40FC39C2A15E}"/>
    <hyperlink ref="AA2202" location="'Preproc. Par.'!AA40" display="Process" xr:uid="{DA63472E-0C44-4A56-AFC5-D101BD11EFCE}"/>
    <hyperlink ref="AA2204" location="'Preproc. Par.'!AA600" display="'Preproc. Par.'!AA600" xr:uid="{EC50BD81-2E39-4464-BC22-AD3EB3BED476}"/>
    <hyperlink ref="AA2205" location="'Preproc. Par.'!AA700" display="'Preproc. Par.'!AA700" xr:uid="{0AFCD278-E250-43A9-961F-59DF6D4A0DC3}"/>
    <hyperlink ref="AA2206" location="'Preproc. Par.'!AA800" display="'Preproc. Par.'!AA800" xr:uid="{99C8B5FD-ACF6-4DD3-8A4A-23623F0C766B}"/>
    <hyperlink ref="AA2207" location="'Preproc. Par.'!AA900" display="'Preproc. Par.'!AA900" xr:uid="{EEEFC698-20BF-43A7-A052-B06192C213A9}"/>
    <hyperlink ref="AA2208" location="'Preproc. Par.'!AA1000" display="'Preproc. Par.'!AA1000" xr:uid="{E3AAE497-EBF3-4371-8055-B83B6BBE02A9}"/>
    <hyperlink ref="AA2209" location="'Preproc. Par.'!AA1100" display="'Preproc. Par.'!AA1100" xr:uid="{549E2DB4-1D26-4919-8576-6CCA169881FD}"/>
    <hyperlink ref="AA2210" location="'Preproc. Par.'!AA1200" display="'Preproc. Par.'!AA1200" xr:uid="{E7F422A9-5933-45D6-BEBD-3AED365D440C}"/>
    <hyperlink ref="AA2211" location="'Preproc. Par.'!AA1300" display="'Preproc. Par.'!AA1300" xr:uid="{F02EB1B8-9B05-49A0-A0DD-56811FA31DD8}"/>
    <hyperlink ref="AA2212" location="'Preproc. Par.'!AA1400" display="'Preproc. Par.'!AA1400" xr:uid="{17CED4D0-50C8-442C-946E-0C5D791DA4B9}"/>
    <hyperlink ref="AA2213" location="'Preproc. Par.'!AA1500" display="'Preproc. Par.'!AA1500" xr:uid="{DB8E79E2-7802-47A8-9F14-E15D0B70258D}"/>
    <hyperlink ref="AA2214" location="'Preproc. Par.'!AA1600" display="'Preproc. Par.'!AA1600" xr:uid="{25283779-7A2A-465B-B140-7F341819E5B1}"/>
    <hyperlink ref="AA2215" location="'Preproc. Par.'!AA1700" display="'Preproc. Par.'!AA1700" xr:uid="{21F9972C-85A3-48DB-9143-79235EF14BFF}"/>
    <hyperlink ref="AA2216" location="'Preproc. Par.'!AA1800" display="'Preproc. Par.'!AA1800" xr:uid="{4DC95401-F442-469A-A7E7-F7849D851D54}"/>
    <hyperlink ref="AA2217" location="'Preproc. Par.'!AA1900" display="'Preproc. Par.'!AA1900" xr:uid="{AE8F9538-AC80-4721-8D9E-F19345DA39D0}"/>
    <hyperlink ref="AA2218" location="'Preproc. Par.'!AA2000" display="'Preproc. Par.'!AA2000" xr:uid="{306A16EC-F28F-4B46-800B-1F7E053D20B9}"/>
    <hyperlink ref="AA2219" location="'Preproc. Par.'!AA2100" display="'Preproc. Par.'!AA2100" xr:uid="{4E7B054D-00A6-48CC-90E2-9A217BC59D3C}"/>
    <hyperlink ref="AA2220" location="'Preproc. Par.'!AA2200" display="'Preproc. Par.'!AA2200" xr:uid="{6163CAFE-5879-4714-BA1C-66E866A5F246}"/>
    <hyperlink ref="AA2221" location="'Preproc. Par.'!AA2300" display="'Preproc. Par.'!AA2300" xr:uid="{08C3A04E-AE95-460B-A1BB-D2B97109CDD5}"/>
    <hyperlink ref="AA2222" location="'Preproc. Par.'!AA2400" display="'Preproc. Par.'!AA2400" xr:uid="{35C5D7D8-B4D0-41B0-8D20-7122F8D0A3FF}"/>
    <hyperlink ref="AA2201" location="'Preproc. Par.'!AA6" display="Top" xr:uid="{5328A630-97FF-4645-9918-38B01E982CAA}"/>
    <hyperlink ref="AA2303" location="'Preproc. Par.'!AA500" display="'Preproc. Par.'!AA500" xr:uid="{87701908-F791-4CAD-9C3F-1314F2F3AFA9}"/>
    <hyperlink ref="AA2302" location="'Preproc. Par.'!AA40" display="Process" xr:uid="{5CE6B5E4-0CDB-4BC4-BE00-B7887B7673ED}"/>
    <hyperlink ref="AA2304" location="'Preproc. Par.'!AA600" display="'Preproc. Par.'!AA600" xr:uid="{3BC75A43-9124-46C0-92DA-9FC891943AEF}"/>
    <hyperlink ref="AA2305" location="'Preproc. Par.'!AA700" display="'Preproc. Par.'!AA700" xr:uid="{6050C1E1-5526-4527-AD54-447455155236}"/>
    <hyperlink ref="AA2306" location="'Preproc. Par.'!AA800" display="'Preproc. Par.'!AA800" xr:uid="{03334D01-B425-4E83-9903-D70B7C0E1A5D}"/>
    <hyperlink ref="AA2307" location="'Preproc. Par.'!AA900" display="'Preproc. Par.'!AA900" xr:uid="{ECDC9E92-DCB0-4AEF-BC76-86A778C47552}"/>
    <hyperlink ref="AA2308" location="'Preproc. Par.'!AA1000" display="'Preproc. Par.'!AA1000" xr:uid="{61ADD9F6-7F05-499D-9AE8-591240357C89}"/>
    <hyperlink ref="AA2309" location="'Preproc. Par.'!AA1100" display="'Preproc. Par.'!AA1100" xr:uid="{E00D150F-1D03-4A23-B618-4D4DE6B8B3E1}"/>
    <hyperlink ref="AA2310" location="'Preproc. Par.'!AA1200" display="'Preproc. Par.'!AA1200" xr:uid="{E5A96EBE-1898-4D32-85BF-F0C07CA0D486}"/>
    <hyperlink ref="AA2311" location="'Preproc. Par.'!AA1300" display="'Preproc. Par.'!AA1300" xr:uid="{5C60E36F-0EAD-4692-9BF5-F7C1EE48A6DC}"/>
    <hyperlink ref="AA2312" location="'Preproc. Par.'!AA1400" display="'Preproc. Par.'!AA1400" xr:uid="{B6F1ADAA-CA5E-41E9-82E1-792FDE21B12A}"/>
    <hyperlink ref="AA2313" location="'Preproc. Par.'!AA1500" display="'Preproc. Par.'!AA1500" xr:uid="{A58B8C78-632E-4288-B064-DEB0738ED91E}"/>
    <hyperlink ref="AA2314" location="'Preproc. Par.'!AA1600" display="'Preproc. Par.'!AA1600" xr:uid="{6736C886-A614-4510-8D43-AC41AF275BEA}"/>
    <hyperlink ref="AA2315" location="'Preproc. Par.'!AA1700" display="'Preproc. Par.'!AA1700" xr:uid="{6A9DB973-DE66-48F6-BEC6-D2134A33D286}"/>
    <hyperlink ref="AA2316" location="'Preproc. Par.'!AA1800" display="'Preproc. Par.'!AA1800" xr:uid="{AE7AF53A-E597-4DC1-9507-EF655D817EC4}"/>
    <hyperlink ref="AA2317" location="'Preproc. Par.'!AA1900" display="'Preproc. Par.'!AA1900" xr:uid="{0E5149A4-D56A-40BC-8D34-71F75C92DC53}"/>
    <hyperlink ref="AA2318" location="'Preproc. Par.'!AA2000" display="'Preproc. Par.'!AA2000" xr:uid="{06D94DDF-28B6-47D1-9FAD-51F3C8676587}"/>
    <hyperlink ref="AA2319" location="'Preproc. Par.'!AA2100" display="'Preproc. Par.'!AA2100" xr:uid="{03D38517-A260-48EB-8EB2-36B8E9B74D88}"/>
    <hyperlink ref="AA2320" location="'Preproc. Par.'!AA2200" display="'Preproc. Par.'!AA2200" xr:uid="{E8DAEE2A-692B-4FEE-AC31-2B60DA88261D}"/>
    <hyperlink ref="AA2321" location="'Preproc. Par.'!AA2300" display="'Preproc. Par.'!AA2300" xr:uid="{3055BFA2-FEC6-47BA-AA77-764840F20B50}"/>
    <hyperlink ref="AA2322" location="'Preproc. Par.'!AA2400" display="'Preproc. Par.'!AA2400" xr:uid="{1EE05E61-04DC-4D1A-A22C-C95BA5938BFD}"/>
    <hyperlink ref="AA2301" location="'Preproc. Par.'!AA6" display="Top" xr:uid="{BFD843A2-64AB-44C9-BD47-082168023CFC}"/>
    <hyperlink ref="AA2403" location="'Preproc. Par.'!AA500" display="'Preproc. Par.'!AA500" xr:uid="{7CA9D948-6BCA-48DA-A17F-63555CEA7C4B}"/>
    <hyperlink ref="AA2402" location="'Preproc. Par.'!AA40" display="Process" xr:uid="{D34D3E9B-74DB-4C49-A7E5-080128022D9D}"/>
    <hyperlink ref="AA2404" location="'Preproc. Par.'!AA600" display="'Preproc. Par.'!AA600" xr:uid="{ACF6EBBD-2D69-461F-B345-3A456E725A58}"/>
    <hyperlink ref="AA2405" location="'Preproc. Par.'!AA700" display="'Preproc. Par.'!AA700" xr:uid="{35A670AC-A258-48C1-BE0F-1FA91217CE05}"/>
    <hyperlink ref="AA2406" location="'Preproc. Par.'!AA800" display="'Preproc. Par.'!AA800" xr:uid="{D74ABFC9-7648-4320-9993-0287F3CCE9C8}"/>
    <hyperlink ref="AA2407" location="'Preproc. Par.'!AA900" display="'Preproc. Par.'!AA900" xr:uid="{F6ED4EB7-E281-45E4-91E7-5CEABB2722FF}"/>
    <hyperlink ref="AA2408" location="'Preproc. Par.'!AA1000" display="'Preproc. Par.'!AA1000" xr:uid="{B10011B3-4CC5-4D1A-8EA4-1B30EE9A01E6}"/>
    <hyperlink ref="AA2409" location="'Preproc. Par.'!AA1100" display="'Preproc. Par.'!AA1100" xr:uid="{CB86BFCB-A1E9-45AB-9435-2212BAD18AC0}"/>
    <hyperlink ref="AA2410" location="'Preproc. Par.'!AA1200" display="'Preproc. Par.'!AA1200" xr:uid="{A721B924-1143-48CC-91A9-22E4FCDF3F93}"/>
    <hyperlink ref="AA2411" location="'Preproc. Par.'!AA1300" display="'Preproc. Par.'!AA1300" xr:uid="{8B200BC4-3C0E-4F1A-ABD8-B8B3C3776247}"/>
    <hyperlink ref="AA2412" location="'Preproc. Par.'!AA1400" display="'Preproc. Par.'!AA1400" xr:uid="{CDAB6E19-A777-4DD5-9E51-D6080F77D0C8}"/>
    <hyperlink ref="AA2413" location="'Preproc. Par.'!AA1500" display="'Preproc. Par.'!AA1500" xr:uid="{34C298A6-3A5A-4DD2-B7FA-EDEA66D60B18}"/>
    <hyperlink ref="AA2414" location="'Preproc. Par.'!AA1600" display="'Preproc. Par.'!AA1600" xr:uid="{D53E819C-15D2-4E73-81BF-B77C32DE393D}"/>
    <hyperlink ref="AA2415" location="'Preproc. Par.'!AA1700" display="'Preproc. Par.'!AA1700" xr:uid="{0AA661DD-B711-4AE1-8951-0588F9A25C87}"/>
    <hyperlink ref="AA2416" location="'Preproc. Par.'!AA1800" display="'Preproc. Par.'!AA1800" xr:uid="{FA4F8F78-D63E-4461-A9F9-C4D6CD235141}"/>
    <hyperlink ref="AA2417" location="'Preproc. Par.'!AA1900" display="'Preproc. Par.'!AA1900" xr:uid="{EA088AEF-B785-4F6C-8138-CB20DD886B30}"/>
    <hyperlink ref="AA2418" location="'Preproc. Par.'!AA2000" display="'Preproc. Par.'!AA2000" xr:uid="{BD45AD92-EF13-468D-AD9C-67A0D3AFE7B1}"/>
    <hyperlink ref="AA2419" location="'Preproc. Par.'!AA2100" display="'Preproc. Par.'!AA2100" xr:uid="{11993A35-48B7-4DE9-B676-C551123E8308}"/>
    <hyperlink ref="AA2420" location="'Preproc. Par.'!AA2200" display="'Preproc. Par.'!AA2200" xr:uid="{58ACBBBE-9F30-4B99-BF8C-82D71D3C1406}"/>
    <hyperlink ref="AA2421" location="'Preproc. Par.'!AA2300" display="'Preproc. Par.'!AA2300" xr:uid="{BBDCAAEA-670F-442D-9E22-78391AAC43FD}"/>
    <hyperlink ref="AA2422" location="'Preproc. Par.'!AA2400" display="'Preproc. Par.'!AA2400" xr:uid="{9FE464EB-C1C8-4534-BA47-185EC01D4494}"/>
    <hyperlink ref="AA2401" location="'Preproc. Par.'!AA6" display="Top" xr:uid="{16EE8D1C-3A9B-4BFB-8860-B6C66233D58E}"/>
    <hyperlink ref="BD74" location="Materials!A120" display="Materials!A120" xr:uid="{27BA74E2-C50F-4D8B-B071-C62BEBB105DF}"/>
    <hyperlink ref="BD75" location="Materials!A120" display="Materials!A120" xr:uid="{2B1DB9CE-4B7E-413F-BBA6-2BBCC81B8A11}"/>
    <hyperlink ref="BA604" location="'Preproc. Par.'!BA500" display="'Preproc. Par.'!BA500" xr:uid="{31BFEB62-19B0-4031-8865-D0809D574B2B}"/>
    <hyperlink ref="BA603" location="'Preproc. Par.'!BA40" display="Process" xr:uid="{E2C68D85-F170-4891-BBF2-6AD2F316BACA}"/>
    <hyperlink ref="BA602" location="'Preproc. Par.'!BA6" display="Top" xr:uid="{68096C43-DCFE-46E3-BF66-12C9CC604F6C}"/>
    <hyperlink ref="BA605" location="'Preproc. Par.'!BA600" display="'Preproc. Par.'!BA600" xr:uid="{34646288-447C-4C24-B1EE-F87A87225D52}"/>
    <hyperlink ref="BA606" location="'Preproc. Par.'!BA700" display="'Preproc. Par.'!BA700" xr:uid="{A10AE58E-7879-47BF-8E1D-0D3BFF946E52}"/>
    <hyperlink ref="BA607" location="'Preproc. Par.'!BA800" display="'Preproc. Par.'!BA800" xr:uid="{966A386B-CF24-43B2-A97E-3C0AC1BFF414}"/>
    <hyperlink ref="BA608" location="'Preproc. Par.'!BA900" display="'Preproc. Par.'!BA900" xr:uid="{3DE855DB-0B67-460C-A2A5-F07105903828}"/>
    <hyperlink ref="BA609" location="'Preproc. Par.'!BA1000" display="'Preproc. Par.'!BA1000" xr:uid="{E06D75F4-80DC-4189-941B-E6A37EFD4F66}"/>
    <hyperlink ref="BA610" location="'Preproc. Par.'!BA1100" display="'Preproc. Par.'!BA1100" xr:uid="{C32A9579-7A77-4DC6-8274-5E4B4706D00B}"/>
    <hyperlink ref="BA611" location="'Preproc. Par.'!BA1200" display="'Preproc. Par.'!BA1200" xr:uid="{610990FA-2DDC-4BA6-8635-CC97B0018767}"/>
    <hyperlink ref="BA612" location="'Preproc. Par.'!BA1300" display="'Preproc. Par.'!BA1300" xr:uid="{0AB5DB67-8CDF-4413-BD39-D28C36A732B2}"/>
    <hyperlink ref="BA613" location="'Preproc. Par.'!BA1400" display="'Preproc. Par.'!BA1400" xr:uid="{86B0D372-C768-4B3F-A303-9713E7736C32}"/>
    <hyperlink ref="BA614" location="'Preproc. Par.'!BA1500" display="'Preproc. Par.'!BA1500" xr:uid="{3688695E-D15A-418A-B48C-B203D9F141D9}"/>
    <hyperlink ref="BA615" location="'Preproc. Par.'!BA1600" display="'Preproc. Par.'!BA1600" xr:uid="{F5710D89-CAFA-4428-AC88-1590ECE5F755}"/>
    <hyperlink ref="BA616" location="'Preproc. Par.'!BA1700" display="'Preproc. Par.'!BA1700" xr:uid="{58E01F05-D1CD-4755-874E-FEDC732EF1E1}"/>
    <hyperlink ref="BA617" location="'Preproc. Par.'!BA1800" display="'Preproc. Par.'!BA1800" xr:uid="{5B96E439-59CF-4FEC-86F6-185D4F67D113}"/>
    <hyperlink ref="BA618" location="'Preproc. Par.'!BA1900" display="'Preproc. Par.'!BA1900" xr:uid="{F3979DB8-5C94-4CD8-A72F-EF0F671F4A3A}"/>
    <hyperlink ref="BA619" location="'Preproc. Par.'!BA2000" display="'Preproc. Par.'!BA2000" xr:uid="{A60A0D3B-DFE5-47CB-922C-892013883E7B}"/>
    <hyperlink ref="BA620" location="'Preproc. Par.'!BA2100" display="'Preproc. Par.'!BA2100" xr:uid="{B289DAFF-7078-4174-B7A5-D2DACCFD5D11}"/>
    <hyperlink ref="BA621" location="'Preproc. Par.'!BA2200" display="'Preproc. Par.'!BA2200" xr:uid="{B41475AB-5453-4A7A-99A6-37F21F0605D8}"/>
    <hyperlink ref="BA622" location="'Preproc. Par.'!BA2300" display="'Preproc. Par.'!BA2300" xr:uid="{B3EF655B-2F2A-43D7-84B3-62C6E8F0C93D}"/>
    <hyperlink ref="BA623" location="'Preproc. Par.'!BA2400" display="'Preproc. Par.'!BA2400" xr:uid="{4581BFD5-8FC8-4882-92A3-210DD872534F}"/>
    <hyperlink ref="BA704" location="'Preproc. Par.'!BA500" display="'Preproc. Par.'!BA500" xr:uid="{5E1FF09F-4448-4F3A-A211-64F42BC99A91}"/>
    <hyperlink ref="BA703" location="'Preproc. Par.'!BA40" display="Process" xr:uid="{EAC405D7-5E40-4E9B-95F4-B4B5A487B2C5}"/>
    <hyperlink ref="BA702" location="'Preproc. Par.'!BA6" display="Top" xr:uid="{33A41912-59A8-4C60-904C-7CCC7B401E61}"/>
    <hyperlink ref="BA705" location="'Preproc. Par.'!BA600" display="'Preproc. Par.'!BA600" xr:uid="{FBE22B85-A910-4C3F-9D8A-6D1AD1BAAA81}"/>
    <hyperlink ref="BA706" location="'Preproc. Par.'!BA700" display="'Preproc. Par.'!BA700" xr:uid="{6CC793CC-F81B-4CA7-8E23-D63CB7C46267}"/>
    <hyperlink ref="BA707" location="'Preproc. Par.'!BA800" display="'Preproc. Par.'!BA800" xr:uid="{834F9CFB-3D4B-4C84-A295-A21C05C5A0A4}"/>
    <hyperlink ref="BA708" location="'Preproc. Par.'!BA900" display="'Preproc. Par.'!BA900" xr:uid="{27653203-27E8-4F02-9142-C3528AC768D7}"/>
    <hyperlink ref="BA709" location="'Preproc. Par.'!BA1000" display="'Preproc. Par.'!BA1000" xr:uid="{BBDDCD0F-A0A3-47C5-AFC7-6D805905F699}"/>
    <hyperlink ref="BA710" location="'Preproc. Par.'!BA1100" display="'Preproc. Par.'!BA1100" xr:uid="{7F091D00-310A-4902-BCFE-827B8E2CD993}"/>
    <hyperlink ref="BA711" location="'Preproc. Par.'!BA1200" display="'Preproc. Par.'!BA1200" xr:uid="{5AB53E59-8B5C-45BB-8408-06C40EE934AA}"/>
    <hyperlink ref="BA712" location="'Preproc. Par.'!BA1300" display="'Preproc. Par.'!BA1300" xr:uid="{9CA9E757-49EF-47D8-9D75-920446C4A6DB}"/>
    <hyperlink ref="BA713" location="'Preproc. Par.'!BA1400" display="'Preproc. Par.'!BA1400" xr:uid="{F8B2DCFA-9A24-40E6-B850-80B58CFF3DD3}"/>
    <hyperlink ref="BA714" location="'Preproc. Par.'!BA1500" display="'Preproc. Par.'!BA1500" xr:uid="{AEBED3A8-C83B-40C5-81C3-68BC88878B0D}"/>
    <hyperlink ref="BA715" location="'Preproc. Par.'!BA1600" display="'Preproc. Par.'!BA1600" xr:uid="{254BDDF3-D386-4CD3-9288-AC3D6FD8D3CA}"/>
    <hyperlink ref="BA716" location="'Preproc. Par.'!BA1700" display="'Preproc. Par.'!BA1700" xr:uid="{30346937-E0AC-4689-A44D-A92D47ECC7A0}"/>
    <hyperlink ref="BA717" location="'Preproc. Par.'!BA1800" display="'Preproc. Par.'!BA1800" xr:uid="{85CE0DFF-B2B1-44A0-9D06-0C22FC0ED269}"/>
    <hyperlink ref="BA718" location="'Preproc. Par.'!BA1900" display="'Preproc. Par.'!BA1900" xr:uid="{E96486EF-FEEA-4648-9053-18093109F37F}"/>
    <hyperlink ref="BA719" location="'Preproc. Par.'!BA2000" display="'Preproc. Par.'!BA2000" xr:uid="{2FCBFD6E-912B-4097-BFA8-0184444981D1}"/>
    <hyperlink ref="BA720" location="'Preproc. Par.'!BA2100" display="'Preproc. Par.'!BA2100" xr:uid="{5F19F292-B88F-4B45-9B53-3FE2BC330AFD}"/>
    <hyperlink ref="BA721" location="'Preproc. Par.'!BA2200" display="'Preproc. Par.'!BA2200" xr:uid="{30428114-B239-4255-9BCE-A7487CC533DF}"/>
    <hyperlink ref="BA722" location="'Preproc. Par.'!BA2300" display="'Preproc. Par.'!BA2300" xr:uid="{3E36C3C8-CE5F-402B-8FF0-A6A7FC9F55EE}"/>
    <hyperlink ref="BA723" location="'Preproc. Par.'!BA2400" display="'Preproc. Par.'!BA2400" xr:uid="{7DA5B1A3-D433-4FDD-AB90-90D675A132AE}"/>
    <hyperlink ref="BA804" location="'Preproc. Par.'!BA500" display="'Preproc. Par.'!BA500" xr:uid="{EA925678-2BAC-4987-8017-817237DE6488}"/>
    <hyperlink ref="BA803" location="'Preproc. Par.'!BA40" display="Process" xr:uid="{DE6B8128-1DF4-4445-B5F5-CF9EDF84DAA4}"/>
    <hyperlink ref="BA802" location="'Preproc. Par.'!BA6" display="Top" xr:uid="{8122258B-BC62-49C4-B687-E750216B368F}"/>
    <hyperlink ref="BA805" location="'Preproc. Par.'!BA600" display="'Preproc. Par.'!BA600" xr:uid="{41E3A0E8-8DB7-4B59-BE44-B5DC43181DA5}"/>
    <hyperlink ref="BA806" location="'Preproc. Par.'!BA700" display="'Preproc. Par.'!BA700" xr:uid="{E2D32AF1-DA91-4A23-96F4-E3C738D5773E}"/>
    <hyperlink ref="BA807" location="'Preproc. Par.'!BA800" display="'Preproc. Par.'!BA800" xr:uid="{211468E1-C0E8-4DA5-913A-0F842AEFCA76}"/>
    <hyperlink ref="BA808" location="'Preproc. Par.'!BA900" display="'Preproc. Par.'!BA900" xr:uid="{F742F4DA-955E-45FC-8D24-EFD7F0BD6787}"/>
    <hyperlink ref="BA809" location="'Preproc. Par.'!BA1000" display="'Preproc. Par.'!BA1000" xr:uid="{DF3287AE-4205-4017-B85B-FBCC993D1441}"/>
    <hyperlink ref="BA810" location="'Preproc. Par.'!BA1100" display="'Preproc. Par.'!BA1100" xr:uid="{46F52A35-0670-43D8-81CB-706D9EBE4ACB}"/>
    <hyperlink ref="BA811" location="'Preproc. Par.'!BA1200" display="'Preproc. Par.'!BA1200" xr:uid="{87D3B1D7-ECAB-4AD0-ADE1-929579802696}"/>
    <hyperlink ref="BA812" location="'Preproc. Par.'!BA1300" display="'Preproc. Par.'!BA1300" xr:uid="{EE709412-80AA-4B23-9516-F743BFA5B609}"/>
    <hyperlink ref="BA813" location="'Preproc. Par.'!BA1400" display="'Preproc. Par.'!BA1400" xr:uid="{15FE9406-BEA1-4D7A-801B-A72F0D7528FC}"/>
    <hyperlink ref="BA814" location="'Preproc. Par.'!BA1500" display="'Preproc. Par.'!BA1500" xr:uid="{E8CE0DEF-619A-4F48-BAA2-E75941366CDA}"/>
    <hyperlink ref="BA815" location="'Preproc. Par.'!BA1600" display="'Preproc. Par.'!BA1600" xr:uid="{17C9BA89-AF81-468A-929E-7712CA0AFCD4}"/>
    <hyperlink ref="BA816" location="'Preproc. Par.'!BA1700" display="'Preproc. Par.'!BA1700" xr:uid="{CDA4F19D-4997-408D-8F2A-22F18036C0F0}"/>
    <hyperlink ref="BA817" location="'Preproc. Par.'!BA1800" display="'Preproc. Par.'!BA1800" xr:uid="{7B926BFB-5511-4E39-A558-6A7AB978B1FB}"/>
    <hyperlink ref="BA818" location="'Preproc. Par.'!BA1900" display="'Preproc. Par.'!BA1900" xr:uid="{646AF951-5DC0-4B31-B866-7B0D296D75F2}"/>
    <hyperlink ref="BA819" location="'Preproc. Par.'!BA2000" display="'Preproc. Par.'!BA2000" xr:uid="{5C032B07-8B03-47D0-B016-FD6718811A79}"/>
    <hyperlink ref="BA820" location="'Preproc. Par.'!BA2100" display="'Preproc. Par.'!BA2100" xr:uid="{2AF1816D-3481-41F4-BC70-D7507758DBCC}"/>
    <hyperlink ref="BA821" location="'Preproc. Par.'!BA2200" display="'Preproc. Par.'!BA2200" xr:uid="{E332C9AB-BEF9-4288-8B39-5825D4B90B8F}"/>
    <hyperlink ref="BA822" location="'Preproc. Par.'!BA2300" display="'Preproc. Par.'!BA2300" xr:uid="{81332D92-FC13-4443-971D-71315E949DFF}"/>
    <hyperlink ref="BA823" location="'Preproc. Par.'!BA2400" display="'Preproc. Par.'!BA2400" xr:uid="{5E680F11-23C8-4E11-94D3-4F4035173AB9}"/>
    <hyperlink ref="BA904" location="'Preproc. Par.'!BA500" display="'Preproc. Par.'!BA500" xr:uid="{22BB1BCF-A2D4-471A-BB37-EA457DC30573}"/>
    <hyperlink ref="BA903" location="'Preproc. Par.'!BA40" display="Process" xr:uid="{3EB5F65D-5096-4EF5-9CDE-8B56D621EAE5}"/>
    <hyperlink ref="BA902" location="'Preproc. Par.'!BA6" display="Top" xr:uid="{4901EC10-4F0E-456D-8BE3-B1E09FF6A2D8}"/>
    <hyperlink ref="BA905" location="'Preproc. Par.'!BA600" display="'Preproc. Par.'!BA600" xr:uid="{6A9D1812-7CDF-4F2E-B745-56F2F5536B43}"/>
    <hyperlink ref="BA906" location="'Preproc. Par.'!BA700" display="'Preproc. Par.'!BA700" xr:uid="{985B93AF-8B87-4F3E-846B-BFFCD52E9583}"/>
    <hyperlink ref="BA907" location="'Preproc. Par.'!BA800" display="'Preproc. Par.'!BA800" xr:uid="{063AADF6-9355-465B-8C41-AA2EECAB1E06}"/>
    <hyperlink ref="BA908" location="'Preproc. Par.'!BA900" display="'Preproc. Par.'!BA900" xr:uid="{34C5670B-7E1E-424D-BE17-1CA0B71716A5}"/>
    <hyperlink ref="BA909" location="'Preproc. Par.'!BA1000" display="'Preproc. Par.'!BA1000" xr:uid="{C67E07FC-EFB5-43B2-888F-0CEB7C0CB5B4}"/>
    <hyperlink ref="BA910" location="'Preproc. Par.'!BA1100" display="'Preproc. Par.'!BA1100" xr:uid="{D2362C1E-541D-4345-B783-282F9F6B0FA6}"/>
    <hyperlink ref="BA911" location="'Preproc. Par.'!BA1200" display="'Preproc. Par.'!BA1200" xr:uid="{F1EAF3AA-E4C8-4232-A80C-8C10F7DD0914}"/>
    <hyperlink ref="BA912" location="'Preproc. Par.'!BA1300" display="'Preproc. Par.'!BA1300" xr:uid="{3F74AC27-38FE-4139-B1E2-4EF1E41AAF40}"/>
    <hyperlink ref="BA913" location="'Preproc. Par.'!BA1400" display="'Preproc. Par.'!BA1400" xr:uid="{FE317A5A-A9E4-4CB9-A130-3344C80A1B63}"/>
    <hyperlink ref="BA914" location="'Preproc. Par.'!BA1500" display="'Preproc. Par.'!BA1500" xr:uid="{531D8882-8FE4-4CC8-95E3-B176399DEE51}"/>
    <hyperlink ref="BA915" location="'Preproc. Par.'!BA1600" display="'Preproc. Par.'!BA1600" xr:uid="{D75B197D-30B9-44D4-A7A6-A42CD12671B1}"/>
    <hyperlink ref="BA916" location="'Preproc. Par.'!BA1700" display="'Preproc. Par.'!BA1700" xr:uid="{E594D2F4-C73D-4AEC-BC13-2658B3306C04}"/>
    <hyperlink ref="BA917" location="'Preproc. Par.'!BA1800" display="'Preproc. Par.'!BA1800" xr:uid="{CBE36CA3-7349-4178-912D-FCFCA60CBC7C}"/>
    <hyperlink ref="BA918" location="'Preproc. Par.'!BA1900" display="'Preproc. Par.'!BA1900" xr:uid="{EF319F6A-FBF0-4144-987C-DFA0457D20E6}"/>
    <hyperlink ref="BA919" location="'Preproc. Par.'!BA2000" display="'Preproc. Par.'!BA2000" xr:uid="{C1A373F2-B424-4F3D-82C6-178882C59B9D}"/>
    <hyperlink ref="BA920" location="'Preproc. Par.'!BA2100" display="'Preproc. Par.'!BA2100" xr:uid="{D8E02B01-F8BD-45E4-96E6-8069A068976E}"/>
    <hyperlink ref="BA921" location="'Preproc. Par.'!BA2200" display="'Preproc. Par.'!BA2200" xr:uid="{5F2405A8-BC0F-4D34-BEB6-E267BB81B966}"/>
    <hyperlink ref="BA922" location="'Preproc. Par.'!BA2300" display="'Preproc. Par.'!BA2300" xr:uid="{9ACE0AE8-0C37-4C8F-B9EA-3E14A49A93F0}"/>
    <hyperlink ref="BA923" location="'Preproc. Par.'!BA2400" display="'Preproc. Par.'!BA2400" xr:uid="{E407B92F-1D37-49C6-B44C-6EAC3BC32F67}"/>
    <hyperlink ref="BA1004" location="'Preproc. Par.'!BA500" display="'Preproc. Par.'!BA500" xr:uid="{74FA78E0-C062-41C8-84FA-874EA47818B7}"/>
    <hyperlink ref="BA1003" location="'Preproc. Par.'!BA40" display="Process" xr:uid="{BD457426-053B-43E8-87BA-63F5EE406FD5}"/>
    <hyperlink ref="BA1002" location="'Preproc. Par.'!BA6" display="Top" xr:uid="{AB0AE7EF-44AD-422A-B514-2D77044FA02C}"/>
    <hyperlink ref="BA1005" location="'Preproc. Par.'!BA600" display="'Preproc. Par.'!BA600" xr:uid="{56D52839-DB41-4F53-999C-2DB3E5B7F01B}"/>
    <hyperlink ref="BA1006" location="'Preproc. Par.'!BA700" display="'Preproc. Par.'!BA700" xr:uid="{AEE986A4-DC59-4B07-B1A7-CEF8051D1568}"/>
    <hyperlink ref="BA1007" location="'Preproc. Par.'!BA800" display="'Preproc. Par.'!BA800" xr:uid="{DAF37025-3543-40E4-A4AF-6AF973F73A19}"/>
    <hyperlink ref="BA1008" location="'Preproc. Par.'!BA900" display="'Preproc. Par.'!BA900" xr:uid="{4BC1D02F-0F93-4A49-BCA7-B8E5E76ECA98}"/>
    <hyperlink ref="BA1009" location="'Preproc. Par.'!BA1000" display="'Preproc. Par.'!BA1000" xr:uid="{5D08BAEC-15E4-4938-8DF4-C9818416D5F0}"/>
    <hyperlink ref="BA1010" location="'Preproc. Par.'!BA1100" display="'Preproc. Par.'!BA1100" xr:uid="{C92D429C-B61C-4792-862C-E1CE178B2FCA}"/>
    <hyperlink ref="BA1011" location="'Preproc. Par.'!BA1200" display="'Preproc. Par.'!BA1200" xr:uid="{8FFDE82E-BA47-4862-9603-B7B2C5E1555A}"/>
    <hyperlink ref="BA1012" location="'Preproc. Par.'!BA1300" display="'Preproc. Par.'!BA1300" xr:uid="{40330052-816E-4261-8B05-645222582A43}"/>
    <hyperlink ref="BA1013" location="'Preproc. Par.'!BA1400" display="'Preproc. Par.'!BA1400" xr:uid="{A0E03F06-35A1-4609-A559-C145FB2B77B3}"/>
    <hyperlink ref="BA1014" location="'Preproc. Par.'!BA1500" display="'Preproc. Par.'!BA1500" xr:uid="{1C5A99B0-9A64-4A2C-BB30-736A3CB94531}"/>
    <hyperlink ref="BA1015" location="'Preproc. Par.'!BA1600" display="'Preproc. Par.'!BA1600" xr:uid="{40958DB1-5391-469E-884E-8E2C4DAB3914}"/>
    <hyperlink ref="BA1016" location="'Preproc. Par.'!BA1700" display="'Preproc. Par.'!BA1700" xr:uid="{57082C29-D5FA-456B-868A-8F615A0D6206}"/>
    <hyperlink ref="BA1017" location="'Preproc. Par.'!BA1800" display="'Preproc. Par.'!BA1800" xr:uid="{28464182-DA34-43D6-A97A-30FEEFA918A6}"/>
    <hyperlink ref="BA1018" location="'Preproc. Par.'!BA1900" display="'Preproc. Par.'!BA1900" xr:uid="{6DD84ED3-82A9-42F3-A723-710B4D75582C}"/>
    <hyperlink ref="BA1019" location="'Preproc. Par.'!BA2000" display="'Preproc. Par.'!BA2000" xr:uid="{9AEAE250-DEDD-4B2E-AC74-C851225914BD}"/>
    <hyperlink ref="BA1020" location="'Preproc. Par.'!BA2100" display="'Preproc. Par.'!BA2100" xr:uid="{641C8E68-7506-41C9-9D7D-80C8DF7EF954}"/>
    <hyperlink ref="BA1021" location="'Preproc. Par.'!BA2200" display="'Preproc. Par.'!BA2200" xr:uid="{0D40AB10-0596-42D1-BEFD-DDDCCEFDED7D}"/>
    <hyperlink ref="BA1022" location="'Preproc. Par.'!BA2300" display="'Preproc. Par.'!BA2300" xr:uid="{D82A7EE4-1853-45A4-AC0D-426F716BDB43}"/>
    <hyperlink ref="BA1023" location="'Preproc. Par.'!BA2400" display="'Preproc. Par.'!BA2400" xr:uid="{6085EB13-BBB7-4714-91F8-B9B1B2190B90}"/>
    <hyperlink ref="BA1104" location="'Preproc. Par.'!BA500" display="'Preproc. Par.'!BA500" xr:uid="{51C00897-FC0F-4843-A8AD-ABA09F7BF6AB}"/>
    <hyperlink ref="BA1103" location="'Preproc. Par.'!BA40" display="Process" xr:uid="{AE6A2749-7713-4B02-8F33-83A3F0603FD9}"/>
    <hyperlink ref="BA1102" location="'Preproc. Par.'!BA6" display="Top" xr:uid="{AAE24E1E-C140-4168-A979-DA8972974D01}"/>
    <hyperlink ref="BA1105" location="'Preproc. Par.'!BA600" display="'Preproc. Par.'!BA600" xr:uid="{BE8E5484-5153-4274-B1E3-13A529B8E960}"/>
    <hyperlink ref="BA1106" location="'Preproc. Par.'!BA700" display="'Preproc. Par.'!BA700" xr:uid="{B90454F5-EA25-4971-9ADB-5823393A5BE9}"/>
    <hyperlink ref="BA1107" location="'Preproc. Par.'!BA800" display="'Preproc. Par.'!BA800" xr:uid="{A59B1ECC-F09B-4A56-A4E8-2D990D619EA0}"/>
    <hyperlink ref="BA1108" location="'Preproc. Par.'!BA900" display="'Preproc. Par.'!BA900" xr:uid="{B2A5D5EF-E75F-428F-A790-105C0D25E535}"/>
    <hyperlink ref="BA1109" location="'Preproc. Par.'!BA1000" display="'Preproc. Par.'!BA1000" xr:uid="{9DEE08B5-C43D-4A84-B586-AED70564220B}"/>
    <hyperlink ref="BA1110" location="'Preproc. Par.'!BA1100" display="'Preproc. Par.'!BA1100" xr:uid="{7F538773-410A-41FB-A8E7-284F36F01021}"/>
    <hyperlink ref="BA1111" location="'Preproc. Par.'!BA1200" display="'Preproc. Par.'!BA1200" xr:uid="{E38C45A4-4B04-4A11-916B-A8482025CACE}"/>
    <hyperlink ref="BA1112" location="'Preproc. Par.'!BA1300" display="'Preproc. Par.'!BA1300" xr:uid="{678491D2-F39B-4ED3-8799-34C9C1B9E033}"/>
    <hyperlink ref="BA1113" location="'Preproc. Par.'!BA1400" display="'Preproc. Par.'!BA1400" xr:uid="{B7754294-99D2-4D09-97B2-7F0D68175237}"/>
    <hyperlink ref="BA1114" location="'Preproc. Par.'!BA1500" display="'Preproc. Par.'!BA1500" xr:uid="{A93B38A4-89EE-4FC2-A2A6-E90A4DF5D01C}"/>
    <hyperlink ref="BA1115" location="'Preproc. Par.'!BA1600" display="'Preproc. Par.'!BA1600" xr:uid="{BD61387B-C091-4030-8AFB-54AB10D2D971}"/>
    <hyperlink ref="BA1116" location="'Preproc. Par.'!BA1700" display="'Preproc. Par.'!BA1700" xr:uid="{35866368-D138-4A8A-B479-4178E5F53A0A}"/>
    <hyperlink ref="BA1117" location="'Preproc. Par.'!BA1800" display="'Preproc. Par.'!BA1800" xr:uid="{6FA7987D-EB81-4FB3-ACA8-61CB9E3E68F3}"/>
    <hyperlink ref="BA1118" location="'Preproc. Par.'!BA1900" display="'Preproc. Par.'!BA1900" xr:uid="{911858AA-BA6D-4E44-B0FB-25A2BDA21A60}"/>
    <hyperlink ref="BA1119" location="'Preproc. Par.'!BA2000" display="'Preproc. Par.'!BA2000" xr:uid="{CABFDC8B-0BE4-4EE6-ADCC-24532C8B9706}"/>
    <hyperlink ref="BA1120" location="'Preproc. Par.'!BA2100" display="'Preproc. Par.'!BA2100" xr:uid="{3BE948E5-2C2F-4B54-B25F-675F3EAFA03E}"/>
    <hyperlink ref="BA1121" location="'Preproc. Par.'!BA2200" display="'Preproc. Par.'!BA2200" xr:uid="{792F9DC4-311F-450E-BC5E-49FFBFCEE2DC}"/>
    <hyperlink ref="BA1122" location="'Preproc. Par.'!BA2300" display="'Preproc. Par.'!BA2300" xr:uid="{67B37936-3DB4-4213-B1A5-A72B2297A455}"/>
    <hyperlink ref="BA1123" location="'Preproc. Par.'!BA2400" display="'Preproc. Par.'!BA2400" xr:uid="{4406D52B-2E6C-440E-97FC-6923F96F092E}"/>
    <hyperlink ref="BA1204" location="'Preproc. Par.'!BA500" display="'Preproc. Par.'!BA500" xr:uid="{58009AAA-30F3-4ADB-BCA2-35686677F668}"/>
    <hyperlink ref="BA1203" location="'Preproc. Par.'!BA40" display="Process" xr:uid="{0E5E4688-2E1A-4578-BDF4-F06737FF57FB}"/>
    <hyperlink ref="BA1202" location="'Preproc. Par.'!BA6" display="Top" xr:uid="{A9D67FB0-67A3-4F26-B905-3FF79B59958A}"/>
    <hyperlink ref="BA1205" location="'Preproc. Par.'!BA600" display="'Preproc. Par.'!BA600" xr:uid="{D0D1B5E0-D5D7-4700-A013-7A83A2DB0B69}"/>
    <hyperlink ref="BA1206" location="'Preproc. Par.'!BA700" display="'Preproc. Par.'!BA700" xr:uid="{0082C895-AE0C-4628-BCA0-E07FD23A46D4}"/>
    <hyperlink ref="BA1207" location="'Preproc. Par.'!BA800" display="'Preproc. Par.'!BA800" xr:uid="{DE43D4BC-A565-4FC1-A8DD-34CE8DD0CD6D}"/>
    <hyperlink ref="BA1208" location="'Preproc. Par.'!BA900" display="'Preproc. Par.'!BA900" xr:uid="{86B2E8EA-D202-4845-9C35-1BACED62F258}"/>
    <hyperlink ref="BA1209" location="'Preproc. Par.'!BA1000" display="'Preproc. Par.'!BA1000" xr:uid="{F4A63646-0E39-495B-B162-81D49AB0B3B3}"/>
    <hyperlink ref="BA1210" location="'Preproc. Par.'!BA1100" display="'Preproc. Par.'!BA1100" xr:uid="{6F4197D6-06EC-44DF-9742-2D263892FAC8}"/>
    <hyperlink ref="BA1211" location="'Preproc. Par.'!BA1200" display="'Preproc. Par.'!BA1200" xr:uid="{CB684D08-649B-4949-B626-32D0E1B1DBF8}"/>
    <hyperlink ref="BA1212" location="'Preproc. Par.'!BA1300" display="'Preproc. Par.'!BA1300" xr:uid="{0E2E3B72-B3C8-4268-AC06-C41F17866F21}"/>
    <hyperlink ref="BA1213" location="'Preproc. Par.'!BA1400" display="'Preproc. Par.'!BA1400" xr:uid="{52DFF80C-47EB-4BAF-8F02-B1A0F341A17A}"/>
    <hyperlink ref="BA1214" location="'Preproc. Par.'!BA1500" display="'Preproc. Par.'!BA1500" xr:uid="{67C2D16E-CC2B-421A-9E65-0626A5C011AF}"/>
    <hyperlink ref="BA1215" location="'Preproc. Par.'!BA1600" display="'Preproc. Par.'!BA1600" xr:uid="{3413B141-5796-42F5-87D8-C489809C8268}"/>
    <hyperlink ref="BA1216" location="'Preproc. Par.'!BA1700" display="'Preproc. Par.'!BA1700" xr:uid="{66FCDBB5-6A22-4FE8-B0A8-AA5452C2E94F}"/>
    <hyperlink ref="BA1217" location="'Preproc. Par.'!BA1800" display="'Preproc. Par.'!BA1800" xr:uid="{0A533C49-0B1A-4D7F-AB24-4510B4515C3A}"/>
    <hyperlink ref="BA1218" location="'Preproc. Par.'!BA1900" display="'Preproc. Par.'!BA1900" xr:uid="{C32B75B8-610E-4E5E-8BB2-62A7ACA8EF3F}"/>
    <hyperlink ref="BA1219" location="'Preproc. Par.'!BA2000" display="'Preproc. Par.'!BA2000" xr:uid="{5EEA57D1-4897-42EA-85DE-9E6FB0DCA753}"/>
    <hyperlink ref="BA1220" location="'Preproc. Par.'!BA2100" display="'Preproc. Par.'!BA2100" xr:uid="{73E3FA7C-D2FA-4042-BE0B-33A26470F62B}"/>
    <hyperlink ref="BA1221" location="'Preproc. Par.'!BA2200" display="'Preproc. Par.'!BA2200" xr:uid="{D968CB47-BEC3-4A30-9D46-A8B355C9BDD7}"/>
    <hyperlink ref="BA1222" location="'Preproc. Par.'!BA2300" display="'Preproc. Par.'!BA2300" xr:uid="{89475247-1D62-4DE1-BE7C-C7EE82943D53}"/>
    <hyperlink ref="BA1223" location="'Preproc. Par.'!BA2400" display="'Preproc. Par.'!BA2400" xr:uid="{FE3E6F07-147B-46AE-9051-AE6FA1287B36}"/>
    <hyperlink ref="BA1304" location="'Preproc. Par.'!BA500" display="'Preproc. Par.'!BA500" xr:uid="{849C36BD-1C94-4A70-9337-38904D2735B6}"/>
    <hyperlink ref="BA1303" location="'Preproc. Par.'!BA40" display="Process" xr:uid="{DB68E2B1-1E12-4F76-BE2C-3DA89018A418}"/>
    <hyperlink ref="BA1302" location="'Preproc. Par.'!BA6" display="Top" xr:uid="{1DD5DE34-A843-441D-8163-7D599D19C53C}"/>
    <hyperlink ref="BA1305" location="'Preproc. Par.'!BA600" display="'Preproc. Par.'!BA600" xr:uid="{A5A7661F-348D-40E1-88BD-D6422DCB0FFD}"/>
    <hyperlink ref="BA1306" location="'Preproc. Par.'!BA700" display="'Preproc. Par.'!BA700" xr:uid="{4270C828-1E4A-42DF-8251-19242EBDFDCF}"/>
    <hyperlink ref="BA1307" location="'Preproc. Par.'!BA800" display="'Preproc. Par.'!BA800" xr:uid="{77EE374B-529D-404F-87BA-65C2CAA18856}"/>
    <hyperlink ref="BA1308" location="'Preproc. Par.'!BA900" display="'Preproc. Par.'!BA900" xr:uid="{88CC885F-A320-4CC8-B225-6BABA438B0B0}"/>
    <hyperlink ref="BA1309" location="'Preproc. Par.'!BA1000" display="'Preproc. Par.'!BA1000" xr:uid="{C00A67A9-D725-47EA-BA05-46D260AACB65}"/>
    <hyperlink ref="BA1310" location="'Preproc. Par.'!BA1100" display="'Preproc. Par.'!BA1100" xr:uid="{3525D3CB-7B47-4D0D-953F-ED34DBD54FDC}"/>
    <hyperlink ref="BA1311" location="'Preproc. Par.'!BA1200" display="'Preproc. Par.'!BA1200" xr:uid="{EBFE7F2C-C7FF-4A9A-8CD6-C1B345832071}"/>
    <hyperlink ref="BA1312" location="'Preproc. Par.'!BA1300" display="'Preproc. Par.'!BA1300" xr:uid="{6A631E54-8DEE-4A80-86DC-E0A7370CF806}"/>
    <hyperlink ref="BA1313" location="'Preproc. Par.'!BA1400" display="'Preproc. Par.'!BA1400" xr:uid="{B8005729-1F5E-45B1-8FE7-9B714BEE0576}"/>
    <hyperlink ref="BA1314" location="'Preproc. Par.'!BA1500" display="'Preproc. Par.'!BA1500" xr:uid="{03BEAB84-E57F-4D97-AEAD-C8DCEE2D85E2}"/>
    <hyperlink ref="BA1315" location="'Preproc. Par.'!BA1600" display="'Preproc. Par.'!BA1600" xr:uid="{9814FEFE-F9B4-4B9C-A7BC-882F782BBBD7}"/>
    <hyperlink ref="BA1316" location="'Preproc. Par.'!BA1700" display="'Preproc. Par.'!BA1700" xr:uid="{5AF95945-CF78-4987-A47C-6958354903CF}"/>
    <hyperlink ref="BA1317" location="'Preproc. Par.'!BA1800" display="'Preproc. Par.'!BA1800" xr:uid="{8E8ED564-EAEB-4482-9ABB-B6E075C7E3A5}"/>
    <hyperlink ref="BA1318" location="'Preproc. Par.'!BA1900" display="'Preproc. Par.'!BA1900" xr:uid="{A845A65A-0B6A-485E-91DB-53A42E5A09DF}"/>
    <hyperlink ref="BA1319" location="'Preproc. Par.'!BA2000" display="'Preproc. Par.'!BA2000" xr:uid="{F5277AB3-94E5-455A-A1B4-B0E5C3FB43C2}"/>
    <hyperlink ref="BA1320" location="'Preproc. Par.'!BA2100" display="'Preproc. Par.'!BA2100" xr:uid="{1ED184C2-37F1-443A-8078-D017C1165DE4}"/>
    <hyperlink ref="BA1321" location="'Preproc. Par.'!BA2200" display="'Preproc. Par.'!BA2200" xr:uid="{22BE56D3-6941-4682-A112-D902C57F29F7}"/>
    <hyperlink ref="BA1322" location="'Preproc. Par.'!BA2300" display="'Preproc. Par.'!BA2300" xr:uid="{D885268D-D1DA-4771-95E0-774E11810F82}"/>
    <hyperlink ref="BA1323" location="'Preproc. Par.'!BA2400" display="'Preproc. Par.'!BA2400" xr:uid="{23080245-72DF-4265-931E-41DEF3F48055}"/>
    <hyperlink ref="BA1404" location="'Preproc. Par.'!BA500" display="'Preproc. Par.'!BA500" xr:uid="{3AEC2F94-2A72-4BEF-A36C-16EDE137DB98}"/>
    <hyperlink ref="BA1403" location="'Preproc. Par.'!BA40" display="Process" xr:uid="{8AB9BB26-CB40-43BD-9D26-3567AE14D373}"/>
    <hyperlink ref="BA1402" location="'Preproc. Par.'!BA6" display="Top" xr:uid="{59F4FF4E-D9EB-4717-9C89-3CCBCBC15357}"/>
    <hyperlink ref="BA1405" location="'Preproc. Par.'!BA600" display="'Preproc. Par.'!BA600" xr:uid="{062A84C3-44FD-4D29-AB6C-9040F2296D60}"/>
    <hyperlink ref="BA1406" location="'Preproc. Par.'!BA700" display="'Preproc. Par.'!BA700" xr:uid="{97DEBB9F-25F9-4027-9EC9-029BAD861355}"/>
    <hyperlink ref="BA1407" location="'Preproc. Par.'!BA800" display="'Preproc. Par.'!BA800" xr:uid="{A08CF903-93A8-498C-9E16-2209DC1A9861}"/>
    <hyperlink ref="BA1408" location="'Preproc. Par.'!BA900" display="'Preproc. Par.'!BA900" xr:uid="{7031D6D2-A139-4000-A6D1-80EAC85D6DE1}"/>
    <hyperlink ref="BA1409" location="'Preproc. Par.'!BA1000" display="'Preproc. Par.'!BA1000" xr:uid="{58F7F370-C96A-4FC2-B6E0-9B414878C974}"/>
    <hyperlink ref="BA1410" location="'Preproc. Par.'!BA1100" display="'Preproc. Par.'!BA1100" xr:uid="{0D5C939C-6C90-44BE-91C2-177E360D213F}"/>
    <hyperlink ref="BA1411" location="'Preproc. Par.'!BA1200" display="'Preproc. Par.'!BA1200" xr:uid="{7E09FA91-E621-448A-AA7E-E0E3E3667B68}"/>
    <hyperlink ref="BA1412" location="'Preproc. Par.'!BA1300" display="'Preproc. Par.'!BA1300" xr:uid="{2A02FBCB-64C3-4DA2-812B-862D39F97744}"/>
    <hyperlink ref="BA1413" location="'Preproc. Par.'!BA1400" display="'Preproc. Par.'!BA1400" xr:uid="{6BCDA0B4-7374-49D4-96C0-C0CDF652039E}"/>
    <hyperlink ref="BA1414" location="'Preproc. Par.'!BA1500" display="'Preproc. Par.'!BA1500" xr:uid="{7B9AB524-FBD9-4502-940D-4D1FFE6CF592}"/>
    <hyperlink ref="BA1415" location="'Preproc. Par.'!BA1600" display="'Preproc. Par.'!BA1600" xr:uid="{8C371157-BD4D-474E-B800-873EB7B651A5}"/>
    <hyperlink ref="BA1416" location="'Preproc. Par.'!BA1700" display="'Preproc. Par.'!BA1700" xr:uid="{4F50A8EA-873B-4F3D-9A4C-7453B88CFDA9}"/>
    <hyperlink ref="BA1417" location="'Preproc. Par.'!BA1800" display="'Preproc. Par.'!BA1800" xr:uid="{C9BA7BE3-2E03-42B7-8BC1-5B3C3417F302}"/>
    <hyperlink ref="BA1418" location="'Preproc. Par.'!BA1900" display="'Preproc. Par.'!BA1900" xr:uid="{119DB6FC-0142-40FB-9D45-134FF5083C43}"/>
    <hyperlink ref="BA1419" location="'Preproc. Par.'!BA2000" display="'Preproc. Par.'!BA2000" xr:uid="{72F244CC-6E11-4DFB-A81F-59A7ECC3849A}"/>
    <hyperlink ref="BA1420" location="'Preproc. Par.'!BA2100" display="'Preproc. Par.'!BA2100" xr:uid="{AD2A4839-7D08-4483-BDD2-16782913BEAF}"/>
    <hyperlink ref="BA1421" location="'Preproc. Par.'!BA2200" display="'Preproc. Par.'!BA2200" xr:uid="{A95550F3-5BFC-46A9-8678-968298EE8352}"/>
    <hyperlink ref="BA1422" location="'Preproc. Par.'!BA2300" display="'Preproc. Par.'!BA2300" xr:uid="{96BAFE57-CBF7-4EF3-B5F1-EC9524101D6E}"/>
    <hyperlink ref="BA1423" location="'Preproc. Par.'!BA2400" display="'Preproc. Par.'!BA2400" xr:uid="{8DC38B05-328C-4779-8928-B54AB602515C}"/>
    <hyperlink ref="BA1504" location="'Preproc. Par.'!BA500" display="'Preproc. Par.'!BA500" xr:uid="{BCF667A5-CF4A-4C30-9D58-757E7FB8C23E}"/>
    <hyperlink ref="BA1503" location="'Preproc. Par.'!BA40" display="Process" xr:uid="{5E803A09-C372-4999-91D5-FDCB12D175DB}"/>
    <hyperlink ref="BA1502" location="'Preproc. Par.'!BA6" display="Top" xr:uid="{4D975768-BEFC-42F5-A70B-652AD43D9358}"/>
    <hyperlink ref="BA1505" location="'Preproc. Par.'!BA600" display="'Preproc. Par.'!BA600" xr:uid="{2429D951-A8B2-4DFE-BF13-48BD4BA86E48}"/>
    <hyperlink ref="BA1506" location="'Preproc. Par.'!BA700" display="'Preproc. Par.'!BA700" xr:uid="{6929B6E4-99AC-4F3B-8858-57C02365C5C7}"/>
    <hyperlink ref="BA1507" location="'Preproc. Par.'!BA800" display="'Preproc. Par.'!BA800" xr:uid="{488BFA89-EF1E-4FD7-95A1-013EAF45DA13}"/>
    <hyperlink ref="BA1508" location="'Preproc. Par.'!BA900" display="'Preproc. Par.'!BA900" xr:uid="{FB381824-6A9C-4C31-A110-7166594DECA8}"/>
    <hyperlink ref="BA1509" location="'Preproc. Par.'!BA1000" display="'Preproc. Par.'!BA1000" xr:uid="{A1FDB063-F1E2-4A78-AF44-EEFBE20F463F}"/>
    <hyperlink ref="BA1510" location="'Preproc. Par.'!BA1100" display="'Preproc. Par.'!BA1100" xr:uid="{3A4F4531-4735-4884-91E2-666D4B5F90E1}"/>
    <hyperlink ref="BA1511" location="'Preproc. Par.'!BA1200" display="'Preproc. Par.'!BA1200" xr:uid="{986DFB8B-7C6B-4F4C-AA02-AD8C501AD4D2}"/>
    <hyperlink ref="BA1512" location="'Preproc. Par.'!BA1300" display="'Preproc. Par.'!BA1300" xr:uid="{D6FF5775-B0F9-432D-A204-6B7A1C08C8D4}"/>
    <hyperlink ref="BA1513" location="'Preproc. Par.'!BA1400" display="'Preproc. Par.'!BA1400" xr:uid="{ECDA0A8B-57DE-4AFC-9F96-6A0AF9307D5E}"/>
    <hyperlink ref="BA1514" location="'Preproc. Par.'!BA1500" display="'Preproc. Par.'!BA1500" xr:uid="{9D81E26D-9C58-4231-A218-E568632E15EC}"/>
    <hyperlink ref="BA1515" location="'Preproc. Par.'!BA1600" display="'Preproc. Par.'!BA1600" xr:uid="{A4613738-0AF1-46B8-86C0-FF086109AFA4}"/>
    <hyperlink ref="BA1516" location="'Preproc. Par.'!BA1700" display="'Preproc. Par.'!BA1700" xr:uid="{C6CDD27C-9A32-46E4-AC0C-8D692BA950EB}"/>
    <hyperlink ref="BA1517" location="'Preproc. Par.'!BA1800" display="'Preproc. Par.'!BA1800" xr:uid="{D16101F5-4CA5-4B72-B8D7-3FDD2A949BDF}"/>
    <hyperlink ref="BA1518" location="'Preproc. Par.'!BA1900" display="'Preproc. Par.'!BA1900" xr:uid="{B1BEE31C-3A88-4F37-9874-868CBBF9A851}"/>
    <hyperlink ref="BA1519" location="'Preproc. Par.'!BA2000" display="'Preproc. Par.'!BA2000" xr:uid="{48B7687E-5078-4A85-8C58-611E830C4138}"/>
    <hyperlink ref="BA1520" location="'Preproc. Par.'!BA2100" display="'Preproc. Par.'!BA2100" xr:uid="{0325EB50-1971-4148-BF21-0A4281726B7F}"/>
    <hyperlink ref="BA1521" location="'Preproc. Par.'!BA2200" display="'Preproc. Par.'!BA2200" xr:uid="{AEC8032D-9520-4594-AA99-88411CC05473}"/>
    <hyperlink ref="BA1522" location="'Preproc. Par.'!BA2300" display="'Preproc. Par.'!BA2300" xr:uid="{874257A3-BFFB-433B-AFFE-98CF50F2C8D1}"/>
    <hyperlink ref="BA1523" location="'Preproc. Par.'!BA2400" display="'Preproc. Par.'!BA2400" xr:uid="{91F66208-5AB0-4555-9E37-3379E75F8A3C}"/>
    <hyperlink ref="BA1604" location="'Preproc. Par.'!BA500" display="'Preproc. Par.'!BA500" xr:uid="{E839A2E0-4D64-4AF2-8EBA-BDEF855B9363}"/>
    <hyperlink ref="BA1603" location="'Preproc. Par.'!BA40" display="Process" xr:uid="{F6C35F68-B46B-4C6B-AEF2-7D6972B58F26}"/>
    <hyperlink ref="BA1602" location="'Preproc. Par.'!BA6" display="Top" xr:uid="{C20F4415-05C7-48B3-ACED-3831FD7223AA}"/>
    <hyperlink ref="BA1605" location="'Preproc. Par.'!BA600" display="'Preproc. Par.'!BA600" xr:uid="{44894516-BA97-45A9-BCF4-174D66293273}"/>
    <hyperlink ref="BA1606" location="'Preproc. Par.'!BA700" display="'Preproc. Par.'!BA700" xr:uid="{80B1D922-54D6-4EB0-A341-7C4766372F68}"/>
    <hyperlink ref="BA1607" location="'Preproc. Par.'!BA800" display="'Preproc. Par.'!BA800" xr:uid="{22B97EFB-6746-4F40-BFE3-888A0352A7D9}"/>
    <hyperlink ref="BA1608" location="'Preproc. Par.'!BA900" display="'Preproc. Par.'!BA900" xr:uid="{66EF4902-2A3B-4D97-A789-B706B6F52FEF}"/>
    <hyperlink ref="BA1609" location="'Preproc. Par.'!BA1000" display="'Preproc. Par.'!BA1000" xr:uid="{A0BCF2C3-4221-46B2-BA29-ED4CF39AE3F9}"/>
    <hyperlink ref="BA1610" location="'Preproc. Par.'!BA1100" display="'Preproc. Par.'!BA1100" xr:uid="{93AF9EBB-E71A-4A3A-BF99-A7C05C0FA802}"/>
    <hyperlink ref="BA1611" location="'Preproc. Par.'!BA1200" display="'Preproc. Par.'!BA1200" xr:uid="{89751C79-9240-4864-826F-8ED249E5ECA5}"/>
    <hyperlink ref="BA1612" location="'Preproc. Par.'!BA1300" display="'Preproc. Par.'!BA1300" xr:uid="{FA23CB60-70C7-4B9B-B556-B917C841FDE3}"/>
    <hyperlink ref="BA1613" location="'Preproc. Par.'!BA1400" display="'Preproc. Par.'!BA1400" xr:uid="{B75D11AA-98DD-41E5-A3EF-03F16819AECB}"/>
    <hyperlink ref="BA1614" location="'Preproc. Par.'!BA1500" display="'Preproc. Par.'!BA1500" xr:uid="{F8DEBE52-BD1D-4143-B1F2-E97EE4323B3C}"/>
    <hyperlink ref="BA1615" location="'Preproc. Par.'!BA1600" display="'Preproc. Par.'!BA1600" xr:uid="{C32EE53D-23CA-4078-927A-44F3934D069C}"/>
    <hyperlink ref="BA1616" location="'Preproc. Par.'!BA1700" display="'Preproc. Par.'!BA1700" xr:uid="{69F71CB8-38BD-45D3-81C1-DFBF54255856}"/>
    <hyperlink ref="BA1617" location="'Preproc. Par.'!BA1800" display="'Preproc. Par.'!BA1800" xr:uid="{9FA967A8-CE90-4960-93A3-3CA2564CD834}"/>
    <hyperlink ref="BA1618" location="'Preproc. Par.'!BA1900" display="'Preproc. Par.'!BA1900" xr:uid="{AD2E5223-C888-4422-8E15-B7D834EA9613}"/>
    <hyperlink ref="BA1619" location="'Preproc. Par.'!BA2000" display="'Preproc. Par.'!BA2000" xr:uid="{0E293658-7C08-4C59-B256-1041004FD4E6}"/>
    <hyperlink ref="BA1620" location="'Preproc. Par.'!BA2100" display="'Preproc. Par.'!BA2100" xr:uid="{619426EF-8698-45FF-826C-E9BF50F5821B}"/>
    <hyperlink ref="BA1621" location="'Preproc. Par.'!BA2200" display="'Preproc. Par.'!BA2200" xr:uid="{CC31711B-939B-4CD0-BA32-877D7A82525B}"/>
    <hyperlink ref="BA1622" location="'Preproc. Par.'!BA2300" display="'Preproc. Par.'!BA2300" xr:uid="{8D1E1463-BAC6-419A-85C7-3FCC5A65F8E4}"/>
    <hyperlink ref="BA1623" location="'Preproc. Par.'!BA2400" display="'Preproc. Par.'!BA2400" xr:uid="{CB05B4D1-F9A4-462E-9006-0CD2E65A5DEC}"/>
    <hyperlink ref="BA1704" location="'Preproc. Par.'!BA500" display="'Preproc. Par.'!BA500" xr:uid="{FEAF513A-3C4E-40B1-AA54-F5080D338E8E}"/>
    <hyperlink ref="BA1703" location="'Preproc. Par.'!BA40" display="Process" xr:uid="{54475695-5C55-450D-B898-D546D0EB3BDD}"/>
    <hyperlink ref="BA1702" location="'Preproc. Par.'!BA6" display="Top" xr:uid="{488F2873-3A5A-4EEC-8586-BA8BBB038C72}"/>
    <hyperlink ref="BA1705" location="'Preproc. Par.'!BA600" display="'Preproc. Par.'!BA600" xr:uid="{15984C74-2C7D-44FB-AC1D-315CF5364ED9}"/>
    <hyperlink ref="BA1706" location="'Preproc. Par.'!BA700" display="'Preproc. Par.'!BA700" xr:uid="{3211D425-60B9-42DA-8E10-90FB11CB1463}"/>
    <hyperlink ref="BA1707" location="'Preproc. Par.'!BA800" display="'Preproc. Par.'!BA800" xr:uid="{08180758-33B8-4545-A059-74C8287B5538}"/>
    <hyperlink ref="BA1708" location="'Preproc. Par.'!BA900" display="'Preproc. Par.'!BA900" xr:uid="{A7B70507-CFA3-469F-A230-B0F52B478075}"/>
    <hyperlink ref="BA1709" location="'Preproc. Par.'!BA1000" display="'Preproc. Par.'!BA1000" xr:uid="{DC4D4E88-6242-4048-B887-9691C7975B62}"/>
    <hyperlink ref="BA1710" location="'Preproc. Par.'!BA1100" display="'Preproc. Par.'!BA1100" xr:uid="{8620F7BA-719A-41E3-9CC0-24CDBC205879}"/>
    <hyperlink ref="BA1711" location="'Preproc. Par.'!BA1200" display="'Preproc. Par.'!BA1200" xr:uid="{DF8DF60F-3562-4500-BDAD-0992B0513FAF}"/>
    <hyperlink ref="BA1712" location="'Preproc. Par.'!BA1300" display="'Preproc. Par.'!BA1300" xr:uid="{6287F517-6108-41F3-B293-2653E0830EA5}"/>
    <hyperlink ref="BA1713" location="'Preproc. Par.'!BA1400" display="'Preproc. Par.'!BA1400" xr:uid="{A9E8E73C-2371-476B-A409-8E54A0ADB366}"/>
    <hyperlink ref="BA1714" location="'Preproc. Par.'!BA1500" display="'Preproc. Par.'!BA1500" xr:uid="{3D395BF6-AA9D-402B-ACD8-662F2D9BB22A}"/>
    <hyperlink ref="BA1715" location="'Preproc. Par.'!BA1600" display="'Preproc. Par.'!BA1600" xr:uid="{AF0610BE-CE8A-4D36-8BE9-2CC3A8F662A8}"/>
    <hyperlink ref="BA1716" location="'Preproc. Par.'!BA1700" display="'Preproc. Par.'!BA1700" xr:uid="{647C1216-F2D9-487C-BE39-2DBD35A7B2C7}"/>
    <hyperlink ref="BA1717" location="'Preproc. Par.'!BA1800" display="'Preproc. Par.'!BA1800" xr:uid="{585ECD16-0B3D-4585-8CA1-7190C5097170}"/>
    <hyperlink ref="BA1718" location="'Preproc. Par.'!BA1900" display="'Preproc. Par.'!BA1900" xr:uid="{F9E44C59-A5CA-4DDC-AA8D-BD16D9C4534A}"/>
    <hyperlink ref="BA1719" location="'Preproc. Par.'!BA2000" display="'Preproc. Par.'!BA2000" xr:uid="{85FAF543-D793-4165-B712-8C644B69840B}"/>
    <hyperlink ref="BA1720" location="'Preproc. Par.'!BA2100" display="'Preproc. Par.'!BA2100" xr:uid="{D88F5231-9155-44F6-B1E4-E572EB1DD2D6}"/>
    <hyperlink ref="BA1721" location="'Preproc. Par.'!BA2200" display="'Preproc. Par.'!BA2200" xr:uid="{601ADD62-8843-435D-8197-9B1D602C8628}"/>
    <hyperlink ref="BA1722" location="'Preproc. Par.'!BA2300" display="'Preproc. Par.'!BA2300" xr:uid="{D5AA057A-4C34-43B1-AE9C-CA111BADF73D}"/>
    <hyperlink ref="BA1723" location="'Preproc. Par.'!BA2400" display="'Preproc. Par.'!BA2400" xr:uid="{758CEF7E-FC76-47EB-97B1-61AFF4300F79}"/>
    <hyperlink ref="BA1804" location="'Preproc. Par.'!BA500" display="'Preproc. Par.'!BA500" xr:uid="{998338A3-2EAB-4FD1-BBAC-C469F211FC0D}"/>
    <hyperlink ref="BA1803" location="'Preproc. Par.'!BA40" display="Process" xr:uid="{ADC25259-386F-406E-A897-966BCAD3BDBF}"/>
    <hyperlink ref="BA1802" location="'Preproc. Par.'!BA6" display="Top" xr:uid="{E53C9230-FC62-45D9-B03C-821B96851D69}"/>
    <hyperlink ref="BA1805" location="'Preproc. Par.'!BA600" display="'Preproc. Par.'!BA600" xr:uid="{D944C6E3-0809-476C-9ADF-80889A94DE66}"/>
    <hyperlink ref="BA1806" location="'Preproc. Par.'!BA700" display="'Preproc. Par.'!BA700" xr:uid="{5B0949DD-DF63-4371-A194-8794D90A099A}"/>
    <hyperlink ref="BA1807" location="'Preproc. Par.'!BA800" display="'Preproc. Par.'!BA800" xr:uid="{0AB1FA65-FBF1-4E56-9C5D-D67492D60181}"/>
    <hyperlink ref="BA1808" location="'Preproc. Par.'!BA900" display="'Preproc. Par.'!BA900" xr:uid="{DFB98656-0005-4D6F-A8FF-1D6A12E10C85}"/>
    <hyperlink ref="BA1809" location="'Preproc. Par.'!BA1000" display="'Preproc. Par.'!BA1000" xr:uid="{9FC47431-EDDB-4FEA-8259-0E75068E9274}"/>
    <hyperlink ref="BA1810" location="'Preproc. Par.'!BA1100" display="'Preproc. Par.'!BA1100" xr:uid="{627C5741-ABC9-47A0-BD76-0560E1CA0CAD}"/>
    <hyperlink ref="BA1811" location="'Preproc. Par.'!BA1200" display="'Preproc. Par.'!BA1200" xr:uid="{22782CF3-A6B7-4955-AB33-81637D8DC9F6}"/>
    <hyperlink ref="BA1812" location="'Preproc. Par.'!BA1300" display="'Preproc. Par.'!BA1300" xr:uid="{2742B6C8-DA41-4CAF-B799-954BAE2D0B7E}"/>
    <hyperlink ref="BA1813" location="'Preproc. Par.'!BA1400" display="'Preproc. Par.'!BA1400" xr:uid="{F40E8864-EB75-4BC0-AC7A-B91FAC38DDEF}"/>
    <hyperlink ref="BA1814" location="'Preproc. Par.'!BA1500" display="'Preproc. Par.'!BA1500" xr:uid="{89C25A06-76ED-473E-940B-8321F7409A10}"/>
    <hyperlink ref="BA1815" location="'Preproc. Par.'!BA1600" display="'Preproc. Par.'!BA1600" xr:uid="{17543321-EEF2-45DB-9D34-2DC6D4366FF7}"/>
    <hyperlink ref="BA1816" location="'Preproc. Par.'!BA1700" display="'Preproc. Par.'!BA1700" xr:uid="{A7327508-EE9A-438E-8E00-85D4E49FDFE7}"/>
    <hyperlink ref="BA1817" location="'Preproc. Par.'!BA1800" display="'Preproc. Par.'!BA1800" xr:uid="{22422497-106F-48C0-810F-67B7CCB8A749}"/>
    <hyperlink ref="BA1818" location="'Preproc. Par.'!BA1900" display="'Preproc. Par.'!BA1900" xr:uid="{DE7086AC-24B9-4F4A-8C86-4E8FCFEE6B74}"/>
    <hyperlink ref="BA1819" location="'Preproc. Par.'!BA2000" display="'Preproc. Par.'!BA2000" xr:uid="{C2DF740F-7A58-40DA-9BF9-BA1348E5B64F}"/>
    <hyperlink ref="BA1820" location="'Preproc. Par.'!BA2100" display="'Preproc. Par.'!BA2100" xr:uid="{B5658AAE-BE7A-4D6E-9B4D-5D62A9C9E6AD}"/>
    <hyperlink ref="BA1821" location="'Preproc. Par.'!BA2200" display="'Preproc. Par.'!BA2200" xr:uid="{50786A7B-CF16-4933-BBD9-CB256CF561E4}"/>
    <hyperlink ref="BA1822" location="'Preproc. Par.'!BA2300" display="'Preproc. Par.'!BA2300" xr:uid="{3BD7B35B-725F-48DE-A946-0CD87E8F5277}"/>
    <hyperlink ref="BA1823" location="'Preproc. Par.'!BA2400" display="'Preproc. Par.'!BA2400" xr:uid="{63245FD8-7658-42A2-AF58-37C5EC9714C2}"/>
    <hyperlink ref="BA1904" location="'Preproc. Par.'!BA500" display="'Preproc. Par.'!BA500" xr:uid="{B180D261-32A3-4553-938F-646525681328}"/>
    <hyperlink ref="BA1903" location="'Preproc. Par.'!BA40" display="Process" xr:uid="{CCE63E84-4E8D-47B4-9E78-756D7714EDA9}"/>
    <hyperlink ref="BA1902" location="'Preproc. Par.'!BA6" display="Top" xr:uid="{322B58CB-D29A-4EEF-A031-F89E877477C7}"/>
    <hyperlink ref="BA1905" location="'Preproc. Par.'!BA600" display="'Preproc. Par.'!BA600" xr:uid="{8EA2AF0A-7B2C-4080-AC15-BFC1BCA27430}"/>
    <hyperlink ref="BA1906" location="'Preproc. Par.'!BA700" display="'Preproc. Par.'!BA700" xr:uid="{081CFBBA-22F8-4A81-A1D0-F90C4867A332}"/>
    <hyperlink ref="BA1907" location="'Preproc. Par.'!BA800" display="'Preproc. Par.'!BA800" xr:uid="{564A65E1-9DDC-4CD2-97EC-4FA8F61AB516}"/>
    <hyperlink ref="BA1908" location="'Preproc. Par.'!BA900" display="'Preproc. Par.'!BA900" xr:uid="{0BC8FAA8-F58B-4521-936B-986736C4B41A}"/>
    <hyperlink ref="BA1909" location="'Preproc. Par.'!BA1000" display="'Preproc. Par.'!BA1000" xr:uid="{39721E0D-D436-48A3-8E53-67FF60D637FF}"/>
    <hyperlink ref="BA1910" location="'Preproc. Par.'!BA1100" display="'Preproc. Par.'!BA1100" xr:uid="{8040DC8F-5956-4F12-A35B-6D7B66CB34BE}"/>
    <hyperlink ref="BA1911" location="'Preproc. Par.'!BA1200" display="'Preproc. Par.'!BA1200" xr:uid="{C0971068-1CC6-4DB7-A483-726002E07AC9}"/>
    <hyperlink ref="BA1912" location="'Preproc. Par.'!BA1300" display="'Preproc. Par.'!BA1300" xr:uid="{FC3FA979-6E5B-4551-994E-C12C0B2AC8F0}"/>
    <hyperlink ref="BA1913" location="'Preproc. Par.'!BA1400" display="'Preproc. Par.'!BA1400" xr:uid="{ED68A629-6F76-4F71-A662-98AEE913321D}"/>
    <hyperlink ref="BA1914" location="'Preproc. Par.'!BA1500" display="'Preproc. Par.'!BA1500" xr:uid="{75FE0F9D-DC00-43C7-9E43-0AC51D89AF98}"/>
    <hyperlink ref="BA1915" location="'Preproc. Par.'!BA1600" display="'Preproc. Par.'!BA1600" xr:uid="{2AE3AAC1-1149-4058-9B9F-2AF2B5505313}"/>
    <hyperlink ref="BA1916" location="'Preproc. Par.'!BA1700" display="'Preproc. Par.'!BA1700" xr:uid="{57EB3E7A-F8DC-46FE-899D-5083B187EA11}"/>
    <hyperlink ref="BA1917" location="'Preproc. Par.'!BA1800" display="'Preproc. Par.'!BA1800" xr:uid="{40BA78E4-F0E9-481D-BF10-320BC2990BC3}"/>
    <hyperlink ref="BA1918" location="'Preproc. Par.'!BA1900" display="'Preproc. Par.'!BA1900" xr:uid="{1AE5CCA3-DD18-4028-8131-13ACD4A5D5C2}"/>
    <hyperlink ref="BA1919" location="'Preproc. Par.'!BA2000" display="'Preproc. Par.'!BA2000" xr:uid="{31268425-4161-466C-92D7-8B937E7B6A85}"/>
    <hyperlink ref="BA1920" location="'Preproc. Par.'!BA2100" display="'Preproc. Par.'!BA2100" xr:uid="{C296BEB2-C903-44B5-9808-3B04D14C7D15}"/>
    <hyperlink ref="BA1921" location="'Preproc. Par.'!BA2200" display="'Preproc. Par.'!BA2200" xr:uid="{0B69C64D-EA9D-497D-8BED-A1B47EE25F33}"/>
    <hyperlink ref="BA1922" location="'Preproc. Par.'!BA2300" display="'Preproc. Par.'!BA2300" xr:uid="{885D2449-435C-4806-95D7-F912216974F5}"/>
    <hyperlink ref="BA1923" location="'Preproc. Par.'!BA2400" display="'Preproc. Par.'!BA2400" xr:uid="{9284DBE1-1791-4F38-89E1-2BA2E9C9FFF2}"/>
    <hyperlink ref="BA2004" location="'Preproc. Par.'!BA500" display="'Preproc. Par.'!BA500" xr:uid="{EF4658B5-3C24-41A2-9782-6CA270E8D826}"/>
    <hyperlink ref="BA2003" location="'Preproc. Par.'!BA40" display="Process" xr:uid="{00E28145-1BAA-4483-B286-A0D5BB729478}"/>
    <hyperlink ref="BA2002" location="'Preproc. Par.'!BA6" display="Top" xr:uid="{C146BAF7-6E28-4849-996B-70F4CC431BD5}"/>
    <hyperlink ref="BA2005" location="'Preproc. Par.'!BA600" display="'Preproc. Par.'!BA600" xr:uid="{6BFCD381-3AEF-4ACE-9E0F-64C95A542757}"/>
    <hyperlink ref="BA2006" location="'Preproc. Par.'!BA700" display="'Preproc. Par.'!BA700" xr:uid="{F13E69B2-6D8B-4697-BD8D-47EAC78704D2}"/>
    <hyperlink ref="BA2007" location="'Preproc. Par.'!BA800" display="'Preproc. Par.'!BA800" xr:uid="{44D92987-9E1E-4991-A29F-F697A6C19997}"/>
    <hyperlink ref="BA2008" location="'Preproc. Par.'!BA900" display="'Preproc. Par.'!BA900" xr:uid="{97B1F0A2-11CD-4A17-935B-0B0C0CD2496A}"/>
    <hyperlink ref="BA2009" location="'Preproc. Par.'!BA1000" display="'Preproc. Par.'!BA1000" xr:uid="{FF46C89E-3E77-4C31-9EB9-4D4D73EA20FC}"/>
    <hyperlink ref="BA2010" location="'Preproc. Par.'!BA1100" display="'Preproc. Par.'!BA1100" xr:uid="{9074DE01-2631-4EC2-87CA-8DE1B32ED68D}"/>
    <hyperlink ref="BA2011" location="'Preproc. Par.'!BA1200" display="'Preproc. Par.'!BA1200" xr:uid="{4AD54E5F-2CC8-4455-B9DA-6A3F81AD2154}"/>
    <hyperlink ref="BA2012" location="'Preproc. Par.'!BA1300" display="'Preproc. Par.'!BA1300" xr:uid="{B5B1B9D8-C761-4901-9C84-9F83B731CF43}"/>
    <hyperlink ref="BA2013" location="'Preproc. Par.'!BA1400" display="'Preproc. Par.'!BA1400" xr:uid="{65FDB6E5-96AF-4547-8F5C-AAE07A33A4B7}"/>
    <hyperlink ref="BA2014" location="'Preproc. Par.'!BA1500" display="'Preproc. Par.'!BA1500" xr:uid="{D592563C-75A3-40CF-B6CB-B851A5533487}"/>
    <hyperlink ref="BA2015" location="'Preproc. Par.'!BA1600" display="'Preproc. Par.'!BA1600" xr:uid="{C33838A9-C2F6-42D4-B861-545F0064CA3E}"/>
    <hyperlink ref="BA2016" location="'Preproc. Par.'!BA1700" display="'Preproc. Par.'!BA1700" xr:uid="{AEF880E7-25A0-48E5-B68D-F827DC2189C4}"/>
    <hyperlink ref="BA2017" location="'Preproc. Par.'!BA1800" display="'Preproc. Par.'!BA1800" xr:uid="{A0633A8D-960E-43BE-BE0B-1574EF8DA355}"/>
    <hyperlink ref="BA2018" location="'Preproc. Par.'!BA1900" display="'Preproc. Par.'!BA1900" xr:uid="{F6BE0641-A9D7-4DF9-86E8-2C20C8E13EEB}"/>
    <hyperlink ref="BA2019" location="'Preproc. Par.'!BA2000" display="'Preproc. Par.'!BA2000" xr:uid="{F9058192-0A28-48D9-8C0A-818DBD884467}"/>
    <hyperlink ref="BA2020" location="'Preproc. Par.'!BA2100" display="'Preproc. Par.'!BA2100" xr:uid="{E74A6EF4-D00D-41CC-AC44-92C4DDC29E9F}"/>
    <hyperlink ref="BA2021" location="'Preproc. Par.'!BA2200" display="'Preproc. Par.'!BA2200" xr:uid="{81336412-BB1A-4EBE-B9E4-EB259B338215}"/>
    <hyperlink ref="BA2022" location="'Preproc. Par.'!BA2300" display="'Preproc. Par.'!BA2300" xr:uid="{28B958E6-0B90-41E9-AEAD-E0FEF0700FD0}"/>
    <hyperlink ref="BA2023" location="'Preproc. Par.'!BA2400" display="'Preproc. Par.'!BA2400" xr:uid="{FD9C84C1-5C7B-4D18-B73B-9329FADA68AF}"/>
    <hyperlink ref="BA2104" location="'Preproc. Par.'!BA500" display="'Preproc. Par.'!BA500" xr:uid="{EC0C0E63-F9F0-410F-99E5-A3D768AC19D3}"/>
    <hyperlink ref="BA2103" location="'Preproc. Par.'!BA40" display="Process" xr:uid="{A03FC429-0637-434E-A541-9F8BAAE436DF}"/>
    <hyperlink ref="BA2102" location="'Preproc. Par.'!BA6" display="Top" xr:uid="{3B03B001-1AF3-4FF5-BE86-594706893339}"/>
    <hyperlink ref="BA2105" location="'Preproc. Par.'!BA600" display="'Preproc. Par.'!BA600" xr:uid="{A2890DCA-70A6-4BD3-962E-FB7EE9BC015C}"/>
    <hyperlink ref="BA2106" location="'Preproc. Par.'!BA700" display="'Preproc. Par.'!BA700" xr:uid="{01C17C0D-304B-4C86-9702-0A10530BC91B}"/>
    <hyperlink ref="BA2107" location="'Preproc. Par.'!BA800" display="'Preproc. Par.'!BA800" xr:uid="{BF0D166B-5EC2-4B39-8B6C-8899367F0D7C}"/>
    <hyperlink ref="BA2108" location="'Preproc. Par.'!BA900" display="'Preproc. Par.'!BA900" xr:uid="{F91DE6FB-B15E-413F-BF16-0E79CB2E892C}"/>
    <hyperlink ref="BA2109" location="'Preproc. Par.'!BA1000" display="'Preproc. Par.'!BA1000" xr:uid="{90E3657A-5696-43B9-B4A0-CE81AF0091E7}"/>
    <hyperlink ref="BA2110" location="'Preproc. Par.'!BA1100" display="'Preproc. Par.'!BA1100" xr:uid="{67BA3F71-C940-4774-A86B-0A40485E6F13}"/>
    <hyperlink ref="BA2111" location="'Preproc. Par.'!BA1200" display="'Preproc. Par.'!BA1200" xr:uid="{1647667B-12D2-4CB1-BE6D-DDE23082A957}"/>
    <hyperlink ref="BA2112" location="'Preproc. Par.'!BA1300" display="'Preproc. Par.'!BA1300" xr:uid="{0BA46C96-BC5D-426E-A22F-FB5A6ABEE85D}"/>
    <hyperlink ref="BA2113" location="'Preproc. Par.'!BA1400" display="'Preproc. Par.'!BA1400" xr:uid="{3AA6B12A-5966-4323-A1BD-8665D49A213A}"/>
    <hyperlink ref="BA2114" location="'Preproc. Par.'!BA1500" display="'Preproc. Par.'!BA1500" xr:uid="{E5242E93-4A60-4A41-A9B0-D30583A5C9A1}"/>
    <hyperlink ref="BA2115" location="'Preproc. Par.'!BA1600" display="'Preproc. Par.'!BA1600" xr:uid="{2C6B46EC-DA4F-44C2-9072-78AEE87B8433}"/>
    <hyperlink ref="BA2116" location="'Preproc. Par.'!BA1700" display="'Preproc. Par.'!BA1700" xr:uid="{82205529-17A0-478D-9684-689B8CD8E496}"/>
    <hyperlink ref="BA2117" location="'Preproc. Par.'!BA1800" display="'Preproc. Par.'!BA1800" xr:uid="{30153DAC-93E6-4ADB-A06B-8F1C279EFAAB}"/>
    <hyperlink ref="BA2118" location="'Preproc. Par.'!BA1900" display="'Preproc. Par.'!BA1900" xr:uid="{2414D527-4F4D-4751-9394-3CD6C6506B23}"/>
    <hyperlink ref="BA2119" location="'Preproc. Par.'!BA2000" display="'Preproc. Par.'!BA2000" xr:uid="{276F958E-63CF-4AD9-AF99-0CF975039BBD}"/>
    <hyperlink ref="BA2120" location="'Preproc. Par.'!BA2100" display="'Preproc. Par.'!BA2100" xr:uid="{E550B5D2-A111-43AE-97ED-219F05BE7B44}"/>
    <hyperlink ref="BA2121" location="'Preproc. Par.'!BA2200" display="'Preproc. Par.'!BA2200" xr:uid="{3923A2F7-866A-4E29-9807-487EF26C7FE1}"/>
    <hyperlink ref="BA2122" location="'Preproc. Par.'!BA2300" display="'Preproc. Par.'!BA2300" xr:uid="{E2C5EE9C-699D-4284-8A4A-18CF566894F3}"/>
    <hyperlink ref="BA2123" location="'Preproc. Par.'!BA2400" display="'Preproc. Par.'!BA2400" xr:uid="{CFE2280D-081E-42DD-9805-BAFFD5644BB0}"/>
    <hyperlink ref="BA2204" location="'Preproc. Par.'!BA500" display="'Preproc. Par.'!BA500" xr:uid="{977729C4-BEC2-4869-9EA1-DEA19C8D1304}"/>
    <hyperlink ref="BA2203" location="'Preproc. Par.'!BA40" display="Process" xr:uid="{3E1DF787-24D4-41B7-9982-0EEA6950F72C}"/>
    <hyperlink ref="BA2202" location="'Preproc. Par.'!BA6" display="Top" xr:uid="{6A5EBBDE-E61A-4712-862B-437842BD7138}"/>
    <hyperlink ref="BA2205" location="'Preproc. Par.'!BA600" display="'Preproc. Par.'!BA600" xr:uid="{B16493BD-AF30-4EBD-839F-0E9526F0214F}"/>
    <hyperlink ref="BA2206" location="'Preproc. Par.'!BA700" display="'Preproc. Par.'!BA700" xr:uid="{76AA7BE3-D2E2-4E70-A99B-ADC584590C78}"/>
    <hyperlink ref="BA2207" location="'Preproc. Par.'!BA800" display="'Preproc. Par.'!BA800" xr:uid="{4D13D1FB-A10A-4BD7-B5F3-59CF8D40AD0C}"/>
    <hyperlink ref="BA2208" location="'Preproc. Par.'!BA900" display="'Preproc. Par.'!BA900" xr:uid="{2C057D2C-6914-49F3-94BD-731E7EA7E7FF}"/>
    <hyperlink ref="BA2209" location="'Preproc. Par.'!BA1000" display="'Preproc. Par.'!BA1000" xr:uid="{3BD4FAD8-6C98-4481-806E-A777A28263AB}"/>
    <hyperlink ref="BA2210" location="'Preproc. Par.'!BA1100" display="'Preproc. Par.'!BA1100" xr:uid="{36B7F62F-AE5E-4561-8FF3-FAAEF5B6DD80}"/>
    <hyperlink ref="BA2211" location="'Preproc. Par.'!BA1200" display="'Preproc. Par.'!BA1200" xr:uid="{10D46345-CB63-4566-B8AF-0C9487ADF107}"/>
    <hyperlink ref="BA2212" location="'Preproc. Par.'!BA1300" display="'Preproc. Par.'!BA1300" xr:uid="{5604757A-EA8B-46D6-9723-0F64B7B5C10F}"/>
    <hyperlink ref="BA2213" location="'Preproc. Par.'!BA1400" display="'Preproc. Par.'!BA1400" xr:uid="{FBB1EC2F-0C37-4B4A-B348-95B74AA20667}"/>
    <hyperlink ref="BA2214" location="'Preproc. Par.'!BA1500" display="'Preproc. Par.'!BA1500" xr:uid="{150552A3-AC1F-4DE0-ADF7-15B773CDBED9}"/>
    <hyperlink ref="BA2215" location="'Preproc. Par.'!BA1600" display="'Preproc. Par.'!BA1600" xr:uid="{DD476C73-D1C9-42A7-B6A6-C074B2BB0A39}"/>
    <hyperlink ref="BA2216" location="'Preproc. Par.'!BA1700" display="'Preproc. Par.'!BA1700" xr:uid="{190C4377-92B1-4394-958B-6DABF799E2A3}"/>
    <hyperlink ref="BA2217" location="'Preproc. Par.'!BA1800" display="'Preproc. Par.'!BA1800" xr:uid="{B22D717B-EAC2-4A23-A078-421657C305C5}"/>
    <hyperlink ref="BA2218" location="'Preproc. Par.'!BA1900" display="'Preproc. Par.'!BA1900" xr:uid="{4EEC1E60-8FDD-4336-9337-99CBAA062D80}"/>
    <hyperlink ref="BA2219" location="'Preproc. Par.'!BA2000" display="'Preproc. Par.'!BA2000" xr:uid="{17CA0D21-D60A-4A12-A5CA-BBD20775E783}"/>
    <hyperlink ref="BA2220" location="'Preproc. Par.'!BA2100" display="'Preproc. Par.'!BA2100" xr:uid="{BF9B160D-0BE0-4323-B078-1C6E55E0A584}"/>
    <hyperlink ref="BA2221" location="'Preproc. Par.'!BA2200" display="'Preproc. Par.'!BA2200" xr:uid="{7321043C-B2BC-41B6-97DC-CE34099B62AC}"/>
    <hyperlink ref="BA2222" location="'Preproc. Par.'!BA2300" display="'Preproc. Par.'!BA2300" xr:uid="{2BD42930-95DC-419C-B798-D20677F4DA4A}"/>
    <hyperlink ref="BA2223" location="'Preproc. Par.'!BA2400" display="'Preproc. Par.'!BA2400" xr:uid="{1529980C-F55B-404D-880A-A99D9BC30B11}"/>
    <hyperlink ref="BA2304" location="'Preproc. Par.'!BA500" display="'Preproc. Par.'!BA500" xr:uid="{E8EA5AE1-A1D7-4053-ABF0-E7DF6641E462}"/>
    <hyperlink ref="BA2303" location="'Preproc. Par.'!BA40" display="Process" xr:uid="{FD361064-8839-4958-936A-65AAB032DB72}"/>
    <hyperlink ref="BA2302" location="'Preproc. Par.'!BA6" display="Top" xr:uid="{67D6BC49-116C-42BC-B7F9-6FB9835DA88D}"/>
    <hyperlink ref="BA2305" location="'Preproc. Par.'!BA600" display="'Preproc. Par.'!BA600" xr:uid="{DD467F5D-408A-4A94-BB08-8FA1A15DAEC8}"/>
    <hyperlink ref="BA2306" location="'Preproc. Par.'!BA700" display="'Preproc. Par.'!BA700" xr:uid="{545FC019-A1F3-4442-B5F4-005B5E2AD283}"/>
    <hyperlink ref="BA2307" location="'Preproc. Par.'!BA800" display="'Preproc. Par.'!BA800" xr:uid="{011D519E-FCC8-463D-9309-B9C829CA01D8}"/>
    <hyperlink ref="BA2308" location="'Preproc. Par.'!BA900" display="'Preproc. Par.'!BA900" xr:uid="{10EC6F7D-BC46-4CB6-B236-6C116175F126}"/>
    <hyperlink ref="BA2309" location="'Preproc. Par.'!BA1000" display="'Preproc. Par.'!BA1000" xr:uid="{D9F32648-7688-4A92-A0EF-9FBCCDC6E35D}"/>
    <hyperlink ref="BA2310" location="'Preproc. Par.'!BA1100" display="'Preproc. Par.'!BA1100" xr:uid="{CDA1C6B2-D3BC-4A82-BBF6-E3F134CCBFE2}"/>
    <hyperlink ref="BA2311" location="'Preproc. Par.'!BA1200" display="'Preproc. Par.'!BA1200" xr:uid="{AF500D96-6B41-45AE-B8A8-635C6A2578FE}"/>
    <hyperlink ref="BA2312" location="'Preproc. Par.'!BA1300" display="'Preproc. Par.'!BA1300" xr:uid="{7D60436A-ABF3-49BA-8C5A-002D128584B7}"/>
    <hyperlink ref="BA2313" location="'Preproc. Par.'!BA1400" display="'Preproc. Par.'!BA1400" xr:uid="{A654FA03-7070-46BC-928A-B27E63CB8DA0}"/>
    <hyperlink ref="BA2314" location="'Preproc. Par.'!BA1500" display="'Preproc. Par.'!BA1500" xr:uid="{2FDF1436-773E-4670-946F-6FF700C3E1AF}"/>
    <hyperlink ref="BA2315" location="'Preproc. Par.'!BA1600" display="'Preproc. Par.'!BA1600" xr:uid="{F195D33B-B19F-4C49-A25A-9C9B8F1C643C}"/>
    <hyperlink ref="BA2316" location="'Preproc. Par.'!BA1700" display="'Preproc. Par.'!BA1700" xr:uid="{29F3C4A1-86A4-4A62-B36C-6486EAAE64DA}"/>
    <hyperlink ref="BA2317" location="'Preproc. Par.'!BA1800" display="'Preproc. Par.'!BA1800" xr:uid="{EC715F4B-6819-4827-A3E0-BDC3585577C1}"/>
    <hyperlink ref="BA2318" location="'Preproc. Par.'!BA1900" display="'Preproc. Par.'!BA1900" xr:uid="{084B54E7-309B-4EB2-8CA6-CA836B777150}"/>
    <hyperlink ref="BA2319" location="'Preproc. Par.'!BA2000" display="'Preproc. Par.'!BA2000" xr:uid="{7A4FE23C-A0AD-47CE-A275-954B6C5F9BE2}"/>
    <hyperlink ref="BA2320" location="'Preproc. Par.'!BA2100" display="'Preproc. Par.'!BA2100" xr:uid="{98101E06-A1F0-4FBC-8D2F-5BAD98272482}"/>
    <hyperlink ref="BA2321" location="'Preproc. Par.'!BA2200" display="'Preproc. Par.'!BA2200" xr:uid="{68C2A82A-C316-41EF-A8F3-AC2FB2F50377}"/>
    <hyperlink ref="BA2322" location="'Preproc. Par.'!BA2300" display="'Preproc. Par.'!BA2300" xr:uid="{10462DB1-2FA0-44FB-AD4C-57F5AB422C9A}"/>
    <hyperlink ref="BA2323" location="'Preproc. Par.'!BA2400" display="'Preproc. Par.'!BA2400" xr:uid="{49F8A755-0392-402B-A605-AF7B7C03B79C}"/>
    <hyperlink ref="BA2404" location="'Preproc. Par.'!BA500" display="'Preproc. Par.'!BA500" xr:uid="{6776A634-8239-45CB-99C7-9708F6BF23E4}"/>
    <hyperlink ref="BA2403" location="'Preproc. Par.'!BA40" display="Process" xr:uid="{FDFC0275-C263-4754-98CA-53CEA9E3B744}"/>
    <hyperlink ref="BA2402" location="'Preproc. Par.'!BA6" display="Top" xr:uid="{D978FF1F-E7F4-4965-8877-6A96AF47B6F1}"/>
    <hyperlink ref="BA2405" location="'Preproc. Par.'!BA600" display="'Preproc. Par.'!BA600" xr:uid="{8698C39E-4ED3-44F3-8E49-D04A9D0715CC}"/>
    <hyperlink ref="BA2406" location="'Preproc. Par.'!BA700" display="'Preproc. Par.'!BA700" xr:uid="{E20FD13D-6CF2-4744-92AF-B221726036B9}"/>
    <hyperlink ref="BA2407" location="'Preproc. Par.'!BA800" display="'Preproc. Par.'!BA800" xr:uid="{36F9E0F2-7142-454E-BC58-F3A8FFA8063C}"/>
    <hyperlink ref="BA2408" location="'Preproc. Par.'!BA900" display="'Preproc. Par.'!BA900" xr:uid="{9D8BF12F-8B56-4CC0-B120-39BA6DEA2E17}"/>
    <hyperlink ref="BA2409" location="'Preproc. Par.'!BA1000" display="'Preproc. Par.'!BA1000" xr:uid="{5677570C-C64F-4A5D-A899-77CA307EA794}"/>
    <hyperlink ref="BA2410" location="'Preproc. Par.'!BA1100" display="'Preproc. Par.'!BA1100" xr:uid="{986BC949-299A-4E84-963D-75B23D5333DE}"/>
    <hyperlink ref="BA2411" location="'Preproc. Par.'!BA1200" display="'Preproc. Par.'!BA1200" xr:uid="{DB2D3442-43AF-4252-8419-05C69C16E672}"/>
    <hyperlink ref="BA2412" location="'Preproc. Par.'!BA1300" display="'Preproc. Par.'!BA1300" xr:uid="{1C08C09A-055C-4F7C-B815-B738CC9ADE53}"/>
    <hyperlink ref="BA2413" location="'Preproc. Par.'!BA1400" display="'Preproc. Par.'!BA1400" xr:uid="{817E027C-04AF-42E2-8F29-01CC79401CAA}"/>
    <hyperlink ref="BA2414" location="'Preproc. Par.'!BA1500" display="'Preproc. Par.'!BA1500" xr:uid="{4DF03FDF-4449-427C-A68E-CE51B1F88D65}"/>
    <hyperlink ref="BA2415" location="'Preproc. Par.'!BA1600" display="'Preproc. Par.'!BA1600" xr:uid="{CF283439-1ED7-4287-9E1A-237779AD4766}"/>
    <hyperlink ref="BA2416" location="'Preproc. Par.'!BA1700" display="'Preproc. Par.'!BA1700" xr:uid="{0CBCEDE5-29D7-4047-ADAF-92A254141079}"/>
    <hyperlink ref="BA2417" location="'Preproc. Par.'!BA1800" display="'Preproc. Par.'!BA1800" xr:uid="{29080AD1-6295-4962-9C4F-FF42468EE332}"/>
    <hyperlink ref="BA2418" location="'Preproc. Par.'!BA1900" display="'Preproc. Par.'!BA1900" xr:uid="{41B40864-1894-4FA2-B042-D48A1A8ED889}"/>
    <hyperlink ref="BA2419" location="'Preproc. Par.'!BA2000" display="'Preproc. Par.'!BA2000" xr:uid="{716F3AD6-9735-48F3-9CE1-7DA2B3B24BEC}"/>
    <hyperlink ref="BA2420" location="'Preproc. Par.'!BA2100" display="'Preproc. Par.'!BA2100" xr:uid="{B2C7B911-229C-475C-8113-35A861182505}"/>
    <hyperlink ref="BA2421" location="'Preproc. Par.'!BA2200" display="'Preproc. Par.'!BA2200" xr:uid="{B991DCF8-B067-4E20-8A46-0D673351EC72}"/>
    <hyperlink ref="BA2422" location="'Preproc. Par.'!BA2300" display="'Preproc. Par.'!BA2300" xr:uid="{24A41644-DF2F-42EB-BEC2-172FF07D3B81}"/>
    <hyperlink ref="BA2423" location="'Preproc. Par.'!BA2400" display="'Preproc. Par.'!BA2400" xr:uid="{EFB7DD94-374F-462F-8E03-339C3B6DBBC1}"/>
  </hyperlinks>
  <pageMargins left="0.7" right="0.7" top="0.75" bottom="0.75" header="0.3" footer="0.3"/>
  <pageSetup orientation="portrait" verticalDpi="0" r:id="rId1"/>
  <drawing r:id="rId2"/>
  <legacyDrawing r:id="rId3"/>
  <oleObjects>
    <mc:AlternateContent xmlns:mc="http://schemas.openxmlformats.org/markup-compatibility/2006">
      <mc:Choice Requires="x14">
        <oleObject progId="Visio.Drawing.15" shapeId="93185" r:id="rId4">
          <objectPr defaultSize="0" autoPict="0" altText="" r:id="rId5">
            <anchor moveWithCells="1" sizeWithCells="1">
              <from>
                <xdr:col>29</xdr:col>
                <xdr:colOff>946150</xdr:colOff>
                <xdr:row>32</xdr:row>
                <xdr:rowOff>107950</xdr:rowOff>
              </from>
              <to>
                <xdr:col>37</xdr:col>
                <xdr:colOff>165100</xdr:colOff>
                <xdr:row>63</xdr:row>
                <xdr:rowOff>76200</xdr:rowOff>
              </to>
            </anchor>
          </objectPr>
        </oleObject>
      </mc:Choice>
      <mc:Fallback>
        <oleObject progId="Visio.Drawing.15" shapeId="93185" r:id="rId4"/>
      </mc:Fallback>
    </mc:AlternateContent>
  </oleObjec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tabColor rgb="FFFFFF00"/>
  </sheetPr>
  <dimension ref="B1:EV3683"/>
  <sheetViews>
    <sheetView topLeftCell="EB1" zoomScale="90" zoomScaleNormal="90" workbookViewId="0">
      <pane ySplit="5" topLeftCell="A180" activePane="bottomLeft" state="frozen"/>
      <selection activeCell="AZ1" sqref="AZ1"/>
      <selection pane="bottomLeft" activeCell="EP1" sqref="EP1"/>
    </sheetView>
  </sheetViews>
  <sheetFormatPr defaultColWidth="8.83203125" defaultRowHeight="14"/>
  <cols>
    <col min="1" max="1" width="10.4140625" style="111" customWidth="1"/>
    <col min="2" max="2" width="37.4140625" style="111" customWidth="1"/>
    <col min="3" max="3" width="31.75" style="111" customWidth="1"/>
    <col min="4" max="4" width="20.75" style="111" customWidth="1"/>
    <col min="5" max="5" width="13.25" style="111" customWidth="1"/>
    <col min="6" max="6" width="25.25" style="111" customWidth="1"/>
    <col min="7" max="7" width="17.75" style="111" customWidth="1"/>
    <col min="8" max="8" width="8.83203125" style="111"/>
    <col min="9" max="9" width="12.4140625" style="111" customWidth="1"/>
    <col min="10" max="10" width="10.4140625" style="111" customWidth="1"/>
    <col min="11" max="11" width="10" style="111" customWidth="1"/>
    <col min="12" max="12" width="11.75" style="111" customWidth="1"/>
    <col min="13" max="13" width="8.83203125" style="111"/>
    <col min="14" max="14" width="9.1640625" style="111" customWidth="1"/>
    <col min="15" max="15" width="11.4140625" style="111" customWidth="1"/>
    <col min="16" max="52" width="8.83203125" style="111"/>
    <col min="53" max="53" width="18.4140625" style="111" customWidth="1"/>
    <col min="54" max="54" width="49.4140625" style="111" customWidth="1"/>
    <col min="55" max="55" width="45" style="111" customWidth="1"/>
    <col min="56" max="56" width="20.1640625" style="111" customWidth="1"/>
    <col min="57" max="57" width="25.83203125" style="111" customWidth="1"/>
    <col min="58" max="58" width="15.4140625" style="111" customWidth="1"/>
    <col min="59" max="59" width="31.25" style="111" customWidth="1"/>
    <col min="60" max="60" width="12.83203125" style="111" customWidth="1"/>
    <col min="61" max="61" width="13.25" style="111" customWidth="1"/>
    <col min="62" max="62" width="11.83203125" style="110" customWidth="1"/>
    <col min="63" max="63" width="11.75" style="110" customWidth="1"/>
    <col min="64" max="64" width="10.4140625" style="110" customWidth="1"/>
    <col min="65" max="65" width="10.75" style="110" customWidth="1"/>
    <col min="66" max="78" width="8.83203125" style="111"/>
    <col min="79" max="79" width="22.83203125" style="111" customWidth="1"/>
    <col min="80" max="80" width="49.25" style="111" customWidth="1"/>
    <col min="81" max="81" width="48.4140625" style="111" customWidth="1"/>
    <col min="82" max="82" width="20.1640625" style="111" customWidth="1"/>
    <col min="83" max="83" width="25.1640625" style="111" customWidth="1"/>
    <col min="84" max="84" width="15.75" style="111" customWidth="1"/>
    <col min="85" max="85" width="18.4140625" style="111" customWidth="1"/>
    <col min="86" max="86" width="16.4140625" style="111" customWidth="1"/>
    <col min="87" max="87" width="17" style="111" customWidth="1"/>
    <col min="88" max="88" width="16.83203125" style="111" customWidth="1"/>
    <col min="89" max="89" width="8.83203125" style="111"/>
    <col min="90" max="90" width="12.4140625" style="111" customWidth="1"/>
    <col min="91" max="104" width="8.83203125" style="111"/>
    <col min="105" max="105" width="19" style="111" customWidth="1"/>
    <col min="106" max="106" width="47.4140625" style="111" customWidth="1"/>
    <col min="107" max="107" width="46.83203125" style="111" customWidth="1"/>
    <col min="108" max="108" width="17.4140625" style="111" customWidth="1"/>
    <col min="109" max="109" width="24.1640625" style="111" customWidth="1"/>
    <col min="110" max="111" width="12.83203125" style="111" customWidth="1"/>
    <col min="112" max="112" width="16.75" style="111" customWidth="1"/>
    <col min="113" max="115" width="8.83203125" style="111"/>
    <col min="116" max="116" width="13.25" style="111" customWidth="1"/>
    <col min="117" max="130" width="8.83203125" style="111"/>
    <col min="131" max="131" width="23.83203125" style="111" customWidth="1"/>
    <col min="132" max="132" width="39.83203125" style="111" customWidth="1"/>
    <col min="133" max="133" width="40.1640625" style="111" customWidth="1"/>
    <col min="134" max="134" width="18.4140625" style="111" customWidth="1"/>
    <col min="135" max="135" width="22.4140625" style="111" customWidth="1"/>
    <col min="136" max="136" width="15.83203125" style="111" customWidth="1"/>
    <col min="137" max="138" width="8.83203125" style="111"/>
    <col min="139" max="139" width="18.4140625" style="111" customWidth="1"/>
    <col min="140" max="141" width="8.83203125" style="111"/>
    <col min="142" max="142" width="13.83203125" style="111" customWidth="1"/>
    <col min="143" max="156" width="8.83203125" style="111"/>
    <col min="157" max="157" width="17.25" style="111" customWidth="1"/>
    <col min="158" max="158" width="38.75" style="111" customWidth="1"/>
    <col min="159" max="159" width="28.1640625" style="111" customWidth="1"/>
    <col min="160" max="160" width="19.25" style="111" customWidth="1"/>
    <col min="161" max="161" width="13.4140625" style="111" customWidth="1"/>
    <col min="162" max="162" width="9.4140625" style="111" bestFit="1" customWidth="1"/>
    <col min="163" max="16384" width="8.83203125" style="111"/>
  </cols>
  <sheetData>
    <row r="1" spans="2:152">
      <c r="B1"/>
      <c r="BO1" s="111" t="s">
        <v>487</v>
      </c>
    </row>
    <row r="2" spans="2:152">
      <c r="B2"/>
    </row>
    <row r="3" spans="2:152">
      <c r="B3"/>
    </row>
    <row r="5" spans="2:152" ht="19.5" thickBot="1">
      <c r="B5" s="142" t="s">
        <v>357</v>
      </c>
      <c r="C5" s="142"/>
      <c r="D5" s="142"/>
      <c r="E5" s="142"/>
      <c r="F5" s="142"/>
      <c r="G5" s="142"/>
      <c r="H5" s="142"/>
      <c r="I5" s="142"/>
      <c r="J5" s="142"/>
      <c r="K5" s="142"/>
      <c r="L5" s="142"/>
      <c r="M5" s="142"/>
      <c r="N5" s="142"/>
      <c r="O5" s="142"/>
      <c r="P5" s="142"/>
      <c r="Q5" s="142"/>
      <c r="R5" s="142"/>
      <c r="S5" s="142"/>
      <c r="T5" s="142"/>
      <c r="U5" s="142"/>
      <c r="BB5" s="1702" t="s">
        <v>1971</v>
      </c>
      <c r="BC5" s="1702"/>
      <c r="BD5" s="1702"/>
      <c r="BE5" s="1702"/>
      <c r="BF5" s="142"/>
      <c r="BG5" s="142"/>
      <c r="BH5" s="142"/>
      <c r="BI5" s="142"/>
      <c r="BJ5" s="244"/>
      <c r="BK5" s="244"/>
      <c r="BL5" s="244"/>
      <c r="BM5" s="244"/>
      <c r="BN5" s="142"/>
      <c r="BO5" s="142"/>
      <c r="BP5" s="142"/>
      <c r="BQ5" s="142"/>
      <c r="BR5" s="142"/>
      <c r="BS5" s="142"/>
      <c r="BT5" s="142"/>
      <c r="BU5" s="142"/>
      <c r="BV5" s="142"/>
      <c r="CB5" s="1701" t="s">
        <v>143</v>
      </c>
      <c r="CC5" s="1701"/>
      <c r="CD5" s="1701"/>
      <c r="CE5" s="1701"/>
      <c r="CF5" s="142"/>
      <c r="CG5" s="142"/>
      <c r="CH5" s="142"/>
      <c r="CI5" s="142"/>
      <c r="CJ5" s="142"/>
      <c r="CK5" s="142"/>
      <c r="CL5" s="142"/>
      <c r="CM5" s="142"/>
      <c r="CN5" s="142"/>
      <c r="CO5" s="142"/>
      <c r="CP5" s="142"/>
      <c r="CQ5" s="142"/>
      <c r="CR5" s="142"/>
      <c r="CS5" s="142"/>
      <c r="CT5" s="142"/>
      <c r="CU5" s="142"/>
      <c r="CV5" s="142"/>
      <c r="DB5" s="245" t="s">
        <v>1633</v>
      </c>
      <c r="DC5" s="245"/>
      <c r="DD5" s="142"/>
      <c r="DE5" s="142"/>
      <c r="DF5" s="142"/>
      <c r="DG5" s="142"/>
      <c r="DH5" s="142"/>
      <c r="DI5" s="142"/>
      <c r="DJ5" s="142"/>
      <c r="DK5" s="142"/>
      <c r="DL5" s="142"/>
      <c r="DM5" s="142"/>
      <c r="DN5" s="142"/>
      <c r="DO5" s="142"/>
      <c r="DP5" s="142"/>
      <c r="DQ5" s="142"/>
      <c r="DR5" s="142"/>
      <c r="DS5" s="142"/>
      <c r="DT5" s="142"/>
      <c r="DU5" s="142"/>
      <c r="DV5" s="142"/>
      <c r="EB5" s="142" t="s">
        <v>358</v>
      </c>
      <c r="EC5" s="142"/>
      <c r="ED5" s="142"/>
      <c r="EE5" s="142"/>
      <c r="EF5" s="142"/>
      <c r="EG5" s="142"/>
      <c r="EH5" s="142"/>
      <c r="EI5" s="142"/>
      <c r="EJ5" s="142"/>
      <c r="EK5" s="142"/>
      <c r="EL5" s="142"/>
      <c r="EM5" s="142"/>
      <c r="EN5" s="142"/>
      <c r="EO5" s="142"/>
      <c r="EP5" s="142"/>
      <c r="EQ5" s="142"/>
      <c r="ER5" s="142"/>
      <c r="ES5" s="142"/>
      <c r="ET5" s="142"/>
      <c r="EU5" s="142"/>
      <c r="EV5" s="142"/>
    </row>
    <row r="6" spans="2:152" ht="14.5" thickTop="1">
      <c r="BB6" s="133" t="s">
        <v>160</v>
      </c>
      <c r="CB6" s="133" t="s">
        <v>160</v>
      </c>
      <c r="DB6" s="133" t="s">
        <v>160</v>
      </c>
      <c r="EB6" s="133" t="s">
        <v>160</v>
      </c>
    </row>
    <row r="7" spans="2:152">
      <c r="B7" s="133" t="s">
        <v>1894</v>
      </c>
      <c r="C7" s="246">
        <v>2022</v>
      </c>
      <c r="D7"/>
      <c r="BB7" s="133" t="s">
        <v>152</v>
      </c>
      <c r="CB7" s="133" t="s">
        <v>152</v>
      </c>
      <c r="DB7" s="133" t="s">
        <v>152</v>
      </c>
      <c r="EB7" s="133" t="s">
        <v>152</v>
      </c>
    </row>
    <row r="8" spans="2:152">
      <c r="D8"/>
      <c r="BB8" s="1282" t="s">
        <v>1898</v>
      </c>
      <c r="BC8" s="1451" t="s">
        <v>1900</v>
      </c>
      <c r="BD8"/>
      <c r="CB8" s="1282" t="s">
        <v>1898</v>
      </c>
      <c r="CC8" s="1451" t="s">
        <v>1900</v>
      </c>
      <c r="CD8"/>
      <c r="DB8" s="1282" t="s">
        <v>1898</v>
      </c>
      <c r="DC8" s="1451" t="s">
        <v>1900</v>
      </c>
      <c r="DD8"/>
      <c r="EB8" s="1282" t="s">
        <v>1898</v>
      </c>
      <c r="EC8" s="1451" t="s">
        <v>36</v>
      </c>
      <c r="ED8"/>
    </row>
    <row r="9" spans="2:152">
      <c r="B9" s="133" t="s">
        <v>1913</v>
      </c>
      <c r="C9" s="1598">
        <v>0.01</v>
      </c>
      <c r="D9"/>
      <c r="BB9" s="1703" t="s">
        <v>1904</v>
      </c>
      <c r="BC9" s="1704"/>
      <c r="BD9" s="1705"/>
      <c r="CB9" s="1703" t="s">
        <v>1904</v>
      </c>
      <c r="CC9" s="1704"/>
      <c r="CD9" s="1705"/>
      <c r="DB9" s="1703" t="s">
        <v>1904</v>
      </c>
      <c r="DC9" s="1704"/>
      <c r="DD9" s="1705"/>
      <c r="EB9" s="1703" t="s">
        <v>1904</v>
      </c>
      <c r="EC9" s="1704"/>
      <c r="ED9" s="1705"/>
    </row>
    <row r="10" spans="2:152">
      <c r="B10"/>
      <c r="C10"/>
      <c r="D10"/>
      <c r="BB10" s="1282" t="s">
        <v>1902</v>
      </c>
      <c r="BC10" s="1282" t="s">
        <v>1903</v>
      </c>
      <c r="BD10" s="1322" t="s">
        <v>1733</v>
      </c>
      <c r="CB10" s="1282" t="s">
        <v>1902</v>
      </c>
      <c r="CC10" s="1282" t="s">
        <v>1903</v>
      </c>
      <c r="CD10" s="1322" t="s">
        <v>1733</v>
      </c>
      <c r="DB10" s="1282" t="s">
        <v>1902</v>
      </c>
      <c r="DC10" s="1282" t="s">
        <v>1903</v>
      </c>
      <c r="DD10" s="1322" t="s">
        <v>1733</v>
      </c>
      <c r="EB10" s="1282" t="s">
        <v>1902</v>
      </c>
      <c r="EC10" s="1282" t="s">
        <v>1903</v>
      </c>
      <c r="ED10" s="1322" t="s">
        <v>1733</v>
      </c>
    </row>
    <row r="11" spans="2:152" ht="14.5">
      <c r="B11" s="133" t="s">
        <v>1907</v>
      </c>
      <c r="C11"/>
      <c r="D11"/>
      <c r="BB11" s="1494" t="str">
        <f>IF(BC$8="No preprocessing",Input!$D$28,"Preprocessed black mass")</f>
        <v>Preprocessed black mass</v>
      </c>
      <c r="BC11" s="1627">
        <f>IF(BC$8="No preprocessing",Input!$F$28,IF(BC$8="Generic",'Preproc. Par.'!$AC$14*VLOOKUP("Black mass",'Preproc. Par.'!$AB$102:$AC$109,2,FALSE),'Preproc. Par.'!$BC$15*VLOOKUP("Black mass",'Preproc. Par.'!$BB$102:$BC$110,2,FALSE)))</f>
        <v>0</v>
      </c>
      <c r="BD11" s="1174">
        <f>BC11/SUM(BC$11:BC$15)</f>
        <v>0</v>
      </c>
      <c r="CB11" s="1494" t="str">
        <f>IF(CC$8="No preprocessing",Input!$D$28,"Preprocessed black mass")</f>
        <v>Preprocessed black mass</v>
      </c>
      <c r="CC11" s="1627">
        <f>IF(CC$8="No preprocessing",Input!$F$28,IF(CC$8="Generic",'Preproc. Par.'!$AC$14*VLOOKUP("Black mass",'Preproc. Par.'!$AB$102:$AC$109,2,FALSE),'Preproc. Par.'!$BC$15*VLOOKUP("Black mass",'Preproc. Par.'!$BB$102:$BC$110,2,FALSE)))</f>
        <v>0</v>
      </c>
      <c r="CD11" s="1174">
        <f>CC11/SUM(CC$11:CC$15)</f>
        <v>0</v>
      </c>
      <c r="DB11" s="1494" t="str">
        <f>IF(DC$8="No preprocessing",Input!$D$28,"Preprocessed black mass")</f>
        <v>Preprocessed black mass</v>
      </c>
      <c r="DC11" s="1627">
        <f>IF(DC$8="No preprocessing",Input!$F$28,IF(DC$8="Generic",'Preproc. Par.'!$AC$14*VLOOKUP("Black mass",'Preproc. Par.'!$AB$102:$AC$109,2,FALSE),'Preproc. Par.'!$BC$15*VLOOKUP("Black mass",'Preproc. Par.'!$BB$102:$BC$110,2,FALSE)))</f>
        <v>0</v>
      </c>
      <c r="DD11" s="1174">
        <f>DC11/SUM(DC$11:DC$15)</f>
        <v>0</v>
      </c>
      <c r="EB11" s="1494" t="str">
        <f>IF(EC$8="No preprocessing",Input!$D$28,"Preprocessed black mass")</f>
        <v>Preprocessed black mass</v>
      </c>
      <c r="EC11" s="1627">
        <f>IF(EC$8="No preprocessing",Input!$F$28,IF(EC$8="Generic",'Preproc. Par.'!$AC$14*VLOOKUP("Black mass",'Preproc. Par.'!$AB$102:$AC$109,2,FALSE),'Preproc. Par.'!$BC$15*IFERROR(VLOOKUP("Black mass",'Preproc. Par.'!$BB$102:$BC$110,2,FALSE),0)))</f>
        <v>0</v>
      </c>
      <c r="ED11" s="1174">
        <f>EC11/SUM(EC$11:EC$15)</f>
        <v>0</v>
      </c>
    </row>
    <row r="12" spans="2:152" ht="14.5">
      <c r="B12" s="1636" t="s">
        <v>42</v>
      </c>
      <c r="C12" s="1574">
        <f>IFERROR((IF(ISNUMBER(SEARCH("Black mass",Input!$D$28)),Input!$F$28,0)*IF('Preproc. Par.'!B$21=B12,'Preproc. Par.'!C$21,0)+IF(ISNUMBER(SEARCH("Black mass",Input!$D$29)),Input!$F$29,0)*IF('Preproc. Par.'!F$21=B12,'Preproc. Par.'!G$21,0)+IF(ISNUMBER(SEARCH("Black mass",Input!$D$30)),Input!$F$30,0)*IF('Preproc. Par.'!J$21=B12,'Preproc. Par.'!K$21,0)+IF(ISNUMBER(SEARCH("Black mass",Input!$D$31)),Input!$F$31,0)*IF('Preproc. Par.'!N$21=B12,'Preproc. Par.'!O$21,0)+IF(ISNUMBER(SEARCH("Black mass",Input!$D$32)),Input!$F$32,0)*IF('Preproc. Par.'!R$21=B12,'Preproc. Par.'!S$21,0))/(IF(ISNUMBER(SEARCH("Black mass",Input!$D$28)),Input!$F$28,0)+IF(ISNUMBER(SEARCH("Black mass",Input!$D$29)),Input!$F$29,0)+IF(ISNUMBER(SEARCH("Black mass",Input!$D$30)),Input!$F$30,0)+IF(ISNUMBER(SEARCH("Black mass",Input!$D$31)),Input!$F$31,0)+IF(ISNUMBER(SEARCH("Black mass",Input!$D$32)),Input!$F$32,0)),0)</f>
        <v>0</v>
      </c>
      <c r="D12"/>
      <c r="BB12" s="1494" t="str">
        <f>IF(BC$8="No preprocessing",Input!$D$29,"Other black mass")</f>
        <v>Other black mass</v>
      </c>
      <c r="BC12" s="1627">
        <f>IF(BC$8="No preprocessing",Input!$F$29,IF(ISNUMBER(SEARCH("Black mass",Input!$D$28)),Input!$F$28,0)+IF(ISNUMBER(SEARCH("Black mass",Input!$D$29)),Input!$F$29,0)+IF(ISNUMBER(SEARCH("Black mass",Input!$D$30)),Input!$F$30,0)+IF(ISNUMBER(SEARCH("Black mass",Input!$D$31)),Input!$F$31,0)+IF(ISNUMBER(SEARCH("Black mass",Input!$D$32)),Input!$F$32,0))</f>
        <v>10000</v>
      </c>
      <c r="BD12" s="1174">
        <f>BC12/SUM(BC$11:BC$15)</f>
        <v>1</v>
      </c>
      <c r="CB12" s="1494" t="str">
        <f>IF(CC$8="No preprocessing",Input!$D$29,"Other black mass")</f>
        <v>Other black mass</v>
      </c>
      <c r="CC12" s="1627">
        <f>IF(CC$8="No preprocessing",Input!$F$29,IF(ISNUMBER(SEARCH("Black mass",Input!$D$28)),Input!$F$28,0)+IF(ISNUMBER(SEARCH("Black mass",Input!$D$29)),Input!$F$29,0)+IF(ISNUMBER(SEARCH("Black mass",Input!$D$30)),Input!$F$30,0)+IF(ISNUMBER(SEARCH("Black mass",Input!$D$31)),Input!$F$31,0)+IF(ISNUMBER(SEARCH("Black mass",Input!$D$32)),Input!$F$32,0))</f>
        <v>10000</v>
      </c>
      <c r="CD12" s="1174">
        <f>CC12/SUM(CC$11:CC$15)</f>
        <v>1</v>
      </c>
      <c r="DB12" s="1494" t="str">
        <f>IF(DC$8="No preprocessing",Input!$D$29,"Other black mass")</f>
        <v>Other black mass</v>
      </c>
      <c r="DC12" s="1627">
        <f>IF(DC$8="No preprocessing",Input!$F$29,IF(ISNUMBER(SEARCH("Black mass",Input!$D$28)),Input!$F$28,0)+IF(ISNUMBER(SEARCH("Black mass",Input!$D$29)),Input!$F$29,0)+IF(ISNUMBER(SEARCH("Black mass",Input!$D$30)),Input!$F$30,0)+IF(ISNUMBER(SEARCH("Black mass",Input!$D$31)),Input!$F$31,0)+IF(ISNUMBER(SEARCH("Black mass",Input!$D$32)),Input!$F$32,0))</f>
        <v>10000</v>
      </c>
      <c r="DD12" s="1174">
        <f>DC12/SUM(DC$11:DC$15)</f>
        <v>1</v>
      </c>
      <c r="EB12" s="1494" t="str">
        <f>IF(EC$8="No preprocessing",Input!$D$29,"Other black mass")</f>
        <v>Other black mass</v>
      </c>
      <c r="EC12" s="1627">
        <f>IF(EC$8="No preprocessing",Input!$F$29,IF(ISNUMBER(SEARCH("Black mass",Input!$D$28)),Input!$F$28,0)+IF(ISNUMBER(SEARCH("Black mass",Input!$D$29)),Input!$F$29,0)+IF(ISNUMBER(SEARCH("Black mass",Input!$D$30)),Input!$F$30,0)+IF(ISNUMBER(SEARCH("Black mass",Input!$D$31)),Input!$F$31,0)+IF(ISNUMBER(SEARCH("Black mass",Input!$D$32)),Input!$F$32,0))</f>
        <v>10000</v>
      </c>
      <c r="ED12" s="1174">
        <f>EC12/SUM(EC$11:EC$15)</f>
        <v>1</v>
      </c>
    </row>
    <row r="13" spans="2:152" ht="14.5">
      <c r="B13" s="1633" t="s">
        <v>1029</v>
      </c>
      <c r="C13" s="1574">
        <f>IFERROR((IF(ISNUMBER(SEARCH("Black mass",Input!$D$28)),Input!$F$28,0)*IF('Preproc. Par.'!B$21=B13,'Preproc. Par.'!C$21,0)+IF(ISNUMBER(SEARCH("Black mass",Input!$D$29)),Input!$F$29,0)*IF('Preproc. Par.'!F$21=B13,'Preproc. Par.'!G$21,0)+IF(ISNUMBER(SEARCH("Black mass",Input!$D$30)),Input!$F$30,0)*IF('Preproc. Par.'!J$21=B13,'Preproc. Par.'!K$21,0)+IF(ISNUMBER(SEARCH("Black mass",Input!$D$31)),Input!$F$31,0)*IF('Preproc. Par.'!N$21=B13,'Preproc. Par.'!O$21,0)+IF(ISNUMBER(SEARCH("Black mass",Input!$D$32)),Input!$F$32,0)*IF('Preproc. Par.'!R$21=B13,'Preproc. Par.'!S$21,0))/(IF(ISNUMBER(SEARCH("Black mass",Input!$D$28)),Input!$F$28,0)+IF(ISNUMBER(SEARCH("Black mass",Input!$D$29)),Input!$F$29,0)+IF(ISNUMBER(SEARCH("Black mass",Input!$D$30)),Input!$F$30,0)+IF(ISNUMBER(SEARCH("Black mass",Input!$D$31)),Input!$F$31,0)+IF(ISNUMBER(SEARCH("Black mass",Input!$D$32)),Input!$F$32,0)),0)</f>
        <v>0</v>
      </c>
      <c r="D13"/>
      <c r="BB13" s="1494" t="str">
        <f>IF(BC$8="No preprocessing",Input!$D$30,"")</f>
        <v/>
      </c>
      <c r="BC13" s="1627">
        <f>IF(BC$8="No preprocessing",Input!$F$30,0)</f>
        <v>0</v>
      </c>
      <c r="BD13" s="1174">
        <f>BC13/SUM(BC$11:BC$15)</f>
        <v>0</v>
      </c>
      <c r="CB13" s="1494" t="str">
        <f>IF(CC$8="No preprocessing",Input!$D$30,"")</f>
        <v/>
      </c>
      <c r="CC13" s="1627">
        <f>IF(CC$8="No preprocessing",Input!$F$30,0)</f>
        <v>0</v>
      </c>
      <c r="CD13" s="1174">
        <f>CC13/SUM(CC$11:CC$15)</f>
        <v>0</v>
      </c>
      <c r="DB13" s="1494" t="str">
        <f>IF(DC$8="No preprocessing",Input!$D$30,"")</f>
        <v/>
      </c>
      <c r="DC13" s="1627">
        <f>IF(DC$8="No preprocessing",Input!$F$30,0)</f>
        <v>0</v>
      </c>
      <c r="DD13" s="1174">
        <f>DC13/SUM(DC$11:DC$15)</f>
        <v>0</v>
      </c>
      <c r="EB13" s="1494" t="str">
        <f>IF(EC$8="No preprocessing",Input!$D$30,"")</f>
        <v/>
      </c>
      <c r="EC13" s="1627">
        <f>IF(EC$8="No preprocessing",Input!$F$30,0)</f>
        <v>0</v>
      </c>
      <c r="ED13" s="1174">
        <f>EC13/SUM(EC$11:EC$15)</f>
        <v>0</v>
      </c>
    </row>
    <row r="14" spans="2:152" ht="14.5">
      <c r="B14" s="1633" t="s">
        <v>1540</v>
      </c>
      <c r="C14" s="1574">
        <f>IFERROR((IF(ISNUMBER(SEARCH("Black mass",Input!$D$28)),Input!$F$28,0)*IF('Preproc. Par.'!B$21=B14,'Preproc. Par.'!C$21,0)+IF(ISNUMBER(SEARCH("Black mass",Input!$D$29)),Input!$F$29,0)*IF('Preproc. Par.'!F$21=B14,'Preproc. Par.'!G$21,0)+IF(ISNUMBER(SEARCH("Black mass",Input!$D$30)),Input!$F$30,0)*IF('Preproc. Par.'!J$21=B14,'Preproc. Par.'!K$21,0)+IF(ISNUMBER(SEARCH("Black mass",Input!$D$31)),Input!$F$31,0)*IF('Preproc. Par.'!N$21=B14,'Preproc. Par.'!O$21,0)+IF(ISNUMBER(SEARCH("Black mass",Input!$D$32)),Input!$F$32,0)*IF('Preproc. Par.'!R$21=B14,'Preproc. Par.'!S$21,0))/(IF(ISNUMBER(SEARCH("Black mass",Input!$D$28)),Input!$F$28,0)+IF(ISNUMBER(SEARCH("Black mass",Input!$D$29)),Input!$F$29,0)+IF(ISNUMBER(SEARCH("Black mass",Input!$D$30)),Input!$F$30,0)+IF(ISNUMBER(SEARCH("Black mass",Input!$D$31)),Input!$F$31,0)+IF(ISNUMBER(SEARCH("Black mass",Input!$D$32)),Input!$F$32,0)),0)</f>
        <v>0</v>
      </c>
      <c r="D14"/>
      <c r="BB14" s="1494" t="str">
        <f>IF(BC$8="No preprocessing",Input!$D$31,"")</f>
        <v/>
      </c>
      <c r="BC14" s="1627">
        <f>IF(BC$8="No preprocessing",Input!$F$31,0)</f>
        <v>0</v>
      </c>
      <c r="BD14" s="1174">
        <f>BC14/SUM(BC$11:BC$15)</f>
        <v>0</v>
      </c>
      <c r="CB14" s="1494" t="str">
        <f>IF(CC$8="No preprocessing",Input!$D$31,"")</f>
        <v/>
      </c>
      <c r="CC14" s="1627">
        <f>IF(CC$8="No preprocessing",Input!$F$31,0)</f>
        <v>0</v>
      </c>
      <c r="CD14" s="1174">
        <f>CC14/SUM(CC$11:CC$15)</f>
        <v>0</v>
      </c>
      <c r="DB14" s="1494" t="str">
        <f>IF(DC$8="No preprocessing",Input!$D$31,"")</f>
        <v/>
      </c>
      <c r="DC14" s="1627">
        <f>IF(DC$8="No preprocessing",Input!$F$31,0)</f>
        <v>0</v>
      </c>
      <c r="DD14" s="1174">
        <f>DC14/SUM(DC$11:DC$15)</f>
        <v>0</v>
      </c>
      <c r="EB14" s="1494" t="str">
        <f>IF(EC$8="No preprocessing",Input!$D$31,"")</f>
        <v/>
      </c>
      <c r="EC14" s="1627">
        <f>IF(EC$8="No preprocessing",Input!$F$31,0)</f>
        <v>0</v>
      </c>
      <c r="ED14" s="1174">
        <f>EC14/SUM(EC$11:EC$15)</f>
        <v>0</v>
      </c>
    </row>
    <row r="15" spans="2:152" ht="14.5">
      <c r="B15" s="1634" t="s">
        <v>667</v>
      </c>
      <c r="C15" s="1574">
        <f>IFERROR((IF(ISNUMBER(SEARCH("Black mass",Input!$D$28)),Input!$F$28,0)*IF('Preproc. Par.'!B$21=B15,'Preproc. Par.'!C$21,0)+IF(ISNUMBER(SEARCH("Black mass",Input!$D$29)),Input!$F$29,0)*IF('Preproc. Par.'!F$21=B15,'Preproc. Par.'!G$21,0)+IF(ISNUMBER(SEARCH("Black mass",Input!$D$30)),Input!$F$30,0)*IF('Preproc. Par.'!J$21=B15,'Preproc. Par.'!K$21,0)+IF(ISNUMBER(SEARCH("Black mass",Input!$D$31)),Input!$F$31,0)*IF('Preproc. Par.'!N$21=B15,'Preproc. Par.'!O$21,0)+IF(ISNUMBER(SEARCH("Black mass",Input!$D$32)),Input!$F$32,0)*IF('Preproc. Par.'!R$21=B15,'Preproc. Par.'!S$21,0))/(IF(ISNUMBER(SEARCH("Black mass",Input!$D$28)),Input!$F$28,0)+IF(ISNUMBER(SEARCH("Black mass",Input!$D$29)),Input!$F$29,0)+IF(ISNUMBER(SEARCH("Black mass",Input!$D$30)),Input!$F$30,0)+IF(ISNUMBER(SEARCH("Black mass",Input!$D$31)),Input!$F$31,0)+IF(ISNUMBER(SEARCH("Black mass",Input!$D$32)),Input!$F$32,0)),0)</f>
        <v>0.60399999999999998</v>
      </c>
      <c r="D15"/>
      <c r="BB15" s="1493" t="str">
        <f>IF(BC$8="No preprocessing",Input!$D$32,"")</f>
        <v/>
      </c>
      <c r="BC15" s="1628">
        <f>IF(BC$8="No preprocessing",Input!$F$32,0)</f>
        <v>0</v>
      </c>
      <c r="BD15" s="1364">
        <f>BC15/SUM(BC$11:BC$15)</f>
        <v>0</v>
      </c>
      <c r="CB15" s="1493" t="str">
        <f>IF(CC$8="No preprocessing",Input!$D$32,"")</f>
        <v/>
      </c>
      <c r="CC15" s="1628">
        <f>IF(CC$8="No preprocessing",Input!$F$32,0)</f>
        <v>0</v>
      </c>
      <c r="CD15" s="1364">
        <f>CC15/SUM(CC$11:CC$15)</f>
        <v>0</v>
      </c>
      <c r="DB15" s="1493" t="str">
        <f>IF(DC$8="No preprocessing",Input!$D$32,"")</f>
        <v/>
      </c>
      <c r="DC15" s="1628">
        <f>IF(DC$8="No preprocessing",Input!$F$32,0)</f>
        <v>0</v>
      </c>
      <c r="DD15" s="1364">
        <f>DC15/SUM(DC$11:DC$15)</f>
        <v>0</v>
      </c>
      <c r="EB15" s="1493" t="str">
        <f>IF(EC$8="No preprocessing",Input!$D$32,"")</f>
        <v/>
      </c>
      <c r="EC15" s="1628">
        <f>IF(EC$8="No preprocessing",Input!$F$32,0)</f>
        <v>0</v>
      </c>
      <c r="ED15" s="1364">
        <f>EC15/SUM(EC$11:EC$15)</f>
        <v>0</v>
      </c>
    </row>
    <row r="16" spans="2:152" ht="14.5">
      <c r="B16" s="1634" t="s">
        <v>669</v>
      </c>
      <c r="C16" s="1574">
        <f>IFERROR((IF(ISNUMBER(SEARCH("Black mass",Input!$D$28)),Input!$F$28,0)*IF('Preproc. Par.'!B$21=B16,'Preproc. Par.'!C$21,0)+IF(ISNUMBER(SEARCH("Black mass",Input!$D$29)),Input!$F$29,0)*IF('Preproc. Par.'!F$21=B16,'Preproc. Par.'!G$21,0)+IF(ISNUMBER(SEARCH("Black mass",Input!$D$30)),Input!$F$30,0)*IF('Preproc. Par.'!J$21=B16,'Preproc. Par.'!K$21,0)+IF(ISNUMBER(SEARCH("Black mass",Input!$D$31)),Input!$F$31,0)*IF('Preproc. Par.'!N$21=B16,'Preproc. Par.'!O$21,0)+IF(ISNUMBER(SEARCH("Black mass",Input!$D$32)),Input!$F$32,0)*IF('Preproc. Par.'!R$21=B16,'Preproc. Par.'!S$21,0))/(IF(ISNUMBER(SEARCH("Black mass",Input!$D$28)),Input!$F$28,0)+IF(ISNUMBER(SEARCH("Black mass",Input!$D$29)),Input!$F$29,0)+IF(ISNUMBER(SEARCH("Black mass",Input!$D$30)),Input!$F$30,0)+IF(ISNUMBER(SEARCH("Black mass",Input!$D$31)),Input!$F$31,0)+IF(ISNUMBER(SEARCH("Black mass",Input!$D$32)),Input!$F$32,0)),0)</f>
        <v>0</v>
      </c>
      <c r="D16"/>
      <c r="BB16" s="1629" t="str">
        <f>Input!$C$33</f>
        <v>Geographic location</v>
      </c>
      <c r="BC16" s="1629" t="str">
        <f>Input!$E$33</f>
        <v>China</v>
      </c>
      <c r="BD16"/>
      <c r="CB16" s="1629" t="str">
        <f>Input!$C$33</f>
        <v>Geographic location</v>
      </c>
      <c r="CC16" s="1629" t="str">
        <f>Input!$E$33</f>
        <v>China</v>
      </c>
      <c r="CD16"/>
      <c r="DB16" s="1629" t="str">
        <f>Input!$C$33</f>
        <v>Geographic location</v>
      </c>
      <c r="DC16" s="1629" t="str">
        <f>Input!$E$33</f>
        <v>China</v>
      </c>
      <c r="DD16"/>
      <c r="EB16" s="1629" t="str">
        <f>Input!$C$33</f>
        <v>Geographic location</v>
      </c>
      <c r="EC16" s="1629" t="str">
        <f>Input!$E$33</f>
        <v>China</v>
      </c>
      <c r="ED16"/>
    </row>
    <row r="17" spans="2:135">
      <c r="B17" s="1634" t="s">
        <v>73</v>
      </c>
      <c r="C17" s="1574">
        <f>IFERROR((IF(ISNUMBER(SEARCH("Black mass",Input!$D$28)),Input!$F$28,0)*IF('Preproc. Par.'!B$21=B17,'Preproc. Par.'!C$21,0)+IF(ISNUMBER(SEARCH("Black mass",Input!$D$29)),Input!$F$29,0)*IF('Preproc. Par.'!F$21=B17,'Preproc. Par.'!G$21,0)+IF(ISNUMBER(SEARCH("Black mass",Input!$D$30)),Input!$F$30,0)*IF('Preproc. Par.'!J$21=B17,'Preproc. Par.'!K$21,0)+IF(ISNUMBER(SEARCH("Black mass",Input!$D$31)),Input!$F$31,0)*IF('Preproc. Par.'!N$21=B17,'Preproc. Par.'!O$21,0)+IF(ISNUMBER(SEARCH("Black mass",Input!$D$32)),Input!$F$32,0)*IF('Preproc. Par.'!R$21=B17,'Preproc. Par.'!S$21,0))/(IF(ISNUMBER(SEARCH("Black mass",Input!$D$28)),Input!$F$28,0)+IF(ISNUMBER(SEARCH("Black mass",Input!$D$29)),Input!$F$29,0)+IF(ISNUMBER(SEARCH("Black mass",Input!$D$30)),Input!$F$30,0)+IF(ISNUMBER(SEARCH("Black mass",Input!$D$31)),Input!$F$31,0)+IF(ISNUMBER(SEARCH("Black mass",Input!$D$32)),Input!$F$32,0)),0)</f>
        <v>0</v>
      </c>
    </row>
    <row r="18" spans="2:135">
      <c r="B18" s="1634" t="s">
        <v>148</v>
      </c>
      <c r="C18" s="1574">
        <f>IFERROR((IF(ISNUMBER(SEARCH("Black mass",Input!$D$28)),Input!$F$28,0)*IF('Preproc. Par.'!B$21=B18,'Preproc. Par.'!C$21,0)+IF(ISNUMBER(SEARCH("Black mass",Input!$D$29)),Input!$F$29,0)*IF('Preproc. Par.'!F$21=B18,'Preproc. Par.'!G$21,0)+IF(ISNUMBER(SEARCH("Black mass",Input!$D$30)),Input!$F$30,0)*IF('Preproc. Par.'!J$21=B18,'Preproc. Par.'!K$21,0)+IF(ISNUMBER(SEARCH("Black mass",Input!$D$31)),Input!$F$31,0)*IF('Preproc. Par.'!N$21=B18,'Preproc. Par.'!O$21,0)+IF(ISNUMBER(SEARCH("Black mass",Input!$D$32)),Input!$F$32,0)*IF('Preproc. Par.'!R$21=B18,'Preproc. Par.'!S$21,0))/(IF(ISNUMBER(SEARCH("Black mass",Input!$D$28)),Input!$F$28,0)+IF(ISNUMBER(SEARCH("Black mass",Input!$D$29)),Input!$F$29,0)+IF(ISNUMBER(SEARCH("Black mass",Input!$D$30)),Input!$F$30,0)+IF(ISNUMBER(SEARCH("Black mass",Input!$D$31)),Input!$F$31,0)+IF(ISNUMBER(SEARCH("Black mass",Input!$D$32)),Input!$F$32,0)),0)</f>
        <v>0</v>
      </c>
      <c r="BB18" s="133" t="s">
        <v>359</v>
      </c>
      <c r="CB18" s="133" t="s">
        <v>359</v>
      </c>
      <c r="DB18" s="133" t="s">
        <v>359</v>
      </c>
      <c r="EB18" s="133" t="s">
        <v>359</v>
      </c>
    </row>
    <row r="19" spans="2:135">
      <c r="B19" s="1634" t="s">
        <v>149</v>
      </c>
      <c r="C19" s="1574">
        <f>IFERROR((IF(ISNUMBER(SEARCH("Black mass",Input!$D$28)),Input!$F$28,0)*IF('Preproc. Par.'!B$21=B19,'Preproc. Par.'!C$21,0)+IF(ISNUMBER(SEARCH("Black mass",Input!$D$29)),Input!$F$29,0)*IF('Preproc. Par.'!F$21=B19,'Preproc. Par.'!G$21,0)+IF(ISNUMBER(SEARCH("Black mass",Input!$D$30)),Input!$F$30,0)*IF('Preproc. Par.'!J$21=B19,'Preproc. Par.'!K$21,0)+IF(ISNUMBER(SEARCH("Black mass",Input!$D$31)),Input!$F$31,0)*IF('Preproc. Par.'!N$21=B19,'Preproc. Par.'!O$21,0)+IF(ISNUMBER(SEARCH("Black mass",Input!$D$32)),Input!$F$32,0)*IF('Preproc. Par.'!R$21=B19,'Preproc. Par.'!S$21,0))/(IF(ISNUMBER(SEARCH("Black mass",Input!$D$28)),Input!$F$28,0)+IF(ISNUMBER(SEARCH("Black mass",Input!$D$29)),Input!$F$29,0)+IF(ISNUMBER(SEARCH("Black mass",Input!$D$30)),Input!$F$30,0)+IF(ISNUMBER(SEARCH("Black mass",Input!$D$31)),Input!$F$31,0)+IF(ISNUMBER(SEARCH("Black mass",Input!$D$32)),Input!$F$32,0)),0)</f>
        <v>0</v>
      </c>
      <c r="BB19" s="1315"/>
      <c r="BC19" s="1393" t="s">
        <v>360</v>
      </c>
      <c r="BD19" s="1393" t="s">
        <v>361</v>
      </c>
      <c r="BE19" s="1394" t="s">
        <v>52</v>
      </c>
      <c r="CB19" s="1315"/>
      <c r="CC19" s="1393" t="s">
        <v>360</v>
      </c>
      <c r="CD19" s="1393" t="s">
        <v>361</v>
      </c>
      <c r="CE19" s="1394" t="s">
        <v>52</v>
      </c>
      <c r="DB19" s="1315"/>
      <c r="DC19" s="1393" t="s">
        <v>360</v>
      </c>
      <c r="DD19" s="1393" t="s">
        <v>361</v>
      </c>
      <c r="DE19" s="1394" t="s">
        <v>52</v>
      </c>
      <c r="EB19" s="1315" t="s">
        <v>1873</v>
      </c>
      <c r="EC19" s="113" t="s">
        <v>1876</v>
      </c>
    </row>
    <row r="20" spans="2:135">
      <c r="B20" s="1634" t="s">
        <v>54</v>
      </c>
      <c r="C20" s="1574">
        <f>IFERROR((IF(ISNUMBER(SEARCH("Black mass",Input!$D$28)),Input!$F$28,0)*'Preproc. Par.'!C22+IF(ISNUMBER(SEARCH("Black mass",Input!$D$29)),Input!$F$29,0)*'Preproc. Par.'!G22+IF(ISNUMBER(SEARCH("Black mass",Input!$D$30)),Input!$F$30,0)*'Preproc. Par.'!K22+IF(ISNUMBER(SEARCH("Black mass",Input!$D$31)),Input!$F$31,0)*'Preproc. Par.'!O22+IF(ISNUMBER(SEARCH("Black mass",Input!$D$32)),Input!$F$32,0)*'Preproc. Par.'!S22)/(IF(ISNUMBER(SEARCH("Black mass",Input!$D$28)),Input!$F$28,0)+IF(ISNUMBER(SEARCH("Black mass",Input!$D$29)),Input!$F$29,0)+IF(ISNUMBER(SEARCH("Black mass",Input!$D$30)),Input!$F$30,0)+IF(ISNUMBER(SEARCH("Black mass",Input!$D$31)),Input!$F$31,0)+IF(ISNUMBER(SEARCH("Black mass",Input!$D$32)),Input!$F$32,0)),0)</f>
        <v>0.36560607706993681</v>
      </c>
      <c r="D20"/>
      <c r="E20"/>
      <c r="F20"/>
      <c r="BB20" s="147" t="s">
        <v>596</v>
      </c>
      <c r="BC20" s="618">
        <f t="shared" ref="BC20:BC25" si="0">IF(BE20&gt;0,BE20,BD20)</f>
        <v>24</v>
      </c>
      <c r="BD20" s="111">
        <v>24</v>
      </c>
      <c r="BE20" s="1630"/>
      <c r="CB20" s="147" t="s">
        <v>596</v>
      </c>
      <c r="CC20" s="618">
        <f t="shared" ref="CC20:CC25" si="1">IF(CE20&gt;0,CE20,CD20)</f>
        <v>24</v>
      </c>
      <c r="CD20" s="111">
        <v>24</v>
      </c>
      <c r="CE20" s="1630"/>
      <c r="DB20" s="147" t="s">
        <v>596</v>
      </c>
      <c r="DC20" s="618">
        <f t="shared" ref="DC20:DC25" si="2">IF(DE20&gt;0,DE20,DD20)</f>
        <v>24</v>
      </c>
      <c r="DD20" s="111">
        <v>24</v>
      </c>
      <c r="DE20" s="1630"/>
      <c r="EB20" s="247"/>
      <c r="EC20" s="144" t="s">
        <v>360</v>
      </c>
      <c r="ED20" s="144" t="s">
        <v>361</v>
      </c>
      <c r="EE20" s="146" t="s">
        <v>52</v>
      </c>
    </row>
    <row r="21" spans="2:135">
      <c r="B21" s="1634" t="s">
        <v>55</v>
      </c>
      <c r="C21" s="1574">
        <f>IFERROR((IF(ISNUMBER(SEARCH("Black mass",Input!$D$28)),Input!$F$28,0)*'Preproc. Par.'!C23+IF(ISNUMBER(SEARCH("Black mass",Input!$D$29)),Input!$F$29,0)*'Preproc. Par.'!G23+IF(ISNUMBER(SEARCH("Black mass",Input!$D$30)),Input!$F$30,0)*'Preproc. Par.'!K23+IF(ISNUMBER(SEARCH("Black mass",Input!$D$31)),Input!$F$31,0)*'Preproc. Par.'!O23+IF(ISNUMBER(SEARCH("Black mass",Input!$D$32)),Input!$F$32,0)*'Preproc. Par.'!S23)/(IF(ISNUMBER(SEARCH("Black mass",Input!$D$28)),Input!$F$28,0)+IF(ISNUMBER(SEARCH("Black mass",Input!$D$29)),Input!$F$29,0)+IF(ISNUMBER(SEARCH("Black mass",Input!$D$30)),Input!$F$30,0)+IF(ISNUMBER(SEARCH("Black mass",Input!$D$31)),Input!$F$31,0)+IF(ISNUMBER(SEARCH("Black mass",Input!$D$32)),Input!$F$32,0)),0)</f>
        <v>1.2576489903513574E-2</v>
      </c>
      <c r="D21"/>
      <c r="E21"/>
      <c r="F21"/>
      <c r="BB21" s="147" t="s">
        <v>491</v>
      </c>
      <c r="BC21" s="618">
        <f t="shared" si="0"/>
        <v>30</v>
      </c>
      <c r="BD21" s="111">
        <v>20</v>
      </c>
      <c r="BE21" s="231">
        <v>30</v>
      </c>
      <c r="CB21" s="147" t="s">
        <v>491</v>
      </c>
      <c r="CC21" s="618">
        <f t="shared" si="1"/>
        <v>30</v>
      </c>
      <c r="CD21" s="111">
        <v>20</v>
      </c>
      <c r="CE21" s="231">
        <v>30</v>
      </c>
      <c r="DB21" s="147" t="s">
        <v>491</v>
      </c>
      <c r="DC21" s="618">
        <f t="shared" si="2"/>
        <v>30</v>
      </c>
      <c r="DD21" s="111">
        <v>20</v>
      </c>
      <c r="DE21" s="231">
        <v>30</v>
      </c>
      <c r="EB21" s="147" t="s">
        <v>596</v>
      </c>
      <c r="EC21" s="248">
        <f t="shared" ref="EC21:EC26" si="3">IF(EE21&gt;0,EE21,ED21)</f>
        <v>24</v>
      </c>
      <c r="ED21" s="111">
        <v>24</v>
      </c>
      <c r="EE21" s="249"/>
    </row>
    <row r="22" spans="2:135">
      <c r="B22" s="1634" t="s">
        <v>56</v>
      </c>
      <c r="C22" s="1574">
        <f>IFERROR((IF(ISNUMBER(SEARCH("Black mass",Input!$D$28)),Input!$F$28,0)*'Preproc. Par.'!C24+IF(ISNUMBER(SEARCH("Black mass",Input!$D$29)),Input!$F$29,0)*'Preproc. Par.'!G24+IF(ISNUMBER(SEARCH("Black mass",Input!$D$30)),Input!$F$30,0)*'Preproc. Par.'!K24+IF(ISNUMBER(SEARCH("Black mass",Input!$D$31)),Input!$F$31,0)*'Preproc. Par.'!O24+IF(ISNUMBER(SEARCH("Black mass",Input!$D$32)),Input!$F$32,0)*'Preproc. Par.'!S24)/(IF(ISNUMBER(SEARCH("Black mass",Input!$D$28)),Input!$F$28,0)+IF(ISNUMBER(SEARCH("Black mass",Input!$D$29)),Input!$F$29,0)+IF(ISNUMBER(SEARCH("Black mass",Input!$D$30)),Input!$F$30,0)+IF(ISNUMBER(SEARCH("Black mass",Input!$D$31)),Input!$F$31,0)+IF(ISNUMBER(SEARCH("Black mass",Input!$D$32)),Input!$F$32,0)),0)</f>
        <v>6.6192052123755668E-4</v>
      </c>
      <c r="D22"/>
      <c r="E22"/>
      <c r="F22"/>
      <c r="BB22" s="147" t="s">
        <v>492</v>
      </c>
      <c r="BC22" s="618">
        <f t="shared" si="0"/>
        <v>360</v>
      </c>
      <c r="BD22" s="111">
        <v>320</v>
      </c>
      <c r="BE22" s="231">
        <v>360</v>
      </c>
      <c r="CB22" s="147" t="s">
        <v>492</v>
      </c>
      <c r="CC22" s="618">
        <f>IF(CE22&gt;0,CE22,CD22)</f>
        <v>365</v>
      </c>
      <c r="CD22" s="111">
        <v>320</v>
      </c>
      <c r="CE22" s="231">
        <v>365</v>
      </c>
      <c r="CF22" s="111">
        <v>365</v>
      </c>
      <c r="DB22" s="147" t="s">
        <v>492</v>
      </c>
      <c r="DC22" s="618">
        <f t="shared" si="2"/>
        <v>360</v>
      </c>
      <c r="DD22" s="111">
        <v>320</v>
      </c>
      <c r="DE22" s="231">
        <v>360</v>
      </c>
      <c r="EB22" s="147" t="s">
        <v>491</v>
      </c>
      <c r="EC22" s="248">
        <f t="shared" si="3"/>
        <v>24</v>
      </c>
      <c r="ED22" s="111">
        <v>24</v>
      </c>
      <c r="EE22" s="231"/>
    </row>
    <row r="23" spans="2:135">
      <c r="B23" s="1634" t="s">
        <v>1622</v>
      </c>
      <c r="C23" s="1574">
        <f>IFERROR((IF(ISNUMBER(SEARCH("Black mass",Input!$D$28)),Input!$F$28,0)*'Preproc. Par.'!C25+IF(ISNUMBER(SEARCH("Black mass",Input!$D$29)),Input!$F$29,0)*'Preproc. Par.'!G25+IF(ISNUMBER(SEARCH("Black mass",Input!$D$30)),Input!$F$30,0)*'Preproc. Par.'!K25+IF(ISNUMBER(SEARCH("Black mass",Input!$D$31)),Input!$F$31,0)*'Preproc. Par.'!O25+IF(ISNUMBER(SEARCH("Black mass",Input!$D$32)),Input!$F$32,0)*'Preproc. Par.'!S25)/(IF(ISNUMBER(SEARCH("Black mass",Input!$D$28)),Input!$F$28,0)+IF(ISNUMBER(SEARCH("Black mass",Input!$D$29)),Input!$F$29,0)+IF(ISNUMBER(SEARCH("Black mass",Input!$D$30)),Input!$F$30,0)+IF(ISNUMBER(SEARCH("Black mass",Input!$D$31)),Input!$F$31,0)+IF(ISNUMBER(SEARCH("Black mass",Input!$D$32)),Input!$F$32,0)),0)</f>
        <v>3.9270255324375591E-4</v>
      </c>
      <c r="D23"/>
      <c r="E23"/>
      <c r="F23"/>
      <c r="BB23" s="147" t="s">
        <v>593</v>
      </c>
      <c r="BC23" s="618">
        <f t="shared" si="0"/>
        <v>10</v>
      </c>
      <c r="BD23" s="111">
        <v>10</v>
      </c>
      <c r="BE23" s="231"/>
      <c r="CB23" s="147" t="s">
        <v>593</v>
      </c>
      <c r="CC23" s="618">
        <f t="shared" si="1"/>
        <v>10</v>
      </c>
      <c r="CD23" s="111">
        <v>10</v>
      </c>
      <c r="CE23" s="231"/>
      <c r="DB23" s="147" t="s">
        <v>593</v>
      </c>
      <c r="DC23" s="618">
        <f t="shared" si="2"/>
        <v>10</v>
      </c>
      <c r="DD23" s="111">
        <v>10</v>
      </c>
      <c r="DE23" s="231"/>
      <c r="EB23" s="147" t="s">
        <v>492</v>
      </c>
      <c r="EC23" s="248">
        <f t="shared" si="3"/>
        <v>320</v>
      </c>
      <c r="ED23" s="111">
        <v>320</v>
      </c>
      <c r="EE23" s="231"/>
    </row>
    <row r="24" spans="2:135">
      <c r="B24" s="1634" t="s">
        <v>41</v>
      </c>
      <c r="C24" s="1574">
        <f>IFERROR((IF(ISNUMBER(SEARCH("Black mass",Input!$D$28)),Input!$F$28,0)*'Preproc. Par.'!C26+IF(ISNUMBER(SEARCH("Black mass",Input!$D$29)),Input!$F$29,0)*'Preproc. Par.'!G26+IF(ISNUMBER(SEARCH("Black mass",Input!$D$30)),Input!$F$30,0)*'Preproc. Par.'!K26+IF(ISNUMBER(SEARCH("Black mass",Input!$D$31)),Input!$F$31,0)*'Preproc. Par.'!O26+IF(ISNUMBER(SEARCH("Black mass",Input!$D$32)),Input!$F$32,0)*'Preproc. Par.'!S26)/(IF(ISNUMBER(SEARCH("Black mass",Input!$D$28)),Input!$F$28,0)+IF(ISNUMBER(SEARCH("Black mass",Input!$D$29)),Input!$F$29,0)+IF(ISNUMBER(SEARCH("Black mass",Input!$D$30)),Input!$F$30,0)+IF(ISNUMBER(SEARCH("Black mass",Input!$D$31)),Input!$F$31,0)+IF(ISNUMBER(SEARCH("Black mass",Input!$D$32)),Input!$F$32,0)),0)</f>
        <v>1.0357692356299445E-2</v>
      </c>
      <c r="D24"/>
      <c r="E24"/>
      <c r="F24"/>
      <c r="BB24" s="147" t="s">
        <v>594</v>
      </c>
      <c r="BC24" s="619">
        <f>IF(BE24&gt;0,BE24,BD24)</f>
        <v>15000</v>
      </c>
      <c r="BD24" s="252">
        <f>ROUNDUP(BD25*1.5,-3)</f>
        <v>15000</v>
      </c>
      <c r="BE24" s="231">
        <v>15000</v>
      </c>
      <c r="CB24" s="147" t="s">
        <v>594</v>
      </c>
      <c r="CC24" s="619">
        <f t="shared" si="1"/>
        <v>15000</v>
      </c>
      <c r="CD24" s="252">
        <f>ROUNDUP(CD25*1.5,-3)</f>
        <v>15000</v>
      </c>
      <c r="CE24" s="231">
        <v>15000</v>
      </c>
      <c r="DB24" s="147" t="s">
        <v>594</v>
      </c>
      <c r="DC24" s="619">
        <f t="shared" si="2"/>
        <v>15000</v>
      </c>
      <c r="DD24" s="252">
        <f>ROUNDUP(DD25*1.5,-3)</f>
        <v>15000</v>
      </c>
      <c r="DE24" s="231">
        <v>15000</v>
      </c>
      <c r="EB24" s="147" t="s">
        <v>593</v>
      </c>
      <c r="EC24" s="248">
        <f t="shared" si="3"/>
        <v>10</v>
      </c>
      <c r="ED24" s="111">
        <v>10</v>
      </c>
      <c r="EE24" s="231"/>
    </row>
    <row r="25" spans="2:135">
      <c r="B25" s="1634" t="s">
        <v>398</v>
      </c>
      <c r="C25" s="1574">
        <f>IFERROR((IF(ISNUMBER(SEARCH("Black mass",Input!$D$28)),Input!$F$28,0)*'Preproc. Par.'!C27+IF(ISNUMBER(SEARCH("Black mass",Input!$D$29)),Input!$F$29,0)*'Preproc. Par.'!G27+IF(ISNUMBER(SEARCH("Black mass",Input!$D$30)),Input!$F$30,0)*'Preproc. Par.'!K27+IF(ISNUMBER(SEARCH("Black mass",Input!$D$31)),Input!$F$31,0)*'Preproc. Par.'!O27+IF(ISNUMBER(SEARCH("Black mass",Input!$D$32)),Input!$F$32,0)*'Preproc. Par.'!S27)/(IF(ISNUMBER(SEARCH("Black mass",Input!$D$28)),Input!$F$28,0)+IF(ISNUMBER(SEARCH("Black mass",Input!$D$29)),Input!$F$29,0)+IF(ISNUMBER(SEARCH("Black mass",Input!$D$30)),Input!$F$30,0)+IF(ISNUMBER(SEARCH("Black mass",Input!$D$31)),Input!$F$31,0)+IF(ISNUMBER(SEARCH("Black mass",Input!$D$32)),Input!$F$32,0)),0)</f>
        <v>6.7336022271171888E-3</v>
      </c>
      <c r="D25"/>
      <c r="E25"/>
      <c r="F25"/>
      <c r="BB25" s="1337" t="s">
        <v>595</v>
      </c>
      <c r="BC25" s="1565">
        <f t="shared" si="0"/>
        <v>10000</v>
      </c>
      <c r="BD25" s="1566">
        <f>SUM(BC11:BC15)</f>
        <v>10000</v>
      </c>
      <c r="BE25" s="151">
        <v>10000</v>
      </c>
      <c r="CB25" s="1337" t="s">
        <v>595</v>
      </c>
      <c r="CC25" s="1565">
        <f t="shared" si="1"/>
        <v>10000</v>
      </c>
      <c r="CD25" s="1566">
        <f>SUM(CC11:CC15)</f>
        <v>10000</v>
      </c>
      <c r="CE25" s="151">
        <v>10000</v>
      </c>
      <c r="CF25" s="115"/>
      <c r="DB25" s="1337" t="s">
        <v>595</v>
      </c>
      <c r="DC25" s="1565">
        <f t="shared" si="2"/>
        <v>10000</v>
      </c>
      <c r="DD25" s="1566">
        <f>SUM(DC11:DC15)</f>
        <v>10000</v>
      </c>
      <c r="DE25" s="151">
        <v>10000</v>
      </c>
      <c r="EB25" s="147" t="s">
        <v>594</v>
      </c>
      <c r="EC25" s="251">
        <f t="shared" si="3"/>
        <v>15000</v>
      </c>
      <c r="ED25" s="252">
        <f>ROUNDUP(ED26*1.5,-3)</f>
        <v>15000</v>
      </c>
      <c r="EE25" s="231">
        <v>15000</v>
      </c>
    </row>
    <row r="26" spans="2:135">
      <c r="B26" s="1634" t="s">
        <v>439</v>
      </c>
      <c r="C26" s="1574">
        <f>IFERROR((IF(ISNUMBER(SEARCH("Black mass",Input!$D$28)),Input!$F$28,0)*'Preproc. Par.'!C34+IF(ISNUMBER(SEARCH("Black mass",Input!$D$29)),Input!$F$29,0)*'Preproc. Par.'!G34+IF(ISNUMBER(SEARCH("Black mass",Input!$D$30)),Input!$F$30,0)*'Preproc. Par.'!K34+IF(ISNUMBER(SEARCH("Black mass",Input!$D$31)),Input!$F$31,0)*'Preproc. Par.'!O34+IF(ISNUMBER(SEARCH("Black mass",Input!$D$32)),Input!$F$32,0)*'Preproc. Par.'!S34)/(IF(ISNUMBER(SEARCH("Black mass",Input!$D$28)),Input!$F$28,0)+IF(ISNUMBER(SEARCH("Black mass",Input!$D$29)),Input!$F$29,0)+IF(ISNUMBER(SEARCH("Black mass",Input!$D$30)),Input!$F$30,0)+IF(ISNUMBER(SEARCH("Black mass",Input!$D$31)),Input!$F$31,0)+IF(ISNUMBER(SEARCH("Black mass",Input!$D$32)),Input!$F$32,0)),0)</f>
        <v>0</v>
      </c>
      <c r="D26"/>
      <c r="E26"/>
      <c r="F26"/>
      <c r="BB26"/>
      <c r="BC26"/>
      <c r="BD26"/>
      <c r="BE26"/>
      <c r="CB26"/>
      <c r="CC26"/>
      <c r="CD26"/>
      <c r="CE26"/>
      <c r="DB26"/>
      <c r="DC26"/>
      <c r="DD26"/>
      <c r="DE26"/>
      <c r="EB26" s="1337" t="s">
        <v>595</v>
      </c>
      <c r="EC26" s="1651">
        <f t="shared" si="3"/>
        <v>10000</v>
      </c>
      <c r="ED26" s="1566">
        <f>SUM(EC11:EC15)</f>
        <v>10000</v>
      </c>
      <c r="EE26" s="151">
        <v>10000</v>
      </c>
    </row>
    <row r="27" spans="2:135">
      <c r="B27" s="1634" t="s">
        <v>57</v>
      </c>
      <c r="C27" s="1574">
        <f>IFERROR((IF(ISNUMBER(SEARCH("Black mass",Input!$D$28)),Input!$F$28,0)*'Preproc. Par.'!C28+IF(ISNUMBER(SEARCH("Black mass",Input!$D$29)),Input!$F$29,0)*'Preproc. Par.'!G28+IF(ISNUMBER(SEARCH("Black mass",Input!$D$30)),Input!$F$30,0)*'Preproc. Par.'!K28+IF(ISNUMBER(SEARCH("Black mass",Input!$D$31)),Input!$F$31,0)*'Preproc. Par.'!O28+IF(ISNUMBER(SEARCH("Black mass",Input!$D$32)),Input!$F$32,0)*'Preproc. Par.'!S28)/(IF(ISNUMBER(SEARCH("Black mass",Input!$D$28)),Input!$F$28,0)+IF(ISNUMBER(SEARCH("Black mass",Input!$D$29)),Input!$F$29,0)+IF(ISNUMBER(SEARCH("Black mass",Input!$D$30)),Input!$F$30,0)+IF(ISNUMBER(SEARCH("Black mass",Input!$D$31)),Input!$F$31,0)+IF(ISNUMBER(SEARCH("Black mass",Input!$D$32)),Input!$F$32,0)),0)</f>
        <v>0</v>
      </c>
      <c r="D27"/>
      <c r="E27"/>
      <c r="F27"/>
      <c r="BB27" s="133" t="s">
        <v>1905</v>
      </c>
      <c r="CB27" s="133" t="s">
        <v>1905</v>
      </c>
      <c r="CD27"/>
      <c r="CE27"/>
      <c r="DB27" s="133" t="s">
        <v>1905</v>
      </c>
    </row>
    <row r="28" spans="2:135">
      <c r="B28" s="1634" t="s">
        <v>1906</v>
      </c>
      <c r="C28" s="1574">
        <f>IFERROR((IF(ISNUMBER(SEARCH("Black mass",Input!$D$28)),Input!$F$28,0)*('Preproc. Par.'!C29+'Preproc. Par.'!C30)+IF(ISNUMBER(SEARCH("Black mass",Input!$D$29)),Input!$F$29,0)*('Preproc. Par.'!G29+'Preproc. Par.'!G30)+IF(ISNUMBER(SEARCH("Black mass",Input!$D$30)),Input!$F$30,0)*('Preproc. Par.'!K29+'Preproc. Par.'!K30)+IF(ISNUMBER(SEARCH("Black mass",Input!$D$31)),Input!$F$31,0)*('Preproc. Par.'!O29+'Preproc. Par.'!O30)+IF(ISNUMBER(SEARCH("Black mass",Input!$D$32)),Input!$F$32,0)*('Preproc. Par.'!S29+'Preproc. Par.'!S30))/(IF(ISNUMBER(SEARCH("Black mass",Input!$D$28)),Input!$F$28,0)+IF(ISNUMBER(SEARCH("Black mass",Input!$D$29)),Input!$F$29,0)+IF(ISNUMBER(SEARCH("Black mass",Input!$D$30)),Input!$F$30,0)+IF(ISNUMBER(SEARCH("Black mass",Input!$D$31)),Input!$F$31,0)+IF(ISNUMBER(SEARCH("Black mass",Input!$D$32)),Input!$F$32,0)),0)</f>
        <v>0</v>
      </c>
      <c r="D28"/>
      <c r="E28"/>
      <c r="F28"/>
      <c r="BB28" s="1636" t="s">
        <v>42</v>
      </c>
      <c r="BC28" s="1574">
        <f>IF(BC$8="No preprocessing",IF('Preproc. Par.'!$B$21=BB28,'Preproc. Par.'!$C$21*BD$11,0)+IF('Preproc. Par.'!$F$21=BB28,'Preproc. Par.'!$G$21*BD$12,0)+IF('Preproc. Par.'!$J$21=BB28,'Preproc. Par.'!$K$21*BD$13,0)+IF('Preproc. Par.'!$N$21=BB28,'Preproc. Par.'!$O$21*BD$14,0)+IF('Preproc. Par.'!$R$21=BB28,'Preproc. Par.'!$S$21*BD$15,0),IF(BC$8="Generic",'Preproc. Par.'!$AC117*BD$11+$C12*BD$12,'Preproc. Par.'!$BC117*BD$11+$C12*BD$12))</f>
        <v>0</v>
      </c>
      <c r="CB28" s="1636" t="s">
        <v>42</v>
      </c>
      <c r="CC28" s="1574">
        <f>IF(CC$8="No preprocessing",IF('Preproc. Par.'!$B$21=CB28,'Preproc. Par.'!$C$21*CD$11,0)+IF('Preproc. Par.'!$F$21=CB28,'Preproc. Par.'!$G$21*CD$12,0)+IF('Preproc. Par.'!$J$21=CB28,'Preproc. Par.'!$K$21*CD$13,0)+IF('Preproc. Par.'!$N$21=CB28,'Preproc. Par.'!$O$21*CD$14,0)+IF('Preproc. Par.'!$R$21=CB28,'Preproc. Par.'!$S$21*CD$15,0),IF(CC$8="Generic",'Preproc. Par.'!$AC117*CD$11+$C12*CD$12,'Preproc. Par.'!$BC117*CD$11+$C12*CD$12))</f>
        <v>0</v>
      </c>
      <c r="CD28"/>
      <c r="CE28"/>
      <c r="DB28" s="1636" t="s">
        <v>42</v>
      </c>
      <c r="DC28" s="1574">
        <f>IF(DC$8="No preprocessing",IF('Preproc. Par.'!$B$21=DB28,'Preproc. Par.'!$C$21*DD$11,0)+IF('Preproc. Par.'!$F$21=DB28,'Preproc. Par.'!$G$21*DD$12,0)+IF('Preproc. Par.'!$J$21=DB28,'Preproc. Par.'!$K$21*DD$13,0)+IF('Preproc. Par.'!$N$21=DB28,'Preproc. Par.'!$O$21*DD$14,0)+IF('Preproc. Par.'!$R$21=DB28,'Preproc. Par.'!$S$21*DD$15,0),IF(DC$8="Generic",'Preproc. Par.'!$AC117*DD$11+$C12*DD$12,'Preproc. Par.'!$BC117*DD$11+$C12*DD$12))</f>
        <v>0</v>
      </c>
      <c r="EB28" s="133" t="s">
        <v>1905</v>
      </c>
    </row>
    <row r="29" spans="2:135">
      <c r="B29" s="1635" t="s">
        <v>298</v>
      </c>
      <c r="C29" s="1637">
        <f>IFERROR((IF(ISNUMBER(SEARCH("Black mass",Input!$D$28)),Input!$F$28,0)*SUM('Preproc. Par.'!C31:C33)+IF(ISNUMBER(SEARCH("Black mass",Input!$D$29)),Input!$F$29,0)*SUM('Preproc. Par.'!G31:G33)+IF(ISNUMBER(SEARCH("Black mass",Input!$D$30)),Input!$F$30,0)*SUM('Preproc. Par.'!K31:K33)+IF(ISNUMBER(SEARCH("Black mass",Input!$D$31)),Input!$F$31,0)*SUM('Preproc. Par.'!O31:O33)+IF(ISNUMBER(SEARCH("Black mass",Input!$D$32)),Input!$F$32,0)*SUM('Preproc. Par.'!S31:S33))/(IF(ISNUMBER(SEARCH("Black mass",Input!$D$28)),Input!$F$28,0)+IF(ISNUMBER(SEARCH("Black mass",Input!$D$29)),Input!$F$29,0)+IF(ISNUMBER(SEARCH("Black mass",Input!$D$30)),Input!$F$30,0)+IF(ISNUMBER(SEARCH("Black mass",Input!$D$31)),Input!$F$31,0)+IF(ISNUMBER(SEARCH("Black mass",Input!$D$32)),Input!$F$32,0)),0)</f>
        <v>0</v>
      </c>
      <c r="D29"/>
      <c r="E29"/>
      <c r="F29"/>
      <c r="BB29" s="1633" t="s">
        <v>1029</v>
      </c>
      <c r="BC29" s="1574">
        <f>IF(BC$8="No preprocessing",IF('Preproc. Par.'!$B$21=BB29,'Preproc. Par.'!$C$21*BD$11,0)+IF('Preproc. Par.'!$F$21=BB29,'Preproc. Par.'!$G$21*BD$12,0)+IF('Preproc. Par.'!$J$21=BB29,'Preproc. Par.'!$K$21*BD$13,0)+IF('Preproc. Par.'!$N$21=BB29,'Preproc. Par.'!$O$21*BD$14,0)+IF('Preproc. Par.'!$R$21=BB29,'Preproc. Par.'!$S$21*BD$15,0),IF(BC$8="Generic",'Preproc. Par.'!$AC118*BD$11+$C13*BD$12,'Preproc. Par.'!$BC118*BD$11+$C13*BD$12))</f>
        <v>0</v>
      </c>
      <c r="CB29" s="1633" t="s">
        <v>1029</v>
      </c>
      <c r="CC29" s="1574">
        <f>IF(CC$8="No preprocessing",IF('Preproc. Par.'!$B$21=CB29,'Preproc. Par.'!$C$21*CD$11,0)+IF('Preproc. Par.'!$F$21=CB29,'Preproc. Par.'!$G$21*CD$12,0)+IF('Preproc. Par.'!$J$21=CB29,'Preproc. Par.'!$K$21*CD$13,0)+IF('Preproc. Par.'!$N$21=CB29,'Preproc. Par.'!$O$21*CD$14,0)+IF('Preproc. Par.'!$R$21=CB29,'Preproc. Par.'!$S$21*CD$15,0),IF(CC$8="Generic",'Preproc. Par.'!$AC118*CD$11+$C13*CD$12,'Preproc. Par.'!$BC118*CD$11+$C13*CD$12))</f>
        <v>0</v>
      </c>
      <c r="CD29"/>
      <c r="CE29"/>
      <c r="DB29" s="1633" t="s">
        <v>1029</v>
      </c>
      <c r="DC29" s="1574">
        <f>IF(DC$8="No preprocessing",IF('Preproc. Par.'!$B$21=DB29,'Preproc. Par.'!$C$21*DD$11,0)+IF('Preproc. Par.'!$F$21=DB29,'Preproc. Par.'!$G$21*DD$12,0)+IF('Preproc. Par.'!$J$21=DB29,'Preproc. Par.'!$K$21*DD$13,0)+IF('Preproc. Par.'!$N$21=DB29,'Preproc. Par.'!$O$21*DD$14,0)+IF('Preproc. Par.'!$R$21=DB29,'Preproc. Par.'!$S$21*DD$15,0),IF(DC$8="Generic",'Preproc. Par.'!$AC118*DD$11+$C13*DD$12,'Preproc. Par.'!$BC118*DD$11+$C13*DD$12))</f>
        <v>0</v>
      </c>
      <c r="EB29" s="1636" t="s">
        <v>42</v>
      </c>
      <c r="EC29" s="1574">
        <f>IF(EC$8="No preprocessing",IF('Preproc. Par.'!$B$21=EB29,'Preproc. Par.'!$C$21*ED$11,0)+IF('Preproc. Par.'!$F$21=EB29,'Preproc. Par.'!$G$21*ED$12,0)+IF('Preproc. Par.'!$J$21=EB29,'Preproc. Par.'!$K$21*ED$13,0)+IF('Preproc. Par.'!$N$21=EB29,'Preproc. Par.'!$O$21*ED$14,0)+IF('Preproc. Par.'!$R$21=EB29,'Preproc. Par.'!$S$21*ED$15,0),IF(EC$8="Generic",'Preproc. Par.'!$AC117*ED$11+$C12*ED$12,'Preproc. Par.'!$BC117*ED$11+$C12*ED$12))</f>
        <v>0</v>
      </c>
    </row>
    <row r="30" spans="2:135">
      <c r="B30"/>
      <c r="C30"/>
      <c r="D30"/>
      <c r="E30"/>
      <c r="F30"/>
      <c r="BB30" s="1633" t="s">
        <v>1540</v>
      </c>
      <c r="BC30" s="1574">
        <f>IF(BC$8="No preprocessing",IF('Preproc. Par.'!$B$21=BB30,'Preproc. Par.'!$C$21*BD$11,0)+IF('Preproc. Par.'!$F$21=BB30,'Preproc. Par.'!$G$21*BD$12,0)+IF('Preproc. Par.'!$J$21=BB30,'Preproc. Par.'!$K$21*BD$13,0)+IF('Preproc. Par.'!$N$21=BB30,'Preproc. Par.'!$O$21*BD$14,0)+IF('Preproc. Par.'!$R$21=BB30,'Preproc. Par.'!$S$21*BD$15,0),IF(BC$8="Generic",'Preproc. Par.'!$AC119*BD$11+$C14*BD$12,'Preproc. Par.'!$BC119*BD$11+$C14*BD$12))</f>
        <v>0</v>
      </c>
      <c r="CB30" s="1633" t="s">
        <v>1540</v>
      </c>
      <c r="CC30" s="1574">
        <f>IF(CC$8="No preprocessing",IF('Preproc. Par.'!$B$21=CB30,'Preproc. Par.'!$C$21*CD$11,0)+IF('Preproc. Par.'!$F$21=CB30,'Preproc. Par.'!$G$21*CD$12,0)+IF('Preproc. Par.'!$J$21=CB30,'Preproc. Par.'!$K$21*CD$13,0)+IF('Preproc. Par.'!$N$21=CB30,'Preproc. Par.'!$O$21*CD$14,0)+IF('Preproc. Par.'!$R$21=CB30,'Preproc. Par.'!$S$21*CD$15,0),IF(CC$8="Generic",'Preproc. Par.'!$AC119*CD$11+$C14*CD$12,'Preproc. Par.'!$BC119*CD$11+$C14*CD$12))</f>
        <v>0</v>
      </c>
      <c r="CD30"/>
      <c r="CE30"/>
      <c r="DB30" s="1633" t="s">
        <v>1540</v>
      </c>
      <c r="DC30" s="1574">
        <f>IF(DC$8="No preprocessing",IF('Preproc. Par.'!$B$21=DB30,'Preproc. Par.'!$C$21*DD$11,0)+IF('Preproc. Par.'!$F$21=DB30,'Preproc. Par.'!$G$21*DD$12,0)+IF('Preproc. Par.'!$J$21=DB30,'Preproc. Par.'!$K$21*DD$13,0)+IF('Preproc. Par.'!$N$21=DB30,'Preproc. Par.'!$O$21*DD$14,0)+IF('Preproc. Par.'!$R$21=DB30,'Preproc. Par.'!$S$21*DD$15,0),IF(DC$8="Generic",'Preproc. Par.'!$AC119*DD$11+$C14*DD$12,'Preproc. Par.'!$BC119*DD$11+$C14*DD$12))</f>
        <v>0</v>
      </c>
      <c r="EB30" s="1633" t="s">
        <v>1029</v>
      </c>
      <c r="EC30" s="1574">
        <f>IF(EC$8="No preprocessing",IF('Preproc. Par.'!$B$21=EB30,'Preproc. Par.'!$C$21*ED$11,0)+IF('Preproc. Par.'!$F$21=EB30,'Preproc. Par.'!$G$21*ED$12,0)+IF('Preproc. Par.'!$J$21=EB30,'Preproc. Par.'!$K$21*ED$13,0)+IF('Preproc. Par.'!$N$21=EB30,'Preproc. Par.'!$O$21*ED$14,0)+IF('Preproc. Par.'!$R$21=EB30,'Preproc. Par.'!$S$21*ED$15,0),IF(EC$8="Generic",'Preproc. Par.'!$AC118*ED$11+$C13*ED$12,'Preproc. Par.'!$BC118*ED$11+$C13*ED$12))</f>
        <v>0</v>
      </c>
    </row>
    <row r="31" spans="2:135">
      <c r="B31" s="133" t="s">
        <v>1396</v>
      </c>
      <c r="F31"/>
      <c r="BB31" s="1634" t="s">
        <v>1972</v>
      </c>
      <c r="BC31" s="1574">
        <f>IF(BC$8="No preprocessing",IF('Preproc. Par.'!$B$21=BB31,'Preproc. Par.'!$C$21*BD$11,0)+IF('Preproc. Par.'!$F$21=BB31,'Preproc. Par.'!$G$21*BD$12,0)+IF('Preproc. Par.'!$J$21=BB31,'Preproc. Par.'!$K$21*BD$13,0)+IF('Preproc. Par.'!$N$21=BB31,'Preproc. Par.'!$O$21*BD$14,0)+IF('Preproc. Par.'!$R$21=BB31,'Preproc. Par.'!$S$21*BD$15,0),IF(BC$8="Generic",'Preproc. Par.'!$AC120*BD$11+$C15*BD$12,'Preproc. Par.'!$BC120*BD$11+$C15*BD$12))</f>
        <v>0.60399999999999998</v>
      </c>
      <c r="CB31" s="1634" t="s">
        <v>667</v>
      </c>
      <c r="CC31" s="1574">
        <f>IF(CC$8="No preprocessing",IF('Preproc. Par.'!$B$21=CB31,'Preproc. Par.'!$C$21*CD$11,0)+IF('Preproc. Par.'!$F$21=CB31,'Preproc. Par.'!$G$21*CD$12,0)+IF('Preproc. Par.'!$J$21=CB31,'Preproc. Par.'!$K$21*CD$13,0)+IF('Preproc. Par.'!$N$21=CB31,'Preproc. Par.'!$O$21*CD$14,0)+IF('Preproc. Par.'!$R$21=CB31,'Preproc. Par.'!$S$21*CD$15,0),IF(CC$8="Generic",'Preproc. Par.'!$AC120*CD$11+$C15*CD$12,'Preproc. Par.'!$BC120*CD$11+$C15*CD$12))</f>
        <v>0.60399999999999998</v>
      </c>
      <c r="CD31"/>
      <c r="CE31"/>
      <c r="DB31" s="1634" t="s">
        <v>667</v>
      </c>
      <c r="DC31" s="1574">
        <f>IF(DC$8="No preprocessing",IF('Preproc. Par.'!$B$21=DB31,'Preproc. Par.'!$C$21*DD$11,0)+IF('Preproc. Par.'!$F$21=DB31,'Preproc. Par.'!$G$21*DD$12,0)+IF('Preproc. Par.'!$J$21=DB31,'Preproc. Par.'!$K$21*DD$13,0)+IF('Preproc. Par.'!$N$21=DB31,'Preproc. Par.'!$O$21*DD$14,0)+IF('Preproc. Par.'!$R$21=DB31,'Preproc. Par.'!$S$21*DD$15,0),IF(DC$8="Generic",'Preproc. Par.'!$AC120*DD$11+$C15*DD$12,'Preproc. Par.'!$BC120*DD$11+$C15*DD$12))</f>
        <v>0.60399999999999998</v>
      </c>
      <c r="EB31" s="1633" t="s">
        <v>1540</v>
      </c>
      <c r="EC31" s="1574">
        <f>IF(EC$8="No preprocessing",IF('Preproc. Par.'!$B$21=EB31,'Preproc. Par.'!$C$21*ED$11,0)+IF('Preproc. Par.'!$F$21=EB31,'Preproc. Par.'!$G$21*ED$12,0)+IF('Preproc. Par.'!$J$21=EB31,'Preproc. Par.'!$K$21*ED$13,0)+IF('Preproc. Par.'!$N$21=EB31,'Preproc. Par.'!$O$21*ED$14,0)+IF('Preproc. Par.'!$R$21=EB31,'Preproc. Par.'!$S$21*ED$15,0),IF(EC$8="Generic",'Preproc. Par.'!$AC119*ED$11+$C14*ED$12,'Preproc. Par.'!$BC119*ED$11+$C14*ED$12))</f>
        <v>0</v>
      </c>
    </row>
    <row r="32" spans="2:135">
      <c r="B32" s="143"/>
      <c r="C32" s="144" t="s">
        <v>51</v>
      </c>
      <c r="D32" s="144" t="s">
        <v>63</v>
      </c>
      <c r="E32" s="146" t="s">
        <v>52</v>
      </c>
      <c r="F32"/>
      <c r="BB32" s="1634" t="s">
        <v>669</v>
      </c>
      <c r="BC32" s="1574">
        <f>IF(BC$8="No preprocessing",IF('Preproc. Par.'!$B$21=BB32,'Preproc. Par.'!$C$21*BD$11,0)+IF('Preproc. Par.'!$F$21=BB32,'Preproc. Par.'!$G$21*BD$12,0)+IF('Preproc. Par.'!$J$21=BB32,'Preproc. Par.'!$K$21*BD$13,0)+IF('Preproc. Par.'!$N$21=BB32,'Preproc. Par.'!$O$21*BD$14,0)+IF('Preproc. Par.'!$R$21=BB32,'Preproc. Par.'!$S$21*BD$15,0),IF(BC$8="Generic",'Preproc. Par.'!$AC121*BD$11+$C16*BD$12,'Preproc. Par.'!$BC121*BD$11+$C16*BD$12))</f>
        <v>0</v>
      </c>
      <c r="CB32" s="1634" t="s">
        <v>669</v>
      </c>
      <c r="CC32" s="1574">
        <f>IF(CC$8="No preprocessing",IF('Preproc. Par.'!$B$21=CB32,'Preproc. Par.'!$C$21*CD$11,0)+IF('Preproc. Par.'!$F$21=CB32,'Preproc. Par.'!$G$21*CD$12,0)+IF('Preproc. Par.'!$J$21=CB32,'Preproc. Par.'!$K$21*CD$13,0)+IF('Preproc. Par.'!$N$21=CB32,'Preproc. Par.'!$O$21*CD$14,0)+IF('Preproc. Par.'!$R$21=CB32,'Preproc. Par.'!$S$21*CD$15,0),IF(CC$8="Generic",'Preproc. Par.'!$AC121*CD$11+$C16*CD$12,'Preproc. Par.'!$BC121*CD$11+$C16*CD$12))</f>
        <v>0</v>
      </c>
      <c r="CD32"/>
      <c r="CE32"/>
      <c r="DB32" s="1634" t="s">
        <v>669</v>
      </c>
      <c r="DC32" s="1574">
        <f>IF(DC$8="No preprocessing",IF('Preproc. Par.'!$B$21=DB32,'Preproc. Par.'!$C$21*DD$11,0)+IF('Preproc. Par.'!$F$21=DB32,'Preproc. Par.'!$G$21*DD$12,0)+IF('Preproc. Par.'!$J$21=DB32,'Preproc. Par.'!$K$21*DD$13,0)+IF('Preproc. Par.'!$N$21=DB32,'Preproc. Par.'!$O$21*DD$14,0)+IF('Preproc. Par.'!$R$21=DB32,'Preproc. Par.'!$S$21*DD$15,0),IF(DC$8="Generic",'Preproc. Par.'!$AC121*DD$11+$C16*DD$12,'Preproc. Par.'!$BC121*DD$11+$C16*DD$12))</f>
        <v>0</v>
      </c>
      <c r="EB32" s="1634" t="s">
        <v>667</v>
      </c>
      <c r="EC32" s="1574">
        <f>IF(EC$8="No preprocessing",IF('Preproc. Par.'!$B$21=EB32,'Preproc. Par.'!$C$21*ED$11,0)+IF('Preproc. Par.'!$F$21=EB32,'Preproc. Par.'!$G$21*ED$12,0)+IF('Preproc. Par.'!$J$21=EB32,'Preproc. Par.'!$K$21*ED$13,0)+IF('Preproc. Par.'!$N$21=EB32,'Preproc. Par.'!$O$21*ED$14,0)+IF('Preproc. Par.'!$R$21=EB32,'Preproc. Par.'!$S$21*ED$15,0),IF(EC$8="Generic",'Preproc. Par.'!$AC120*ED$11+$C15*ED$12,'Preproc. Par.'!$BC120*ED$11+$C15*ED$12))</f>
        <v>0.60399999999999998</v>
      </c>
    </row>
    <row r="33" spans="2:133">
      <c r="B33" s="167" t="s">
        <v>398</v>
      </c>
      <c r="C33" s="612">
        <f t="shared" ref="C33:C39" si="4">IF(E33&gt;0,E33,D33)</f>
        <v>1.1174777856</v>
      </c>
      <c r="D33" s="256">
        <v>1.1174777856</v>
      </c>
      <c r="E33" s="257">
        <f>IF(ISBLANK(Materials!D84),0, Materials!D84)</f>
        <v>0</v>
      </c>
      <c r="F33"/>
      <c r="BB33" s="1634" t="s">
        <v>73</v>
      </c>
      <c r="BC33" s="1574">
        <f>IF(BC$8="No preprocessing",IF('Preproc. Par.'!$B$21=BB33,'Preproc. Par.'!$C$21*BD$11,0)+IF('Preproc. Par.'!$F$21=BB33,'Preproc. Par.'!$G$21*BD$12,0)+IF('Preproc. Par.'!$J$21=BB33,'Preproc. Par.'!$K$21*BD$13,0)+IF('Preproc. Par.'!$N$21=BB33,'Preproc. Par.'!$O$21*BD$14,0)+IF('Preproc. Par.'!$R$21=BB33,'Preproc. Par.'!$S$21*BD$15,0),IF(BC$8="Generic",'Preproc. Par.'!$AC122*BD$11+$C17*BD$12,'Preproc. Par.'!$BC122*BD$11+$C17*BD$12))</f>
        <v>0</v>
      </c>
      <c r="CB33" s="1634" t="s">
        <v>73</v>
      </c>
      <c r="CC33" s="1574">
        <f>IF(CC$8="No preprocessing",IF('Preproc. Par.'!$B$21=CB33,'Preproc. Par.'!$C$21*CD$11,0)+IF('Preproc. Par.'!$F$21=CB33,'Preproc. Par.'!$G$21*CD$12,0)+IF('Preproc. Par.'!$J$21=CB33,'Preproc. Par.'!$K$21*CD$13,0)+IF('Preproc. Par.'!$N$21=CB33,'Preproc. Par.'!$O$21*CD$14,0)+IF('Preproc. Par.'!$R$21=CB33,'Preproc. Par.'!$S$21*CD$15,0),IF(CC$8="Generic",'Preproc. Par.'!$AC122*CD$11+$C17*CD$12,'Preproc. Par.'!$BC122*CD$11+$C17*CD$12))</f>
        <v>0</v>
      </c>
      <c r="CD33"/>
      <c r="CE33"/>
      <c r="DB33" s="1634" t="s">
        <v>73</v>
      </c>
      <c r="DC33" s="1574">
        <f>IF(DC$8="No preprocessing",IF('Preproc. Par.'!$B$21=DB33,'Preproc. Par.'!$C$21*DD$11,0)+IF('Preproc. Par.'!$F$21=DB33,'Preproc. Par.'!$G$21*DD$12,0)+IF('Preproc. Par.'!$J$21=DB33,'Preproc. Par.'!$K$21*DD$13,0)+IF('Preproc. Par.'!$N$21=DB33,'Preproc. Par.'!$O$21*DD$14,0)+IF('Preproc. Par.'!$R$21=DB33,'Preproc. Par.'!$S$21*DD$15,0),IF(DC$8="Generic",'Preproc. Par.'!$AC122*DD$11+$C17*DD$12,'Preproc. Par.'!$BC122*DD$11+$C17*DD$12))</f>
        <v>0</v>
      </c>
      <c r="EB33" s="1634" t="s">
        <v>669</v>
      </c>
      <c r="EC33" s="1574">
        <f>IF(EC$8="No preprocessing",IF('Preproc. Par.'!$B$21=EB33,'Preproc. Par.'!$C$21*ED$11,0)+IF('Preproc. Par.'!$F$21=EB33,'Preproc. Par.'!$G$21*ED$12,0)+IF('Preproc. Par.'!$J$21=EB33,'Preproc. Par.'!$K$21*ED$13,0)+IF('Preproc. Par.'!$N$21=EB33,'Preproc. Par.'!$O$21*ED$14,0)+IF('Preproc. Par.'!$R$21=EB33,'Preproc. Par.'!$S$21*ED$15,0),IF(EC$8="Generic",'Preproc. Par.'!$AC121*ED$11+$C16*ED$12,'Preproc. Par.'!$BC121*ED$11+$C16*ED$12))</f>
        <v>0</v>
      </c>
    </row>
    <row r="34" spans="2:133">
      <c r="B34" s="147" t="s">
        <v>41</v>
      </c>
      <c r="C34" s="613">
        <f t="shared" si="4"/>
        <v>7.1116191035999989</v>
      </c>
      <c r="D34" s="258">
        <v>7.1116191035999989</v>
      </c>
      <c r="E34" s="257">
        <f>IF(ISBLANK(Materials!D85),0, Materials!D85)</f>
        <v>0</v>
      </c>
      <c r="F34"/>
      <c r="BB34" s="1634" t="s">
        <v>148</v>
      </c>
      <c r="BC34" s="1574">
        <f>IF(BC$8="No preprocessing",IF('Preproc. Par.'!$B$21=BB34,'Preproc. Par.'!$C$21*BD$11,0)+IF('Preproc. Par.'!$F$21=BB34,'Preproc. Par.'!$G$21*BD$12,0)+IF('Preproc. Par.'!$J$21=BB34,'Preproc. Par.'!$K$21*BD$13,0)+IF('Preproc. Par.'!$N$21=BB34,'Preproc. Par.'!$O$21*BD$14,0)+IF('Preproc. Par.'!$R$21=BB34,'Preproc. Par.'!$S$21*BD$15,0),IF(BC$8="Generic",'Preproc. Par.'!$AC123*BD$11+$C18*BD$12,'Preproc. Par.'!$BC123*BD$11+$C18*BD$12))</f>
        <v>0</v>
      </c>
      <c r="CB34" s="1634" t="s">
        <v>148</v>
      </c>
      <c r="CC34" s="1574">
        <f>IF(CC$8="No preprocessing",IF('Preproc. Par.'!$B$21=CB34,'Preproc. Par.'!$C$21*CD$11,0)+IF('Preproc. Par.'!$F$21=CB34,'Preproc. Par.'!$G$21*CD$12,0)+IF('Preproc. Par.'!$J$21=CB34,'Preproc. Par.'!$K$21*CD$13,0)+IF('Preproc. Par.'!$N$21=CB34,'Preproc. Par.'!$O$21*CD$14,0)+IF('Preproc. Par.'!$R$21=CB34,'Preproc. Par.'!$S$21*CD$15,0),IF(CC$8="Generic",'Preproc. Par.'!$AC123*CD$11+$C18*CD$12,'Preproc. Par.'!$BC123*CD$11+$C18*CD$12))</f>
        <v>0</v>
      </c>
      <c r="CD34"/>
      <c r="CE34"/>
      <c r="DB34" s="1634" t="s">
        <v>148</v>
      </c>
      <c r="DC34" s="1574">
        <f>IF(DC$8="No preprocessing",IF('Preproc. Par.'!$B$21=DB34,'Preproc. Par.'!$C$21*DD$11,0)+IF('Preproc. Par.'!$F$21=DB34,'Preproc. Par.'!$G$21*DD$12,0)+IF('Preproc. Par.'!$J$21=DB34,'Preproc. Par.'!$K$21*DD$13,0)+IF('Preproc. Par.'!$N$21=DB34,'Preproc. Par.'!$O$21*DD$14,0)+IF('Preproc. Par.'!$R$21=DB34,'Preproc. Par.'!$S$21*DD$15,0),IF(DC$8="Generic",'Preproc. Par.'!$AC123*DD$11+$C18*DD$12,'Preproc. Par.'!$BC123*DD$11+$C18*DD$12))</f>
        <v>0</v>
      </c>
      <c r="EB34" s="1634" t="s">
        <v>73</v>
      </c>
      <c r="EC34" s="1574">
        <f>IF(EC$8="No preprocessing",IF('Preproc. Par.'!$B$21=EB34,'Preproc. Par.'!$C$21*ED$11,0)+IF('Preproc. Par.'!$F$21=EB34,'Preproc. Par.'!$G$21*ED$12,0)+IF('Preproc. Par.'!$J$21=EB34,'Preproc. Par.'!$K$21*ED$13,0)+IF('Preproc. Par.'!$N$21=EB34,'Preproc. Par.'!$O$21*ED$14,0)+IF('Preproc. Par.'!$R$21=EB34,'Preproc. Par.'!$S$21*ED$15,0),IF(EC$8="Generic",'Preproc. Par.'!$AC122*ED$11+$C17*ED$12,'Preproc. Par.'!$BC122*ED$11+$C17*ED$12))</f>
        <v>0</v>
      </c>
    </row>
    <row r="35" spans="2:133">
      <c r="B35" s="147" t="s">
        <v>439</v>
      </c>
      <c r="C35" s="613">
        <f t="shared" si="4"/>
        <v>0.32719999999999999</v>
      </c>
      <c r="D35" s="258">
        <v>0.32719999999999999</v>
      </c>
      <c r="E35" s="257">
        <f>IF(ISBLANK(Materials!D86),0, Materials!D86)</f>
        <v>0</v>
      </c>
      <c r="F35"/>
      <c r="BB35" s="1634" t="s">
        <v>149</v>
      </c>
      <c r="BC35" s="1574">
        <f>IF(BC$8="No preprocessing",IF('Preproc. Par.'!$B$21=BB35,'Preproc. Par.'!$C$21*BD$11,0)+IF('Preproc. Par.'!$F$21=BB35,'Preproc. Par.'!$G$21*BD$12,0)+IF('Preproc. Par.'!$J$21=BB35,'Preproc. Par.'!$K$21*BD$13,0)+IF('Preproc. Par.'!$N$21=BB35,'Preproc. Par.'!$O$21*BD$14,0)+IF('Preproc. Par.'!$R$21=BB35,'Preproc. Par.'!$S$21*BD$15,0),IF(BC$8="Generic",'Preproc. Par.'!$AC124*BD$11+$C19*BD$12,'Preproc. Par.'!$BC124*BD$11+$C19*BD$12))</f>
        <v>0</v>
      </c>
      <c r="CB35" s="1634" t="s">
        <v>149</v>
      </c>
      <c r="CC35" s="1574">
        <f>IF(CC$8="No preprocessing",IF('Preproc. Par.'!$B$21=CB35,'Preproc. Par.'!$C$21*CD$11,0)+IF('Preproc. Par.'!$F$21=CB35,'Preproc. Par.'!$G$21*CD$12,0)+IF('Preproc. Par.'!$J$21=CB35,'Preproc. Par.'!$K$21*CD$13,0)+IF('Preproc. Par.'!$N$21=CB35,'Preproc. Par.'!$O$21*CD$14,0)+IF('Preproc. Par.'!$R$21=CB35,'Preproc. Par.'!$S$21*CD$15,0),IF(CC$8="Generic",'Preproc. Par.'!$AC124*CD$11+$C19*CD$12,'Preproc. Par.'!$BC124*CD$11+$C19*CD$12))</f>
        <v>0</v>
      </c>
      <c r="CD35"/>
      <c r="CE35"/>
      <c r="DB35" s="1634" t="s">
        <v>149</v>
      </c>
      <c r="DC35" s="1574">
        <f>IF(DC$8="No preprocessing",IF('Preproc. Par.'!$B$21=DB35,'Preproc. Par.'!$C$21*DD$11,0)+IF('Preproc. Par.'!$F$21=DB35,'Preproc. Par.'!$G$21*DD$12,0)+IF('Preproc. Par.'!$J$21=DB35,'Preproc. Par.'!$K$21*DD$13,0)+IF('Preproc. Par.'!$N$21=DB35,'Preproc. Par.'!$O$21*DD$14,0)+IF('Preproc. Par.'!$R$21=DB35,'Preproc. Par.'!$S$21*DD$15,0),IF(DC$8="Generic",'Preproc. Par.'!$AC124*DD$11+$C19*DD$12,'Preproc. Par.'!$BC124*DD$11+$C19*DD$12))</f>
        <v>0</v>
      </c>
      <c r="EB35" s="1634" t="s">
        <v>148</v>
      </c>
      <c r="EC35" s="1574">
        <f>IF(EC$8="No preprocessing",IF('Preproc. Par.'!$B$21=EB35,'Preproc. Par.'!$C$21*ED$11,0)+IF('Preproc. Par.'!$F$21=EB35,'Preproc. Par.'!$G$21*ED$12,0)+IF('Preproc. Par.'!$J$21=EB35,'Preproc. Par.'!$K$21*ED$13,0)+IF('Preproc. Par.'!$N$21=EB35,'Preproc. Par.'!$O$21*ED$14,0)+IF('Preproc. Par.'!$R$21=EB35,'Preproc. Par.'!$S$21*ED$15,0),IF(EC$8="Generic",'Preproc. Par.'!$AC123*ED$11+$C18*ED$12,'Preproc. Par.'!$BC123*ED$11+$C18*ED$12))</f>
        <v>0</v>
      </c>
    </row>
    <row r="36" spans="2:133">
      <c r="B36" s="147" t="s">
        <v>298</v>
      </c>
      <c r="C36" s="613">
        <f t="shared" si="4"/>
        <v>0.2</v>
      </c>
      <c r="D36" s="258">
        <v>0.2</v>
      </c>
      <c r="E36" s="257">
        <f>IF(ISBLANK(Materials!D87),0, Materials!D87)</f>
        <v>0</v>
      </c>
      <c r="F36"/>
      <c r="BB36" s="1634" t="s">
        <v>54</v>
      </c>
      <c r="BC36" s="1574">
        <f>IF(BC$8="No preprocessing",'Preproc. Par.'!$C22*BD$11+'Preproc. Par.'!$G22*BD$12+'Preproc. Par.'!$K22*BD$13+'Preproc. Par.'!$O22*BD$14+'Preproc. Par.'!$S22*BD$15,IF(BC$8="Generic",'Preproc. Par.'!$AC125*BD$11+$C20*BD$12,'Preproc. Par.'!$BC125*BD$11+$C20*BD$12))</f>
        <v>0.36560607706993681</v>
      </c>
      <c r="CB36" s="1634" t="s">
        <v>54</v>
      </c>
      <c r="CC36" s="1574">
        <f>IF(CC$8="No preprocessing",'Preproc. Par.'!$C22*CD$11+'Preproc. Par.'!$G22*CD$12+'Preproc. Par.'!$K22*CD$13+'Preproc. Par.'!$O22*CD$14+'Preproc. Par.'!$S22*CD$15,IF(CC$8="Generic",'Preproc. Par.'!$AC125*CD$11+$C20*CD$12,'Preproc. Par.'!$BC125*CD$11+$C20*CD$12))</f>
        <v>0.36560607706993681</v>
      </c>
      <c r="CD36"/>
      <c r="CE36"/>
      <c r="DB36" s="1634" t="s">
        <v>54</v>
      </c>
      <c r="DC36" s="1574">
        <f>IF(DC$8="No preprocessing",'Preproc. Par.'!$C22*DD$11+'Preproc. Par.'!$G22*DD$12+'Preproc. Par.'!$K22*DD$13+'Preproc. Par.'!$O22*DD$14+'Preproc. Par.'!$S22*DD$15,IF(DC$8="Generic",'Preproc. Par.'!$AC125*DD$11+$C20*DD$12,'Preproc. Par.'!$BC125*DD$11+$C20*DD$12))</f>
        <v>0.36560607706993681</v>
      </c>
      <c r="EB36" s="1634" t="s">
        <v>149</v>
      </c>
      <c r="EC36" s="1574">
        <f>IF(EC$8="No preprocessing",IF('Preproc. Par.'!$B$21=EB36,'Preproc. Par.'!$C$21*ED$11,0)+IF('Preproc. Par.'!$F$21=EB36,'Preproc. Par.'!$G$21*ED$12,0)+IF('Preproc. Par.'!$J$21=EB36,'Preproc. Par.'!$K$21*ED$13,0)+IF('Preproc. Par.'!$N$21=EB36,'Preproc. Par.'!$O$21*ED$14,0)+IF('Preproc. Par.'!$R$21=EB36,'Preproc. Par.'!$S$21*ED$15,0),IF(EC$8="Generic",'Preproc. Par.'!$AC124*ED$11+$C19*ED$12,'Preproc. Par.'!$BC124*ED$11+$C19*ED$12))</f>
        <v>0</v>
      </c>
    </row>
    <row r="37" spans="2:133">
      <c r="B37" s="147" t="s">
        <v>42</v>
      </c>
      <c r="C37" s="613">
        <f t="shared" ca="1" si="4"/>
        <v>50</v>
      </c>
      <c r="D37" s="258">
        <f ca="1">'BatPaC IO'!$K$5</f>
        <v>50</v>
      </c>
      <c r="E37" s="257">
        <f>IF(ISBLANK(Materials!D88),0, Materials!D88)</f>
        <v>0</v>
      </c>
      <c r="F37"/>
      <c r="BB37" s="1634" t="s">
        <v>55</v>
      </c>
      <c r="BC37" s="1574">
        <f>IF(BC$8="No preprocessing",'Preproc. Par.'!$C23*BD$11+'Preproc. Par.'!$G23*BD$12+'Preproc. Par.'!$K23*BD$13+'Preproc. Par.'!$O23*BD$14+'Preproc. Par.'!$S23*BD$15,IF(BC$8="Generic",'Preproc. Par.'!$AC126*BD$11+$C21*BD$12,'Preproc. Par.'!$BC126*BD$11+$C21*BD$12))</f>
        <v>1.2576489903513574E-2</v>
      </c>
      <c r="CB37" s="1634" t="s">
        <v>55</v>
      </c>
      <c r="CC37" s="1574">
        <f>IF(CC$8="No preprocessing",'Preproc. Par.'!$C23*CD$11+'Preproc. Par.'!$G23*CD$12+'Preproc. Par.'!$K23*CD$13+'Preproc. Par.'!$O23*CD$14+'Preproc. Par.'!$S23*CD$15,IF(CC$8="Generic",'Preproc. Par.'!$AC126*CD$11+$C21*CD$12,'Preproc. Par.'!$BC126*CD$11+$C21*CD$12))</f>
        <v>1.2576489903513574E-2</v>
      </c>
      <c r="CD37"/>
      <c r="CE37"/>
      <c r="DB37" s="1634" t="s">
        <v>55</v>
      </c>
      <c r="DC37" s="1574">
        <f>IF(DC$8="No preprocessing",'Preproc. Par.'!$C23*DD$11+'Preproc. Par.'!$G23*DD$12+'Preproc. Par.'!$K23*DD$13+'Preproc. Par.'!$O23*DD$14+'Preproc. Par.'!$S23*DD$15,IF(DC$8="Generic",'Preproc. Par.'!$AC126*DD$11+$C21*DD$12,'Preproc. Par.'!$BC126*DD$11+$C21*DD$12))</f>
        <v>1.2576489903513574E-2</v>
      </c>
      <c r="EB37" s="1634" t="s">
        <v>54</v>
      </c>
      <c r="EC37" s="1574">
        <f>IF(EC$8="No preprocessing",'Preproc. Par.'!$C22*ED$11+'Preproc. Par.'!$G22*ED$12+'Preproc. Par.'!$K22*ED$13+'Preproc. Par.'!$O22*ED$14+'Preproc. Par.'!$S22*ED$15,IF(EC$8="Generic",'Preproc. Par.'!$AC125*ED$11+$C20*ED$12,'Preproc. Par.'!$BC125*ED$11+$C20*ED$12))</f>
        <v>0.36560607706993681</v>
      </c>
    </row>
    <row r="38" spans="2:133">
      <c r="B38" s="147" t="s">
        <v>1029</v>
      </c>
      <c r="C38" s="613">
        <f t="shared" ca="1" si="4"/>
        <v>25.5</v>
      </c>
      <c r="D38" s="258">
        <f ca="1">'BatPaC IO'!$B$5</f>
        <v>25.5</v>
      </c>
      <c r="E38" s="257">
        <f>IF(ISBLANK(Materials!D89),0, Materials!D89)</f>
        <v>0</v>
      </c>
      <c r="F38"/>
      <c r="BB38" s="1634" t="s">
        <v>56</v>
      </c>
      <c r="BC38" s="1574">
        <f>IF(BC$8="No preprocessing",'Preproc. Par.'!$C24*BD$11+'Preproc. Par.'!$G24*BD$12+'Preproc. Par.'!$K24*BD$13+'Preproc. Par.'!$O24*BD$14+'Preproc. Par.'!$S24*BD$15,IF(BC$8="Generic",'Preproc. Par.'!$AC127*BD$11+$C22*BD$12,'Preproc. Par.'!$BC127*BD$11+$C22*BD$12))</f>
        <v>6.6192052123755668E-4</v>
      </c>
      <c r="CB38" s="1634" t="s">
        <v>56</v>
      </c>
      <c r="CC38" s="1574">
        <f>IF(CC$8="No preprocessing",'Preproc. Par.'!$C24*CD$11+'Preproc. Par.'!$G24*CD$12+'Preproc. Par.'!$K24*CD$13+'Preproc. Par.'!$O24*CD$14+'Preproc. Par.'!$S24*CD$15,IF(CC$8="Generic",'Preproc. Par.'!$AC127*CD$11+$C22*CD$12,'Preproc. Par.'!$BC127*CD$11+$C22*CD$12))</f>
        <v>6.6192052123755668E-4</v>
      </c>
      <c r="CD38"/>
      <c r="CE38"/>
      <c r="DB38" s="1634" t="s">
        <v>56</v>
      </c>
      <c r="DC38" s="1574">
        <f>IF(DC$8="No preprocessing",'Preproc. Par.'!$C24*DD$11+'Preproc. Par.'!$G24*DD$12+'Preproc. Par.'!$K24*DD$13+'Preproc. Par.'!$O24*DD$14+'Preproc. Par.'!$S24*DD$15,IF(DC$8="Generic",'Preproc. Par.'!$AC127*DD$11+$C22*DD$12,'Preproc. Par.'!$BC127*DD$11+$C22*DD$12))</f>
        <v>6.6192052123755668E-4</v>
      </c>
      <c r="EB38" s="1634" t="s">
        <v>55</v>
      </c>
      <c r="EC38" s="1574">
        <f>IF(EC$8="No preprocessing",'Preproc. Par.'!$C23*ED$11+'Preproc. Par.'!$G23*ED$12+'Preproc. Par.'!$K23*ED$13+'Preproc. Par.'!$O23*ED$14+'Preproc. Par.'!$S23*ED$15,IF(EC$8="Generic",'Preproc. Par.'!$AC126*ED$11+$C21*ED$12,'Preproc. Par.'!$BC126*ED$11+$C21*ED$12))</f>
        <v>1.2576489903513574E-2</v>
      </c>
    </row>
    <row r="39" spans="2:133">
      <c r="B39" s="147" t="s">
        <v>1540</v>
      </c>
      <c r="C39" s="613">
        <f t="shared" ca="1" si="4"/>
        <v>24</v>
      </c>
      <c r="D39" s="258">
        <f ca="1">'BatPaC IO'!$O$5</f>
        <v>24</v>
      </c>
      <c r="E39" s="257">
        <f>IF(ISBLANK(Materials!D90),0, Materials!D90)</f>
        <v>0</v>
      </c>
      <c r="F39"/>
      <c r="BB39" s="1634" t="s">
        <v>1622</v>
      </c>
      <c r="BC39" s="1574">
        <f>IF(BC$8="No preprocessing",'Preproc. Par.'!$C25*BD$11+'Preproc. Par.'!$G25*BD$12+'Preproc. Par.'!$K25*BD$13+'Preproc. Par.'!$O25*BD$14+'Preproc. Par.'!$S25*BD$15,IF(BC$8="Generic",'Preproc. Par.'!$AC128*BD$11+$C23*BD$12,'Preproc. Par.'!$BC128*BD$11+$C23*BD$12))</f>
        <v>3.9270255324375591E-4</v>
      </c>
      <c r="CB39" s="1634" t="s">
        <v>1622</v>
      </c>
      <c r="CC39" s="1574">
        <f>IF(CC$8="No preprocessing",'Preproc. Par.'!$C25*CD$11+'Preproc. Par.'!$G25*CD$12+'Preproc. Par.'!$K25*CD$13+'Preproc. Par.'!$O25*CD$14+'Preproc. Par.'!$S25*CD$15,IF(CC$8="Generic",'Preproc. Par.'!$AC128*CD$11+$C23*CD$12,'Preproc. Par.'!$BC128*CD$11+$C23*CD$12))</f>
        <v>3.9270255324375591E-4</v>
      </c>
      <c r="CD39"/>
      <c r="CE39"/>
      <c r="DB39" s="1634" t="s">
        <v>1622</v>
      </c>
      <c r="DC39" s="1574">
        <f>IF(DC$8="No preprocessing",'Preproc. Par.'!$C25*DD$11+'Preproc. Par.'!$G25*DD$12+'Preproc. Par.'!$K25*DD$13+'Preproc. Par.'!$O25*DD$14+'Preproc. Par.'!$S25*DD$15,IF(DC$8="Generic",'Preproc. Par.'!$AC128*DD$11+$C23*DD$12,'Preproc. Par.'!$BC128*DD$11+$C23*DD$12))</f>
        <v>3.9270255324375591E-4</v>
      </c>
      <c r="EB39" s="1634" t="s">
        <v>56</v>
      </c>
      <c r="EC39" s="1574">
        <f>IF(EC$8="No preprocessing",'Preproc. Par.'!$C24*ED$11+'Preproc. Par.'!$G24*ED$12+'Preproc. Par.'!$K24*ED$13+'Preproc. Par.'!$O24*ED$14+'Preproc. Par.'!$S24*ED$15,IF(EC$8="Generic",'Preproc. Par.'!$AC127*ED$11+$C22*ED$12,'Preproc. Par.'!$BC127*ED$11+$C22*ED$12))</f>
        <v>6.6192052123755668E-4</v>
      </c>
    </row>
    <row r="40" spans="2:133">
      <c r="B40" s="147" t="s">
        <v>667</v>
      </c>
      <c r="C40" s="613">
        <f t="shared" ref="C40:C45" ca="1" si="5">IF(E40&gt;0,E40,D40)</f>
        <v>25</v>
      </c>
      <c r="D40" s="258">
        <f ca="1">'BatPaC IO'!$P$5</f>
        <v>25</v>
      </c>
      <c r="E40" s="257">
        <f>IF(ISBLANK(Materials!D91),0, Materials!D91)</f>
        <v>0</v>
      </c>
      <c r="F40"/>
      <c r="BB40" s="1634" t="s">
        <v>41</v>
      </c>
      <c r="BC40" s="1574">
        <f>IF(BC$8="No preprocessing",'Preproc. Par.'!$C26*BD$11+'Preproc. Par.'!$G26*BD$12+'Preproc. Par.'!$K26*BD$13+'Preproc. Par.'!$O26*BD$14+'Preproc. Par.'!$S26*BD$15,IF(BC$8="Generic",'Preproc. Par.'!$AC129*BD$11+$C24*BD$12,'Preproc. Par.'!$BC129*BD$11+$C24*BD$12))</f>
        <v>1.0357692356299445E-2</v>
      </c>
      <c r="CB40" s="1634" t="s">
        <v>41</v>
      </c>
      <c r="CC40" s="1574">
        <f>IF(CC$8="No preprocessing",'Preproc. Par.'!$C26*CD$11+'Preproc. Par.'!$G26*CD$12+'Preproc. Par.'!$K26*CD$13+'Preproc. Par.'!$O26*CD$14+'Preproc. Par.'!$S26*CD$15,IF(CC$8="Generic",'Preproc. Par.'!$AC129*CD$11+$C24*CD$12,'Preproc. Par.'!$BC129*CD$11+$C24*CD$12))</f>
        <v>1.0357692356299445E-2</v>
      </c>
      <c r="CD40"/>
      <c r="CE40"/>
      <c r="DB40" s="1634" t="s">
        <v>41</v>
      </c>
      <c r="DC40" s="1574">
        <f>IF(DC$8="No preprocessing",'Preproc. Par.'!$C26*DD$11+'Preproc. Par.'!$G26*DD$12+'Preproc. Par.'!$K26*DD$13+'Preproc. Par.'!$O26*DD$14+'Preproc. Par.'!$S26*DD$15,IF(DC$8="Generic",'Preproc. Par.'!$AC129*DD$11+$C24*DD$12,'Preproc. Par.'!$BC129*DD$11+$C24*DD$12))</f>
        <v>1.0357692356299445E-2</v>
      </c>
      <c r="EB40" s="1634" t="s">
        <v>1622</v>
      </c>
      <c r="EC40" s="1574">
        <f>IF(EC$8="No preprocessing",'Preproc. Par.'!$C25*ED$11+'Preproc. Par.'!$G25*ED$12+'Preproc. Par.'!$K25*ED$13+'Preproc. Par.'!$O25*ED$14+'Preproc. Par.'!$S25*ED$15,IF(EC$8="Generic",'Preproc. Par.'!$AC128*ED$11+$C23*ED$12,'Preproc. Par.'!$BC128*ED$11+$C23*ED$12))</f>
        <v>3.9270255324375591E-4</v>
      </c>
    </row>
    <row r="41" spans="2:133">
      <c r="B41" s="147" t="s">
        <v>669</v>
      </c>
      <c r="C41" s="613">
        <f t="shared" ca="1" si="5"/>
        <v>26</v>
      </c>
      <c r="D41" s="258">
        <f ca="1">'BatPaC IO'!$Q$5</f>
        <v>26</v>
      </c>
      <c r="E41" s="257">
        <f>IF(ISBLANK(Materials!D92),0, Materials!D92)</f>
        <v>0</v>
      </c>
      <c r="F41"/>
      <c r="BB41" s="1634" t="s">
        <v>398</v>
      </c>
      <c r="BC41" s="1574">
        <f>IF(BC$8="No preprocessing",'Preproc. Par.'!$C27*BD$11+'Preproc. Par.'!$G27*BD$12+'Preproc. Par.'!$K27*BD$13+'Preproc. Par.'!$O27*BD$14+'Preproc. Par.'!$S27*BD$15,IF(BC$8="Generic",'Preproc. Par.'!$AC130*BD$11+$C25*BD$12,'Preproc. Par.'!$BC130*BD$11+$C25*BD$12))</f>
        <v>6.7336022271171888E-3</v>
      </c>
      <c r="CB41" s="1634" t="s">
        <v>398</v>
      </c>
      <c r="CC41" s="1574">
        <f>IF(CC$8="No preprocessing",'Preproc. Par.'!$C27*CD$11+'Preproc. Par.'!$G27*CD$12+'Preproc. Par.'!$K27*CD$13+'Preproc. Par.'!$O27*CD$14+'Preproc. Par.'!$S27*CD$15,IF(CC$8="Generic",'Preproc. Par.'!$AC130*CD$11+$C25*CD$12,'Preproc. Par.'!$BC130*CD$11+$C25*CD$12))</f>
        <v>6.7336022271171888E-3</v>
      </c>
      <c r="CD41"/>
      <c r="CE41"/>
      <c r="DB41" s="1634" t="s">
        <v>398</v>
      </c>
      <c r="DC41" s="1574">
        <f>IF(DC$8="No preprocessing",'Preproc. Par.'!$C27*DD$11+'Preproc. Par.'!$G27*DD$12+'Preproc. Par.'!$K27*DD$13+'Preproc. Par.'!$O27*DD$14+'Preproc. Par.'!$S27*DD$15,IF(DC$8="Generic",'Preproc. Par.'!$AC130*DD$11+$C25*DD$12,'Preproc. Par.'!$BC130*DD$11+$C25*DD$12))</f>
        <v>6.7336022271171888E-3</v>
      </c>
      <c r="EB41" s="1634" t="s">
        <v>41</v>
      </c>
      <c r="EC41" s="1574">
        <f>IF(EC$8="No preprocessing",'Preproc. Par.'!$C26*ED$11+'Preproc. Par.'!$G26*ED$12+'Preproc. Par.'!$K26*ED$13+'Preproc. Par.'!$O26*ED$14+'Preproc. Par.'!$S26*ED$15,IF(EC$8="Generic",'Preproc. Par.'!$AC129*ED$11+$C24*ED$12,'Preproc. Par.'!$BC129*ED$11+$C24*ED$12))</f>
        <v>1.0357692356299445E-2</v>
      </c>
    </row>
    <row r="42" spans="2:133">
      <c r="B42" s="147" t="s">
        <v>1923</v>
      </c>
      <c r="C42" s="613">
        <f t="shared" si="5"/>
        <v>8.57</v>
      </c>
      <c r="D42" s="275">
        <f>D76*0.5</f>
        <v>8.57</v>
      </c>
      <c r="E42" s="257">
        <f>IF(ISBLANK(Materials!D93),0, Materials!D93)</f>
        <v>0</v>
      </c>
      <c r="F42"/>
      <c r="BB42" s="1634" t="s">
        <v>439</v>
      </c>
      <c r="BC42" s="1574">
        <f>IF(BC$8="No preprocessing",'Preproc. Par.'!$C34*BD$11+'Preproc. Par.'!$G34*BD$12+'Preproc. Par.'!$K34*BD$13+'Preproc. Par.'!$O34*BD$14+'Preproc. Par.'!$S34*BD$15,IF(BC$8="Generic",'Preproc. Par.'!$AC131*BD$11+$C26*BD$12,'Preproc. Par.'!$BC131*BD$11+$C26*BD$12))</f>
        <v>0</v>
      </c>
      <c r="CB42" s="1634" t="s">
        <v>439</v>
      </c>
      <c r="CC42" s="1574">
        <f>IF(CC$8="No preprocessing",'Preproc. Par.'!$C34*CD$11+'Preproc. Par.'!$G34*CD$12+'Preproc. Par.'!$K34*CD$13+'Preproc. Par.'!$O34*CD$14+'Preproc. Par.'!$S34*CD$15,IF(CC$8="Generic",'Preproc. Par.'!$AC131*CD$11+$C26*CD$12,'Preproc. Par.'!$BC131*CD$11+$C26*CD$12))</f>
        <v>0</v>
      </c>
      <c r="CD42"/>
      <c r="CE42"/>
      <c r="DB42" s="1634" t="s">
        <v>439</v>
      </c>
      <c r="DC42" s="1574">
        <f>IF(DC$8="No preprocessing",'Preproc. Par.'!$C34*DD$11+'Preproc. Par.'!$G34*DD$12+'Preproc. Par.'!$K34*DD$13+'Preproc. Par.'!$O34*DD$14+'Preproc. Par.'!$S34*DD$15,IF(DC$8="Generic",'Preproc. Par.'!$AC131*DD$11+$C26*DD$12,'Preproc. Par.'!$BC131*DD$11+$C26*DD$12))</f>
        <v>0</v>
      </c>
      <c r="EB42" s="1634" t="s">
        <v>398</v>
      </c>
      <c r="EC42" s="1574">
        <f>IF(EC$8="No preprocessing",'Preproc. Par.'!$C27*ED$11+'Preproc. Par.'!$G27*ED$12+'Preproc. Par.'!$K27*ED$13+'Preproc. Par.'!$O27*ED$14+'Preproc. Par.'!$S27*ED$15,IF(EC$8="Generic",'Preproc. Par.'!$AC130*ED$11+$C25*ED$12,'Preproc. Par.'!$BC130*ED$11+$C25*ED$12))</f>
        <v>6.7336022271171888E-3</v>
      </c>
    </row>
    <row r="43" spans="2:133">
      <c r="B43" s="147" t="s">
        <v>1400</v>
      </c>
      <c r="C43" s="614">
        <f t="shared" si="5"/>
        <v>16.853000000000002</v>
      </c>
      <c r="D43" s="258">
        <f>'BatPaC IO'!$B$8</f>
        <v>16.853000000000002</v>
      </c>
      <c r="E43" s="257">
        <f>IF(ISBLANK(Materials!D94),0, Materials!D94)</f>
        <v>0</v>
      </c>
      <c r="BB43" s="1634" t="s">
        <v>57</v>
      </c>
      <c r="BC43" s="1574">
        <f>IF(BC$8="No preprocessing",'Preproc. Par.'!$C28*BD$11+'Preproc. Par.'!$G28*BD$12+'Preproc. Par.'!$K28*BD$13+'Preproc. Par.'!$O28*BD$14+'Preproc. Par.'!$S28*BD$15,IF(BC$8="Generic",'Preproc. Par.'!$AC132*BD$11+$C27*BD$12,'Preproc. Par.'!$BC132*BD$11+$C27*BD$12))</f>
        <v>0</v>
      </c>
      <c r="CB43" s="1634" t="s">
        <v>57</v>
      </c>
      <c r="CC43" s="1574">
        <f>IF(CC$8="No preprocessing",'Preproc. Par.'!$C28*CD$11+'Preproc. Par.'!$G28*CD$12+'Preproc. Par.'!$K28*CD$13+'Preproc. Par.'!$O28*CD$14+'Preproc. Par.'!$S28*CD$15,IF(CC$8="Generic",'Preproc. Par.'!$AC132*CD$11+$C27*CD$12,'Preproc. Par.'!$BC132*CD$11+$C27*CD$12))</f>
        <v>0</v>
      </c>
      <c r="CD43"/>
      <c r="CE43"/>
      <c r="DB43" s="1634" t="s">
        <v>57</v>
      </c>
      <c r="DC43" s="1574">
        <f>IF(DC$8="No preprocessing",'Preproc. Par.'!$C28*DD$11+'Preproc. Par.'!$G28*DD$12+'Preproc. Par.'!$K28*DD$13+'Preproc. Par.'!$O28*DD$14+'Preproc. Par.'!$S28*DD$15,IF(DC$8="Generic",'Preproc. Par.'!$AC132*DD$11+$C27*DD$12,'Preproc. Par.'!$BC132*DD$11+$C27*DD$12))</f>
        <v>0</v>
      </c>
      <c r="EB43" s="1634" t="s">
        <v>439</v>
      </c>
      <c r="EC43" s="1574">
        <f>IF(EC$8="No preprocessing",'Preproc. Par.'!$C34*ED$11+'Preproc. Par.'!$G34*ED$12+'Preproc. Par.'!$K34*ED$13+'Preproc. Par.'!$O34*ED$14+'Preproc. Par.'!$S34*ED$15,IF(EC$8="Generic",'Preproc. Par.'!$AC131*ED$11+$C26*ED$12,'Preproc. Par.'!$BC131*ED$11+$C26*ED$12))</f>
        <v>0</v>
      </c>
    </row>
    <row r="44" spans="2:133">
      <c r="B44" s="147" t="s">
        <v>1398</v>
      </c>
      <c r="C44" s="614">
        <f t="shared" si="5"/>
        <v>50.353520799999998</v>
      </c>
      <c r="D44" s="258">
        <f>'BatPaC IO'!$D$8</f>
        <v>50.353520799999998</v>
      </c>
      <c r="E44" s="257">
        <f>IF(ISBLANK(Materials!D95),0, Materials!D95)</f>
        <v>0</v>
      </c>
      <c r="BB44" s="1634" t="s">
        <v>1906</v>
      </c>
      <c r="BC44" s="1574">
        <f>IF(BC$8="No preprocessing",('Preproc. Par.'!$C29+'Preproc. Par.'!$C30)*BD$11+('Preproc. Par.'!$G29+'Preproc. Par.'!$G30)*BD$12+('Preproc. Par.'!$K29+'Preproc. Par.'!$K30)*BD$13+('Preproc. Par.'!$O29+'Preproc. Par.'!$O30)*BD$14+('Preproc. Par.'!$S29+'Preproc. Par.'!$S30)*BD$15,IF(BC$8="Generic",'Preproc. Par.'!$AC133*BD$11+$C28*BD$12,'Preproc. Par.'!$BC133*BD$11+$C28*BD$12))</f>
        <v>0</v>
      </c>
      <c r="CB44" s="1634" t="s">
        <v>1906</v>
      </c>
      <c r="CC44" s="1574">
        <f>IF(CC$8="No preprocessing",('Preproc. Par.'!$C29+'Preproc. Par.'!$C30)*CD$11+('Preproc. Par.'!$G29+'Preproc. Par.'!$G30)*CD$12+('Preproc. Par.'!$K29+'Preproc. Par.'!$K30)*CD$13+('Preproc. Par.'!$O29+'Preproc. Par.'!$O30)*CD$14+('Preproc. Par.'!$S29+'Preproc. Par.'!$S30)*CD$15,IF(CC$8="Generic",'Preproc. Par.'!$AC133*CD$11+$C28*CD$12,'Preproc. Par.'!$BC133*CD$11+$C28*CD$12))</f>
        <v>0</v>
      </c>
      <c r="CD44"/>
      <c r="CE44"/>
      <c r="DB44" s="1634" t="s">
        <v>1906</v>
      </c>
      <c r="DC44" s="1574">
        <f>IF(DC$8="No preprocessing",('Preproc. Par.'!$C29+'Preproc. Par.'!$C30)*DD$11+('Preproc. Par.'!$G29+'Preproc. Par.'!$G30)*DD$12+('Preproc. Par.'!$K29+'Preproc. Par.'!$K30)*DD$13+('Preproc. Par.'!$O29+'Preproc. Par.'!$O30)*DD$14+('Preproc. Par.'!$S29+'Preproc. Par.'!$S30)*DD$15,IF(DC$8="Generic",'Preproc. Par.'!$AC133*DD$11+$C28*DD$12,'Preproc. Par.'!$BC133*DD$11+$C28*DD$12))</f>
        <v>0</v>
      </c>
      <c r="EB44" s="1634" t="s">
        <v>57</v>
      </c>
      <c r="EC44" s="1574">
        <f>IF(EC$8="No preprocessing",'Preproc. Par.'!$C28*ED$11+'Preproc. Par.'!$G28*ED$12+'Preproc. Par.'!$K28*ED$13+'Preproc. Par.'!$O28*ED$14+'Preproc. Par.'!$S28*ED$15,IF(EC$8="Generic",'Preproc. Par.'!$AC132*ED$11+$C27*ED$12,'Preproc. Par.'!$BC132*ED$11+$C27*ED$12))</f>
        <v>0</v>
      </c>
    </row>
    <row r="45" spans="2:133">
      <c r="B45" s="147" t="s">
        <v>1399</v>
      </c>
      <c r="C45" s="614">
        <f t="shared" si="5"/>
        <v>3.1492555776</v>
      </c>
      <c r="D45" s="258">
        <f>'BatPaC IO'!$C$8</f>
        <v>3.1492555776</v>
      </c>
      <c r="E45" s="257">
        <f>IF(ISBLANK(Materials!D96),0, Materials!D96)</f>
        <v>0</v>
      </c>
      <c r="BB45" s="1634" t="s">
        <v>298</v>
      </c>
      <c r="BC45" s="1637">
        <f>IF(BC$8="No preprocessing",SUM('Preproc. Par.'!$C31:$C33)*BD$11+SUM('Preproc. Par.'!$G31:$G33)*BD$12+SUM('Preproc. Par.'!$K31:$K33)*BD$13+SUM('Preproc. Par.'!$R31:$R33)*BD$14+SUM('Preproc. Par.'!$S31:$S33)*BD$15,IF(BC$8="Generic",'Preproc. Par.'!$AC134*BD$11+$C29*BD$12,'Preproc. Par.'!$BC134*BD$11+$C29*BD$12))</f>
        <v>0</v>
      </c>
      <c r="CB45" s="1634" t="s">
        <v>298</v>
      </c>
      <c r="CC45" s="1637">
        <f>IF(CC$8="No preprocessing",SUM('Preproc. Par.'!$C31:$C33)*CD$11+SUM('Preproc. Par.'!$G31:$G33)*CD$12+SUM('Preproc. Par.'!$K31:$K33)*CD$13+SUM('Preproc. Par.'!$R31:$R33)*CD$14+SUM('Preproc. Par.'!$S31:$S33)*CD$15,IF(CC$8="Generic",'Preproc. Par.'!$AC134*CD$11+$C29*CD$12,'Preproc. Par.'!$BC134*CD$11+$C29*CD$12))</f>
        <v>0</v>
      </c>
      <c r="DB45" s="1634" t="s">
        <v>298</v>
      </c>
      <c r="DC45" s="1637">
        <f>IF(DC$8="No preprocessing",SUM('Preproc. Par.'!$C31:$C33)*DD$11+SUM('Preproc. Par.'!$G31:$G33)*DD$12+SUM('Preproc. Par.'!$K31:$K33)*DD$13+SUM('Preproc. Par.'!$R31:$R33)*DD$14+SUM('Preproc. Par.'!$S31:$S33)*DD$15,IF(DC$8="Generic",'Preproc. Par.'!$AC134*DD$11+$C29*DD$12,'Preproc. Par.'!$BC134*DD$11+$C29*DD$12))</f>
        <v>0</v>
      </c>
      <c r="EB45" s="1634" t="s">
        <v>1906</v>
      </c>
      <c r="EC45" s="1574">
        <f>IF(EC$8="No preprocessing",('Preproc. Par.'!$C29+'Preproc. Par.'!$C30)*ED$11+('Preproc. Par.'!$G29+'Preproc. Par.'!$G30)*ED$12+('Preproc. Par.'!$K29+'Preproc. Par.'!$K30)*ED$13+('Preproc. Par.'!$O29+'Preproc. Par.'!$O30)*ED$14+('Preproc. Par.'!$S29+'Preproc. Par.'!$S30)*ED$15,IF(EC$8="Generic",'Preproc. Par.'!$AC133*ED$11+$C28*ED$12,'Preproc. Par.'!$BC133*ED$11+$C28*ED$12))</f>
        <v>0</v>
      </c>
    </row>
    <row r="46" spans="2:133">
      <c r="B46" s="147" t="s">
        <v>148</v>
      </c>
      <c r="C46" s="614">
        <f t="shared" ref="C46:C51" si="6">IF(E46&gt;0,E46,D46)</f>
        <v>9</v>
      </c>
      <c r="D46" s="258">
        <f>'BatPaC IO'!$N$5</f>
        <v>9</v>
      </c>
      <c r="E46" s="257">
        <f>IF(ISBLANK(Materials!D97),0, Materials!D97)</f>
        <v>0</v>
      </c>
      <c r="BB46" s="1634" t="s">
        <v>74</v>
      </c>
      <c r="BC46" s="1637">
        <f>BC28*$H$74/$Q$74+BC29*$H$75/$Q$75+BC30*$H$76/$Q$76+BC31*$H$77/$Q$77+BC32*$H$78/$Q$78+BC33*$H$80/$Q$80+BC34*$H$81/$Q$81+BC35*$H$82/$Q$82+BC43*$H$79/$Q$79</f>
        <v>4.3246120831957745E-2</v>
      </c>
      <c r="CB46" s="1634" t="s">
        <v>74</v>
      </c>
      <c r="CC46" s="1637">
        <f>CC28*$H$74/$Q$74+CC29*$H$75/$Q$75+CC30*$H$76/$Q$76+CC31*$H$77/$Q$77+CC32*$H$78/$Q$78+CC33*$H$80/$Q$80+CC34*$H$81/$Q$81+CC35*$H$82/$Q$82+CC43*$H$79/$Q$79</f>
        <v>4.3246120831957745E-2</v>
      </c>
      <c r="DB46" s="1634" t="s">
        <v>74</v>
      </c>
      <c r="DC46" s="1637">
        <f>DC28*$H$74/$Q$74+DC29*$H$75/$Q$75+DC30*$H$76/$Q$76+DC31*$H$77/$Q$77+DC32*$H$78/$Q$78+DC33*$H$80/$Q$80+DC34*$H$81/$Q$81+DC35*$H$82/$Q$82+DC43*$H$79/$Q$79</f>
        <v>4.3246120831957745E-2</v>
      </c>
      <c r="EB46" s="1634" t="s">
        <v>298</v>
      </c>
      <c r="EC46" s="1637">
        <f>IF(EC$8="No preprocessing",SUM('Preproc. Par.'!$C31:$C33)*ED$11+SUM('Preproc. Par.'!$G31:$G33)*ED$12+SUM('Preproc. Par.'!$K31:$K33)*ED$13+SUM('Preproc. Par.'!$R31:$R33)*ED$14+SUM('Preproc. Par.'!$S31:$S33)*ED$15,IF(EC$8="Generic",'Preproc. Par.'!$AC134*ED$11+$C29*ED$12,'Preproc. Par.'!$BC134*ED$11+$C29*ED$12))</f>
        <v>0</v>
      </c>
    </row>
    <row r="47" spans="2:133">
      <c r="B47" s="147" t="s">
        <v>73</v>
      </c>
      <c r="C47" s="614">
        <f t="shared" ca="1" si="6"/>
        <v>26</v>
      </c>
      <c r="D47" s="258">
        <f ca="1">'BatPaC IO'!$R$5</f>
        <v>26</v>
      </c>
      <c r="E47" s="257">
        <f>IF(ISBLANK(Materials!D98),0, Materials!D98)</f>
        <v>0</v>
      </c>
      <c r="BB47" s="1634" t="s">
        <v>77</v>
      </c>
      <c r="BC47" s="1637">
        <f>BC28*$I$74/$Q$74+BC29*$I$75/$Q$75+BC30*$I$76/$Q$76+BC31*$I$77/$Q$77+BC32*$I$78/$Q$78+BC33*$I$80/$Q$80+BC34*$I$81/$Q$81+BC35*$I$82/$Q$82</f>
        <v>7.3447367117860679E-2</v>
      </c>
      <c r="CB47" s="1634" t="s">
        <v>77</v>
      </c>
      <c r="CC47" s="1637">
        <f>CC28*$I$74/$Q$74+CC29*$I$75/$Q$75+CC30*$I$76/$Q$76+CC31*$I$77/$Q$77+CC32*$I$78/$Q$78+CC33*$I$80/$Q$80+CC34*$I$81/$Q$81+CC35*$I$82/$Q$82</f>
        <v>7.3447367117860679E-2</v>
      </c>
      <c r="DB47" s="1634" t="s">
        <v>77</v>
      </c>
      <c r="DC47" s="1637">
        <f>DC28*$I$74/$Q$74+DC29*$I$75/$Q$75+DC30*$I$76/$Q$76+DC31*$I$77/$Q$77+DC32*$I$78/$Q$78+DC33*$I$80/$Q$80+DC34*$I$81/$Q$81+DC35*$I$82/$Q$82</f>
        <v>7.3447367117860679E-2</v>
      </c>
      <c r="EB47" s="1634" t="s">
        <v>74</v>
      </c>
      <c r="EC47" s="1637">
        <f>EC29*$H$74/$Q$74+EC30*$H$75/$Q$75+EC31*$H$76/$Q$76+EC32*$H$77/$Q$77+EC33*$H$78/$Q$78+EC34*$H$80/$Q$80+EC35*$H$81/$Q$81+EC36*$H$82/$Q$82+EC44*$H$79/$Q$79</f>
        <v>4.3246120831957745E-2</v>
      </c>
    </row>
    <row r="48" spans="2:133">
      <c r="B48" s="147" t="s">
        <v>149</v>
      </c>
      <c r="C48" s="614">
        <f t="shared" si="6"/>
        <v>10</v>
      </c>
      <c r="D48" s="258">
        <f>'BatPaC IO'!$S$5</f>
        <v>10</v>
      </c>
      <c r="E48" s="257">
        <f>IF(ISBLANK(Materials!D99),0, Materials!D99)</f>
        <v>0</v>
      </c>
      <c r="BB48" s="1634" t="s">
        <v>75</v>
      </c>
      <c r="BC48" s="1637">
        <f>BC28*$J$74/$Q$74+BC29*$J$75/$Q$75+BC30*$J$76/$Q$76+BC31*$J$77/$Q$77+BC32*$J$78/$Q$78+BC33*$J$80/$Q$80+BC34*$J$81/$Q$81+BC35*$J$82/$Q$82</f>
        <v>0.21944477550346644</v>
      </c>
      <c r="CB48" s="1634" t="s">
        <v>75</v>
      </c>
      <c r="CC48" s="1637">
        <f>CC28*$J$74/$Q$74+CC29*$J$75/$Q$75+CC30*$J$76/$Q$76+CC31*$J$77/$Q$77+CC32*$J$78/$Q$78+CC33*$J$80/$Q$80+CC34*$J$81/$Q$81+CC35*$J$82/$Q$82</f>
        <v>0.21944477550346644</v>
      </c>
      <c r="DB48" s="1634" t="s">
        <v>75</v>
      </c>
      <c r="DC48" s="1637">
        <f>DC28*$J$74/$Q$74+DC29*$J$75/$Q$75+DC30*$J$76/$Q$76+DC31*$J$77/$Q$77+DC32*$J$78/$Q$78+DC33*$J$80/$Q$80+DC34*$J$81/$Q$81+DC35*$J$82/$Q$82</f>
        <v>0.21944477550346644</v>
      </c>
      <c r="EB48" s="1634" t="s">
        <v>77</v>
      </c>
      <c r="EC48" s="1637">
        <f>EC29*$I$74/$Q$74+EC30*$I$75/$Q$75+EC31*$I$76/$Q$76+EC32*$I$77/$Q$77+EC33*$I$78/$Q$78+EC34*$I$80/$Q$80+EC35*$I$81/$Q$81+EC36*$I$82/$Q$82</f>
        <v>7.3447367117860679E-2</v>
      </c>
    </row>
    <row r="49" spans="2:133">
      <c r="B49" s="147" t="s">
        <v>1906</v>
      </c>
      <c r="C49" s="614">
        <f t="shared" si="6"/>
        <v>0.15</v>
      </c>
      <c r="D49" s="258">
        <v>0.15</v>
      </c>
      <c r="E49" s="257">
        <f>IF(ISBLANK(Materials!D100),0, Materials!D100)</f>
        <v>0</v>
      </c>
      <c r="BB49" s="1634" t="s">
        <v>76</v>
      </c>
      <c r="BC49" s="1637">
        <f>BC28*$K$74/$Q$74+BC29*$K$75/$Q$75+BC30*$K$76/$Q$76+BC31*$K$77/$Q$77+BC32*$K$78/$Q$78+BC33*$K$80/$Q$80+BC34*$K$81/$Q$81+BC35*$K$82/$Q$82</f>
        <v>6.8468454935622314E-2</v>
      </c>
      <c r="CB49" s="1634" t="s">
        <v>76</v>
      </c>
      <c r="CC49" s="1637">
        <f>CC28*$K$74/$Q$74+CC29*$K$75/$Q$75+CC30*$K$76/$Q$76+CC31*$K$77/$Q$77+CC32*$K$78/$Q$78+CC33*$K$80/$Q$80+CC34*$K$81/$Q$81+CC35*$K$82/$Q$82</f>
        <v>6.8468454935622314E-2</v>
      </c>
      <c r="DB49" s="1634" t="s">
        <v>76</v>
      </c>
      <c r="DC49" s="1637">
        <f>DC28*$K$74/$Q$74+DC29*$K$75/$Q$75+DC30*$K$76/$Q$76+DC31*$K$77/$Q$77+DC32*$K$78/$Q$78+DC33*$K$80/$Q$80+DC34*$K$81/$Q$81+DC35*$K$82/$Q$82</f>
        <v>6.8468454935622314E-2</v>
      </c>
      <c r="EB49" s="1634" t="s">
        <v>75</v>
      </c>
      <c r="EC49" s="1637">
        <f>EC29*$J$74/$Q$74+EC30*$J$75/$Q$75+EC31*$J$76/$Q$76+EC32*$J$77/$Q$77+EC33*$J$78/$Q$78+EC34*$J$80/$Q$80+EC35*$J$81/$Q$81+EC36*$J$82/$Q$82</f>
        <v>0.21944477550346644</v>
      </c>
    </row>
    <row r="50" spans="2:133">
      <c r="B50" s="147" t="s">
        <v>54</v>
      </c>
      <c r="C50" s="614">
        <f t="shared" si="6"/>
        <v>0.2</v>
      </c>
      <c r="D50" s="258">
        <v>0.2</v>
      </c>
      <c r="E50" s="257">
        <f>IF(ISBLANK(Materials!D101),0, Materials!D101)</f>
        <v>0</v>
      </c>
      <c r="BB50" s="1635" t="s">
        <v>303</v>
      </c>
      <c r="BC50" s="1637">
        <f>BC43*$N$79/$Q$79+BC38*$L$85/$M$85</f>
        <v>3.9276528289568355E-4</v>
      </c>
      <c r="CB50" s="1635" t="s">
        <v>303</v>
      </c>
      <c r="CC50" s="1637">
        <f>CC43*$N$79/$Q$79+CC38*$L$85/$M$85</f>
        <v>3.9276528289568355E-4</v>
      </c>
      <c r="DB50" s="1635" t="s">
        <v>303</v>
      </c>
      <c r="DC50" s="1637">
        <f>DC43*$N$79/$Q$79+DC38*$L$85/$M$85</f>
        <v>3.9276528289568355E-4</v>
      </c>
      <c r="EB50" s="1634" t="s">
        <v>76</v>
      </c>
      <c r="EC50" s="1637">
        <f>EC29*$K$74/$Q$74+EC30*$K$75/$Q$75+EC31*$K$76/$Q$76+EC32*$K$77/$Q$77+EC33*$K$78/$Q$78+EC34*$K$80/$Q$80+EC35*$K$81/$Q$81+EC36*$K$82/$Q$82</f>
        <v>6.8468454935622314E-2</v>
      </c>
    </row>
    <row r="51" spans="2:133">
      <c r="B51" s="267" t="s">
        <v>1914</v>
      </c>
      <c r="C51" s="1557">
        <f t="shared" si="6"/>
        <v>7.3665172679999991</v>
      </c>
      <c r="D51" s="268">
        <v>7.3665172679999991</v>
      </c>
      <c r="E51" s="1354">
        <f>IF(ISBLANK(Materials!D102),0, Materials!D102)</f>
        <v>0</v>
      </c>
      <c r="G51"/>
      <c r="H51"/>
      <c r="EB51" s="1635" t="s">
        <v>303</v>
      </c>
      <c r="EC51" s="1637">
        <f>EC44*$N$79/$Q$79+EC39*$L$85/$M$85</f>
        <v>3.9276528289568355E-4</v>
      </c>
    </row>
    <row r="52" spans="2:133">
      <c r="BA52" s="110"/>
      <c r="BB52" s="133" t="s">
        <v>362</v>
      </c>
      <c r="CA52" s="110"/>
      <c r="CB52" s="133" t="s">
        <v>362</v>
      </c>
      <c r="DA52" s="110"/>
      <c r="DB52" s="133" t="s">
        <v>362</v>
      </c>
    </row>
    <row r="53" spans="2:133">
      <c r="B53" s="133" t="s">
        <v>666</v>
      </c>
      <c r="BA53" s="1582" t="s">
        <v>1782</v>
      </c>
      <c r="BB53" s="193" t="s">
        <v>389</v>
      </c>
      <c r="BC53" s="143" t="s">
        <v>388</v>
      </c>
      <c r="BD53" s="262"/>
      <c r="BE53"/>
      <c r="CA53" s="1582" t="s">
        <v>1782</v>
      </c>
      <c r="CB53" s="193" t="s">
        <v>389</v>
      </c>
      <c r="CC53" s="143" t="s">
        <v>388</v>
      </c>
      <c r="CD53" s="262"/>
      <c r="CE53"/>
      <c r="DA53" s="1582" t="s">
        <v>1782</v>
      </c>
      <c r="DB53" s="193" t="s">
        <v>389</v>
      </c>
      <c r="DC53" s="143" t="s">
        <v>388</v>
      </c>
      <c r="DD53" s="262"/>
      <c r="DE53"/>
    </row>
    <row r="54" spans="2:133" ht="14.5">
      <c r="B54" s="143"/>
      <c r="C54" s="144" t="s">
        <v>51</v>
      </c>
      <c r="D54" s="144" t="s">
        <v>63</v>
      </c>
      <c r="E54" s="146" t="s">
        <v>52</v>
      </c>
      <c r="G54" s="120" t="s">
        <v>484</v>
      </c>
      <c r="H54" s="120">
        <v>907.2</v>
      </c>
      <c r="AZ54"/>
      <c r="BA54" s="261">
        <v>1</v>
      </c>
      <c r="BB54" s="113" t="s">
        <v>397</v>
      </c>
      <c r="BC54" s="263" t="s">
        <v>1977</v>
      </c>
      <c r="BZ54"/>
      <c r="CA54" s="261">
        <v>1</v>
      </c>
      <c r="CB54" s="113" t="s">
        <v>26</v>
      </c>
      <c r="CC54" s="264"/>
      <c r="CZ54"/>
      <c r="DA54" s="261">
        <v>1</v>
      </c>
      <c r="DB54" s="113" t="s">
        <v>26</v>
      </c>
      <c r="DC54" s="263"/>
      <c r="EB54" s="133" t="s">
        <v>362</v>
      </c>
    </row>
    <row r="55" spans="2:133" ht="14.5">
      <c r="B55" s="167" t="s">
        <v>485</v>
      </c>
      <c r="C55" s="612">
        <f>IF(E55&gt;0,E55,D55)</f>
        <v>10</v>
      </c>
      <c r="D55" s="256">
        <f>'Geographic Par.'!C37</f>
        <v>10</v>
      </c>
      <c r="E55" s="257">
        <v>10</v>
      </c>
      <c r="G55" s="120" t="s">
        <v>486</v>
      </c>
      <c r="H55" s="120">
        <v>3.7854000000000001</v>
      </c>
      <c r="AZ55"/>
      <c r="BA55" s="261">
        <v>2</v>
      </c>
      <c r="BB55" s="113" t="s">
        <v>26</v>
      </c>
      <c r="BC55" s="263" t="s">
        <v>1941</v>
      </c>
      <c r="BZ55"/>
      <c r="CA55" s="261">
        <v>2</v>
      </c>
      <c r="CB55" s="113" t="s">
        <v>1511</v>
      </c>
      <c r="CC55" s="265"/>
      <c r="CZ55"/>
      <c r="DA55" s="261">
        <v>2</v>
      </c>
      <c r="DB55" s="113" t="s">
        <v>1523</v>
      </c>
      <c r="DC55" s="263"/>
      <c r="EA55" s="1582" t="s">
        <v>1989</v>
      </c>
      <c r="EB55" s="193" t="s">
        <v>389</v>
      </c>
      <c r="EC55" s="143" t="s">
        <v>388</v>
      </c>
    </row>
    <row r="56" spans="2:133" ht="14.5">
      <c r="B56" s="267" t="s">
        <v>665</v>
      </c>
      <c r="C56" s="640">
        <f>IF(E56&gt;0,E56,D56)</f>
        <v>3.0000000000000001E-3</v>
      </c>
      <c r="D56" s="1240">
        <f>'Geographic Par.'!C36</f>
        <v>3.0000000000000001E-3</v>
      </c>
      <c r="E56" s="269"/>
      <c r="AZ56"/>
      <c r="BA56" s="261">
        <v>3</v>
      </c>
      <c r="BB56" s="113" t="s">
        <v>24</v>
      </c>
      <c r="BC56" s="263"/>
      <c r="BG56" s="266"/>
      <c r="BZ56"/>
      <c r="CA56" s="261">
        <v>3</v>
      </c>
      <c r="CB56" s="113" t="s">
        <v>1513</v>
      </c>
      <c r="CC56" s="265"/>
      <c r="CZ56"/>
      <c r="DA56" s="261">
        <v>3</v>
      </c>
      <c r="DB56" s="113" t="s">
        <v>1506</v>
      </c>
      <c r="DC56" s="263"/>
      <c r="DZ56"/>
      <c r="EA56" s="261">
        <v>1</v>
      </c>
      <c r="EB56" s="113" t="s">
        <v>26</v>
      </c>
      <c r="EC56" s="263"/>
    </row>
    <row r="57" spans="2:133" ht="14.5">
      <c r="D57"/>
      <c r="AZ57"/>
      <c r="BA57" s="261">
        <v>4</v>
      </c>
      <c r="BB57" s="113" t="s">
        <v>1510</v>
      </c>
      <c r="BC57" s="263" t="s">
        <v>651</v>
      </c>
      <c r="BZ57"/>
      <c r="CA57" s="261">
        <v>4</v>
      </c>
      <c r="CB57" s="113" t="s">
        <v>1506</v>
      </c>
      <c r="CC57" s="271"/>
      <c r="CZ57"/>
      <c r="DA57" s="261">
        <v>4</v>
      </c>
      <c r="DB57" s="113" t="s">
        <v>1523</v>
      </c>
      <c r="DC57" s="263" t="s">
        <v>1943</v>
      </c>
      <c r="DZ57"/>
      <c r="EA57" s="261">
        <v>2</v>
      </c>
      <c r="EB57" s="113" t="s">
        <v>1511</v>
      </c>
      <c r="EC57" s="263"/>
    </row>
    <row r="58" spans="2:133" ht="14.5">
      <c r="B58" s="133" t="s">
        <v>599</v>
      </c>
      <c r="G58" s="120"/>
      <c r="H58" s="120" t="s">
        <v>74</v>
      </c>
      <c r="I58" s="120" t="s">
        <v>77</v>
      </c>
      <c r="J58" s="120" t="s">
        <v>75</v>
      </c>
      <c r="K58" s="120" t="s">
        <v>76</v>
      </c>
      <c r="L58" s="120" t="s">
        <v>78</v>
      </c>
      <c r="M58" s="120" t="s">
        <v>302</v>
      </c>
      <c r="N58" s="120" t="s">
        <v>303</v>
      </c>
      <c r="O58" s="120" t="s">
        <v>296</v>
      </c>
      <c r="P58" s="120" t="s">
        <v>297</v>
      </c>
      <c r="Q58" s="120" t="s">
        <v>372</v>
      </c>
      <c r="R58" s="120" t="s">
        <v>1626</v>
      </c>
      <c r="AZ58"/>
      <c r="BA58" s="261">
        <v>5</v>
      </c>
      <c r="BB58" s="113" t="s">
        <v>26</v>
      </c>
      <c r="BC58" s="263"/>
      <c r="BZ58"/>
      <c r="CA58" s="261">
        <v>5</v>
      </c>
      <c r="CB58" s="273" t="s">
        <v>1516</v>
      </c>
      <c r="CC58" s="265"/>
      <c r="CZ58"/>
      <c r="DA58" s="261">
        <v>5</v>
      </c>
      <c r="DB58" s="113" t="s">
        <v>1506</v>
      </c>
      <c r="DC58" s="263" t="s">
        <v>1942</v>
      </c>
      <c r="DZ58"/>
      <c r="EA58" s="261">
        <v>3</v>
      </c>
      <c r="EB58" s="113" t="s">
        <v>1513</v>
      </c>
      <c r="EC58" s="263"/>
    </row>
    <row r="59" spans="2:133" ht="14.5">
      <c r="B59" s="143"/>
      <c r="C59" s="144" t="s">
        <v>51</v>
      </c>
      <c r="D59" s="144" t="s">
        <v>63</v>
      </c>
      <c r="E59" s="146" t="s">
        <v>52</v>
      </c>
      <c r="G59" s="120" t="s">
        <v>300</v>
      </c>
      <c r="H59" s="120">
        <v>6.94</v>
      </c>
      <c r="I59" s="120">
        <v>58.933</v>
      </c>
      <c r="J59" s="120">
        <v>58.692999999999998</v>
      </c>
      <c r="K59" s="120">
        <v>54.938000000000002</v>
      </c>
      <c r="L59" s="120">
        <v>15.999000000000001</v>
      </c>
      <c r="M59" s="120">
        <v>30.974</v>
      </c>
      <c r="N59" s="120">
        <v>18.998000000000001</v>
      </c>
      <c r="O59" s="120">
        <v>26.981999999999999</v>
      </c>
      <c r="P59" s="120">
        <v>55.844999999999999</v>
      </c>
      <c r="Q59" s="120">
        <v>12.010999999999999</v>
      </c>
      <c r="R59" s="120">
        <v>1.008</v>
      </c>
      <c r="AZ59"/>
      <c r="BA59" s="261">
        <v>6</v>
      </c>
      <c r="BB59" s="113" t="s">
        <v>656</v>
      </c>
      <c r="BC59" s="263" t="s">
        <v>1432</v>
      </c>
      <c r="BZ59"/>
      <c r="CA59" s="261">
        <v>6</v>
      </c>
      <c r="CB59" s="113" t="s">
        <v>1516</v>
      </c>
      <c r="CC59" s="265"/>
      <c r="CZ59"/>
      <c r="DA59" s="261">
        <v>6</v>
      </c>
      <c r="DB59" s="113" t="s">
        <v>611</v>
      </c>
      <c r="DC59" s="263" t="s">
        <v>1942</v>
      </c>
      <c r="DZ59"/>
      <c r="EA59" s="261">
        <v>4</v>
      </c>
      <c r="EB59" s="113" t="s">
        <v>1506</v>
      </c>
      <c r="EC59" s="263"/>
    </row>
    <row r="60" spans="2:133" ht="14.5">
      <c r="B60" s="167" t="s">
        <v>592</v>
      </c>
      <c r="C60" s="612">
        <f>IF(E60&gt;0,E60,D60)</f>
        <v>0.01</v>
      </c>
      <c r="D60" s="272">
        <f>'Geographic Par.'!C34</f>
        <v>12</v>
      </c>
      <c r="E60" s="257">
        <v>0.01</v>
      </c>
      <c r="F60" s="1692" t="s">
        <v>1983</v>
      </c>
      <c r="G60" s="120"/>
      <c r="H60" s="120"/>
      <c r="I60" s="120"/>
      <c r="J60" s="120"/>
      <c r="K60" s="120"/>
      <c r="L60" s="120"/>
      <c r="M60" s="120"/>
      <c r="N60" s="120"/>
      <c r="O60" s="120"/>
      <c r="P60" s="120"/>
      <c r="AZ60"/>
      <c r="BA60" s="261">
        <v>7</v>
      </c>
      <c r="BB60" s="113" t="s">
        <v>1511</v>
      </c>
      <c r="BC60" s="270" t="s">
        <v>649</v>
      </c>
      <c r="BZ60"/>
      <c r="CA60" s="261">
        <v>7</v>
      </c>
      <c r="CB60" s="113" t="s">
        <v>1516</v>
      </c>
      <c r="CC60" s="265"/>
      <c r="CZ60"/>
      <c r="DA60" s="261">
        <v>7</v>
      </c>
      <c r="DB60" s="113" t="s">
        <v>1499</v>
      </c>
      <c r="DC60" s="263" t="s">
        <v>1942</v>
      </c>
      <c r="DZ60"/>
      <c r="EA60" s="261">
        <v>5</v>
      </c>
      <c r="EB60" s="113" t="s">
        <v>1516</v>
      </c>
      <c r="EC60" s="263"/>
    </row>
    <row r="61" spans="2:133" ht="14.5">
      <c r="B61" s="147" t="s">
        <v>590</v>
      </c>
      <c r="C61" s="614">
        <f>IF(E61&gt;0,E61,D61)</f>
        <v>0.01</v>
      </c>
      <c r="D61" s="272">
        <f>'Geographic Par.'!C33</f>
        <v>8.8387096774193555E-2</v>
      </c>
      <c r="E61" s="260">
        <v>0.01</v>
      </c>
      <c r="F61" s="1692" t="s">
        <v>1984</v>
      </c>
      <c r="G61" s="120"/>
      <c r="H61" s="120" t="s">
        <v>305</v>
      </c>
      <c r="I61" s="120"/>
      <c r="J61" s="120"/>
      <c r="K61" s="120"/>
      <c r="L61" s="120"/>
      <c r="M61" s="120"/>
      <c r="N61" s="120"/>
      <c r="O61" s="120"/>
      <c r="P61" s="120"/>
      <c r="AZ61"/>
      <c r="BA61" s="261">
        <v>8</v>
      </c>
      <c r="BB61" s="113" t="s">
        <v>1516</v>
      </c>
      <c r="BC61" s="263" t="s">
        <v>650</v>
      </c>
      <c r="BZ61"/>
      <c r="CA61" s="261">
        <v>8</v>
      </c>
      <c r="CB61" s="113" t="s">
        <v>601</v>
      </c>
      <c r="CC61" s="271"/>
      <c r="CZ61"/>
      <c r="DA61" s="261">
        <v>8</v>
      </c>
      <c r="DB61" s="113" t="s">
        <v>1537</v>
      </c>
      <c r="DC61" s="270"/>
      <c r="DZ61"/>
      <c r="EA61" s="261">
        <v>6</v>
      </c>
      <c r="EB61" s="113" t="s">
        <v>1516</v>
      </c>
      <c r="EC61" s="263"/>
    </row>
    <row r="62" spans="2:133" ht="14.5">
      <c r="B62" s="267" t="s">
        <v>591</v>
      </c>
      <c r="C62" s="1255">
        <f>IF(E62&gt;0,E62,D62)</f>
        <v>2E-3</v>
      </c>
      <c r="D62" s="1240">
        <f>'Geographic Par.'!C35</f>
        <v>2E-3</v>
      </c>
      <c r="E62" s="269"/>
      <c r="G62" s="120"/>
      <c r="H62" s="120" t="s">
        <v>74</v>
      </c>
      <c r="I62" s="120" t="s">
        <v>77</v>
      </c>
      <c r="J62" s="120" t="s">
        <v>75</v>
      </c>
      <c r="K62" s="120" t="s">
        <v>76</v>
      </c>
      <c r="L62" s="120" t="s">
        <v>78</v>
      </c>
      <c r="M62" s="120" t="s">
        <v>302</v>
      </c>
      <c r="N62" s="120" t="s">
        <v>303</v>
      </c>
      <c r="O62" s="120" t="s">
        <v>296</v>
      </c>
      <c r="P62" s="120" t="s">
        <v>297</v>
      </c>
      <c r="AZ62"/>
      <c r="BA62" s="261">
        <v>9</v>
      </c>
      <c r="BB62" s="113" t="s">
        <v>1932</v>
      </c>
      <c r="BC62" s="271"/>
      <c r="BZ62"/>
      <c r="CA62" s="261">
        <v>9</v>
      </c>
      <c r="CB62" s="113" t="s">
        <v>1514</v>
      </c>
      <c r="CC62" s="271"/>
      <c r="CZ62"/>
      <c r="DA62" s="261">
        <v>9</v>
      </c>
      <c r="DB62" s="113" t="s">
        <v>1521</v>
      </c>
      <c r="DC62" s="270"/>
      <c r="DZ62"/>
      <c r="EA62" s="261">
        <v>7</v>
      </c>
      <c r="EB62" s="113" t="s">
        <v>1516</v>
      </c>
      <c r="EC62" s="263"/>
    </row>
    <row r="63" spans="2:133" ht="14.5">
      <c r="G63" s="120" t="s">
        <v>42</v>
      </c>
      <c r="H63" s="120">
        <v>1</v>
      </c>
      <c r="I63" s="120">
        <v>1</v>
      </c>
      <c r="J63" s="120"/>
      <c r="K63" s="120"/>
      <c r="L63" s="120">
        <v>2</v>
      </c>
      <c r="M63" s="120"/>
      <c r="N63" s="120"/>
      <c r="O63" s="120"/>
      <c r="P63" s="120"/>
      <c r="AZ63"/>
      <c r="BA63" s="261">
        <v>10</v>
      </c>
      <c r="BB63" s="113" t="s">
        <v>1516</v>
      </c>
      <c r="BC63" s="263" t="s">
        <v>1945</v>
      </c>
      <c r="BZ63"/>
      <c r="CA63" s="261">
        <v>10</v>
      </c>
      <c r="CB63" s="113" t="s">
        <v>1930</v>
      </c>
      <c r="CC63" s="265"/>
      <c r="CZ63"/>
      <c r="DA63" s="261">
        <v>10</v>
      </c>
      <c r="DB63" s="113" t="s">
        <v>435</v>
      </c>
      <c r="DC63" s="263"/>
      <c r="DZ63"/>
      <c r="EA63" s="261">
        <v>8</v>
      </c>
      <c r="EB63" s="113" t="s">
        <v>601</v>
      </c>
      <c r="EC63" s="270"/>
    </row>
    <row r="64" spans="2:133" ht="14.5">
      <c r="B64" s="133" t="s">
        <v>1893</v>
      </c>
      <c r="D64" s="1280" t="s">
        <v>1539</v>
      </c>
      <c r="G64" s="120" t="s">
        <v>1029</v>
      </c>
      <c r="H64" s="120">
        <v>1</v>
      </c>
      <c r="I64" s="223">
        <f>1/3</f>
        <v>0.33333333333333331</v>
      </c>
      <c r="J64" s="223">
        <f>1/3</f>
        <v>0.33333333333333331</v>
      </c>
      <c r="K64" s="223">
        <f>1/3</f>
        <v>0.33333333333333331</v>
      </c>
      <c r="L64" s="120">
        <v>2</v>
      </c>
      <c r="M64" s="120"/>
      <c r="N64" s="120"/>
      <c r="O64" s="120"/>
      <c r="P64" s="120"/>
      <c r="AZ64"/>
      <c r="BA64" s="261">
        <v>11</v>
      </c>
      <c r="BB64" s="113" t="s">
        <v>1516</v>
      </c>
      <c r="BC64" s="270" t="s">
        <v>1946</v>
      </c>
      <c r="BZ64"/>
      <c r="CA64" s="261">
        <v>11</v>
      </c>
      <c r="CB64" s="113" t="s">
        <v>611</v>
      </c>
      <c r="CC64" s="271"/>
      <c r="CZ64"/>
      <c r="DA64" s="261">
        <v>11</v>
      </c>
      <c r="DB64" s="113" t="s">
        <v>386</v>
      </c>
      <c r="DC64" s="270"/>
      <c r="DZ64"/>
      <c r="EA64" s="261">
        <v>9</v>
      </c>
      <c r="EB64" s="113" t="s">
        <v>1514</v>
      </c>
      <c r="EC64" s="270"/>
    </row>
    <row r="65" spans="2:133" ht="14.5">
      <c r="B65" s="143"/>
      <c r="C65" s="144" t="s">
        <v>51</v>
      </c>
      <c r="D65" s="144" t="s">
        <v>63</v>
      </c>
      <c r="E65" s="146" t="s">
        <v>52</v>
      </c>
      <c r="G65" s="120" t="s">
        <v>1540</v>
      </c>
      <c r="H65" s="120">
        <v>1</v>
      </c>
      <c r="I65" s="223">
        <v>0.2</v>
      </c>
      <c r="J65" s="223">
        <v>0.5</v>
      </c>
      <c r="K65" s="223">
        <v>0.3</v>
      </c>
      <c r="L65" s="120">
        <v>2</v>
      </c>
      <c r="M65" s="120"/>
      <c r="N65" s="120"/>
      <c r="O65" s="120"/>
      <c r="P65" s="120"/>
      <c r="AZ65"/>
      <c r="BA65" s="261">
        <v>12</v>
      </c>
      <c r="BB65" s="113" t="s">
        <v>435</v>
      </c>
      <c r="BC65" s="270" t="s">
        <v>660</v>
      </c>
      <c r="BZ65"/>
      <c r="CA65" s="261">
        <v>12</v>
      </c>
      <c r="CB65" s="113" t="s">
        <v>1521</v>
      </c>
      <c r="CC65" s="271"/>
      <c r="CZ65"/>
      <c r="DA65" s="261">
        <v>12</v>
      </c>
      <c r="DB65" s="113" t="s">
        <v>386</v>
      </c>
      <c r="DC65" s="270"/>
      <c r="DZ65"/>
      <c r="EA65" s="261">
        <v>10</v>
      </c>
      <c r="EB65" s="113" t="s">
        <v>1930</v>
      </c>
      <c r="EC65" s="263"/>
    </row>
    <row r="66" spans="2:133" ht="14.5">
      <c r="B66" s="147" t="s">
        <v>534</v>
      </c>
      <c r="C66" s="1256">
        <f t="shared" ref="C66:C72" si="7">IF(E66&gt;0,E66,D66)</f>
        <v>0.52999404748781942</v>
      </c>
      <c r="D66" s="275">
        <v>0.52999404748781942</v>
      </c>
      <c r="E66" s="1024">
        <f>IF(ISBLANK(Materials!D10),0,Materials!D10)</f>
        <v>0</v>
      </c>
      <c r="G66" s="120" t="s">
        <v>667</v>
      </c>
      <c r="H66" s="120">
        <v>1</v>
      </c>
      <c r="I66" s="223">
        <v>0.2</v>
      </c>
      <c r="J66" s="223">
        <v>0.6</v>
      </c>
      <c r="K66" s="223">
        <v>0.2</v>
      </c>
      <c r="L66" s="120">
        <v>2</v>
      </c>
      <c r="M66" s="120"/>
      <c r="N66" s="120"/>
      <c r="O66" s="120"/>
      <c r="P66" s="120"/>
      <c r="AZ66"/>
      <c r="BA66" s="261">
        <v>13</v>
      </c>
      <c r="BB66" s="113" t="s">
        <v>1521</v>
      </c>
      <c r="BC66" s="270"/>
      <c r="BZ66"/>
      <c r="CA66" s="261">
        <v>13</v>
      </c>
      <c r="CB66" s="113" t="s">
        <v>435</v>
      </c>
      <c r="CC66" s="271"/>
      <c r="CZ66"/>
      <c r="DA66" s="261">
        <v>13</v>
      </c>
      <c r="DB66" s="113" t="s">
        <v>386</v>
      </c>
      <c r="DC66" s="270"/>
      <c r="DZ66"/>
      <c r="EA66" s="261">
        <v>11</v>
      </c>
      <c r="EB66" s="113" t="s">
        <v>611</v>
      </c>
      <c r="EC66" s="270"/>
    </row>
    <row r="67" spans="2:133" ht="14.5">
      <c r="B67" s="147" t="s">
        <v>1302</v>
      </c>
      <c r="C67" s="1256">
        <f t="shared" si="7"/>
        <v>0.52999404748781942</v>
      </c>
      <c r="D67" s="275">
        <f>D66</f>
        <v>0.52999404748781942</v>
      </c>
      <c r="E67" s="1024">
        <f>IF(ISBLANK(Materials!D11),0,Materials!D11)</f>
        <v>0</v>
      </c>
      <c r="G67" s="120" t="s">
        <v>669</v>
      </c>
      <c r="H67" s="120">
        <v>1</v>
      </c>
      <c r="I67" s="223">
        <v>0.1</v>
      </c>
      <c r="J67" s="223">
        <v>0.8</v>
      </c>
      <c r="K67" s="223">
        <v>0.1</v>
      </c>
      <c r="L67" s="120">
        <v>2</v>
      </c>
      <c r="M67" s="120"/>
      <c r="N67" s="120"/>
      <c r="O67" s="120"/>
      <c r="P67" s="120"/>
      <c r="AZ67"/>
      <c r="BA67" s="261">
        <v>14</v>
      </c>
      <c r="BB67" s="113" t="s">
        <v>386</v>
      </c>
      <c r="BC67" s="270"/>
      <c r="BZ67"/>
      <c r="CA67" s="261">
        <v>14</v>
      </c>
      <c r="CB67" s="113" t="s">
        <v>386</v>
      </c>
      <c r="CC67" s="271"/>
      <c r="CZ67"/>
      <c r="DA67" s="261">
        <v>14</v>
      </c>
      <c r="DB67" s="113" t="s">
        <v>386</v>
      </c>
      <c r="DC67" s="270"/>
      <c r="DZ67"/>
      <c r="EA67" s="261">
        <v>12</v>
      </c>
      <c r="EB67" s="113" t="s">
        <v>1521</v>
      </c>
      <c r="EC67" s="270"/>
    </row>
    <row r="68" spans="2:133" ht="14.5">
      <c r="B68" s="147" t="s">
        <v>540</v>
      </c>
      <c r="C68" s="1256">
        <f t="shared" si="7"/>
        <v>0.52999404748781942</v>
      </c>
      <c r="D68" s="275">
        <f>D66</f>
        <v>0.52999404748781942</v>
      </c>
      <c r="E68" s="1024">
        <f>IF(ISBLANK(Materials!D12),0,Materials!D12)</f>
        <v>0</v>
      </c>
      <c r="G68" s="120" t="s">
        <v>301</v>
      </c>
      <c r="H68" s="120">
        <v>1</v>
      </c>
      <c r="I68" s="120"/>
      <c r="J68" s="120"/>
      <c r="K68" s="120"/>
      <c r="L68" s="120"/>
      <c r="M68" s="120">
        <v>1</v>
      </c>
      <c r="N68" s="120">
        <v>6</v>
      </c>
      <c r="O68" s="120"/>
      <c r="P68" s="120"/>
      <c r="AZ68"/>
      <c r="BA68" s="261">
        <v>15</v>
      </c>
      <c r="BB68" s="113" t="s">
        <v>1978</v>
      </c>
      <c r="BC68" s="263"/>
      <c r="BG68" s="115"/>
      <c r="BZ68"/>
      <c r="CA68" s="261">
        <v>15</v>
      </c>
      <c r="CB68" s="113" t="s">
        <v>386</v>
      </c>
      <c r="CC68" s="265"/>
      <c r="CZ68"/>
      <c r="DA68" s="261">
        <v>15</v>
      </c>
      <c r="DB68" s="113" t="s">
        <v>386</v>
      </c>
      <c r="DC68" s="263"/>
      <c r="DZ68"/>
      <c r="EA68" s="261">
        <v>13</v>
      </c>
      <c r="EB68" s="113" t="s">
        <v>435</v>
      </c>
      <c r="EC68" s="270"/>
    </row>
    <row r="69" spans="2:133" ht="14.5">
      <c r="B69" s="147" t="s">
        <v>645</v>
      </c>
      <c r="C69" s="1256">
        <f t="shared" si="7"/>
        <v>0.27006172839506171</v>
      </c>
      <c r="D69" s="258">
        <f>245/907.2</f>
        <v>0.27006172839506171</v>
      </c>
      <c r="E69" s="1024">
        <f>IF(ISBLANK(Materials!D13),0,Materials!D13)</f>
        <v>0</v>
      </c>
      <c r="G69" s="120" t="s">
        <v>73</v>
      </c>
      <c r="H69" s="120">
        <v>1</v>
      </c>
      <c r="I69" s="120">
        <v>0.15</v>
      </c>
      <c r="J69" s="120">
        <v>0.8</v>
      </c>
      <c r="K69" s="120"/>
      <c r="L69" s="120">
        <v>2</v>
      </c>
      <c r="M69" s="120"/>
      <c r="N69" s="120"/>
      <c r="O69" s="120">
        <v>0.05</v>
      </c>
      <c r="P69" s="120"/>
      <c r="AZ69"/>
      <c r="BA69" s="261">
        <v>16</v>
      </c>
      <c r="BB69" s="113" t="s">
        <v>386</v>
      </c>
      <c r="BC69" s="270"/>
      <c r="BZ69"/>
      <c r="CA69" s="261">
        <v>16</v>
      </c>
      <c r="CB69" s="273" t="s">
        <v>386</v>
      </c>
      <c r="CC69" s="265"/>
      <c r="CZ69"/>
      <c r="DA69" s="261">
        <v>16</v>
      </c>
      <c r="DB69" s="113" t="s">
        <v>386</v>
      </c>
      <c r="DC69" s="263"/>
      <c r="DZ69"/>
      <c r="EA69" s="261">
        <v>14</v>
      </c>
      <c r="EB69" s="113" t="s">
        <v>386</v>
      </c>
      <c r="EC69" s="270"/>
    </row>
    <row r="70" spans="2:133" ht="14.5">
      <c r="B70" s="147" t="s">
        <v>258</v>
      </c>
      <c r="C70" s="1256">
        <f t="shared" si="7"/>
        <v>1.9504980000000001</v>
      </c>
      <c r="D70" s="258">
        <v>1.9504980000000001</v>
      </c>
      <c r="E70" s="1024">
        <f>IF(ISBLANK(Materials!D14),0,Materials!D14)</f>
        <v>0</v>
      </c>
      <c r="G70" s="120" t="s">
        <v>148</v>
      </c>
      <c r="H70" s="120">
        <v>1</v>
      </c>
      <c r="I70" s="120"/>
      <c r="J70" s="120"/>
      <c r="K70" s="120">
        <v>2</v>
      </c>
      <c r="L70" s="120">
        <v>4</v>
      </c>
      <c r="M70" s="120"/>
      <c r="N70" s="120"/>
      <c r="O70" s="120"/>
      <c r="P70" s="120"/>
      <c r="AZ70"/>
      <c r="BA70" s="261">
        <v>17</v>
      </c>
      <c r="BB70" s="113" t="s">
        <v>386</v>
      </c>
      <c r="BC70" s="270"/>
      <c r="BZ70"/>
      <c r="CA70" s="261">
        <v>17</v>
      </c>
      <c r="CB70" s="113" t="s">
        <v>386</v>
      </c>
      <c r="CC70" s="265"/>
      <c r="CZ70"/>
      <c r="DA70" s="261">
        <v>17</v>
      </c>
      <c r="DB70" s="113" t="s">
        <v>386</v>
      </c>
      <c r="DC70" s="263"/>
      <c r="DZ70"/>
      <c r="EA70" s="261">
        <v>15</v>
      </c>
      <c r="EB70" s="113" t="s">
        <v>386</v>
      </c>
      <c r="EC70" s="263"/>
    </row>
    <row r="71" spans="2:133" ht="14.5">
      <c r="B71" s="147" t="s">
        <v>396</v>
      </c>
      <c r="C71" s="1256">
        <f t="shared" si="7"/>
        <v>0.3066358024691358</v>
      </c>
      <c r="D71" s="258">
        <f>278.18/907.2</f>
        <v>0.3066358024691358</v>
      </c>
      <c r="E71" s="1024">
        <f>IF(ISBLANK(Materials!D15),0,Materials!D15)</f>
        <v>0</v>
      </c>
      <c r="G71" s="120" t="s">
        <v>149</v>
      </c>
      <c r="H71" s="120">
        <v>1</v>
      </c>
      <c r="I71" s="120"/>
      <c r="J71" s="120"/>
      <c r="K71" s="120"/>
      <c r="L71" s="120">
        <v>4</v>
      </c>
      <c r="M71" s="120">
        <v>1</v>
      </c>
      <c r="N71" s="120"/>
      <c r="O71" s="120"/>
      <c r="P71" s="120">
        <v>1</v>
      </c>
      <c r="AZ71"/>
      <c r="BA71" s="261">
        <v>18</v>
      </c>
      <c r="BB71" s="113" t="s">
        <v>386</v>
      </c>
      <c r="BC71" s="270"/>
      <c r="BZ71"/>
      <c r="CA71" s="261">
        <v>18</v>
      </c>
      <c r="CB71" s="113" t="s">
        <v>386</v>
      </c>
      <c r="CC71" s="265"/>
      <c r="CZ71"/>
      <c r="DA71" s="261">
        <v>18</v>
      </c>
      <c r="DB71" s="113" t="s">
        <v>386</v>
      </c>
      <c r="DC71" s="263"/>
      <c r="DZ71"/>
      <c r="EA71" s="261">
        <v>16</v>
      </c>
      <c r="EB71" s="113" t="s">
        <v>386</v>
      </c>
      <c r="EC71" s="263"/>
    </row>
    <row r="72" spans="2:133" ht="14.5">
      <c r="B72" s="147" t="s">
        <v>395</v>
      </c>
      <c r="C72" s="1256">
        <f t="shared" si="7"/>
        <v>0.56550992912642917</v>
      </c>
      <c r="D72" s="275">
        <v>0.56550992912642917</v>
      </c>
      <c r="E72" s="1024">
        <f>IF(ISBLANK(Materials!D16),0,Materials!D16)</f>
        <v>0</v>
      </c>
      <c r="G72" s="120"/>
      <c r="H72" s="120" t="s">
        <v>304</v>
      </c>
      <c r="I72" s="120"/>
      <c r="J72" s="120"/>
      <c r="K72" s="120"/>
      <c r="L72" s="120"/>
      <c r="M72" s="120"/>
      <c r="N72" s="120"/>
      <c r="O72" s="120"/>
      <c r="P72" s="120"/>
      <c r="Q72" s="120"/>
      <c r="R72" s="120"/>
      <c r="AZ72"/>
      <c r="BA72" s="261">
        <v>19</v>
      </c>
      <c r="BB72" s="113" t="s">
        <v>386</v>
      </c>
      <c r="BC72" s="270"/>
      <c r="BZ72"/>
      <c r="CA72" s="261">
        <v>19</v>
      </c>
      <c r="CB72" s="113" t="s">
        <v>386</v>
      </c>
      <c r="CC72" s="265"/>
      <c r="CZ72"/>
      <c r="DA72" s="261">
        <v>19</v>
      </c>
      <c r="DB72" s="113" t="s">
        <v>386</v>
      </c>
      <c r="DC72" s="263"/>
      <c r="DZ72"/>
      <c r="EA72" s="261">
        <v>17</v>
      </c>
      <c r="EB72" s="113" t="s">
        <v>386</v>
      </c>
      <c r="EC72" s="263"/>
    </row>
    <row r="73" spans="2:133" ht="14.5">
      <c r="B73" s="147" t="s">
        <v>259</v>
      </c>
      <c r="C73" s="1256">
        <f t="shared" ref="C73:C86" si="8">IF(E73&gt;0,E73,D73)</f>
        <v>1.4594</v>
      </c>
      <c r="D73" s="275">
        <v>1.4594</v>
      </c>
      <c r="E73" s="1024">
        <f>IF(ISBLANK(Materials!D17),0,Materials!D17)</f>
        <v>0</v>
      </c>
      <c r="G73" s="120"/>
      <c r="H73" s="120" t="s">
        <v>74</v>
      </c>
      <c r="I73" s="120" t="s">
        <v>77</v>
      </c>
      <c r="J73" s="120" t="s">
        <v>75</v>
      </c>
      <c r="K73" s="120" t="s">
        <v>76</v>
      </c>
      <c r="L73" s="120" t="s">
        <v>78</v>
      </c>
      <c r="M73" s="120" t="s">
        <v>302</v>
      </c>
      <c r="N73" s="120" t="s">
        <v>303</v>
      </c>
      <c r="O73" s="120" t="s">
        <v>296</v>
      </c>
      <c r="P73" s="120" t="s">
        <v>297</v>
      </c>
      <c r="Q73" s="120" t="s">
        <v>193</v>
      </c>
      <c r="R73" s="120" t="s">
        <v>1486</v>
      </c>
      <c r="AZ73"/>
      <c r="BA73" s="261">
        <v>20</v>
      </c>
      <c r="BB73" s="113" t="s">
        <v>386</v>
      </c>
      <c r="BC73" s="263"/>
      <c r="BZ73"/>
      <c r="CA73" s="261">
        <v>20</v>
      </c>
      <c r="CB73" s="113" t="s">
        <v>386</v>
      </c>
      <c r="CC73" s="265"/>
      <c r="CZ73"/>
      <c r="DA73" s="261">
        <v>20</v>
      </c>
      <c r="DB73" s="113" t="s">
        <v>386</v>
      </c>
      <c r="DC73" s="263"/>
      <c r="DZ73"/>
      <c r="EA73" s="261">
        <v>18</v>
      </c>
      <c r="EB73" s="113" t="s">
        <v>386</v>
      </c>
      <c r="EC73" s="263"/>
    </row>
    <row r="74" spans="2:133" ht="14.5">
      <c r="B74" s="147" t="s">
        <v>400</v>
      </c>
      <c r="C74" s="1256">
        <f t="shared" si="8"/>
        <v>0.13166</v>
      </c>
      <c r="D74" s="275">
        <v>0.13166</v>
      </c>
      <c r="E74" s="1024">
        <f>IF(ISBLANK(Materials!D18),0,Materials!D18)</f>
        <v>0</v>
      </c>
      <c r="G74" s="120" t="s">
        <v>42</v>
      </c>
      <c r="H74" s="223">
        <f t="shared" ref="H74:P74" si="9">H63*H$59</f>
        <v>6.94</v>
      </c>
      <c r="I74" s="223">
        <f t="shared" si="9"/>
        <v>58.933</v>
      </c>
      <c r="J74" s="223">
        <f t="shared" si="9"/>
        <v>0</v>
      </c>
      <c r="K74" s="223">
        <f t="shared" si="9"/>
        <v>0</v>
      </c>
      <c r="L74" s="223">
        <f t="shared" si="9"/>
        <v>31.998000000000001</v>
      </c>
      <c r="M74" s="223">
        <f t="shared" si="9"/>
        <v>0</v>
      </c>
      <c r="N74" s="223">
        <f t="shared" si="9"/>
        <v>0</v>
      </c>
      <c r="O74" s="223">
        <f t="shared" si="9"/>
        <v>0</v>
      </c>
      <c r="P74" s="223">
        <f t="shared" si="9"/>
        <v>0</v>
      </c>
      <c r="Q74" s="223">
        <f>SUM(H74:P74)</f>
        <v>97.871000000000009</v>
      </c>
      <c r="R74" s="1210">
        <f>I74/Q74</f>
        <v>0.60214976857291735</v>
      </c>
      <c r="AZ74"/>
      <c r="BA74" s="261">
        <v>21</v>
      </c>
      <c r="BB74" s="113" t="s">
        <v>386</v>
      </c>
      <c r="BC74" s="270"/>
      <c r="BZ74"/>
      <c r="CA74" s="261">
        <v>21</v>
      </c>
      <c r="CB74" s="113" t="s">
        <v>386</v>
      </c>
      <c r="CC74" s="271"/>
      <c r="CZ74"/>
      <c r="DA74" s="261">
        <v>21</v>
      </c>
      <c r="DB74" s="113" t="s">
        <v>386</v>
      </c>
      <c r="DC74" s="270"/>
      <c r="DZ74"/>
      <c r="EA74" s="261">
        <v>19</v>
      </c>
      <c r="EB74" s="113" t="s">
        <v>386</v>
      </c>
      <c r="EC74" s="263"/>
    </row>
    <row r="75" spans="2:133" ht="14.5">
      <c r="B75" s="147" t="s">
        <v>38</v>
      </c>
      <c r="C75" s="1256">
        <f t="shared" si="8"/>
        <v>0.13166</v>
      </c>
      <c r="D75" s="275">
        <f>D74</f>
        <v>0.13166</v>
      </c>
      <c r="E75" s="1024">
        <f>IF(ISBLANK(Materials!D19),0,Materials!D19)</f>
        <v>0</v>
      </c>
      <c r="G75" s="120" t="s">
        <v>1029</v>
      </c>
      <c r="H75" s="223">
        <f t="shared" ref="H75:P75" si="10">H64*H$59</f>
        <v>6.94</v>
      </c>
      <c r="I75" s="223">
        <f t="shared" si="10"/>
        <v>19.644333333333332</v>
      </c>
      <c r="J75" s="223">
        <f t="shared" si="10"/>
        <v>19.56433333333333</v>
      </c>
      <c r="K75" s="223">
        <f t="shared" si="10"/>
        <v>18.312666666666665</v>
      </c>
      <c r="L75" s="223">
        <f t="shared" si="10"/>
        <v>31.998000000000001</v>
      </c>
      <c r="M75" s="223">
        <f t="shared" si="10"/>
        <v>0</v>
      </c>
      <c r="N75" s="223">
        <f t="shared" si="10"/>
        <v>0</v>
      </c>
      <c r="O75" s="223">
        <f t="shared" si="10"/>
        <v>0</v>
      </c>
      <c r="P75" s="223">
        <f t="shared" si="10"/>
        <v>0</v>
      </c>
      <c r="Q75" s="223">
        <f>SUM(H75:P75)</f>
        <v>96.459333333333333</v>
      </c>
      <c r="R75" s="1210">
        <f>I75/Q75</f>
        <v>0.20365404419133451</v>
      </c>
      <c r="AZ75"/>
      <c r="BA75" s="261">
        <v>22</v>
      </c>
      <c r="BB75" s="113" t="s">
        <v>386</v>
      </c>
      <c r="BC75" s="270"/>
      <c r="BZ75"/>
      <c r="CA75" s="261">
        <v>22</v>
      </c>
      <c r="CB75" s="113" t="s">
        <v>386</v>
      </c>
      <c r="CC75" s="271"/>
      <c r="CZ75"/>
      <c r="DA75" s="261">
        <v>22</v>
      </c>
      <c r="DB75" s="113" t="s">
        <v>386</v>
      </c>
      <c r="DC75" s="270"/>
      <c r="DZ75"/>
      <c r="EA75" s="261">
        <v>20</v>
      </c>
      <c r="EB75" s="113" t="s">
        <v>386</v>
      </c>
      <c r="EC75" s="263"/>
    </row>
    <row r="76" spans="2:133" ht="14.5">
      <c r="B76" s="147" t="s">
        <v>399</v>
      </c>
      <c r="C76" s="1256">
        <f t="shared" si="8"/>
        <v>17.14</v>
      </c>
      <c r="D76" s="275">
        <v>17.14</v>
      </c>
      <c r="E76" s="1024">
        <f>IF(ISBLANK(Materials!D20),0,Materials!D20)</f>
        <v>0</v>
      </c>
      <c r="G76" s="120" t="s">
        <v>1540</v>
      </c>
      <c r="H76" s="223">
        <f t="shared" ref="H76:P76" si="11">H65*H$59</f>
        <v>6.94</v>
      </c>
      <c r="I76" s="223">
        <f t="shared" si="11"/>
        <v>11.7866</v>
      </c>
      <c r="J76" s="223">
        <f t="shared" si="11"/>
        <v>29.346499999999999</v>
      </c>
      <c r="K76" s="223">
        <f t="shared" si="11"/>
        <v>16.481400000000001</v>
      </c>
      <c r="L76" s="223">
        <f t="shared" si="11"/>
        <v>31.998000000000001</v>
      </c>
      <c r="M76" s="223">
        <f t="shared" si="11"/>
        <v>0</v>
      </c>
      <c r="N76" s="223">
        <f t="shared" si="11"/>
        <v>0</v>
      </c>
      <c r="O76" s="223">
        <f t="shared" si="11"/>
        <v>0</v>
      </c>
      <c r="P76" s="223">
        <f t="shared" si="11"/>
        <v>0</v>
      </c>
      <c r="Q76" s="223">
        <f>SUM(H76:P76)</f>
        <v>96.552499999999995</v>
      </c>
      <c r="R76" s="1210">
        <f>I76/Q76</f>
        <v>0.1220745190440434</v>
      </c>
      <c r="AZ76"/>
      <c r="BA76" s="261">
        <v>23</v>
      </c>
      <c r="BB76" s="113" t="s">
        <v>386</v>
      </c>
      <c r="BC76" s="270"/>
      <c r="BZ76"/>
      <c r="CA76" s="261">
        <v>23</v>
      </c>
      <c r="CB76" s="113" t="s">
        <v>386</v>
      </c>
      <c r="CC76" s="271"/>
      <c r="CZ76"/>
      <c r="DA76" s="261">
        <v>23</v>
      </c>
      <c r="DB76" s="113" t="s">
        <v>386</v>
      </c>
      <c r="DC76" s="270"/>
      <c r="DZ76"/>
      <c r="EA76" s="261">
        <v>21</v>
      </c>
      <c r="EB76" s="113" t="s">
        <v>386</v>
      </c>
      <c r="EC76" s="270"/>
    </row>
    <row r="77" spans="2:133" ht="14.5">
      <c r="B77" s="147" t="s">
        <v>546</v>
      </c>
      <c r="C77" s="1256">
        <f>IF(E77&gt;0,E77,D77)</f>
        <v>34.893805309734503</v>
      </c>
      <c r="D77" s="275">
        <v>34.893805309734503</v>
      </c>
      <c r="E77" s="1024">
        <f>IF(ISBLANK(Materials!D21),0,Materials!D21)</f>
        <v>0</v>
      </c>
      <c r="G77" s="120" t="s">
        <v>667</v>
      </c>
      <c r="H77" s="223">
        <f t="shared" ref="H77:P77" si="12">H66*H$59</f>
        <v>6.94</v>
      </c>
      <c r="I77" s="223">
        <f t="shared" si="12"/>
        <v>11.7866</v>
      </c>
      <c r="J77" s="223">
        <f t="shared" si="12"/>
        <v>35.215799999999994</v>
      </c>
      <c r="K77" s="223">
        <f t="shared" si="12"/>
        <v>10.9876</v>
      </c>
      <c r="L77" s="223">
        <f t="shared" si="12"/>
        <v>31.998000000000001</v>
      </c>
      <c r="M77" s="223">
        <f t="shared" si="12"/>
        <v>0</v>
      </c>
      <c r="N77" s="223">
        <f t="shared" si="12"/>
        <v>0</v>
      </c>
      <c r="O77" s="223">
        <f t="shared" si="12"/>
        <v>0</v>
      </c>
      <c r="P77" s="223">
        <f t="shared" si="12"/>
        <v>0</v>
      </c>
      <c r="Q77" s="223">
        <f t="shared" ref="Q77:Q82" si="13">SUM(H77:P77)</f>
        <v>96.927999999999997</v>
      </c>
      <c r="R77" s="1210">
        <f t="shared" ref="R77:R82" si="14">I77/Q77</f>
        <v>0.12160160118851106</v>
      </c>
      <c r="AZ77"/>
      <c r="BA77" s="261">
        <v>24</v>
      </c>
      <c r="BB77" s="113" t="s">
        <v>386</v>
      </c>
      <c r="BC77" s="270"/>
      <c r="BZ77"/>
      <c r="CA77" s="261">
        <v>24</v>
      </c>
      <c r="CB77" s="113" t="s">
        <v>386</v>
      </c>
      <c r="CC77" s="271"/>
      <c r="CZ77"/>
      <c r="DA77" s="261">
        <v>24</v>
      </c>
      <c r="DB77" s="113" t="s">
        <v>386</v>
      </c>
      <c r="DC77" s="270"/>
      <c r="DZ77"/>
      <c r="EA77" s="261">
        <v>22</v>
      </c>
      <c r="EB77" s="113" t="s">
        <v>386</v>
      </c>
      <c r="EC77" s="270"/>
    </row>
    <row r="78" spans="2:133" ht="14.5">
      <c r="B78" s="147" t="s">
        <v>67</v>
      </c>
      <c r="C78" s="1256">
        <f t="shared" si="8"/>
        <v>2.7</v>
      </c>
      <c r="D78" s="258">
        <f>'BatPaC IO'!E5</f>
        <v>2.7</v>
      </c>
      <c r="E78" s="1024">
        <f>IF(ISBLANK(Materials!D23),0,Materials!D23)</f>
        <v>0</v>
      </c>
      <c r="G78" s="120" t="s">
        <v>669</v>
      </c>
      <c r="H78" s="223">
        <f t="shared" ref="H78:P78" si="15">H67*H$59</f>
        <v>6.94</v>
      </c>
      <c r="I78" s="223">
        <f t="shared" si="15"/>
        <v>5.8933</v>
      </c>
      <c r="J78" s="223">
        <f t="shared" si="15"/>
        <v>46.9544</v>
      </c>
      <c r="K78" s="223">
        <f t="shared" si="15"/>
        <v>5.4938000000000002</v>
      </c>
      <c r="L78" s="223">
        <f t="shared" si="15"/>
        <v>31.998000000000001</v>
      </c>
      <c r="M78" s="223">
        <f t="shared" si="15"/>
        <v>0</v>
      </c>
      <c r="N78" s="223">
        <f t="shared" si="15"/>
        <v>0</v>
      </c>
      <c r="O78" s="223">
        <f t="shared" si="15"/>
        <v>0</v>
      </c>
      <c r="P78" s="223">
        <f t="shared" si="15"/>
        <v>0</v>
      </c>
      <c r="Q78" s="223">
        <f t="shared" si="13"/>
        <v>97.279499999999999</v>
      </c>
      <c r="R78" s="1210">
        <f t="shared" si="14"/>
        <v>6.0581109072312254E-2</v>
      </c>
      <c r="AZ78"/>
      <c r="BA78" s="261">
        <v>25</v>
      </c>
      <c r="BB78" s="113" t="s">
        <v>386</v>
      </c>
      <c r="BC78" s="263"/>
      <c r="BZ78"/>
      <c r="CA78" s="261">
        <v>25</v>
      </c>
      <c r="CB78" s="113" t="s">
        <v>386</v>
      </c>
      <c r="CC78" s="265"/>
      <c r="CZ78"/>
      <c r="DA78" s="261">
        <v>25</v>
      </c>
      <c r="DB78" s="113" t="s">
        <v>386</v>
      </c>
      <c r="DC78" s="263"/>
      <c r="DZ78"/>
      <c r="EA78" s="261">
        <v>23</v>
      </c>
      <c r="EB78" s="113" t="s">
        <v>386</v>
      </c>
      <c r="EC78" s="270"/>
    </row>
    <row r="79" spans="2:133" ht="14.5">
      <c r="B79" s="147" t="s">
        <v>525</v>
      </c>
      <c r="C79" s="1256">
        <f t="shared" si="8"/>
        <v>0.2</v>
      </c>
      <c r="D79" s="275">
        <v>0.2</v>
      </c>
      <c r="E79" s="1024">
        <f>IF(ISBLANK(Materials!D24),0,Materials!D24)</f>
        <v>0</v>
      </c>
      <c r="G79" s="120" t="s">
        <v>301</v>
      </c>
      <c r="H79" s="223">
        <f t="shared" ref="H79:P79" si="16">H68*H$59</f>
        <v>6.94</v>
      </c>
      <c r="I79" s="223">
        <f t="shared" si="16"/>
        <v>0</v>
      </c>
      <c r="J79" s="223">
        <f t="shared" si="16"/>
        <v>0</v>
      </c>
      <c r="K79" s="223">
        <f t="shared" si="16"/>
        <v>0</v>
      </c>
      <c r="L79" s="223">
        <f t="shared" si="16"/>
        <v>0</v>
      </c>
      <c r="M79" s="223">
        <f t="shared" si="16"/>
        <v>30.974</v>
      </c>
      <c r="N79" s="223">
        <f t="shared" si="16"/>
        <v>113.988</v>
      </c>
      <c r="O79" s="223">
        <f t="shared" si="16"/>
        <v>0</v>
      </c>
      <c r="P79" s="223">
        <f t="shared" si="16"/>
        <v>0</v>
      </c>
      <c r="Q79" s="223">
        <f t="shared" si="13"/>
        <v>151.90199999999999</v>
      </c>
      <c r="R79" s="1210">
        <f t="shared" si="14"/>
        <v>0</v>
      </c>
      <c r="AZ79"/>
      <c r="BA79" s="261">
        <v>26</v>
      </c>
      <c r="BB79" s="113" t="s">
        <v>386</v>
      </c>
      <c r="BC79" s="270"/>
      <c r="BZ79"/>
      <c r="CA79" s="261">
        <v>26</v>
      </c>
      <c r="CB79" s="113" t="s">
        <v>386</v>
      </c>
      <c r="CC79" s="271"/>
      <c r="CZ79"/>
      <c r="DA79" s="261">
        <v>26</v>
      </c>
      <c r="DB79" s="113" t="s">
        <v>386</v>
      </c>
      <c r="DC79" s="270"/>
      <c r="DZ79"/>
      <c r="EA79" s="261">
        <v>24</v>
      </c>
      <c r="EB79" s="113" t="s">
        <v>386</v>
      </c>
      <c r="EC79" s="270"/>
    </row>
    <row r="80" spans="2:133" ht="14.5">
      <c r="B80" s="147" t="s">
        <v>544</v>
      </c>
      <c r="C80" s="1256">
        <f t="shared" si="8"/>
        <v>1.1419999999999999</v>
      </c>
      <c r="D80" s="275">
        <v>1.1419999999999999</v>
      </c>
      <c r="E80" s="1024">
        <f>IF(ISBLANK(Materials!D25),0,Materials!D25)</f>
        <v>0</v>
      </c>
      <c r="G80" s="120" t="s">
        <v>73</v>
      </c>
      <c r="H80" s="223">
        <f t="shared" ref="H80:P80" si="17">H69*H$59</f>
        <v>6.94</v>
      </c>
      <c r="I80" s="223">
        <f t="shared" si="17"/>
        <v>8.83995</v>
      </c>
      <c r="J80" s="223">
        <f t="shared" si="17"/>
        <v>46.9544</v>
      </c>
      <c r="K80" s="223">
        <f t="shared" si="17"/>
        <v>0</v>
      </c>
      <c r="L80" s="223">
        <f t="shared" si="17"/>
        <v>31.998000000000001</v>
      </c>
      <c r="M80" s="223">
        <f t="shared" si="17"/>
        <v>0</v>
      </c>
      <c r="N80" s="223">
        <f t="shared" si="17"/>
        <v>0</v>
      </c>
      <c r="O80" s="223">
        <f t="shared" si="17"/>
        <v>1.3491</v>
      </c>
      <c r="P80" s="223">
        <f t="shared" si="17"/>
        <v>0</v>
      </c>
      <c r="Q80" s="223">
        <f t="shared" si="13"/>
        <v>96.08144999999999</v>
      </c>
      <c r="R80" s="1210">
        <f t="shared" si="14"/>
        <v>9.2004752218040012E-2</v>
      </c>
      <c r="AZ80"/>
      <c r="BA80" s="261">
        <v>27</v>
      </c>
      <c r="BB80" s="113" t="s">
        <v>386</v>
      </c>
      <c r="BC80" s="270"/>
      <c r="BZ80"/>
      <c r="CA80" s="261">
        <v>27</v>
      </c>
      <c r="CB80" s="113" t="s">
        <v>386</v>
      </c>
      <c r="CC80" s="271"/>
      <c r="CZ80"/>
      <c r="DA80" s="261">
        <v>27</v>
      </c>
      <c r="DB80" s="113" t="s">
        <v>386</v>
      </c>
      <c r="DC80" s="270"/>
      <c r="DZ80"/>
      <c r="EA80" s="261">
        <v>25</v>
      </c>
      <c r="EB80" s="113" t="s">
        <v>386</v>
      </c>
      <c r="EC80" s="263"/>
    </row>
    <row r="81" spans="2:133" ht="14.5">
      <c r="B81" s="147" t="s">
        <v>39</v>
      </c>
      <c r="C81" s="1256">
        <f t="shared" si="8"/>
        <v>4.6420000000000003E-2</v>
      </c>
      <c r="D81" s="258">
        <v>4.6420000000000003E-2</v>
      </c>
      <c r="E81" s="1024">
        <f>IF(ISBLANK(Materials!D26),0,Materials!D26)</f>
        <v>0</v>
      </c>
      <c r="G81" s="120" t="s">
        <v>148</v>
      </c>
      <c r="H81" s="223">
        <f t="shared" ref="H81:P81" si="18">H70*H$59</f>
        <v>6.94</v>
      </c>
      <c r="I81" s="223">
        <f t="shared" si="18"/>
        <v>0</v>
      </c>
      <c r="J81" s="223">
        <f t="shared" si="18"/>
        <v>0</v>
      </c>
      <c r="K81" s="223">
        <f t="shared" si="18"/>
        <v>109.876</v>
      </c>
      <c r="L81" s="223">
        <f t="shared" si="18"/>
        <v>63.996000000000002</v>
      </c>
      <c r="M81" s="223">
        <f t="shared" si="18"/>
        <v>0</v>
      </c>
      <c r="N81" s="223">
        <f t="shared" si="18"/>
        <v>0</v>
      </c>
      <c r="O81" s="223">
        <f t="shared" si="18"/>
        <v>0</v>
      </c>
      <c r="P81" s="223">
        <f t="shared" si="18"/>
        <v>0</v>
      </c>
      <c r="Q81" s="223">
        <f t="shared" si="13"/>
        <v>180.81200000000001</v>
      </c>
      <c r="R81" s="1210">
        <f t="shared" si="14"/>
        <v>0</v>
      </c>
      <c r="AZ81"/>
      <c r="BA81" s="261">
        <v>28</v>
      </c>
      <c r="BB81" s="113" t="s">
        <v>386</v>
      </c>
      <c r="BC81" s="270"/>
      <c r="BZ81"/>
      <c r="CA81" s="261">
        <v>28</v>
      </c>
      <c r="CB81" s="113" t="s">
        <v>386</v>
      </c>
      <c r="CC81" s="271"/>
      <c r="CZ81"/>
      <c r="DA81" s="261">
        <v>28</v>
      </c>
      <c r="DB81" s="113" t="s">
        <v>386</v>
      </c>
      <c r="DC81" s="270"/>
      <c r="DZ81"/>
      <c r="EA81" s="261">
        <v>26</v>
      </c>
      <c r="EB81" s="113" t="s">
        <v>386</v>
      </c>
      <c r="EC81" s="270"/>
    </row>
    <row r="82" spans="2:133" ht="14.5">
      <c r="B82" s="147" t="s">
        <v>402</v>
      </c>
      <c r="C82" s="1256">
        <f t="shared" si="8"/>
        <v>0.02</v>
      </c>
      <c r="D82" s="258">
        <v>0.02</v>
      </c>
      <c r="E82" s="1024">
        <f>IF(ISBLANK(Materials!D27),0,Materials!D27)</f>
        <v>0</v>
      </c>
      <c r="G82" s="120" t="s">
        <v>149</v>
      </c>
      <c r="H82" s="223">
        <f t="shared" ref="H82:P82" si="19">H71*H$59</f>
        <v>6.94</v>
      </c>
      <c r="I82" s="223">
        <f t="shared" si="19"/>
        <v>0</v>
      </c>
      <c r="J82" s="223">
        <f t="shared" si="19"/>
        <v>0</v>
      </c>
      <c r="K82" s="223">
        <f t="shared" si="19"/>
        <v>0</v>
      </c>
      <c r="L82" s="223">
        <f t="shared" si="19"/>
        <v>63.996000000000002</v>
      </c>
      <c r="M82" s="223">
        <f t="shared" si="19"/>
        <v>30.974</v>
      </c>
      <c r="N82" s="223">
        <f t="shared" si="19"/>
        <v>0</v>
      </c>
      <c r="O82" s="223">
        <f t="shared" si="19"/>
        <v>0</v>
      </c>
      <c r="P82" s="223">
        <f t="shared" si="19"/>
        <v>55.844999999999999</v>
      </c>
      <c r="Q82" s="223">
        <f t="shared" si="13"/>
        <v>157.755</v>
      </c>
      <c r="R82" s="1210">
        <f t="shared" si="14"/>
        <v>0</v>
      </c>
      <c r="AZ82"/>
      <c r="BA82" s="261">
        <v>29</v>
      </c>
      <c r="BB82" s="113" t="s">
        <v>386</v>
      </c>
      <c r="BC82" s="270"/>
      <c r="BZ82"/>
      <c r="CA82" s="261">
        <v>29</v>
      </c>
      <c r="CB82" s="113" t="s">
        <v>386</v>
      </c>
      <c r="CC82" s="271"/>
      <c r="CZ82"/>
      <c r="DA82" s="261">
        <v>29</v>
      </c>
      <c r="DB82" s="113" t="s">
        <v>386</v>
      </c>
      <c r="DC82" s="270"/>
      <c r="DZ82"/>
      <c r="EA82" s="261">
        <v>27</v>
      </c>
      <c r="EB82" s="113" t="s">
        <v>386</v>
      </c>
      <c r="EC82" s="270"/>
    </row>
    <row r="83" spans="2:133" ht="14.5">
      <c r="B83" s="147" t="s">
        <v>401</v>
      </c>
      <c r="C83" s="1256">
        <f t="shared" si="8"/>
        <v>0.02</v>
      </c>
      <c r="D83" s="258">
        <v>0.02</v>
      </c>
      <c r="E83" s="1024">
        <f>IF(ISBLANK(Materials!D28),0,Materials!D28)</f>
        <v>0</v>
      </c>
      <c r="G83" s="111">
        <v>1</v>
      </c>
      <c r="H83" s="111">
        <v>2</v>
      </c>
      <c r="I83" s="111">
        <v>3</v>
      </c>
      <c r="J83" s="111">
        <v>4</v>
      </c>
      <c r="K83" s="111">
        <v>5</v>
      </c>
      <c r="L83" s="111">
        <v>6</v>
      </c>
      <c r="M83" s="111">
        <v>7</v>
      </c>
      <c r="N83" s="111">
        <v>8</v>
      </c>
      <c r="O83" s="111">
        <v>9</v>
      </c>
      <c r="P83" s="111">
        <v>10</v>
      </c>
      <c r="Q83" s="111">
        <v>11</v>
      </c>
      <c r="R83" s="111">
        <v>12</v>
      </c>
      <c r="AZ83"/>
      <c r="BA83" s="261">
        <v>30</v>
      </c>
      <c r="BB83" s="113" t="s">
        <v>386</v>
      </c>
      <c r="BC83" s="276"/>
      <c r="BZ83"/>
      <c r="CA83" s="261">
        <v>30</v>
      </c>
      <c r="CB83" s="113" t="s">
        <v>386</v>
      </c>
      <c r="CC83" s="277"/>
      <c r="CZ83"/>
      <c r="DA83" s="261">
        <v>30</v>
      </c>
      <c r="DB83" s="113" t="s">
        <v>386</v>
      </c>
      <c r="DC83" s="276"/>
      <c r="DZ83"/>
      <c r="EA83" s="261">
        <v>28</v>
      </c>
      <c r="EB83" s="113" t="s">
        <v>386</v>
      </c>
      <c r="EC83" s="270"/>
    </row>
    <row r="84" spans="2:133" ht="14.5">
      <c r="B84" s="147" t="s">
        <v>391</v>
      </c>
      <c r="C84" s="1256">
        <f t="shared" si="8"/>
        <v>0.14319999999999999</v>
      </c>
      <c r="D84" s="258">
        <v>0.14319999999999999</v>
      </c>
      <c r="E84" s="1024">
        <f>IF(ISBLANK(Materials!D29),0,Materials!D29)</f>
        <v>0</v>
      </c>
      <c r="L84" s="120" t="s">
        <v>1625</v>
      </c>
      <c r="M84" s="120" t="s">
        <v>1624</v>
      </c>
      <c r="CZ84"/>
      <c r="DZ84"/>
      <c r="EA84" s="261">
        <v>29</v>
      </c>
      <c r="EB84" s="113" t="s">
        <v>386</v>
      </c>
      <c r="EC84" s="270"/>
    </row>
    <row r="85" spans="2:133" ht="14.5">
      <c r="B85" s="147" t="s">
        <v>539</v>
      </c>
      <c r="C85" s="1256">
        <f t="shared" si="8"/>
        <v>0.45</v>
      </c>
      <c r="D85" s="275">
        <v>0.45</v>
      </c>
      <c r="E85" s="1024">
        <f>IF(ISBLANK(Materials!D30),0,Materials!D30)</f>
        <v>0</v>
      </c>
      <c r="L85" s="120">
        <f>N59*2</f>
        <v>37.996000000000002</v>
      </c>
      <c r="M85" s="120">
        <f>(N59+Q59+R59)*2</f>
        <v>64.034000000000006</v>
      </c>
      <c r="BB85" s="133" t="s">
        <v>1908</v>
      </c>
      <c r="BC85"/>
      <c r="BD85"/>
      <c r="BE85"/>
      <c r="BF85"/>
      <c r="CB85" s="133" t="s">
        <v>1908</v>
      </c>
      <c r="CC85"/>
      <c r="CD85"/>
      <c r="CE85"/>
      <c r="CF85"/>
      <c r="DB85" s="133" t="s">
        <v>1908</v>
      </c>
      <c r="DZ85"/>
      <c r="EA85" s="261">
        <v>30</v>
      </c>
      <c r="EB85" s="113" t="s">
        <v>386</v>
      </c>
      <c r="EC85" s="276"/>
    </row>
    <row r="86" spans="2:133">
      <c r="B86" s="1183" t="s">
        <v>538</v>
      </c>
      <c r="C86" s="1257">
        <f t="shared" si="8"/>
        <v>8.3358565256891184E-2</v>
      </c>
      <c r="D86" s="973">
        <v>8.3358565256891184E-2</v>
      </c>
      <c r="E86" s="1354">
        <f>IF(ISBLANK(Materials!D31),0,Materials!D31)</f>
        <v>0</v>
      </c>
      <c r="BB86" s="279" t="s">
        <v>306</v>
      </c>
      <c r="BC86" s="1693" t="s">
        <v>404</v>
      </c>
      <c r="BD86" s="1694"/>
      <c r="BE86" s="1695"/>
      <c r="CB86" s="279" t="s">
        <v>306</v>
      </c>
      <c r="CC86" s="1693" t="s">
        <v>404</v>
      </c>
      <c r="CD86" s="1694"/>
      <c r="CE86" s="1695"/>
      <c r="DB86" s="279" t="s">
        <v>306</v>
      </c>
      <c r="DC86" s="1693" t="s">
        <v>404</v>
      </c>
      <c r="DD86" s="1694"/>
      <c r="DE86" s="1695"/>
    </row>
    <row r="87" spans="2:133">
      <c r="B87" s="111" t="s">
        <v>1775</v>
      </c>
      <c r="BB87" s="280"/>
      <c r="BC87" s="144" t="s">
        <v>51</v>
      </c>
      <c r="BD87" s="144" t="s">
        <v>63</v>
      </c>
      <c r="BE87" s="146" t="s">
        <v>52</v>
      </c>
      <c r="CB87" s="280"/>
      <c r="CC87" s="144" t="s">
        <v>51</v>
      </c>
      <c r="CD87" s="144" t="s">
        <v>63</v>
      </c>
      <c r="CE87" s="146" t="s">
        <v>52</v>
      </c>
      <c r="DB87" s="280"/>
      <c r="DC87" s="144" t="s">
        <v>51</v>
      </c>
      <c r="DD87" s="144" t="s">
        <v>63</v>
      </c>
      <c r="DE87" s="146" t="s">
        <v>52</v>
      </c>
      <c r="EB87" s="133" t="s">
        <v>1988</v>
      </c>
    </row>
    <row r="88" spans="2:133">
      <c r="B88" s="974" t="s">
        <v>1919</v>
      </c>
      <c r="C88" s="1558" t="s">
        <v>677</v>
      </c>
      <c r="D88" s="1559" t="s">
        <v>426</v>
      </c>
      <c r="E88" s="1559" t="s">
        <v>672</v>
      </c>
      <c r="F88" s="1560" t="s">
        <v>36</v>
      </c>
      <c r="BB88" s="113" t="s">
        <v>38</v>
      </c>
      <c r="BC88" s="620">
        <f>IF(ISNUMBER(BE88),BE88,BD88)</f>
        <v>0.26</v>
      </c>
      <c r="BD88" s="281">
        <f>1*(BC40+BC47+BC48)</f>
        <v>0.30324983497762659</v>
      </c>
      <c r="BE88" s="282">
        <v>0.26</v>
      </c>
      <c r="CB88" s="246" t="s">
        <v>538</v>
      </c>
      <c r="CC88" s="620">
        <f>IF(ISNUMBER(CE88),CE88,CD88)</f>
        <v>1.6</v>
      </c>
      <c r="CD88" s="281">
        <f>CC46/14*98+(CC47/59+CC48/59+CC49/55)*98*2</f>
        <v>1.5197171479295417</v>
      </c>
      <c r="CE88" s="282">
        <v>1.6</v>
      </c>
      <c r="DB88" s="246" t="s">
        <v>546</v>
      </c>
      <c r="DC88" s="620">
        <f>IF(ISNUMBER(DE88),DE88,DD88)</f>
        <v>0.05</v>
      </c>
      <c r="DD88" s="1276">
        <f>DC46*0.3/7*24</f>
        <v>4.4481724284299397E-2</v>
      </c>
      <c r="DE88" s="282">
        <v>0.05</v>
      </c>
      <c r="EB88" s="279" t="s">
        <v>306</v>
      </c>
      <c r="EC88" s="283" t="s">
        <v>404</v>
      </c>
    </row>
    <row r="89" spans="2:133">
      <c r="B89" s="1182" t="s">
        <v>51</v>
      </c>
      <c r="C89" s="614">
        <f>IF(ISBLANK(C91),C90,C91)</f>
        <v>2.2999999999999998</v>
      </c>
      <c r="D89" s="1256">
        <f>IF(ISBLANK(D91),D90,D91)</f>
        <v>2.56</v>
      </c>
      <c r="E89" s="1256">
        <f>IF(ISBLANK(E91),E90,E91)</f>
        <v>3.14</v>
      </c>
      <c r="F89" s="1561">
        <f>IF(ISBLANK(F91),F90,F91)</f>
        <v>3</v>
      </c>
      <c r="G89"/>
      <c r="H89"/>
      <c r="I89"/>
      <c r="J89"/>
      <c r="BB89" s="113" t="s">
        <v>39</v>
      </c>
      <c r="BC89" s="620">
        <f t="shared" ref="BC89:BC97" si="20">IF(ISNUMBER(BE89),BE89,BD89)</f>
        <v>0.39</v>
      </c>
      <c r="BD89" s="281">
        <f>1.5*(BC40+BC47+BC48)</f>
        <v>0.45487475246643988</v>
      </c>
      <c r="BE89" s="284">
        <v>0.39</v>
      </c>
      <c r="CB89" s="246" t="s">
        <v>259</v>
      </c>
      <c r="CC89" s="620">
        <f t="shared" ref="CC89:CC97" si="21">IF(ISNUMBER(CE89),CE89,CD89)</f>
        <v>0.11</v>
      </c>
      <c r="CD89" s="281">
        <f>(CC47/59+CC48/59+CC49/55)/2*34</f>
        <v>0.10555562824387366</v>
      </c>
      <c r="CE89" s="284">
        <v>0.11</v>
      </c>
      <c r="DB89" s="246" t="s">
        <v>400</v>
      </c>
      <c r="DC89" s="620">
        <f t="shared" ref="DC89:DC97" si="22">IF(ISNUMBER(DE89),DE89,DD89)</f>
        <v>0</v>
      </c>
      <c r="DD89" s="281">
        <f>DC50/38*56</f>
        <v>5.788119958462705E-4</v>
      </c>
      <c r="DE89" s="1275">
        <v>0</v>
      </c>
      <c r="EB89" s="113" t="s">
        <v>538</v>
      </c>
      <c r="EC89" s="1277">
        <v>1.6</v>
      </c>
    </row>
    <row r="90" spans="2:133">
      <c r="B90" s="147" t="s">
        <v>63</v>
      </c>
      <c r="C90" s="1562">
        <f t="array" ref="C90">IF(BC8="No preprocessing",MMULT('Preproc. Par.'!C94:G94,BD11:BD15),(IF('Preproc. Par.'!D9=0,Input!F28*'Preproc. Par.'!C94,0)+IF('Preproc. Par.'!D10=0,Input!F29*'Preproc. Par.'!D94)+IF('Preproc. Par.'!D11=0,Input!F30*'Preproc. Par.'!E94,0)+IF('Preproc. Par.'!D12=0,Input!F31*'Preproc. Par.'!F94,0)+IF('Preproc. Par.'!D13=0,Input!F32*'Preproc. Par.'!G94,0))/SUM(Input!F28:F32))</f>
        <v>5.18</v>
      </c>
      <c r="D90" s="1556">
        <f t="array" ref="D90">IF(CC8="No preprocessing",MMULT('Preproc. Par.'!C94:G94,CD11:CD15),(IF('Preproc. Par.'!D9=0,Input!F28*'Preproc. Par.'!C94,0)+IF('Preproc. Par.'!D10=0,Input!F29*'Preproc. Par.'!D94)+IF('Preproc. Par.'!D11=0,Input!F30*'Preproc. Par.'!E94,0)+IF('Preproc. Par.'!D12=0,Input!F31*'Preproc. Par.'!F94,0)+IF('Preproc. Par.'!D13=0,Input!F32*'Preproc. Par.'!G94,0))/CD25)</f>
        <v>5.18</v>
      </c>
      <c r="E90" s="1556">
        <f t="array" ref="E90">IF(DC8="No preprocessing",MMULT('Preproc. Par.'!C94:G94,DD11:DD15),(IF('Preproc. Par.'!D9=0,Input!F28*'Preproc. Par.'!C94,0)+IF('Preproc. Par.'!D10=0,Input!F29*'Preproc. Par.'!D94)+IF('Preproc. Par.'!D11=0,Input!F30*'Preproc. Par.'!E94,0)+IF('Preproc. Par.'!D12=0,Input!F31*'Preproc. Par.'!F94,0)+IF('Preproc. Par.'!D13=0,Input!F32*'Preproc. Par.'!G94,0))/DD25)</f>
        <v>5.18</v>
      </c>
      <c r="F90" s="1258">
        <f t="array" ref="F90">IF(EC8="No preprocessing",MMULT('Preproc. Par.'!C94:G94,ED11:ED15),(IF('Preproc. Par.'!D9=0,Input!F28*'Preproc. Par.'!C94,0)+IF('Preproc. Par.'!D10=0,Input!F29*'Preproc. Par.'!D94)+IF('Preproc. Par.'!D11=0,Input!F30*'Preproc. Par.'!E94,0)+IF('Preproc. Par.'!D12=0,Input!F31*'Preproc. Par.'!F94,0)+IF('Preproc. Par.'!D13=0,Input!F32*'Preproc. Par.'!G94,0))/DD25)</f>
        <v>5.18</v>
      </c>
      <c r="G90"/>
      <c r="H90"/>
      <c r="I90"/>
      <c r="J90"/>
      <c r="BB90" s="113" t="s">
        <v>538</v>
      </c>
      <c r="BC90" s="620">
        <f t="shared" si="20"/>
        <v>0.44</v>
      </c>
      <c r="BD90" s="281">
        <f>(BC47/59+BC48/59+BC40/64)*98</f>
        <v>0.50235902958821166</v>
      </c>
      <c r="BE90" s="284">
        <v>0.44</v>
      </c>
      <c r="CB90" s="246" t="s">
        <v>539</v>
      </c>
      <c r="CC90" s="620">
        <f t="shared" si="21"/>
        <v>1.05</v>
      </c>
      <c r="CD90" s="281">
        <f>(CC47/59+CC48/59+CC49/55)*4*40</f>
        <v>0.99346473641292854</v>
      </c>
      <c r="CE90" s="284">
        <v>1.05</v>
      </c>
      <c r="DB90" s="246" t="s">
        <v>399</v>
      </c>
      <c r="DC90" s="620">
        <f t="shared" si="22"/>
        <v>3.0000000000000001E-3</v>
      </c>
      <c r="DD90" s="281"/>
      <c r="DE90" s="284">
        <v>3.0000000000000001E-3</v>
      </c>
      <c r="EB90" s="113" t="s">
        <v>259</v>
      </c>
      <c r="EC90" s="1278">
        <v>0.11</v>
      </c>
    </row>
    <row r="91" spans="2:133">
      <c r="B91" s="1183" t="s">
        <v>52</v>
      </c>
      <c r="C91" s="1644">
        <v>2.2999999999999998</v>
      </c>
      <c r="D91" s="1354">
        <v>2.56</v>
      </c>
      <c r="E91" s="1354">
        <v>3.14</v>
      </c>
      <c r="F91" s="1354">
        <v>3</v>
      </c>
      <c r="G91"/>
      <c r="H91"/>
      <c r="I91"/>
      <c r="J91"/>
      <c r="BB91" s="113" t="s">
        <v>400</v>
      </c>
      <c r="BC91" s="1583">
        <f t="shared" si="20"/>
        <v>2E-3</v>
      </c>
      <c r="BD91" s="1276">
        <f>BC50/14*56</f>
        <v>1.5710611315827342E-3</v>
      </c>
      <c r="BE91" s="284">
        <v>2E-3</v>
      </c>
      <c r="CB91" s="246" t="s">
        <v>391</v>
      </c>
      <c r="CC91" s="620">
        <f t="shared" si="21"/>
        <v>0.34</v>
      </c>
      <c r="CD91" s="281">
        <f>CC46/14*106</f>
        <v>0.32743491487053716</v>
      </c>
      <c r="CE91" s="284">
        <v>0.34</v>
      </c>
      <c r="DB91" s="246" t="s">
        <v>1997</v>
      </c>
      <c r="DC91" s="620">
        <f t="shared" si="22"/>
        <v>2.2000000000000002</v>
      </c>
      <c r="DD91" s="281"/>
      <c r="DE91" s="284">
        <v>2.2000000000000002</v>
      </c>
      <c r="EB91" s="113" t="s">
        <v>539</v>
      </c>
      <c r="EC91" s="1278">
        <v>1.05</v>
      </c>
    </row>
    <row r="92" spans="2:133">
      <c r="B92"/>
      <c r="C92"/>
      <c r="D92"/>
      <c r="E92"/>
      <c r="F92"/>
      <c r="G92"/>
      <c r="H92"/>
      <c r="I92"/>
      <c r="J92"/>
      <c r="BB92" s="113" t="s">
        <v>1996</v>
      </c>
      <c r="BC92" s="620">
        <f t="shared" si="20"/>
        <v>0.21</v>
      </c>
      <c r="BD92" s="281"/>
      <c r="BE92" s="285">
        <v>0.21</v>
      </c>
      <c r="CB92" s="246" t="s">
        <v>400</v>
      </c>
      <c r="CC92" s="1583">
        <f>IF(ISNUMBER(CE92),CE92,CD92)</f>
        <v>1E-3</v>
      </c>
      <c r="CD92" s="1276">
        <f>CC50/38*56</f>
        <v>5.788119958462705E-4</v>
      </c>
      <c r="CE92" s="285">
        <v>1E-3</v>
      </c>
      <c r="DB92" s="246" t="s">
        <v>403</v>
      </c>
      <c r="DC92" s="620">
        <f t="shared" si="22"/>
        <v>0</v>
      </c>
      <c r="DD92" s="281"/>
      <c r="DE92" s="285">
        <v>0</v>
      </c>
      <c r="EB92" s="113" t="s">
        <v>1995</v>
      </c>
      <c r="EC92" s="1278">
        <v>1.05</v>
      </c>
    </row>
    <row r="93" spans="2:133">
      <c r="B93" s="290" t="s">
        <v>600</v>
      </c>
      <c r="C93" s="113" t="s">
        <v>379</v>
      </c>
      <c r="BB93" s="113" t="s">
        <v>259</v>
      </c>
      <c r="BC93" s="620">
        <f t="shared" si="20"/>
        <v>0.06</v>
      </c>
      <c r="BD93" s="281"/>
      <c r="BE93" s="285">
        <v>0.06</v>
      </c>
      <c r="CB93" s="286" t="s">
        <v>540</v>
      </c>
      <c r="CC93" s="620">
        <f t="shared" si="21"/>
        <v>0.31</v>
      </c>
      <c r="CD93" s="281"/>
      <c r="CE93" s="285">
        <v>0.31</v>
      </c>
      <c r="DB93" s="286" t="s">
        <v>403</v>
      </c>
      <c r="DC93" s="620">
        <f t="shared" si="22"/>
        <v>0</v>
      </c>
      <c r="DD93" s="281"/>
      <c r="DE93" s="285">
        <v>0</v>
      </c>
      <c r="EB93" s="113" t="s">
        <v>403</v>
      </c>
      <c r="EC93" s="1278"/>
    </row>
    <row r="94" spans="2:133">
      <c r="BB94" s="113" t="s">
        <v>403</v>
      </c>
      <c r="BC94" s="620">
        <f t="shared" si="20"/>
        <v>0</v>
      </c>
      <c r="BD94" s="281"/>
      <c r="BE94" s="285">
        <v>0</v>
      </c>
      <c r="CB94" s="286" t="s">
        <v>395</v>
      </c>
      <c r="CC94" s="620">
        <f t="shared" si="21"/>
        <v>1.2E-2</v>
      </c>
      <c r="CD94" s="281"/>
      <c r="CE94" s="285">
        <v>1.2E-2</v>
      </c>
      <c r="DB94" s="286" t="s">
        <v>403</v>
      </c>
      <c r="DC94" s="620">
        <f t="shared" si="22"/>
        <v>0</v>
      </c>
      <c r="DD94" s="281"/>
      <c r="DE94" s="285">
        <v>0</v>
      </c>
      <c r="EB94" s="113" t="s">
        <v>395</v>
      </c>
      <c r="EC94" s="1278">
        <v>0.01</v>
      </c>
    </row>
    <row r="95" spans="2:133">
      <c r="BB95" s="113" t="s">
        <v>403</v>
      </c>
      <c r="BC95" s="620">
        <f t="shared" si="20"/>
        <v>0</v>
      </c>
      <c r="BD95" s="281"/>
      <c r="BE95" s="285">
        <v>0</v>
      </c>
      <c r="CB95" s="286" t="s">
        <v>403</v>
      </c>
      <c r="CC95" s="620">
        <f t="shared" si="21"/>
        <v>0</v>
      </c>
      <c r="CD95" s="281"/>
      <c r="CE95" s="285">
        <v>0</v>
      </c>
      <c r="DB95" s="286" t="s">
        <v>403</v>
      </c>
      <c r="DC95" s="620">
        <f t="shared" si="22"/>
        <v>0</v>
      </c>
      <c r="DD95" s="281"/>
      <c r="DE95" s="285">
        <v>0</v>
      </c>
      <c r="EB95" s="113" t="s">
        <v>403</v>
      </c>
      <c r="EC95" s="1278"/>
    </row>
    <row r="96" spans="2:133">
      <c r="BB96" s="113" t="s">
        <v>403</v>
      </c>
      <c r="BC96" s="620">
        <f t="shared" si="20"/>
        <v>0</v>
      </c>
      <c r="BD96" s="281"/>
      <c r="BE96" s="285">
        <v>0</v>
      </c>
      <c r="CB96" s="286" t="s">
        <v>403</v>
      </c>
      <c r="CC96" s="620">
        <f t="shared" si="21"/>
        <v>0</v>
      </c>
      <c r="CD96" s="281"/>
      <c r="CE96" s="285">
        <v>0</v>
      </c>
      <c r="DB96" s="286" t="s">
        <v>403</v>
      </c>
      <c r="DC96" s="620">
        <f t="shared" si="22"/>
        <v>0</v>
      </c>
      <c r="DD96" s="281"/>
      <c r="DE96" s="285">
        <v>0</v>
      </c>
      <c r="EB96" s="113" t="s">
        <v>403</v>
      </c>
      <c r="EC96" s="1278"/>
    </row>
    <row r="97" spans="2:134">
      <c r="BB97" s="113" t="s">
        <v>403</v>
      </c>
      <c r="BC97" s="621">
        <f t="shared" si="20"/>
        <v>0</v>
      </c>
      <c r="BD97" s="287"/>
      <c r="BE97" s="288">
        <v>0</v>
      </c>
      <c r="CB97" s="1508" t="s">
        <v>403</v>
      </c>
      <c r="CC97" s="1507">
        <f t="shared" si="21"/>
        <v>0</v>
      </c>
      <c r="CD97" s="287"/>
      <c r="CE97" s="288">
        <v>0</v>
      </c>
      <c r="DB97" s="1508" t="s">
        <v>403</v>
      </c>
      <c r="DC97" s="1505">
        <f t="shared" si="22"/>
        <v>0</v>
      </c>
      <c r="DD97" s="287"/>
      <c r="DE97" s="288">
        <v>0</v>
      </c>
      <c r="EB97" s="113" t="s">
        <v>403</v>
      </c>
      <c r="EC97" s="1278"/>
    </row>
    <row r="98" spans="2:134" ht="14.5">
      <c r="BB98" s="289" t="s">
        <v>434</v>
      </c>
      <c r="BE98" s="236"/>
      <c r="CB98" s="289" t="s">
        <v>434</v>
      </c>
      <c r="CE98" s="236"/>
      <c r="DB98" s="289" t="s">
        <v>434</v>
      </c>
      <c r="DE98" s="236"/>
      <c r="EB98" s="113" t="s">
        <v>403</v>
      </c>
      <c r="EC98" s="1279"/>
    </row>
    <row r="99" spans="2:134" ht="14.5">
      <c r="BB99" s="291"/>
      <c r="BC99" s="292"/>
      <c r="BD99" s="293" t="str">
        <f>IF(ISTEXT(BB99), "Click to specify material properties", "")</f>
        <v/>
      </c>
      <c r="BE99" s="236"/>
      <c r="CB99" s="291"/>
      <c r="CC99" s="292"/>
      <c r="CD99" s="293" t="str">
        <f>IF(ISTEXT(CB99), "Click to specify material properties", "")</f>
        <v/>
      </c>
      <c r="CE99" s="236"/>
      <c r="DB99" s="291"/>
      <c r="DC99" s="292"/>
      <c r="DD99" s="293" t="str">
        <f>IF(ISTEXT(DB99), "Click to specify material properties", "")</f>
        <v/>
      </c>
      <c r="DE99" s="236"/>
      <c r="EB99" s="289" t="s">
        <v>434</v>
      </c>
      <c r="EC99" s="230"/>
    </row>
    <row r="100" spans="2:134">
      <c r="BB100" s="294"/>
      <c r="BC100" s="295"/>
      <c r="BD100" s="296" t="str">
        <f>IF(ISTEXT(BB100), "Click to specify material properties", "")</f>
        <v/>
      </c>
      <c r="BE100" s="169"/>
      <c r="CB100" s="294"/>
      <c r="CC100" s="295"/>
      <c r="CD100" s="296" t="str">
        <f>IF(ISTEXT(CB100), "Click to specify material properties", "")</f>
        <v/>
      </c>
      <c r="CE100" s="169"/>
      <c r="DB100" s="294"/>
      <c r="DC100" s="295"/>
      <c r="DD100" s="296" t="str">
        <f>IF(ISTEXT(DB100), "Click to specify material properties", "")</f>
        <v/>
      </c>
      <c r="DE100" s="169"/>
      <c r="EB100" s="147"/>
      <c r="EC100" s="297"/>
      <c r="ED100" s="298" t="str">
        <f>IF(ISTEXT(EB100), "Click to specify material properties", "")</f>
        <v/>
      </c>
    </row>
    <row r="101" spans="2:134">
      <c r="EB101" s="294"/>
      <c r="EC101" s="299"/>
      <c r="ED101" s="298" t="str">
        <f>IF(ISTEXT(EB101), "Click to specify material properties", "")</f>
        <v/>
      </c>
    </row>
    <row r="102" spans="2:134">
      <c r="BB102" s="133" t="s">
        <v>1909</v>
      </c>
      <c r="CB102" s="133" t="s">
        <v>1909</v>
      </c>
      <c r="DB102" s="133" t="s">
        <v>1909</v>
      </c>
    </row>
    <row r="103" spans="2:134">
      <c r="BB103" s="167"/>
      <c r="BC103" s="145" t="s">
        <v>51</v>
      </c>
      <c r="BD103" s="144" t="s">
        <v>63</v>
      </c>
      <c r="BE103" s="146" t="s">
        <v>52</v>
      </c>
      <c r="CB103" s="167"/>
      <c r="CC103" s="145" t="s">
        <v>51</v>
      </c>
      <c r="CD103" s="144" t="s">
        <v>63</v>
      </c>
      <c r="CE103" s="146" t="s">
        <v>52</v>
      </c>
      <c r="DB103" s="167"/>
      <c r="DC103" s="145" t="s">
        <v>51</v>
      </c>
      <c r="DD103" s="144" t="s">
        <v>63</v>
      </c>
      <c r="DE103" s="146" t="s">
        <v>52</v>
      </c>
    </row>
    <row r="104" spans="2:134">
      <c r="BB104" s="167" t="s">
        <v>324</v>
      </c>
      <c r="BC104" s="620">
        <f>IF(ISNUMBER(BE104),BE104,BD104)</f>
        <v>0.6</v>
      </c>
      <c r="BD104" s="119">
        <v>0.6</v>
      </c>
      <c r="BE104" s="301">
        <v>0.6</v>
      </c>
      <c r="BG104"/>
      <c r="CB104" s="167" t="s">
        <v>324</v>
      </c>
      <c r="CC104" s="620">
        <f>IF(ISNUMBER(CE104),CE104,CD104)</f>
        <v>0.6</v>
      </c>
      <c r="CD104" s="119">
        <v>0.6</v>
      </c>
      <c r="CE104" s="301">
        <v>0.6</v>
      </c>
      <c r="CG104"/>
      <c r="DB104" s="167" t="s">
        <v>324</v>
      </c>
      <c r="DC104" s="1505">
        <f>IF(ISNUMBER(DE104),DE104,DD104)</f>
        <v>0.6</v>
      </c>
      <c r="DD104" s="119">
        <v>0.6</v>
      </c>
      <c r="DE104" s="301">
        <v>0.6</v>
      </c>
      <c r="EB104" s="133" t="s">
        <v>1909</v>
      </c>
    </row>
    <row r="105" spans="2:134">
      <c r="BB105" s="147" t="s">
        <v>243</v>
      </c>
      <c r="BC105" s="620">
        <f>IF(ISNUMBER(BE105),BE105,BD105)</f>
        <v>0.3</v>
      </c>
      <c r="BD105" s="1219">
        <f>1*(BC40+BC47+BC48)</f>
        <v>0.30324983497762659</v>
      </c>
      <c r="BE105" s="148">
        <v>0.3</v>
      </c>
      <c r="CB105" s="147" t="s">
        <v>243</v>
      </c>
      <c r="CC105" s="620">
        <f>IF(ISNUMBER(CE105),CE105,CD105)</f>
        <v>1.91</v>
      </c>
      <c r="CD105" s="1221">
        <f>1+4*CC46/CG136*CH136</f>
        <v>1.9143465547328207</v>
      </c>
      <c r="CE105" s="148">
        <v>1.91</v>
      </c>
      <c r="DB105" s="147" t="s">
        <v>243</v>
      </c>
      <c r="DC105" s="1505">
        <f>IF(ISNUMBER(DE105),DE105,DD105)</f>
        <v>0</v>
      </c>
      <c r="DD105" s="1221">
        <f>0.4*SUM(DC28:DC36)+2*SUM(DC28:DC35)</f>
        <v>1.5958424308279748</v>
      </c>
      <c r="DE105" s="148">
        <v>0</v>
      </c>
      <c r="EB105" s="167"/>
      <c r="EC105" s="143" t="s">
        <v>404</v>
      </c>
    </row>
    <row r="106" spans="2:134">
      <c r="BB106" s="149" t="s">
        <v>363</v>
      </c>
      <c r="BC106" s="1505">
        <f>IF(ISNUMBER(BE106),BE106,BD106)</f>
        <v>180</v>
      </c>
      <c r="BD106" s="1220">
        <f>BC40*2*3.6+0.5</f>
        <v>0.57457538496535598</v>
      </c>
      <c r="BE106" s="151">
        <v>180</v>
      </c>
      <c r="CB106" s="149" t="s">
        <v>363</v>
      </c>
      <c r="CC106" s="1505">
        <f>IF(ISNUMBER(CE106),CE106,CD106)</f>
        <v>150</v>
      </c>
      <c r="CD106" s="1220">
        <f>0.25*3.6</f>
        <v>0.9</v>
      </c>
      <c r="CE106" s="151">
        <v>150</v>
      </c>
      <c r="DB106" s="149" t="s">
        <v>363</v>
      </c>
      <c r="DC106" s="1505">
        <f>IF(ISNUMBER(DE106),DE106,DD106)</f>
        <v>30</v>
      </c>
      <c r="DD106" s="1220">
        <f>0.5+SUM(DC28:DC35)*4*3.6</f>
        <v>9.1975999999999996</v>
      </c>
      <c r="DE106" s="151">
        <v>30</v>
      </c>
      <c r="EB106" s="111" t="s">
        <v>1991</v>
      </c>
      <c r="EC106" s="297">
        <v>0.6</v>
      </c>
    </row>
    <row r="107" spans="2:134">
      <c r="EB107" s="147" t="s">
        <v>243</v>
      </c>
      <c r="EC107" s="1278">
        <v>0.7</v>
      </c>
    </row>
    <row r="108" spans="2:134">
      <c r="BB108" s="133" t="s">
        <v>1910</v>
      </c>
      <c r="CB108" s="133" t="s">
        <v>1910</v>
      </c>
      <c r="DB108" s="133" t="s">
        <v>1910</v>
      </c>
      <c r="EB108" s="149" t="s">
        <v>363</v>
      </c>
      <c r="EC108" s="1279">
        <v>28</v>
      </c>
    </row>
    <row r="109" spans="2:134">
      <c r="BB109" s="143"/>
      <c r="BC109" s="144" t="s">
        <v>51</v>
      </c>
      <c r="BD109" s="144" t="s">
        <v>63</v>
      </c>
      <c r="BE109" s="146" t="s">
        <v>52</v>
      </c>
      <c r="CB109" s="143"/>
      <c r="CC109" s="144" t="s">
        <v>51</v>
      </c>
      <c r="CD109" s="144" t="s">
        <v>63</v>
      </c>
      <c r="CE109" s="146" t="s">
        <v>52</v>
      </c>
      <c r="DB109" s="143"/>
      <c r="DC109" s="144" t="s">
        <v>51</v>
      </c>
      <c r="DD109" s="144" t="s">
        <v>63</v>
      </c>
      <c r="DE109" s="146" t="s">
        <v>52</v>
      </c>
    </row>
    <row r="110" spans="2:134">
      <c r="BB110" s="143" t="s">
        <v>374</v>
      </c>
      <c r="BC110" s="1506">
        <f>IF(ISNUMBER(BE110),BE110,BD110)</f>
        <v>1</v>
      </c>
      <c r="BD110" s="1656">
        <v>1</v>
      </c>
      <c r="BE110" s="302">
        <v>1</v>
      </c>
      <c r="CB110" s="143" t="s">
        <v>374</v>
      </c>
      <c r="CC110" s="1506">
        <f>IF(ISNUMBER(CE110),CE110,CD110)</f>
        <v>1</v>
      </c>
      <c r="CD110" s="144">
        <v>2</v>
      </c>
      <c r="CE110" s="302">
        <v>1</v>
      </c>
      <c r="DB110" s="143" t="s">
        <v>374</v>
      </c>
      <c r="DC110" s="1505">
        <f>IF(ISNUMBER(DE110),DE110,DD110)</f>
        <v>1</v>
      </c>
      <c r="DD110" s="144">
        <v>1</v>
      </c>
      <c r="DE110" s="302">
        <v>1</v>
      </c>
      <c r="EB110" s="133" t="s">
        <v>1910</v>
      </c>
    </row>
    <row r="111" spans="2:134">
      <c r="B111"/>
      <c r="C111"/>
      <c r="EB111" s="143"/>
      <c r="EC111" s="303" t="s">
        <v>404</v>
      </c>
    </row>
    <row r="112" spans="2:134">
      <c r="B112"/>
      <c r="C112"/>
      <c r="BB112" s="133" t="s">
        <v>1922</v>
      </c>
      <c r="CB112" s="133" t="s">
        <v>1922</v>
      </c>
      <c r="DB112" s="133" t="s">
        <v>1922</v>
      </c>
      <c r="EB112" s="143" t="s">
        <v>374</v>
      </c>
      <c r="EC112" s="304">
        <v>1</v>
      </c>
    </row>
    <row r="113" spans="2:133">
      <c r="B113"/>
      <c r="C113"/>
      <c r="BB113" s="167" t="s">
        <v>352</v>
      </c>
      <c r="BC113" s="113" t="s">
        <v>1973</v>
      </c>
      <c r="CB113" s="167" t="s">
        <v>352</v>
      </c>
      <c r="CC113" s="113" t="s">
        <v>21</v>
      </c>
      <c r="DB113" s="167" t="s">
        <v>352</v>
      </c>
      <c r="DC113" s="113" t="s">
        <v>21</v>
      </c>
    </row>
    <row r="114" spans="2:133">
      <c r="B114"/>
      <c r="C114"/>
      <c r="BB114" s="147" t="s">
        <v>54</v>
      </c>
      <c r="BC114" s="113" t="s">
        <v>355</v>
      </c>
      <c r="CB114" s="147" t="s">
        <v>54</v>
      </c>
      <c r="CC114" s="113" t="s">
        <v>21</v>
      </c>
      <c r="DB114" s="147" t="s">
        <v>54</v>
      </c>
      <c r="DC114" s="113" t="s">
        <v>21</v>
      </c>
      <c r="EB114" s="133" t="s">
        <v>1922</v>
      </c>
    </row>
    <row r="115" spans="2:133">
      <c r="B115"/>
      <c r="C115"/>
      <c r="BB115" s="147" t="s">
        <v>41</v>
      </c>
      <c r="BC115" s="113" t="s">
        <v>21</v>
      </c>
      <c r="CB115" s="147" t="s">
        <v>295</v>
      </c>
      <c r="CC115" s="113" t="s">
        <v>21</v>
      </c>
      <c r="DB115" s="147" t="s">
        <v>295</v>
      </c>
      <c r="DC115" s="113" t="s">
        <v>21</v>
      </c>
      <c r="EB115" s="167" t="s">
        <v>352</v>
      </c>
      <c r="EC115" s="113" t="s">
        <v>1973</v>
      </c>
    </row>
    <row r="116" spans="2:133">
      <c r="B116"/>
      <c r="C116"/>
      <c r="BB116" s="147" t="s">
        <v>398</v>
      </c>
      <c r="BC116" s="113" t="s">
        <v>356</v>
      </c>
      <c r="CB116" s="147" t="s">
        <v>296</v>
      </c>
      <c r="CC116" s="113" t="s">
        <v>21</v>
      </c>
      <c r="DB116" s="147" t="s">
        <v>296</v>
      </c>
      <c r="DC116" s="113" t="s">
        <v>21</v>
      </c>
      <c r="EB116" s="147" t="s">
        <v>54</v>
      </c>
      <c r="EC116" s="113" t="s">
        <v>1973</v>
      </c>
    </row>
    <row r="117" spans="2:133">
      <c r="B117"/>
      <c r="C117"/>
      <c r="BB117" s="147" t="s">
        <v>298</v>
      </c>
      <c r="BC117" s="113" t="s">
        <v>355</v>
      </c>
      <c r="CB117" s="147" t="s">
        <v>298</v>
      </c>
      <c r="CC117" s="113" t="s">
        <v>355</v>
      </c>
      <c r="DB117" s="147" t="s">
        <v>298</v>
      </c>
      <c r="DC117" s="113" t="s">
        <v>21</v>
      </c>
      <c r="EB117" s="147" t="s">
        <v>295</v>
      </c>
      <c r="EC117" s="113" t="s">
        <v>21</v>
      </c>
    </row>
    <row r="118" spans="2:133">
      <c r="B118"/>
      <c r="C118"/>
      <c r="BB118" s="147" t="s">
        <v>1906</v>
      </c>
      <c r="BC118" s="113" t="s">
        <v>355</v>
      </c>
      <c r="CB118" s="147" t="s">
        <v>1906</v>
      </c>
      <c r="CC118" s="113" t="s">
        <v>385</v>
      </c>
      <c r="DB118" s="147" t="s">
        <v>1906</v>
      </c>
      <c r="DC118" s="113" t="s">
        <v>21</v>
      </c>
      <c r="EB118" s="147" t="s">
        <v>296</v>
      </c>
      <c r="EC118" s="113" t="s">
        <v>21</v>
      </c>
    </row>
    <row r="119" spans="2:133">
      <c r="B119"/>
      <c r="C119"/>
      <c r="BB119" s="147" t="s">
        <v>55</v>
      </c>
      <c r="BC119" s="113" t="s">
        <v>355</v>
      </c>
      <c r="CB119" s="147" t="s">
        <v>55</v>
      </c>
      <c r="CC119" s="113" t="s">
        <v>356</v>
      </c>
      <c r="DB119" s="147" t="s">
        <v>55</v>
      </c>
      <c r="DC119" s="113" t="s">
        <v>21</v>
      </c>
      <c r="EB119" s="147" t="s">
        <v>298</v>
      </c>
      <c r="EC119" s="113" t="s">
        <v>1994</v>
      </c>
    </row>
    <row r="120" spans="2:133">
      <c r="BB120" s="147" t="s">
        <v>56</v>
      </c>
      <c r="BC120" s="113" t="s">
        <v>355</v>
      </c>
      <c r="CB120" s="147" t="s">
        <v>56</v>
      </c>
      <c r="CC120" s="113" t="s">
        <v>356</v>
      </c>
      <c r="DB120" s="147" t="s">
        <v>56</v>
      </c>
      <c r="DC120" s="113" t="s">
        <v>21</v>
      </c>
      <c r="EB120" s="147" t="s">
        <v>1906</v>
      </c>
      <c r="EC120" s="113" t="s">
        <v>385</v>
      </c>
    </row>
    <row r="121" spans="2:133">
      <c r="BB121" s="149" t="s">
        <v>1622</v>
      </c>
      <c r="BC121" s="113" t="s">
        <v>355</v>
      </c>
      <c r="CB121" s="149" t="s">
        <v>1622</v>
      </c>
      <c r="CC121" s="113" t="s">
        <v>356</v>
      </c>
      <c r="DB121" s="149" t="s">
        <v>1622</v>
      </c>
      <c r="DC121" s="113" t="s">
        <v>21</v>
      </c>
      <c r="EB121" s="147" t="s">
        <v>55</v>
      </c>
      <c r="EC121" s="113" t="s">
        <v>356</v>
      </c>
    </row>
    <row r="122" spans="2:133">
      <c r="CC122"/>
      <c r="EB122" s="147" t="s">
        <v>56</v>
      </c>
      <c r="EC122" s="113" t="s">
        <v>356</v>
      </c>
    </row>
    <row r="123" spans="2:133">
      <c r="B123"/>
      <c r="C123"/>
      <c r="D123"/>
      <c r="E123"/>
      <c r="F123"/>
      <c r="CB123" s="133" t="s">
        <v>1918</v>
      </c>
      <c r="DB123" s="133" t="s">
        <v>1918</v>
      </c>
      <c r="EB123" s="149" t="s">
        <v>1622</v>
      </c>
      <c r="EC123" s="113" t="s">
        <v>356</v>
      </c>
    </row>
    <row r="124" spans="2:133">
      <c r="B124"/>
      <c r="C124"/>
      <c r="D124"/>
      <c r="E124"/>
      <c r="F124"/>
      <c r="BB124" s="133" t="s">
        <v>1918</v>
      </c>
      <c r="CB124" s="167"/>
      <c r="CC124" s="1693" t="s">
        <v>446</v>
      </c>
      <c r="CD124" s="1694"/>
      <c r="CE124" s="1695"/>
      <c r="DB124" s="167"/>
      <c r="DC124" s="1693" t="s">
        <v>446</v>
      </c>
      <c r="DD124" s="1694"/>
      <c r="DE124" s="1695"/>
    </row>
    <row r="125" spans="2:133">
      <c r="B125"/>
      <c r="C125"/>
      <c r="D125"/>
      <c r="E125"/>
      <c r="F125"/>
      <c r="BB125" s="167"/>
      <c r="BC125" s="1366" t="s">
        <v>446</v>
      </c>
      <c r="BD125" s="1367"/>
      <c r="BE125" s="1368"/>
      <c r="CB125" s="147"/>
      <c r="CC125" s="145" t="s">
        <v>51</v>
      </c>
      <c r="CD125" s="144" t="s">
        <v>63</v>
      </c>
      <c r="CE125" s="146" t="s">
        <v>52</v>
      </c>
      <c r="DB125" s="147"/>
      <c r="DC125" s="145" t="s">
        <v>51</v>
      </c>
      <c r="DD125" s="144" t="s">
        <v>63</v>
      </c>
      <c r="DE125" s="146" t="s">
        <v>1976</v>
      </c>
      <c r="EB125" s="133" t="s">
        <v>1927</v>
      </c>
    </row>
    <row r="126" spans="2:133" ht="15" customHeight="1">
      <c r="B126"/>
      <c r="C126"/>
      <c r="D126"/>
      <c r="E126"/>
      <c r="F126"/>
      <c r="BB126" s="147"/>
      <c r="BC126" s="145" t="s">
        <v>51</v>
      </c>
      <c r="BD126" s="144" t="s">
        <v>63</v>
      </c>
      <c r="BE126" s="146" t="s">
        <v>52</v>
      </c>
      <c r="CB126" s="1508" t="s">
        <v>1924</v>
      </c>
      <c r="CC126" s="1583">
        <f>IF(ISNUMBER(CE126),CE126,CD126)</f>
        <v>0</v>
      </c>
      <c r="CD126" s="656">
        <f>IF(CB126="Mn2+ in product", $CC$49*0.98, IF(CB126="Co2+ in product", $CC$47*0.98, IF(CB126="Ni2+ in product", $CC$48*0.98, IF(CB126="Lithium Carbonate (crude)", $CC$46*0.9/$CG$136*$CH$136, IFERROR(VLOOKUP(CB126,$CB$28:$CC$45,2,FALSE),0)*0.9))))</f>
        <v>0.20572797481488472</v>
      </c>
      <c r="CE126" s="658">
        <v>0</v>
      </c>
      <c r="DA126" s="1696" t="s">
        <v>1975</v>
      </c>
      <c r="DB126" s="305" t="s">
        <v>41</v>
      </c>
      <c r="DC126" s="1505">
        <f>IF(ISNUMBER(DE126),DE126,DD126)</f>
        <v>5.0000000000000001E-3</v>
      </c>
      <c r="DD126" s="656">
        <f>IF(DB126&lt;&gt;"Select Output",VLOOKUP(DB126,DB$28:DC$45,2,FALSE)*0.9,0)</f>
        <v>9.3219231206694998E-3</v>
      </c>
      <c r="DE126" s="658">
        <v>5.0000000000000001E-3</v>
      </c>
      <c r="EB126" s="167" t="s">
        <v>286</v>
      </c>
      <c r="EC126" s="306" t="s">
        <v>524</v>
      </c>
    </row>
    <row r="127" spans="2:133" ht="15" customHeight="1">
      <c r="B127"/>
      <c r="C127"/>
      <c r="D127"/>
      <c r="E127"/>
      <c r="F127"/>
      <c r="BB127" s="1508" t="s">
        <v>1914</v>
      </c>
      <c r="BC127" s="620">
        <f>IF(ISNUMBER(BE127),BE127,BD127)</f>
        <v>5.0000000000000001E-3</v>
      </c>
      <c r="BD127" s="656">
        <f>BC40*0.95</f>
        <v>9.8398077384844723E-3</v>
      </c>
      <c r="BE127" s="658">
        <v>5.0000000000000001E-3</v>
      </c>
      <c r="CB127" s="1508" t="s">
        <v>1398</v>
      </c>
      <c r="CC127" s="1583">
        <f t="shared" ref="CC127:CC136" si="23">IF(ISNUMBER(CE127),CE127,CD127)</f>
        <v>0.126</v>
      </c>
      <c r="CD127" s="656">
        <f t="shared" ref="CD127:CD134" si="24">IF(CB127="Mn2+ in product", $CC$49*0.98, IF(CB127="Co2+ in product", $CC$47*0.98, IF(CB127="Ni2+ in product", $CC$48*0.98, IF(CB127="Lithium Carbonate (crude)", $CC$46*0.9/$CG$136*$CH$136, IFERROR(VLOOKUP(CB127,$CB$28:$CC$45,2,FALSE),0)*0.9))))</f>
        <v>7.1978419775503469E-2</v>
      </c>
      <c r="CE127" s="659">
        <v>0.126</v>
      </c>
      <c r="DA127" s="1697"/>
      <c r="DB127" s="305" t="s">
        <v>444</v>
      </c>
      <c r="DC127" s="1505">
        <f t="shared" ref="DC127:DC133" si="25">IF(ISNUMBER(DE127),DE127,DD127)</f>
        <v>0</v>
      </c>
      <c r="DD127" s="656">
        <f t="shared" ref="DD127:DD134" si="26">IF(DB127&lt;&gt;"Select Output",VLOOKUP(DB127,DB$28:DC$45,2,FALSE)*0.9,0)</f>
        <v>0</v>
      </c>
      <c r="DE127" s="659">
        <v>0</v>
      </c>
      <c r="EB127" s="305" t="s">
        <v>444</v>
      </c>
      <c r="EC127" s="307"/>
    </row>
    <row r="128" spans="2:133" ht="15" customHeight="1">
      <c r="B128"/>
      <c r="C128"/>
      <c r="D128"/>
      <c r="E128"/>
      <c r="F128"/>
      <c r="BB128" s="1508" t="s">
        <v>1398</v>
      </c>
      <c r="BC128" s="620">
        <f t="shared" ref="BC128:BC133" si="27">IF(ISNUMBER(BE128),BE128,BD128)</f>
        <v>0.122</v>
      </c>
      <c r="BD128" s="656">
        <f>BC47*0.95</f>
        <v>6.9774998761967646E-2</v>
      </c>
      <c r="BE128" s="659">
        <v>0.122</v>
      </c>
      <c r="CB128" s="1508" t="s">
        <v>1400</v>
      </c>
      <c r="CC128" s="1583">
        <f t="shared" si="23"/>
        <v>0.126</v>
      </c>
      <c r="CD128" s="656">
        <f t="shared" si="24"/>
        <v>0.21505587999339712</v>
      </c>
      <c r="CE128" s="659">
        <v>0.126</v>
      </c>
      <c r="DA128" s="1697"/>
      <c r="DB128" s="305" t="s">
        <v>398</v>
      </c>
      <c r="DC128" s="1505">
        <f t="shared" si="25"/>
        <v>3.0000000000000001E-3</v>
      </c>
      <c r="DD128" s="656">
        <f t="shared" si="26"/>
        <v>6.0602420044054703E-3</v>
      </c>
      <c r="DE128" s="659">
        <v>3.0000000000000001E-3</v>
      </c>
      <c r="EB128" s="305" t="s">
        <v>667</v>
      </c>
      <c r="EC128" s="308">
        <v>0.8</v>
      </c>
    </row>
    <row r="129" spans="2:135" ht="15" customHeight="1">
      <c r="B129"/>
      <c r="C129"/>
      <c r="D129"/>
      <c r="E129"/>
      <c r="F129"/>
      <c r="BB129" s="1508" t="s">
        <v>1400</v>
      </c>
      <c r="BC129" s="620">
        <f t="shared" si="27"/>
        <v>0.122</v>
      </c>
      <c r="BD129" s="656">
        <f>BC48*0.95</f>
        <v>0.20847253672829311</v>
      </c>
      <c r="BE129" s="659">
        <v>0.122</v>
      </c>
      <c r="CB129" s="1508" t="s">
        <v>1399</v>
      </c>
      <c r="CC129" s="1583">
        <f t="shared" si="23"/>
        <v>0.11799999999999999</v>
      </c>
      <c r="CD129" s="656">
        <f t="shared" si="24"/>
        <v>6.7099085836909864E-2</v>
      </c>
      <c r="CE129" s="659">
        <v>0.11799999999999999</v>
      </c>
      <c r="DA129" s="1697"/>
      <c r="DB129" s="305" t="s">
        <v>667</v>
      </c>
      <c r="DC129" s="1505">
        <f t="shared" si="25"/>
        <v>0.56999999999999995</v>
      </c>
      <c r="DD129" s="656">
        <f t="shared" si="26"/>
        <v>0.54359999999999997</v>
      </c>
      <c r="DE129" s="659">
        <v>0.56999999999999995</v>
      </c>
      <c r="EB129" s="305" t="s">
        <v>1398</v>
      </c>
      <c r="EC129" s="308">
        <v>0</v>
      </c>
    </row>
    <row r="130" spans="2:135" ht="16" customHeight="1">
      <c r="B130"/>
      <c r="C130"/>
      <c r="D130"/>
      <c r="E130"/>
      <c r="F130"/>
      <c r="BB130" s="1508" t="s">
        <v>444</v>
      </c>
      <c r="BC130" s="620">
        <f t="shared" si="27"/>
        <v>0</v>
      </c>
      <c r="BD130" s="656"/>
      <c r="BE130" s="659">
        <v>0</v>
      </c>
      <c r="CB130" s="1508" t="s">
        <v>54</v>
      </c>
      <c r="CC130" s="1583">
        <f t="shared" si="23"/>
        <v>0.309</v>
      </c>
      <c r="CD130" s="656">
        <f t="shared" si="24"/>
        <v>0.32904546936294315</v>
      </c>
      <c r="CE130" s="659">
        <v>0.309</v>
      </c>
      <c r="DA130" s="1697"/>
      <c r="DB130" s="305" t="str">
        <f>IF(AND(Input!C32&lt;&gt;"Select Chemistry",Input!C32&lt;&gt;Input!C28,Input!C32&lt;&gt;Input!C29,Input!C32&lt;&gt;Input!C30,Input!C32&lt;&gt;Input!C31), Input!C32, "Select Output")</f>
        <v>Select Output</v>
      </c>
      <c r="DC130" s="1505">
        <f t="shared" si="25"/>
        <v>0</v>
      </c>
      <c r="DD130" s="656">
        <f t="shared" si="26"/>
        <v>0</v>
      </c>
      <c r="DE130" s="659">
        <v>0</v>
      </c>
      <c r="EB130" s="305" t="s">
        <v>1400</v>
      </c>
      <c r="EC130" s="308">
        <v>0</v>
      </c>
    </row>
    <row r="131" spans="2:135">
      <c r="B131"/>
      <c r="C131"/>
      <c r="D131"/>
      <c r="E131"/>
      <c r="F131"/>
      <c r="BB131" s="1508" t="s">
        <v>444</v>
      </c>
      <c r="BC131" s="620">
        <f t="shared" si="27"/>
        <v>0</v>
      </c>
      <c r="BD131" s="656">
        <v>0</v>
      </c>
      <c r="BE131" s="659">
        <v>0</v>
      </c>
      <c r="CB131" s="1508" t="s">
        <v>444</v>
      </c>
      <c r="CC131" s="1583">
        <f t="shared" si="23"/>
        <v>0</v>
      </c>
      <c r="CD131" s="656">
        <f t="shared" si="24"/>
        <v>0</v>
      </c>
      <c r="CE131" s="659">
        <v>0</v>
      </c>
      <c r="DB131" s="305" t="s">
        <v>54</v>
      </c>
      <c r="DC131" s="1505">
        <f t="shared" si="25"/>
        <v>0.309</v>
      </c>
      <c r="DD131" s="656">
        <f t="shared" si="26"/>
        <v>0.32904546936294315</v>
      </c>
      <c r="DE131" s="659">
        <v>0.309</v>
      </c>
      <c r="EB131" s="305" t="s">
        <v>1399</v>
      </c>
      <c r="EC131" s="308">
        <v>0</v>
      </c>
    </row>
    <row r="132" spans="2:135">
      <c r="B132"/>
      <c r="C132"/>
      <c r="D132"/>
      <c r="E132"/>
      <c r="F132"/>
      <c r="BB132" s="1508" t="s">
        <v>444</v>
      </c>
      <c r="BC132" s="620">
        <f t="shared" si="27"/>
        <v>0</v>
      </c>
      <c r="BD132" s="656">
        <v>0</v>
      </c>
      <c r="BE132" s="659">
        <v>0</v>
      </c>
      <c r="CB132" s="1508" t="s">
        <v>444</v>
      </c>
      <c r="CC132" s="1583">
        <f t="shared" si="23"/>
        <v>0</v>
      </c>
      <c r="CD132" s="656">
        <f t="shared" si="24"/>
        <v>0</v>
      </c>
      <c r="CE132" s="659">
        <v>0</v>
      </c>
      <c r="DB132" s="305" t="s">
        <v>444</v>
      </c>
      <c r="DC132" s="1505">
        <f t="shared" si="25"/>
        <v>0</v>
      </c>
      <c r="DD132" s="656">
        <f t="shared" si="26"/>
        <v>0</v>
      </c>
      <c r="DE132" s="659">
        <v>0</v>
      </c>
      <c r="EB132" s="305" t="s">
        <v>54</v>
      </c>
      <c r="EC132" s="308">
        <v>0.309</v>
      </c>
    </row>
    <row r="133" spans="2:135">
      <c r="B133"/>
      <c r="C133"/>
      <c r="D133"/>
      <c r="E133"/>
      <c r="F133"/>
      <c r="BB133" s="1508" t="s">
        <v>444</v>
      </c>
      <c r="BC133" s="620">
        <f t="shared" si="27"/>
        <v>0</v>
      </c>
      <c r="BD133" s="656">
        <v>0</v>
      </c>
      <c r="BE133" s="659">
        <v>0</v>
      </c>
      <c r="CB133" s="1508" t="s">
        <v>444</v>
      </c>
      <c r="CC133" s="1583">
        <f t="shared" si="23"/>
        <v>0</v>
      </c>
      <c r="CD133" s="656">
        <f t="shared" si="24"/>
        <v>0</v>
      </c>
      <c r="CE133" s="659">
        <v>0</v>
      </c>
      <c r="DB133" s="305" t="s">
        <v>444</v>
      </c>
      <c r="DC133" s="1505">
        <f t="shared" si="25"/>
        <v>0</v>
      </c>
      <c r="DD133" s="656">
        <f t="shared" si="26"/>
        <v>0</v>
      </c>
      <c r="DE133" s="659"/>
      <c r="EB133" s="305" t="s">
        <v>398</v>
      </c>
      <c r="EC133" s="308">
        <v>3.0000000000000001E-3</v>
      </c>
    </row>
    <row r="134" spans="2:135">
      <c r="B134"/>
      <c r="C134"/>
      <c r="D134"/>
      <c r="E134"/>
      <c r="F134"/>
      <c r="BB134" s="654" t="s">
        <v>547</v>
      </c>
      <c r="BC134" s="620">
        <f>IF(ISNUMBER(BE134),BE134,BD134)</f>
        <v>1.7999999999999999E-2</v>
      </c>
      <c r="BD134" s="656">
        <f>(IF(BC$114="Burn for energy",BC$36,0)+IF(BC$117="Burn for energy",BC$45,0)+IF(BC$119="Burn for energy",BC$37,0)+IF(BC$120="Burn for energy",BC$38,0)+IF(BC$121="Burn for energy",BC$39,0)+IFERROR(VLOOKUP("Coke",BB$88:BC$97,2,FALSE),0))*0.05</f>
        <v>1.8961859502396584E-2</v>
      </c>
      <c r="BE134" s="659">
        <v>1.7999999999999999E-2</v>
      </c>
      <c r="CB134" s="1508" t="s">
        <v>444</v>
      </c>
      <c r="CC134" s="1583">
        <f t="shared" si="23"/>
        <v>0</v>
      </c>
      <c r="CD134" s="656">
        <f t="shared" si="24"/>
        <v>0</v>
      </c>
      <c r="CE134" s="659">
        <v>0</v>
      </c>
      <c r="DB134" s="305" t="s">
        <v>444</v>
      </c>
      <c r="DC134" s="1505">
        <f>IF(ISNUMBER(DE134),DE134,DD134)</f>
        <v>0</v>
      </c>
      <c r="DD134" s="656">
        <f t="shared" si="26"/>
        <v>0</v>
      </c>
      <c r="DE134" s="659">
        <v>0</v>
      </c>
      <c r="EB134" s="305" t="s">
        <v>41</v>
      </c>
      <c r="EC134" s="308">
        <v>5.0000000000000001E-3</v>
      </c>
    </row>
    <row r="135" spans="2:135">
      <c r="B135"/>
      <c r="C135"/>
      <c r="D135"/>
      <c r="E135"/>
      <c r="F135"/>
      <c r="BB135" s="654" t="s">
        <v>447</v>
      </c>
      <c r="BC135" s="620">
        <f>IF(ISNUMBER(BE135),BE135,BD135)</f>
        <v>0.375</v>
      </c>
      <c r="BD135" s="656">
        <f>1-BC$44-SUM(BD$127:BD$134)-IF(BC$114="Burn for energy", BC$36, 0)-IF(BC$117="Burn for energy", BC$45, 0)-IF(BC$119="Burn for energy", BC$37, 0)-IF(BC$120="Burn for energy", BC$38, 0)-IF(BC$121="Burn for energy", BC$39, 0)</f>
        <v>0.31371360722092656</v>
      </c>
      <c r="BE135" s="659">
        <v>0.375</v>
      </c>
      <c r="CB135" s="654" t="s">
        <v>1443</v>
      </c>
      <c r="CC135" s="620">
        <f t="shared" si="23"/>
        <v>0.26</v>
      </c>
      <c r="CD135" s="656">
        <f>(1-CC44-SUM(CC126:CC134))+(SUM(CC88:CC97)+CC99+CC100)*0.05</f>
        <v>0.49214999999999998</v>
      </c>
      <c r="CE135" s="659">
        <v>0.26</v>
      </c>
      <c r="CG135" s="111" t="s">
        <v>74</v>
      </c>
      <c r="CH135" s="111" t="s">
        <v>670</v>
      </c>
      <c r="DB135" s="654" t="s">
        <v>1443</v>
      </c>
      <c r="DC135" s="1505">
        <f>IF(ISNUMBER(DE135),DE135,DD135)</f>
        <v>0.115</v>
      </c>
      <c r="DD135" s="656">
        <f>(1-DC44-SUM(DC126:DC134))+(SUM(DC88:DC97)+DC99+DC100)*0.05</f>
        <v>0.22565000000000002</v>
      </c>
      <c r="DE135" s="659">
        <v>0.115</v>
      </c>
      <c r="EB135" s="305" t="s">
        <v>444</v>
      </c>
      <c r="EC135" s="308"/>
    </row>
    <row r="136" spans="2:135">
      <c r="B136"/>
      <c r="C136"/>
      <c r="D136"/>
      <c r="E136"/>
      <c r="F136"/>
      <c r="BB136" s="655" t="s">
        <v>683</v>
      </c>
      <c r="BC136" s="621">
        <f>IF(ISNUMBER(BE136),BE136,BD136)</f>
        <v>5.1230000000000002</v>
      </c>
      <c r="BD136" s="657">
        <f>1-IF(BC118="Burn for energy",BC$44,0)+SUM(BC$88:BC$97)+BC$99+BC$100+BC$110*3.78541-SUM(BD$127:BD$135)-BD152/1000</f>
        <v>5.4122471900479328</v>
      </c>
      <c r="BE136" s="660">
        <v>5.1230000000000002</v>
      </c>
      <c r="CB136" s="655" t="s">
        <v>683</v>
      </c>
      <c r="CC136" s="621">
        <f t="shared" si="23"/>
        <v>10.365</v>
      </c>
      <c r="CD136" s="657">
        <f>1-IF(CC118="Burn for energy",CC$44,0)+(SUM(CC$88:CC$97)+CC$99+CC$100)*0.95+CC$110*3.78541-SUM(CD$126:CD$135)-CD152/1000</f>
        <v>6.6562031702163615</v>
      </c>
      <c r="CE136" s="660">
        <v>10.365</v>
      </c>
      <c r="CG136" s="111">
        <v>7</v>
      </c>
      <c r="CH136" s="111">
        <v>37</v>
      </c>
      <c r="DB136" s="655" t="s">
        <v>683</v>
      </c>
      <c r="DC136" s="1505">
        <f>IF(ISNUMBER(DE136),DE136,DD136)</f>
        <v>3.8290000000000002</v>
      </c>
      <c r="DD136" s="657">
        <f>1-IF(DC118="Burn for energy",DC$44,0)+(SUM(DC$88:DC$97)+DC$99+DC$100)*0.95+DC$110*3.78541-SUM(DD$126:DD$135)-DD152/1000</f>
        <v>5.5902985817281978</v>
      </c>
      <c r="DE136" s="660">
        <v>3.8290000000000002</v>
      </c>
      <c r="EB136" s="305" t="s">
        <v>489</v>
      </c>
      <c r="EC136" s="309">
        <v>0.11</v>
      </c>
    </row>
    <row r="137" spans="2:135">
      <c r="B137"/>
      <c r="C137"/>
      <c r="D137"/>
      <c r="E137"/>
      <c r="F137"/>
      <c r="BJ137" s="110" t="s">
        <v>298</v>
      </c>
      <c r="BM137" s="110" t="s">
        <v>70</v>
      </c>
      <c r="BN137" s="110"/>
      <c r="BO137" s="110"/>
      <c r="CD137" s="1648"/>
      <c r="EB137" s="305" t="s">
        <v>488</v>
      </c>
      <c r="EC137" s="309">
        <v>3</v>
      </c>
    </row>
    <row r="138" spans="2:135">
      <c r="B138"/>
      <c r="C138"/>
      <c r="D138"/>
      <c r="E138"/>
      <c r="F138"/>
      <c r="BB138" s="133" t="s">
        <v>159</v>
      </c>
      <c r="BG138" s="120"/>
      <c r="BH138" s="120" t="s">
        <v>54</v>
      </c>
      <c r="BI138" s="120" t="s">
        <v>55</v>
      </c>
      <c r="BJ138" s="120" t="s">
        <v>366</v>
      </c>
      <c r="BK138" s="120" t="s">
        <v>367</v>
      </c>
      <c r="BL138" s="310" t="s">
        <v>368</v>
      </c>
      <c r="BM138" s="310" t="s">
        <v>369</v>
      </c>
      <c r="BN138" s="310" t="s">
        <v>370</v>
      </c>
      <c r="BO138" s="310" t="s">
        <v>66</v>
      </c>
      <c r="BP138" s="310" t="s">
        <v>1779</v>
      </c>
      <c r="CB138" s="133" t="s">
        <v>159</v>
      </c>
      <c r="CG138"/>
      <c r="CH138"/>
      <c r="CI138"/>
      <c r="CJ138"/>
      <c r="CK138"/>
      <c r="CL138"/>
      <c r="CM138"/>
      <c r="DB138" s="133" t="s">
        <v>159</v>
      </c>
      <c r="DG138"/>
      <c r="DH138"/>
      <c r="DI138"/>
      <c r="DJ138"/>
      <c r="DK138"/>
      <c r="DL138"/>
      <c r="DM138"/>
    </row>
    <row r="139" spans="2:135">
      <c r="B139"/>
      <c r="C139"/>
      <c r="D139"/>
      <c r="E139"/>
      <c r="F139"/>
      <c r="BB139" s="133" t="s">
        <v>1911</v>
      </c>
      <c r="BG139" s="120" t="s">
        <v>365</v>
      </c>
      <c r="BH139" s="1238">
        <v>1</v>
      </c>
      <c r="BI139" s="1238">
        <v>1</v>
      </c>
      <c r="BJ139" s="1238">
        <v>0.63</v>
      </c>
      <c r="BK139" s="1238">
        <v>0.86</v>
      </c>
      <c r="BL139" s="1239">
        <v>0.92</v>
      </c>
      <c r="BM139" s="1239">
        <v>0.41</v>
      </c>
      <c r="BN139" s="1239">
        <v>0.4</v>
      </c>
      <c r="BO139" s="1239">
        <f>24/64</f>
        <v>0.375</v>
      </c>
      <c r="BP139" s="1239">
        <f>24/59</f>
        <v>0.40677966101694918</v>
      </c>
      <c r="CB139" s="133" t="s">
        <v>1911</v>
      </c>
      <c r="CG139"/>
      <c r="CH139"/>
      <c r="CI139"/>
      <c r="CJ139"/>
      <c r="CK139"/>
      <c r="CL139"/>
      <c r="CM139"/>
      <c r="DB139" s="133" t="s">
        <v>1911</v>
      </c>
      <c r="DG139"/>
      <c r="DH139"/>
      <c r="DI139"/>
      <c r="DJ139"/>
      <c r="DK139"/>
      <c r="DL139"/>
      <c r="DM139"/>
    </row>
    <row r="140" spans="2:135">
      <c r="B140"/>
      <c r="C140"/>
      <c r="D140"/>
      <c r="E140"/>
      <c r="F140"/>
      <c r="BB140" s="111" t="s">
        <v>375</v>
      </c>
      <c r="BJ140" s="314">
        <f>IFERROR('Preproc. Par.'!D60/SUM('Preproc. Par.'!$D58:$D60),0)</f>
        <v>0</v>
      </c>
      <c r="BK140" s="314">
        <f>IFERROR('Preproc. Par.'!D58/SUM('Preproc. Par.'!$D58:$D60),0)</f>
        <v>0</v>
      </c>
      <c r="BL140" s="315">
        <f>IFERROR('Preproc. Par.'!D59/SUM('Preproc. Par.'!$D58:$D60),0)</f>
        <v>0</v>
      </c>
      <c r="BM140" s="315">
        <f>IFERROR('Preproc. Par.'!D56/('Preproc. Par.'!D56+'Preproc. Par.'!D57),0)</f>
        <v>0</v>
      </c>
      <c r="BN140" s="315">
        <f>IF(BM140=0,0,1-BM140)</f>
        <v>0</v>
      </c>
      <c r="BO140" s="110"/>
      <c r="CB140" s="111" t="s">
        <v>375</v>
      </c>
      <c r="CG140"/>
      <c r="CH140"/>
      <c r="CI140"/>
      <c r="CJ140"/>
      <c r="CK140"/>
      <c r="CL140"/>
      <c r="CM140"/>
      <c r="DB140" s="111" t="s">
        <v>375</v>
      </c>
      <c r="DG140"/>
      <c r="DH140"/>
      <c r="DI140"/>
      <c r="DJ140"/>
      <c r="DK140"/>
      <c r="DL140"/>
      <c r="DM140"/>
      <c r="EB140" s="133" t="s">
        <v>364</v>
      </c>
    </row>
    <row r="141" spans="2:135">
      <c r="B141"/>
      <c r="C141"/>
      <c r="D141"/>
      <c r="E141"/>
      <c r="F141"/>
      <c r="BB141" s="143"/>
      <c r="BC141" s="144" t="s">
        <v>440</v>
      </c>
      <c r="BD141" s="144" t="s">
        <v>441</v>
      </c>
      <c r="BE141" s="146" t="s">
        <v>442</v>
      </c>
      <c r="CB141" s="143"/>
      <c r="CC141" s="144" t="s">
        <v>440</v>
      </c>
      <c r="CD141" s="144" t="s">
        <v>441</v>
      </c>
      <c r="CE141" s="146" t="s">
        <v>442</v>
      </c>
      <c r="CG141"/>
      <c r="CH141"/>
      <c r="CI141"/>
      <c r="CJ141"/>
      <c r="CK141"/>
      <c r="CL141"/>
      <c r="CM141"/>
      <c r="DB141" s="143"/>
      <c r="DC141" s="144" t="s">
        <v>440</v>
      </c>
      <c r="DD141" s="144" t="s">
        <v>441</v>
      </c>
      <c r="DE141" s="146" t="s">
        <v>442</v>
      </c>
      <c r="DG141"/>
      <c r="DH141"/>
      <c r="DI141"/>
      <c r="DJ141"/>
      <c r="DK141"/>
      <c r="DL141"/>
      <c r="DM141"/>
      <c r="EB141" s="133" t="s">
        <v>1911</v>
      </c>
    </row>
    <row r="142" spans="2:135">
      <c r="B142"/>
      <c r="C142"/>
      <c r="D142"/>
      <c r="E142"/>
      <c r="F142"/>
      <c r="BB142" s="167" t="s">
        <v>11</v>
      </c>
      <c r="BC142" s="178">
        <f>IFERROR(VLOOKUP("Coke", BB$88:BC$97, 2, FALSE), 0)*$BI$156*('GREET IO'!$AD$17/1000000)*'GREET IO'!$AD4</f>
        <v>0</v>
      </c>
      <c r="BE142" s="311">
        <f t="shared" ref="BE142:BE151" si="28">BC142+BD142</f>
        <v>0</v>
      </c>
      <c r="BG142" s="120"/>
      <c r="BH142" s="120" t="s">
        <v>372</v>
      </c>
      <c r="BI142" s="120" t="s">
        <v>17</v>
      </c>
      <c r="BJ142" s="120" t="s">
        <v>371</v>
      </c>
      <c r="BK142" s="120" t="s">
        <v>383</v>
      </c>
      <c r="BL142" s="120" t="s">
        <v>422</v>
      </c>
      <c r="CB142" s="167" t="s">
        <v>11</v>
      </c>
      <c r="CC142" s="178">
        <f>IFERROR(VLOOKUP("Coke", CB$88:CC$97, 2, FALSE), 0)*$BI$156*('GREET IO'!$AD$17/1000000)*'GREET IO'!$AD4</f>
        <v>0</v>
      </c>
      <c r="CE142" s="311">
        <f t="shared" ref="CE142:CE152" si="29">CC142+CD142</f>
        <v>0</v>
      </c>
      <c r="CG142"/>
      <c r="CH142"/>
      <c r="CI142"/>
      <c r="CJ142"/>
      <c r="CK142"/>
      <c r="CL142"/>
      <c r="CM142"/>
      <c r="DB142" s="167" t="s">
        <v>11</v>
      </c>
      <c r="DC142" s="178">
        <f>IFERROR(VLOOKUP("Coke", DB$88:DC$97, 2, FALSE), 0)*$BI$156*('GREET IO'!$AD$17/1000000)*'GREET IO'!$AD4</f>
        <v>0</v>
      </c>
      <c r="DE142" s="311">
        <f t="shared" ref="DE142:DE152" si="30">DC142+DD142</f>
        <v>0</v>
      </c>
      <c r="DG142"/>
      <c r="DH142"/>
      <c r="DI142"/>
      <c r="DJ142"/>
      <c r="DK142"/>
      <c r="DL142"/>
      <c r="DM142"/>
      <c r="EB142" s="111" t="s">
        <v>375</v>
      </c>
    </row>
    <row r="143" spans="2:135">
      <c r="B143"/>
      <c r="C143"/>
      <c r="D143"/>
      <c r="E143"/>
      <c r="F143"/>
      <c r="BB143" s="147" t="s">
        <v>231</v>
      </c>
      <c r="BC143" s="178">
        <f>IFERROR(VLOOKUP("Coke", BB$88:BC$97, 2, FALSE), 0)*$BI$156*('GREET IO'!$AD$17/1000000)*'GREET IO'!$AD5</f>
        <v>0</v>
      </c>
      <c r="BE143" s="179">
        <f t="shared" si="28"/>
        <v>0</v>
      </c>
      <c r="BG143" s="120" t="s">
        <v>373</v>
      </c>
      <c r="BH143" s="120">
        <v>12</v>
      </c>
      <c r="BI143" s="120">
        <v>44</v>
      </c>
      <c r="BJ143" s="120">
        <v>74</v>
      </c>
      <c r="BK143" s="120">
        <v>100</v>
      </c>
      <c r="BL143" s="120">
        <v>106</v>
      </c>
      <c r="CB143" s="147" t="s">
        <v>231</v>
      </c>
      <c r="CC143" s="178">
        <f>IFERROR(VLOOKUP("Coke", CB$88:CC$97, 2, FALSE), 0)*$BI$156*('GREET IO'!$AD$17/1000000)*'GREET IO'!$AD5</f>
        <v>0</v>
      </c>
      <c r="CE143" s="179">
        <f t="shared" si="29"/>
        <v>0</v>
      </c>
      <c r="CG143"/>
      <c r="CH143"/>
      <c r="CI143"/>
      <c r="CJ143"/>
      <c r="CK143"/>
      <c r="CL143"/>
      <c r="CM143"/>
      <c r="DB143" s="147" t="s">
        <v>231</v>
      </c>
      <c r="DC143" s="178">
        <f>IFERROR(VLOOKUP("Coke", DB$88:DC$97, 2, FALSE), 0)*$BI$156*('GREET IO'!$AD$17/1000000)*'GREET IO'!$AD5</f>
        <v>0</v>
      </c>
      <c r="DE143" s="179">
        <f t="shared" si="30"/>
        <v>0</v>
      </c>
      <c r="DG143"/>
      <c r="DH143"/>
      <c r="DI143"/>
      <c r="DJ143"/>
      <c r="DK143"/>
      <c r="DL143"/>
      <c r="DM143"/>
      <c r="EB143" s="143"/>
      <c r="EC143" s="144" t="s">
        <v>440</v>
      </c>
      <c r="ED143" s="144" t="s">
        <v>441</v>
      </c>
      <c r="EE143" s="146" t="s">
        <v>442</v>
      </c>
    </row>
    <row r="144" spans="2:135">
      <c r="B144"/>
      <c r="C144"/>
      <c r="D144"/>
      <c r="E144"/>
      <c r="F144"/>
      <c r="BB144" s="147" t="s">
        <v>232</v>
      </c>
      <c r="BC144" s="178">
        <f>IFERROR(VLOOKUP("Coke", BB$88:BC$97, 2, FALSE), 0)*$BI$156*('GREET IO'!$AD$17/1000000)*'GREET IO'!$AD6</f>
        <v>0</v>
      </c>
      <c r="BE144" s="179">
        <f t="shared" si="28"/>
        <v>0</v>
      </c>
      <c r="CB144" s="147" t="s">
        <v>232</v>
      </c>
      <c r="CC144" s="178">
        <f>IFERROR(VLOOKUP("Coke", CB$88:CC$97, 2, FALSE), 0)*$BI$156*('GREET IO'!$AD$17/1000000)*'GREET IO'!$AD6</f>
        <v>0</v>
      </c>
      <c r="CE144" s="179">
        <f t="shared" si="29"/>
        <v>0</v>
      </c>
      <c r="CG144"/>
      <c r="CH144"/>
      <c r="CI144"/>
      <c r="CJ144"/>
      <c r="CK144"/>
      <c r="CL144"/>
      <c r="CM144"/>
      <c r="DB144" s="147" t="s">
        <v>232</v>
      </c>
      <c r="DC144" s="178">
        <f>IFERROR(VLOOKUP("Coke", DB$88:DC$97, 2, FALSE), 0)*$BI$156*('GREET IO'!$AD$17/1000000)*'GREET IO'!$AD6</f>
        <v>0</v>
      </c>
      <c r="DE144" s="179">
        <f t="shared" si="30"/>
        <v>0</v>
      </c>
      <c r="DG144"/>
      <c r="DH144"/>
      <c r="DI144"/>
      <c r="DJ144"/>
      <c r="DK144"/>
      <c r="DL144"/>
      <c r="DM144"/>
      <c r="EB144" s="167" t="s">
        <v>11</v>
      </c>
      <c r="EC144" s="178">
        <f>IFERROR(VLOOKUP("Coke", EB$89:EC$98, 2, FALSE), 0)*$BI$156*('GREET IO'!$AD$17/1000000)*'GREET IO'!$AD4</f>
        <v>0</v>
      </c>
      <c r="EE144" s="311">
        <f t="shared" ref="EE144:EE154" si="31">EC144+ED144</f>
        <v>0</v>
      </c>
    </row>
    <row r="145" spans="2:136">
      <c r="BB145" s="147" t="s">
        <v>12</v>
      </c>
      <c r="BC145" s="178">
        <f>IFERROR(VLOOKUP("Coke", BB$88:BC$97, 2, FALSE), 0)*$BI$156*('GREET IO'!$AD$17/1000000)*'GREET IO'!$AD7</f>
        <v>0</v>
      </c>
      <c r="BE145" s="179">
        <f t="shared" si="28"/>
        <v>0</v>
      </c>
      <c r="CB145" s="147" t="s">
        <v>12</v>
      </c>
      <c r="CC145" s="178">
        <f>IFERROR(VLOOKUP("Coke", CB$88:CC$97, 2, FALSE), 0)*$BI$156*('GREET IO'!$AD$17/1000000)*'GREET IO'!$AD7</f>
        <v>0</v>
      </c>
      <c r="CE145" s="179">
        <f t="shared" si="29"/>
        <v>0</v>
      </c>
      <c r="CG145"/>
      <c r="CH145"/>
      <c r="CI145"/>
      <c r="CJ145"/>
      <c r="CK145"/>
      <c r="CL145"/>
      <c r="CM145"/>
      <c r="DB145" s="147" t="s">
        <v>12</v>
      </c>
      <c r="DC145" s="178">
        <f>IFERROR(VLOOKUP("Coke", DB$88:DC$97, 2, FALSE), 0)*$BI$156*('GREET IO'!$AD$17/1000000)*'GREET IO'!$AD7</f>
        <v>0</v>
      </c>
      <c r="DE145" s="179">
        <f t="shared" si="30"/>
        <v>0</v>
      </c>
      <c r="DG145"/>
      <c r="DH145"/>
      <c r="DI145"/>
      <c r="DJ145"/>
      <c r="DK145"/>
      <c r="DL145"/>
      <c r="DM145"/>
      <c r="EB145" s="147" t="s">
        <v>231</v>
      </c>
      <c r="EC145" s="178">
        <f>IFERROR(VLOOKUP("Coke", EB$89:EC$98, 2, FALSE), 0)*$BI$156*('GREET IO'!$AD$17/1000000)*'GREET IO'!$AD5</f>
        <v>0</v>
      </c>
      <c r="EE145" s="179">
        <f t="shared" si="31"/>
        <v>0</v>
      </c>
    </row>
    <row r="146" spans="2:136">
      <c r="B146"/>
      <c r="C146"/>
      <c r="D146"/>
      <c r="E146"/>
      <c r="BB146" s="147" t="s">
        <v>13</v>
      </c>
      <c r="BC146" s="178">
        <f>IFERROR(VLOOKUP("Coke", BB$88:BC$97, 2, FALSE), 0)*$BI$156*('GREET IO'!$AD$17/1000000)*'GREET IO'!$AD8</f>
        <v>0</v>
      </c>
      <c r="BE146" s="179">
        <f t="shared" si="28"/>
        <v>0</v>
      </c>
      <c r="BG146" s="120" t="s">
        <v>74</v>
      </c>
      <c r="BH146" s="120" t="s">
        <v>670</v>
      </c>
      <c r="BI146" s="120" t="s">
        <v>1476</v>
      </c>
      <c r="BJ146"/>
      <c r="BK146"/>
      <c r="CB146" s="147" t="s">
        <v>13</v>
      </c>
      <c r="CC146" s="178">
        <f>IFERROR(VLOOKUP("Coke", CB$88:CC$97, 2, FALSE), 0)*$BI$156*('GREET IO'!$AD$17/1000000)*'GREET IO'!$AD8</f>
        <v>0</v>
      </c>
      <c r="CE146" s="179">
        <f t="shared" si="29"/>
        <v>0</v>
      </c>
      <c r="CG146"/>
      <c r="CH146"/>
      <c r="CI146"/>
      <c r="CJ146"/>
      <c r="CK146"/>
      <c r="CL146"/>
      <c r="CM146"/>
      <c r="DB146" s="147" t="s">
        <v>13</v>
      </c>
      <c r="DC146" s="178">
        <f>IFERROR(VLOOKUP("Coke", DB$88:DC$97, 2, FALSE), 0)*$BI$156*('GREET IO'!$AD$17/1000000)*'GREET IO'!$AD8</f>
        <v>0</v>
      </c>
      <c r="DE146" s="179">
        <f t="shared" si="30"/>
        <v>0</v>
      </c>
      <c r="DG146"/>
      <c r="DH146"/>
      <c r="DI146"/>
      <c r="DJ146"/>
      <c r="DK146"/>
      <c r="DL146"/>
      <c r="DM146"/>
      <c r="EB146" s="147" t="s">
        <v>232</v>
      </c>
      <c r="EC146" s="178">
        <f>IFERROR(VLOOKUP("Coke", EB$89:EC$98, 2, FALSE), 0)*$BI$156*('GREET IO'!$AD$17/1000000)*'GREET IO'!$AD6</f>
        <v>0</v>
      </c>
      <c r="EE146" s="179">
        <f t="shared" si="31"/>
        <v>0</v>
      </c>
    </row>
    <row r="147" spans="2:136">
      <c r="B147"/>
      <c r="C147"/>
      <c r="D147"/>
      <c r="E147"/>
      <c r="BB147" s="147" t="s">
        <v>20</v>
      </c>
      <c r="BC147" s="178">
        <f>IFERROR(VLOOKUP("Coke", BB$88:BC$97, 2, FALSE), 0)*$BI$156*('GREET IO'!$AD$17/1000000)*'GREET IO'!$AD9</f>
        <v>0</v>
      </c>
      <c r="BE147" s="179">
        <f t="shared" si="28"/>
        <v>0</v>
      </c>
      <c r="BG147" s="120">
        <v>7</v>
      </c>
      <c r="BH147" s="120">
        <v>37</v>
      </c>
      <c r="BI147" s="120">
        <v>24</v>
      </c>
      <c r="BJ147"/>
      <c r="BK147"/>
      <c r="CB147" s="147" t="s">
        <v>20</v>
      </c>
      <c r="CC147" s="178">
        <f>IFERROR(VLOOKUP("Coke", CB$88:CC$97, 2, FALSE), 0)*$BI$156*('GREET IO'!$AD$17/1000000)*'GREET IO'!$AD9</f>
        <v>0</v>
      </c>
      <c r="CE147" s="179">
        <f t="shared" si="29"/>
        <v>0</v>
      </c>
      <c r="CG147"/>
      <c r="CH147"/>
      <c r="CI147"/>
      <c r="CJ147"/>
      <c r="CK147"/>
      <c r="CL147"/>
      <c r="CM147"/>
      <c r="DB147" s="147" t="s">
        <v>20</v>
      </c>
      <c r="DC147" s="178">
        <f>IFERROR(VLOOKUP("Coke", DB$88:DC$97, 2, FALSE), 0)*$BI$156*('GREET IO'!$AD$17/1000000)*'GREET IO'!$AD9</f>
        <v>0</v>
      </c>
      <c r="DE147" s="179">
        <f t="shared" si="30"/>
        <v>0</v>
      </c>
      <c r="DG147"/>
      <c r="DH147"/>
      <c r="DI147"/>
      <c r="DJ147"/>
      <c r="DK147"/>
      <c r="DL147"/>
      <c r="DM147"/>
      <c r="EB147" s="147" t="s">
        <v>12</v>
      </c>
      <c r="EC147" s="178">
        <f>IFERROR(VLOOKUP("Coke", EB$89:EC$98, 2, FALSE), 0)*$BI$156*('GREET IO'!$AD$17/1000000)*'GREET IO'!$AD7</f>
        <v>0</v>
      </c>
      <c r="EE147" s="179">
        <f t="shared" si="31"/>
        <v>0</v>
      </c>
    </row>
    <row r="148" spans="2:136">
      <c r="B148"/>
      <c r="C148"/>
      <c r="D148"/>
      <c r="E148"/>
      <c r="BB148" s="147" t="s">
        <v>14</v>
      </c>
      <c r="BC148" s="178">
        <f>IFERROR(VLOOKUP("Coke", BB$88:BC$97, 2, FALSE), 0)*$BI$156*('GREET IO'!$AD$17/1000000)*'GREET IO'!$AD10</f>
        <v>0</v>
      </c>
      <c r="BE148" s="179">
        <f t="shared" si="28"/>
        <v>0</v>
      </c>
      <c r="CB148" s="147" t="s">
        <v>14</v>
      </c>
      <c r="CC148" s="178">
        <f>IFERROR(VLOOKUP("Coke", CB$88:CC$97, 2, FALSE), 0)*$BI$156*('GREET IO'!$AD$17/1000000)*'GREET IO'!$AD10</f>
        <v>0</v>
      </c>
      <c r="CE148" s="179">
        <f t="shared" si="29"/>
        <v>0</v>
      </c>
      <c r="CG148"/>
      <c r="CH148"/>
      <c r="CI148"/>
      <c r="CJ148"/>
      <c r="CK148"/>
      <c r="CL148"/>
      <c r="CM148"/>
      <c r="DB148" s="147" t="s">
        <v>14</v>
      </c>
      <c r="DC148" s="178">
        <f>IFERROR(VLOOKUP("Coke", DB$88:DC$97, 2, FALSE), 0)*$BI$156*('GREET IO'!$AD$17/1000000)*'GREET IO'!$AD10</f>
        <v>0</v>
      </c>
      <c r="DE148" s="179">
        <f t="shared" si="30"/>
        <v>0</v>
      </c>
      <c r="DG148"/>
      <c r="DH148"/>
      <c r="DI148"/>
      <c r="DJ148"/>
      <c r="DK148"/>
      <c r="DL148"/>
      <c r="DM148"/>
      <c r="EB148" s="147" t="s">
        <v>13</v>
      </c>
      <c r="EC148" s="178">
        <f>IFERROR(VLOOKUP("Coke", EB$89:EC$98, 2, FALSE), 0)*$BI$156*('GREET IO'!$AD$17/1000000)*'GREET IO'!$AD8</f>
        <v>0</v>
      </c>
      <c r="EE148" s="179">
        <f t="shared" si="31"/>
        <v>0</v>
      </c>
    </row>
    <row r="149" spans="2:136">
      <c r="B149"/>
      <c r="C149"/>
      <c r="D149"/>
      <c r="E149"/>
      <c r="BB149" s="147" t="s">
        <v>15</v>
      </c>
      <c r="BC149" s="178">
        <f>IFERROR(VLOOKUP("Coke", BB$88:BC$97, 2, FALSE), 0)*$BI$156*('GREET IO'!$AD$17/1000000)*'GREET IO'!$AD11</f>
        <v>0</v>
      </c>
      <c r="BE149" s="179">
        <f t="shared" si="28"/>
        <v>0</v>
      </c>
      <c r="CB149" s="147" t="s">
        <v>15</v>
      </c>
      <c r="CC149" s="178">
        <f>IFERROR(VLOOKUP("Coke", CB$88:CC$97, 2, FALSE), 0)*$BI$156*('GREET IO'!$AD$17/1000000)*'GREET IO'!$AD11</f>
        <v>0</v>
      </c>
      <c r="CE149" s="179">
        <f t="shared" si="29"/>
        <v>0</v>
      </c>
      <c r="CJ149" s="110"/>
      <c r="CK149" s="110"/>
      <c r="CL149" s="110"/>
      <c r="CM149" s="110"/>
      <c r="DB149" s="147" t="s">
        <v>15</v>
      </c>
      <c r="DC149" s="178">
        <f>IFERROR(VLOOKUP("Coke", DB$88:DC$97, 2, FALSE), 0)*$BI$156*('GREET IO'!$AD$17/1000000)*'GREET IO'!$AD11</f>
        <v>0</v>
      </c>
      <c r="DE149" s="179">
        <f t="shared" si="30"/>
        <v>0</v>
      </c>
      <c r="DJ149" s="110"/>
      <c r="DK149" s="110"/>
      <c r="DL149" s="110"/>
      <c r="DM149" s="110"/>
      <c r="EB149" s="147" t="s">
        <v>20</v>
      </c>
      <c r="EC149" s="178">
        <f>IFERROR(VLOOKUP("Coke", EB$89:EC$98, 2, FALSE), 0)*$BI$156*('GREET IO'!$AD$17/1000000)*'GREET IO'!$AD9</f>
        <v>0</v>
      </c>
      <c r="EE149" s="179">
        <f t="shared" si="31"/>
        <v>0</v>
      </c>
    </row>
    <row r="150" spans="2:136">
      <c r="B150"/>
      <c r="C150"/>
      <c r="D150"/>
      <c r="E150"/>
      <c r="BB150" s="147" t="s">
        <v>16</v>
      </c>
      <c r="BC150" s="178">
        <f>IFERROR(VLOOKUP("Coke", BB$88:BC$97, 2, FALSE), 0)*$BI$156*('GREET IO'!$AD$17/1000000)*'GREET IO'!$AD12</f>
        <v>0</v>
      </c>
      <c r="BE150" s="179">
        <f t="shared" si="28"/>
        <v>0</v>
      </c>
      <c r="CB150" s="147" t="s">
        <v>16</v>
      </c>
      <c r="CC150" s="178">
        <f>IFERROR(VLOOKUP("Coke", CB$88:CC$97, 2, FALSE), 0)*$BI$156*('GREET IO'!$AD$17/1000000)*'GREET IO'!$AD12</f>
        <v>0</v>
      </c>
      <c r="CE150" s="179">
        <f t="shared" si="29"/>
        <v>0</v>
      </c>
      <c r="CJ150" s="110"/>
      <c r="CK150" s="110"/>
      <c r="CL150" s="110"/>
      <c r="CM150" s="110"/>
      <c r="DB150" s="147" t="s">
        <v>16</v>
      </c>
      <c r="DC150" s="178">
        <f>IFERROR(VLOOKUP("Coke", DB$88:DC$97, 2, FALSE), 0)*$BI$156*('GREET IO'!$AD$17/1000000)*'GREET IO'!$AD12</f>
        <v>0</v>
      </c>
      <c r="DE150" s="179">
        <f t="shared" si="30"/>
        <v>0</v>
      </c>
      <c r="DJ150" s="110"/>
      <c r="DK150" s="110"/>
      <c r="DL150" s="110"/>
      <c r="DM150" s="110"/>
      <c r="EB150" s="147" t="s">
        <v>14</v>
      </c>
      <c r="EC150" s="178">
        <f>IFERROR(VLOOKUP("Coke", EB$89:EC$98, 2, FALSE), 0)*$BI$156*('GREET IO'!$AD$17/1000000)*'GREET IO'!$AD10</f>
        <v>0</v>
      </c>
      <c r="EE150" s="179">
        <f t="shared" si="31"/>
        <v>0</v>
      </c>
    </row>
    <row r="151" spans="2:136">
      <c r="B151"/>
      <c r="C151"/>
      <c r="D151"/>
      <c r="E151"/>
      <c r="BB151" s="147" t="s">
        <v>19</v>
      </c>
      <c r="BC151" s="178">
        <f>IFERROR(VLOOKUP("Coke", BB$88:BC$97, 2, FALSE), 0)*$BI$156*('GREET IO'!$AD$17/1000000)*'GREET IO'!$AD13</f>
        <v>0</v>
      </c>
      <c r="BE151" s="179">
        <f t="shared" si="28"/>
        <v>0</v>
      </c>
      <c r="CB151" s="147" t="s">
        <v>19</v>
      </c>
      <c r="CC151" s="178">
        <f>IFERROR(VLOOKUP("Coke", CB$88:CC$97, 2, FALSE), 0)*$BI$156*('GREET IO'!$AD$17/1000000)*'GREET IO'!$AD13</f>
        <v>0</v>
      </c>
      <c r="CE151" s="179">
        <f t="shared" si="29"/>
        <v>0</v>
      </c>
      <c r="CJ151" s="110"/>
      <c r="CK151" s="110"/>
      <c r="CL151" s="110"/>
      <c r="CM151" s="110"/>
      <c r="DB151" s="147" t="s">
        <v>19</v>
      </c>
      <c r="DC151" s="178">
        <f>IFERROR(VLOOKUP("Coke", DB$88:DC$97, 2, FALSE), 0)*$BI$156*('GREET IO'!$AD$17/1000000)*'GREET IO'!$AD13</f>
        <v>0</v>
      </c>
      <c r="DE151" s="179">
        <f t="shared" si="30"/>
        <v>0</v>
      </c>
      <c r="DJ151" s="110"/>
      <c r="DK151" s="110"/>
      <c r="DL151" s="110"/>
      <c r="DM151" s="110"/>
      <c r="EB151" s="147" t="s">
        <v>15</v>
      </c>
      <c r="EC151" s="178">
        <f>IFERROR(VLOOKUP("Coke", EB$89:EC$98, 2, FALSE), 0)*$BI$156*('GREET IO'!$AD$17/1000000)*'GREET IO'!$AD11</f>
        <v>0</v>
      </c>
      <c r="EE151" s="179">
        <f t="shared" si="31"/>
        <v>0</v>
      </c>
    </row>
    <row r="152" spans="2:136">
      <c r="B152"/>
      <c r="C152"/>
      <c r="D152"/>
      <c r="E152"/>
      <c r="BB152" s="149" t="s">
        <v>17</v>
      </c>
      <c r="BC152" s="312">
        <f>(IF(BC114="Burn for energy", BC$36*$BH$139, 0)+IF(BC117="Burn for energy", BC$45*SUMPRODUCT($BJ$139:$BL$139,$BJ$140:$BL$140), 0)+IF(BC118="Burn for energy", BC$44*SUMPRODUCT($BM$139:$BN$139,$BM$140:$BN$140), 0)+IF(BC119="Burn for energy", BC$37*$BI$139, 0)+IF(BC120="Burn for energy", BC$38*$BO$139, 0)+IF(BC121="Burn for energy", BC$39*$BP$139, 0))*1000/$BH$143*$BI$143+IFERROR(VLOOKUP("Coke", BB$88:BC$97, 2, FALSE), 0)*$BI$156*('GREET IO'!$AD$17/1000000)*'GREET IO'!$AD14</f>
        <v>1388.1652787948128</v>
      </c>
      <c r="BD152" s="188">
        <f>IFERROR(VLOOKUP("Lithium Carbonate", BB$88:BC$97, 2, FALSE),0)*1000/$BJ$143*$BI$143+IFERROR(VLOOKUP("Limestone", BB$88:BC$97, 2, FALSE),0)*1000/$BK$143*$BI$143+IFERROR(VLOOKUP("Soda Ash", BB$88:BC$97, 2, FALSE),0)*1000/$BL$143*$BI$143+IFERROR(VLOOKUP("Carbon Dioxide", BB$88:BC$97, 2, FALSE),0)*0.1*1000</f>
        <v>114.4</v>
      </c>
      <c r="BE152" s="313">
        <f>BC152+BD152</f>
        <v>1502.5652787948129</v>
      </c>
      <c r="CB152" s="149" t="s">
        <v>17</v>
      </c>
      <c r="CC152" s="312">
        <f>(IF(CC114="Burn for energy", CC$36*$BH$139, 0)+IF(CC117="Burn for energy", CC$45*SUMPRODUCT($BJ$139:$BL$139,$BJ$140:$BL$140), 0)+IF(CC118="Burn for energy", CC$44*SUMPRODUCT($BM$139:$BN$139,$BM$140:$BN$140), 0)+IF(CC119="Burn for energy", CC$37*$BI$139, 0)+IF(CC120="Burn for energy", CC$38*$BO$139, 0)+IF(CC121="Burn for energy", CC$39*$BP$139, 0))*1000/$BH$143*$BI$143+IFERROR(VLOOKUP("Coke", CB$88:CC$97, 2, FALSE), 0)*$BI$156*('GREET IO'!$AD$17/1000000)*'GREET IO'!$AD14</f>
        <v>0</v>
      </c>
      <c r="CD152" s="188">
        <f>IFERROR(VLOOKUP("Lithium Carbonate", CB$88:CC$97, 2, FALSE),0)*1000/$BJ$143*$BI$143+IFERROR(VLOOKUP("Carbon Dioxide", CB$88:CC$97, 2, FALSE),0)*0.1*1000</f>
        <v>0</v>
      </c>
      <c r="CE152" s="313">
        <f t="shared" si="29"/>
        <v>0</v>
      </c>
      <c r="CJ152" s="110"/>
      <c r="CK152" s="110"/>
      <c r="CL152" s="110"/>
      <c r="CM152" s="110"/>
      <c r="DB152" s="149" t="s">
        <v>17</v>
      </c>
      <c r="DC152" s="312">
        <f>(IF(DC114="Burn for energy", DC$36*$BH$139, 0)+IF(DC117="Burn for energy", DC$45*SUMPRODUCT($BJ$139:$BL$139,$BJ$140:$BL$140), 0)+IF(DC118="Burn for energy", DC$44*SUMPRODUCT($BM$139:$BN$139,$BM$140:$BN$140), 0)+IF(DC119="Burn for energy", DC$37*$BI$139, 0)+IF(DC120="Burn for energy", DC$38*$BO$139, 0)+IF(DC121="Burn for energy", DC$39*$BP$139, 0))*1000/$BH$143*$BI$143+IFERROR(VLOOKUP("Coke", DB$88:DC$97, 2, FALSE), 0)*$BI$156*('GREET IO'!$AD$17/1000000)*'GREET IO'!$AD14</f>
        <v>0</v>
      </c>
      <c r="DD152" s="188">
        <f>IFERROR(VLOOKUP("Lithium Carbonate", DB$88:DC$97, 2, FALSE),0)*1000/$BJ$143*$BI$143+IFERROR(VLOOKUP("Carbon Dioxide", DB$88:DC$97, 2, FALSE),0)*0.1*1000</f>
        <v>221.7837837837838</v>
      </c>
      <c r="DE152" s="313">
        <f t="shared" si="30"/>
        <v>221.7837837837838</v>
      </c>
      <c r="DJ152" s="110"/>
      <c r="DK152" s="110"/>
      <c r="DL152" s="110"/>
      <c r="DM152" s="110"/>
      <c r="EB152" s="147" t="s">
        <v>16</v>
      </c>
      <c r="EC152" s="178">
        <f>IFERROR(VLOOKUP("Coke", EB$89:EC$98, 2, FALSE), 0)*$BI$156*('GREET IO'!$AD$17/1000000)*'GREET IO'!$AD12</f>
        <v>0</v>
      </c>
      <c r="EE152" s="179">
        <f t="shared" si="31"/>
        <v>0</v>
      </c>
    </row>
    <row r="153" spans="2:136">
      <c r="B153"/>
      <c r="C153"/>
      <c r="D153"/>
      <c r="E153"/>
      <c r="CJ153" s="110"/>
      <c r="CK153" s="110"/>
      <c r="CL153" s="110"/>
      <c r="CM153" s="110"/>
      <c r="DJ153" s="110"/>
      <c r="DK153" s="110"/>
      <c r="DL153" s="110"/>
      <c r="DM153" s="110"/>
      <c r="EB153" s="147" t="s">
        <v>19</v>
      </c>
      <c r="EC153" s="178">
        <f>IFERROR(VLOOKUP("Coke", EB$89:EC$98, 2, FALSE), 0)*$BI$156*('GREET IO'!$AD$17/1000000)*'GREET IO'!$AD13</f>
        <v>0</v>
      </c>
      <c r="EE153" s="179">
        <f t="shared" si="31"/>
        <v>0</v>
      </c>
    </row>
    <row r="154" spans="2:136">
      <c r="B154"/>
      <c r="C154"/>
      <c r="D154"/>
      <c r="E154"/>
      <c r="BB154" s="111" t="s">
        <v>1915</v>
      </c>
      <c r="CB154" s="111" t="s">
        <v>1915</v>
      </c>
      <c r="CJ154" s="110"/>
      <c r="CK154" s="110"/>
      <c r="CL154" s="110"/>
      <c r="CM154" s="110"/>
      <c r="DB154" s="111" t="s">
        <v>1915</v>
      </c>
      <c r="DJ154" s="110"/>
      <c r="DK154" s="110"/>
      <c r="DL154" s="110"/>
      <c r="DM154" s="110"/>
      <c r="EB154" s="149" t="s">
        <v>17</v>
      </c>
      <c r="EC154" s="312">
        <f>(IF(EC116="Burn for energy", EC$37*$BH$139, 0)+IF(EC119="Burn for energy", EC$46*SUMPRODUCT($BJ$139:$BL$139,$BJ$140:$BL$140), 0)+IF(EC120="Burn for energy", EC$45*SUMPRODUCT($BM$139:$BN$139,$BM$140:$BN$140), 0)+IF(EC121="Burn for energy", EC$38*$BI$139, 0)+IF(EC122="Burn for energy", EC$39*$BO$139, 0)+IF(EC123="Burn for energy", EC$40*$BP$139, 0))*1000/$BH$143*$BI$143+IFERROR(VLOOKUP("Coke", EB$89:EC$98, 2, FALSE), 0)*$BI$156*('GREET IO'!$AD$17/1000000)*'GREET IO'!$AD16</f>
        <v>0</v>
      </c>
      <c r="ED154" s="188">
        <f>IFERROR(VLOOKUP("Lithium Carbonate", EB$89:EC$98, 2, FALSE),0)*1000/$BJ$143*$BI$143+IFERROR(VLOOKUP("Carbon Dioxide", EB$89:EC$98, 2, FALSE),0)*0.1*1000</f>
        <v>0</v>
      </c>
      <c r="EE154" s="313">
        <f t="shared" si="31"/>
        <v>0</v>
      </c>
    </row>
    <row r="155" spans="2:136">
      <c r="B155"/>
      <c r="C155"/>
      <c r="D155"/>
      <c r="E155"/>
      <c r="BB155" s="145"/>
      <c r="BC155" s="144" t="s">
        <v>376</v>
      </c>
      <c r="BD155" s="144" t="s">
        <v>377</v>
      </c>
      <c r="BE155" s="144" t="s">
        <v>5</v>
      </c>
      <c r="BF155" s="146" t="s">
        <v>193</v>
      </c>
      <c r="BH155" s="120" t="s">
        <v>270</v>
      </c>
      <c r="BI155" s="120"/>
      <c r="CB155" s="145"/>
      <c r="CC155" s="144" t="s">
        <v>376</v>
      </c>
      <c r="CD155" s="144" t="s">
        <v>377</v>
      </c>
      <c r="CE155" s="144" t="s">
        <v>5</v>
      </c>
      <c r="CF155" s="146" t="s">
        <v>193</v>
      </c>
      <c r="CH155"/>
      <c r="CI155"/>
      <c r="CJ155" s="110"/>
      <c r="CK155" s="110"/>
      <c r="CL155" s="110"/>
      <c r="CM155" s="110"/>
      <c r="DB155" s="145"/>
      <c r="DC155" s="144" t="s">
        <v>376</v>
      </c>
      <c r="DD155" s="144" t="s">
        <v>377</v>
      </c>
      <c r="DE155" s="144" t="s">
        <v>5</v>
      </c>
      <c r="DF155" s="146" t="s">
        <v>193</v>
      </c>
      <c r="DH155"/>
      <c r="DI155"/>
      <c r="DJ155" s="110"/>
      <c r="DK155" s="110"/>
      <c r="DL155" s="110"/>
      <c r="DM155" s="110"/>
    </row>
    <row r="156" spans="2:136">
      <c r="B156"/>
      <c r="C156"/>
      <c r="D156"/>
      <c r="E156"/>
      <c r="BB156" s="147" t="s">
        <v>346</v>
      </c>
      <c r="BC156" s="193"/>
      <c r="BD156" s="235"/>
      <c r="BE156" s="235"/>
      <c r="BF156" s="236"/>
      <c r="BH156" s="120" t="s">
        <v>271</v>
      </c>
      <c r="BI156" s="120">
        <v>1.1000000000000001E-3</v>
      </c>
      <c r="CB156" s="147" t="s">
        <v>346</v>
      </c>
      <c r="CC156" s="193"/>
      <c r="CD156" s="235"/>
      <c r="CE156" s="235"/>
      <c r="CF156" s="236"/>
      <c r="CH156"/>
      <c r="CI156"/>
      <c r="CJ156" s="110"/>
      <c r="CK156" s="110"/>
      <c r="CL156" s="110"/>
      <c r="CM156" s="110"/>
      <c r="DB156" s="147" t="s">
        <v>346</v>
      </c>
      <c r="DC156" s="193"/>
      <c r="DD156" s="235"/>
      <c r="DE156" s="235"/>
      <c r="DF156" s="236"/>
      <c r="DH156"/>
      <c r="DI156"/>
      <c r="DJ156" s="110"/>
      <c r="DK156" s="110"/>
      <c r="DL156" s="110"/>
      <c r="DM156" s="110"/>
      <c r="EB156" s="111" t="s">
        <v>1915</v>
      </c>
    </row>
    <row r="157" spans="2:136">
      <c r="B157"/>
      <c r="C157"/>
      <c r="D157"/>
      <c r="E157"/>
      <c r="BB157" s="147" t="s">
        <v>173</v>
      </c>
      <c r="BC157" s="237">
        <f>(IFERROR(HLOOKUP(BB$88, 'GREET IO'!$B$77:$BK$98, ROW(BB157)-ROW(BB$155)+1, FALSE), 0)*BC$88+IFERROR(HLOOKUP(BB$89, 'GREET IO'!$B$77:$BK$98, ROW(BB157)-ROW(BB$155)+1, FALSE), 0)*BC$89+IFERROR(HLOOKUP(BB$90, 'GREET IO'!$B$77:$BK$98, ROW(BB157)-ROW(BB$155)+1, FALSE), 0)*BC$90+IFERROR(HLOOKUP(BB$91, 'GREET IO'!$B$77:$BK$98, ROW(BB157)-ROW(BB$155)+1, FALSE), 0)*BC$91+IFERROR(HLOOKUP(BB$92, 'GREET IO'!$B$77:$BK$98, ROW(BB157)-ROW(BB$155)+1, FALSE), 0)*BC$92+IFERROR(HLOOKUP(BB$93, 'GREET IO'!$B$77:$BK$98, ROW(BB157)-ROW(BB$155)+1, FALSE), 0)*BC$93+IFERROR(HLOOKUP(BB$94, 'GREET IO'!$B$77:$BK$98, ROW(BB157)-ROW(BB$155)+1, FALSE), 0)*BC$94+IFERROR(HLOOKUP(BB$95, 'GREET IO'!$B$77:$BK$98, ROW(BB157)-ROW(BB$155)+1, FALSE), 0)*BC$95+IFERROR(HLOOKUP(BB$96, 'GREET IO'!$B$77:$BK$98, ROW(BB157)-ROW(BB$155)+1, FALSE), 0)*BC$96+IFERROR(HLOOKUP(BB$97, 'GREET IO'!$B$77:$BK$98, ROW(BB157)-ROW(BB$155)+1, FALSE), 0)*BC$97+IF(ISTEXT(BB$99), 1, 0)*BC$99*Materials!$G113+IF(ISTEXT(BB$100), 1, 0)*BC$100*Materials!$H113)*$BI$156</f>
        <v>7.7991581655448223E-3</v>
      </c>
      <c r="BD157" s="178">
        <f>BC$104/$BI$157*('GREET IO'!$B146+1)+BC$105/$BI$157*('GREET IO'!$B22/1000000+1)+BC$106/$BI$157*IF(BC$16=Input!$AD$34,"blank",IF(BC$16=Input!$AD$35,'Geographic Par.'!$E70, IF(BC$16=Input!$AD$36, 'Geographic Par.'!$F70, IF(BC$16=Input!$AD$37, 'Geographic Par.'!$H70, IF(BC$16=Input!$AD$38,'Geographic Par.'!$G70,'Geographic Par.'!$J70)))))/1000000</f>
        <v>0.41662862056422006</v>
      </c>
      <c r="BE157" s="316"/>
      <c r="BF157" s="179">
        <f t="shared" ref="BF157:BF162" si="32">SUM(BC157:BE157)</f>
        <v>0.42442777872976489</v>
      </c>
      <c r="BH157" s="120" t="s">
        <v>1292</v>
      </c>
      <c r="BI157" s="120">
        <v>1055</v>
      </c>
      <c r="CB157" s="147" t="s">
        <v>173</v>
      </c>
      <c r="CC157" s="237">
        <f>(IFERROR(HLOOKUP(CB$88, 'GREET IO'!$B$77:$BK$98, ROW(CB157)-ROW(CB$155)+1, FALSE), 0)*CC$88+IFERROR(HLOOKUP(CB$89, 'GREET IO'!$B$77:$BK$98, ROW(CB157)-ROW(CB$155)+1, FALSE), 0)*CC$89+IFERROR(HLOOKUP(CB$90, 'GREET IO'!$B$77:$BK$98, ROW(CB157)-ROW(CB$155)+1, FALSE), 0)*CC$90+IFERROR(HLOOKUP(CB$91, 'GREET IO'!$B$77:$BK$98, ROW(CB157)-ROW(CB$155)+1, FALSE), 0)*CC$91+IFERROR(HLOOKUP(CB$92, 'GREET IO'!$B$77:$BK$98, ROW(CB157)-ROW(CB$155)+1, FALSE), 0)*CC$92+IFERROR(HLOOKUP(CB$93, 'GREET IO'!$B$77:$BK$98, ROW(CB157)-ROW(CB$155)+1, FALSE), 0)*CC$93+IFERROR(HLOOKUP(CB$94, 'GREET IO'!$B$77:$BK$98, ROW(CB157)-ROW(CB$155)+1, FALSE), 0)*CC$94+IFERROR(HLOOKUP(CB$95, 'GREET IO'!$B$77:$BK$98, ROW(CB157)-ROW(CB$155)+1, FALSE), 0)*CC$95+IFERROR(HLOOKUP(CB$96, 'GREET IO'!$B$77:$BK$98, ROW(CB157)-ROW(CB$155)+1, FALSE), 0)*CC$96+IFERROR(HLOOKUP(CB$97, 'GREET IO'!$B$77:$BK$98, ROW(CB157)-ROW(CB$155)+1, FALSE), 0)*CC$97+IF(ISTEXT(CB$99), 1, 0)*CC$99*Materials!$I113+IF(ISTEXT(CB$100), 1, 0)*CC$100*Materials!$J113)*$BI$156</f>
        <v>4.3232434176963132E-2</v>
      </c>
      <c r="CD157" s="178">
        <f>CC$104/$BI$157*('GREET IO'!$B146+1)+CC$105/$BI$157*('GREET IO'!$B22/1000000+1)+CC$106/$BI$157*IF(CC$16=Input!$AD$34,"blank",IF(CC$16=Input!$AD$35,'Geographic Par.'!$E70, IF(CC$16=Input!$AD$36, 'Geographic Par.'!$F70, IF(CC$16=Input!$AD$37, 'Geographic Par.'!$H70, IF(CC$16=Input!$AD$38,'Geographic Par.'!$G70,'Geographic Par.'!$J70)))))/1000000</f>
        <v>0.34905459654342658</v>
      </c>
      <c r="CE157" s="316"/>
      <c r="CF157" s="179">
        <f t="shared" ref="CF157:CF162" si="33">SUM(CC157:CE157)</f>
        <v>0.39228703072038973</v>
      </c>
      <c r="CH157"/>
      <c r="CI157"/>
      <c r="CJ157" s="110"/>
      <c r="CK157" s="110"/>
      <c r="CL157" s="110"/>
      <c r="CM157" s="110"/>
      <c r="DB157" s="147" t="s">
        <v>173</v>
      </c>
      <c r="DC157" s="237">
        <f>(IFERROR(HLOOKUP(DB$88, 'GREET IO'!$B$77:$BK$98, ROW(DB157)-ROW(DB$155)+1, FALSE), 0)*DC$88+IFERROR(HLOOKUP(DB$89, 'GREET IO'!$B$77:$BK$98, ROW(DB157)-ROW(DB$155)+1, FALSE), 0)*DC$89+IFERROR(HLOOKUP(DB$90, 'GREET IO'!$B$77:$BK$98, ROW(DB157)-ROW(DB$155)+1, FALSE), 0)*DC$90+IFERROR(HLOOKUP(DB$91, 'GREET IO'!$B$77:$BK$98, ROW(DB157)-ROW(DB$155)+1, FALSE), 0)*DC$91+IFERROR(HLOOKUP(DB$92, 'GREET IO'!$B$77:$BK$98, ROW(DB157)-ROW(DB$155)+1, FALSE), 0)*DC$92+IFERROR(HLOOKUP(DB$93, 'GREET IO'!$B$77:$BK$98, ROW(DB157)-ROW(DB$155)+1, FALSE), 0)*DC$93+IFERROR(HLOOKUP(DB$94, 'GREET IO'!$B$77:$BK$98, ROW(DB157)-ROW(DB$155)+1, FALSE), 0)*DC$94+IFERROR(HLOOKUP(DB$95, 'GREET IO'!$B$77:$BK$98, ROW(DB157)-ROW(DB$155)+1, FALSE), 0)*DC$95+IFERROR(HLOOKUP(DB$96, 'GREET IO'!$B$77:$BK$98, ROW(DB157)-ROW(DB$155)+1, FALSE), 0)*DC$96+IFERROR(HLOOKUP(DB$97, 'GREET IO'!$B$77:$BK$98, ROW(DB157)-ROW(DB$155)+1, FALSE), 0)*DC$97+IF(ISTEXT(DB$99), 1, 0)*DC$99*Materials!$K113+IF(ISTEXT(DB$100), 1, 0)*DC$100*Materials!$L113)*$BI$156</f>
        <v>1.4186398041850715E-2</v>
      </c>
      <c r="DD157" s="178">
        <f>DC$104/$BI$157*('GREET IO'!$B146+1)+DC$105/$BI$157*('GREET IO'!$B22/1000000+1)+DC$106/$BI$157*IF(DC$16=Input!$AD$34,"blank",IF(DC$16=Input!$AD$35,'Geographic Par.'!$E70, IF(DC$16=Input!$AD$36, 'Geographic Par.'!$F70, IF(DC$16=Input!$AD$37, 'Geographic Par.'!$H70, IF(DC$16=Input!$AD$38,'Geographic Par.'!$G70,'Geographic Par.'!$J70)))))/1000000</f>
        <v>6.9947472875602087E-2</v>
      </c>
      <c r="DE157" s="316"/>
      <c r="DF157" s="179">
        <f t="shared" ref="DF157:DF162" si="34">SUM(DC157:DE157)</f>
        <v>8.4133870917452808E-2</v>
      </c>
      <c r="DH157"/>
      <c r="DI157"/>
      <c r="DJ157" s="110"/>
      <c r="DK157" s="110"/>
      <c r="DL157" s="110"/>
      <c r="DM157" s="110"/>
      <c r="EB157" s="145"/>
      <c r="EC157" s="144" t="s">
        <v>376</v>
      </c>
      <c r="ED157" s="144" t="s">
        <v>377</v>
      </c>
      <c r="EE157" s="144" t="s">
        <v>5</v>
      </c>
      <c r="EF157" s="146" t="s">
        <v>193</v>
      </c>
    </row>
    <row r="158" spans="2:136">
      <c r="B158"/>
      <c r="C158"/>
      <c r="D158"/>
      <c r="E158"/>
      <c r="BB158" s="147" t="s">
        <v>174</v>
      </c>
      <c r="BC158" s="237">
        <f>(IFERROR(HLOOKUP(BB$88, 'GREET IO'!$B$77:$BK$98, ROW(BB158)-ROW(BB$155)+1, FALSE), 0)*BC$88+IFERROR(HLOOKUP(BB$89, 'GREET IO'!$B$77:$BK$98, ROW(BB158)-ROW(BB$155)+1, FALSE), 0)*BC$89+IFERROR(HLOOKUP(BB$90, 'GREET IO'!$B$77:$BK$98, ROW(BB158)-ROW(BB$155)+1, FALSE), 0)*BC$90+IFERROR(HLOOKUP(BB$91, 'GREET IO'!$B$77:$BK$98, ROW(BB158)-ROW(BB$155)+1, FALSE), 0)*BC$91+IFERROR(HLOOKUP(BB$92, 'GREET IO'!$B$77:$BK$98, ROW(BB158)-ROW(BB$155)+1, FALSE), 0)*BC$92+IFERROR(HLOOKUP(BB$93, 'GREET IO'!$B$77:$BK$98, ROW(BB158)-ROW(BB$155)+1, FALSE), 0)*BC$93+IFERROR(HLOOKUP(BB$94, 'GREET IO'!$B$77:$BK$98, ROW(BB158)-ROW(BB$155)+1, FALSE), 0)*BC$94+IFERROR(HLOOKUP(BB$95, 'GREET IO'!$B$77:$BK$98, ROW(BB158)-ROW(BB$155)+1, FALSE), 0)*BC$95+IFERROR(HLOOKUP(BB$96, 'GREET IO'!$B$77:$BK$98, ROW(BB158)-ROW(BB$155)+1, FALSE), 0)*BC$96+IFERROR(HLOOKUP(BB$97, 'GREET IO'!$B$77:$BK$98, ROW(BB158)-ROW(BB$155)+1, FALSE), 0)*BC$97+IF(ISTEXT(BB$99), 1, 0)*BC$99*Materials!$G114+IF(ISTEXT(BB$100), 1, 0)*BC$100*Materials!$H114)*$BI$156</f>
        <v>7.0826777184894996E-3</v>
      </c>
      <c r="BD158" s="178">
        <f>BC$104/$BI$157*('GREET IO'!$B147+1)+BC$105/$BI$157*('GREET IO'!$B23/1000000+1)+BC$106/$BI$157*IF(BC$16=Input!$AD$34,"",IF(BC$16=Input!$AD$35,'Geographic Par.'!$E71,IF(BC$16=Input!$AD$36,'Geographic Par.'!$F71,IF(BC$16=Input!$AD$37,'Geographic Par.'!$H71,IF(BC$16=Input!$AD$38,'Geographic Par.'!$G71,'Geographic Par.'!$J71)))))/1000000</f>
        <v>0.33969604299169887</v>
      </c>
      <c r="BE158" s="316"/>
      <c r="BF158" s="179">
        <f t="shared" si="32"/>
        <v>0.34677872071018834</v>
      </c>
      <c r="CB158" s="147" t="s">
        <v>174</v>
      </c>
      <c r="CC158" s="237">
        <f>(IFERROR(HLOOKUP(CB$88, 'GREET IO'!$B$77:$BK$98, ROW(CB158)-ROW(CB$155)+1, FALSE), 0)*CC$88+IFERROR(HLOOKUP(CB$89, 'GREET IO'!$B$77:$BK$98, ROW(CB158)-ROW(CB$155)+1, FALSE), 0)*CC$89+IFERROR(HLOOKUP(CB$90, 'GREET IO'!$B$77:$BK$98, ROW(CB158)-ROW(CB$155)+1, FALSE), 0)*CC$90+IFERROR(HLOOKUP(CB$91, 'GREET IO'!$B$77:$BK$98, ROW(CB158)-ROW(CB$155)+1, FALSE), 0)*CC$91+IFERROR(HLOOKUP(CB$92, 'GREET IO'!$B$77:$BK$98, ROW(CB158)-ROW(CB$155)+1, FALSE), 0)*CC$92+IFERROR(HLOOKUP(CB$93, 'GREET IO'!$B$77:$BK$98, ROW(CB158)-ROW(CB$155)+1, FALSE), 0)*CC$93+IFERROR(HLOOKUP(CB$94, 'GREET IO'!$B$77:$BK$98, ROW(CB158)-ROW(CB$155)+1, FALSE), 0)*CC$94+IFERROR(HLOOKUP(CB$95, 'GREET IO'!$B$77:$BK$98, ROW(CB158)-ROW(CB$155)+1, FALSE), 0)*CC$95+IFERROR(HLOOKUP(CB$96, 'GREET IO'!$B$77:$BK$98, ROW(CB158)-ROW(CB$155)+1, FALSE), 0)*CC$96+IFERROR(HLOOKUP(CB$97, 'GREET IO'!$B$77:$BK$98, ROW(CB158)-ROW(CB$155)+1, FALSE), 0)*CC$97+IF(ISTEXT(CB$99), 1, 0)*CC$99*Materials!$I114+IF(ISTEXT(CB$100), 1, 0)*CC$100*Materials!$J114)*$BI$156</f>
        <v>3.9554607488470728E-2</v>
      </c>
      <c r="CD158" s="178">
        <f>CC$104/$BI$157*('GREET IO'!$B147+1)+CC$105/$BI$157*('GREET IO'!$B23/1000000+1)+CC$106/$BI$157*IF(CC$16=Input!$AD$34,"",IF(CC$16=Input!$AD$35,'Geographic Par.'!$E71,IF(CC$16=Input!$AD$36,'Geographic Par.'!$F71,IF(CC$16=Input!$AD$37,'Geographic Par.'!$H71,IF(CC$16=Input!$AD$38,'Geographic Par.'!$G71,'Geographic Par.'!$J71)))))/1000000</f>
        <v>0.28494256339953494</v>
      </c>
      <c r="CE158" s="316"/>
      <c r="CF158" s="179">
        <f t="shared" si="33"/>
        <v>0.32449717088800567</v>
      </c>
      <c r="CJ158" s="110"/>
      <c r="CK158" s="110"/>
      <c r="CL158" s="110"/>
      <c r="CM158" s="110"/>
      <c r="DB158" s="147" t="s">
        <v>174</v>
      </c>
      <c r="DC158" s="237">
        <f>(IFERROR(HLOOKUP(DB$88, 'GREET IO'!$B$77:$BK$98, ROW(DB158)-ROW(DB$155)+1, FALSE), 0)*DC$88+IFERROR(HLOOKUP(DB$89, 'GREET IO'!$B$77:$BK$98, ROW(DB158)-ROW(DB$155)+1, FALSE), 0)*DC$89+IFERROR(HLOOKUP(DB$90, 'GREET IO'!$B$77:$BK$98, ROW(DB158)-ROW(DB$155)+1, FALSE), 0)*DC$90+IFERROR(HLOOKUP(DB$91, 'GREET IO'!$B$77:$BK$98, ROW(DB158)-ROW(DB$155)+1, FALSE), 0)*DC$91+IFERROR(HLOOKUP(DB$92, 'GREET IO'!$B$77:$BK$98, ROW(DB158)-ROW(DB$155)+1, FALSE), 0)*DC$92+IFERROR(HLOOKUP(DB$93, 'GREET IO'!$B$77:$BK$98, ROW(DB158)-ROW(DB$155)+1, FALSE), 0)*DC$93+IFERROR(HLOOKUP(DB$94, 'GREET IO'!$B$77:$BK$98, ROW(DB158)-ROW(DB$155)+1, FALSE), 0)*DC$94+IFERROR(HLOOKUP(DB$95, 'GREET IO'!$B$77:$BK$98, ROW(DB158)-ROW(DB$155)+1, FALSE), 0)*DC$95+IFERROR(HLOOKUP(DB$96, 'GREET IO'!$B$77:$BK$98, ROW(DB158)-ROW(DB$155)+1, FALSE), 0)*DC$96+IFERROR(HLOOKUP(DB$97, 'GREET IO'!$B$77:$BK$98, ROW(DB158)-ROW(DB$155)+1, FALSE), 0)*DC$97+IF(ISTEXT(DB$99), 1, 0)*DC$99*Materials!$K114+IF(ISTEXT(DB$100), 1, 0)*DC$100*Materials!$L114)*$BI$156</f>
        <v>1.3375688750918265E-2</v>
      </c>
      <c r="DD158" s="178">
        <f>DC$104/$BI$157*('GREET IO'!$B147+1)+DC$105/$BI$157*('GREET IO'!$B23/1000000+1)+DC$106/$BI$157*IF(DC$16=Input!$AD$34,"",IF(DC$16=Input!$AD$35,'Geographic Par.'!$E71,IF(DC$16=Input!$AD$36,'Geographic Par.'!$F71,IF(DC$16=Input!$AD$37,'Geographic Par.'!$H71,IF(DC$16=Input!$AD$38,'Geographic Par.'!$G71,'Geographic Par.'!$J71)))))/1000000</f>
        <v>5.7122592101457405E-2</v>
      </c>
      <c r="DE158" s="316"/>
      <c r="DF158" s="179">
        <f t="shared" si="34"/>
        <v>7.0498280852375667E-2</v>
      </c>
      <c r="DJ158" s="110"/>
      <c r="DK158" s="110"/>
      <c r="DL158" s="110"/>
      <c r="DM158" s="110"/>
      <c r="EB158" s="147" t="s">
        <v>346</v>
      </c>
      <c r="EC158" s="193"/>
      <c r="ED158" s="235"/>
      <c r="EE158" s="235"/>
      <c r="EF158" s="236"/>
    </row>
    <row r="159" spans="2:136">
      <c r="B159"/>
      <c r="C159"/>
      <c r="D159"/>
      <c r="E159"/>
      <c r="BB159" s="147" t="s">
        <v>175</v>
      </c>
      <c r="BC159" s="237">
        <f>(IFERROR(HLOOKUP(BB$88, 'GREET IO'!$B$77:$BK$98, ROW(BB159)-ROW(BB$155)+1, FALSE), 0)*BC$88+IFERROR(HLOOKUP(BB$89, 'GREET IO'!$B$77:$BK$98, ROW(BB159)-ROW(BB$155)+1, FALSE), 0)*BC$89+IFERROR(HLOOKUP(BB$90, 'GREET IO'!$B$77:$BK$98, ROW(BB159)-ROW(BB$155)+1, FALSE), 0)*BC$90+IFERROR(HLOOKUP(BB$91, 'GREET IO'!$B$77:$BK$98, ROW(BB159)-ROW(BB$155)+1, FALSE), 0)*BC$91+IFERROR(HLOOKUP(BB$92, 'GREET IO'!$B$77:$BK$98, ROW(BB159)-ROW(BB$155)+1, FALSE), 0)*BC$92+IFERROR(HLOOKUP(BB$93, 'GREET IO'!$B$77:$BK$98, ROW(BB159)-ROW(BB$155)+1, FALSE), 0)*BC$93+IFERROR(HLOOKUP(BB$94, 'GREET IO'!$B$77:$BK$98, ROW(BB159)-ROW(BB$155)+1, FALSE), 0)*BC$94+IFERROR(HLOOKUP(BB$95, 'GREET IO'!$B$77:$BK$98, ROW(BB159)-ROW(BB$155)+1, FALSE), 0)*BC$95+IFERROR(HLOOKUP(BB$96, 'GREET IO'!$B$77:$BK$98, ROW(BB159)-ROW(BB$155)+1, FALSE), 0)*BC$96+IFERROR(HLOOKUP(BB$97, 'GREET IO'!$B$77:$BK$98, ROW(BB159)-ROW(BB$155)+1, FALSE), 0)*BC$97+IF(ISTEXT(BB$99), 1, 0)*BC$99*Materials!$G115+IF(ISTEXT(BB$100), 1, 0)*BC$100*Materials!$H115)*$BI$156</f>
        <v>1.355507447054452E-3</v>
      </c>
      <c r="BD159" s="178">
        <f>BC$104/$BI$157*'GREET IO'!$B148+BC$105/$BI$157*'GREET IO'!$B24/1000000+BC$106/$BI$157*IF(BC$16=Input!$AD$34,"", IF(BC$16=Input!$AD$35, 'Geographic Par.'!$E72, IF(BC$16=Input!$AD$36, 'Geographic Par.'!$F72, IF(BC$16=Input!$AD$37, 'Geographic Par.'!$H72, IF(BC$16=Input!$AD$38,'Geographic Par.'!$G72,'Geographic Par.'!$J72)))))/1000000</f>
        <v>0.31829575431233881</v>
      </c>
      <c r="BE159" s="316"/>
      <c r="BF159" s="179">
        <f t="shared" si="32"/>
        <v>0.31965126175939323</v>
      </c>
      <c r="CB159" s="147" t="s">
        <v>175</v>
      </c>
      <c r="CC159" s="237">
        <f>(IFERROR(HLOOKUP(CB$88, 'GREET IO'!$B$77:$BK$98, ROW(CB159)-ROW(CB$155)+1, FALSE), 0)*CC$88+IFERROR(HLOOKUP(CB$89, 'GREET IO'!$B$77:$BK$98, ROW(CB159)-ROW(CB$155)+1, FALSE), 0)*CC$89+IFERROR(HLOOKUP(CB$90, 'GREET IO'!$B$77:$BK$98, ROW(CB159)-ROW(CB$155)+1, FALSE), 0)*CC$90+IFERROR(HLOOKUP(CB$91, 'GREET IO'!$B$77:$BK$98, ROW(CB159)-ROW(CB$155)+1, FALSE), 0)*CC$91+IFERROR(HLOOKUP(CB$92, 'GREET IO'!$B$77:$BK$98, ROW(CB159)-ROW(CB$155)+1, FALSE), 0)*CC$92+IFERROR(HLOOKUP(CB$93, 'GREET IO'!$B$77:$BK$98, ROW(CB159)-ROW(CB$155)+1, FALSE), 0)*CC$93+IFERROR(HLOOKUP(CB$94, 'GREET IO'!$B$77:$BK$98, ROW(CB159)-ROW(CB$155)+1, FALSE), 0)*CC$94+IFERROR(HLOOKUP(CB$95, 'GREET IO'!$B$77:$BK$98, ROW(CB159)-ROW(CB$155)+1, FALSE), 0)*CC$95+IFERROR(HLOOKUP(CB$96, 'GREET IO'!$B$77:$BK$98, ROW(CB159)-ROW(CB$155)+1, FALSE), 0)*CC$96+IFERROR(HLOOKUP(CB$97, 'GREET IO'!$B$77:$BK$98, ROW(CB159)-ROW(CB$155)+1, FALSE), 0)*CC$97+IF(ISTEXT(CB$99), 1, 0)*CC$99*Materials!$I115+IF(ISTEXT(CB$100), 1, 0)*CC$100*Materials!$J115)*$BI$156</f>
        <v>8.508579273715405E-3</v>
      </c>
      <c r="CD159" s="178">
        <f>CC$104/$BI$157*'GREET IO'!$B148+CC$105/$BI$157*'GREET IO'!$B24/1000000+CC$106/$BI$157*IF(CC$16=Input!$AD$34,"", IF(CC$16=Input!$AD$35, 'Geographic Par.'!$E72, IF(CC$16=Input!$AD$36, 'Geographic Par.'!$F72, IF(CC$16=Input!$AD$37, 'Geographic Par.'!$H72, IF(CC$16=Input!$AD$38,'Geographic Par.'!$G72,'Geographic Par.'!$J72)))))/1000000</f>
        <v>0.26524907209004578</v>
      </c>
      <c r="CE159" s="316"/>
      <c r="CF159" s="179">
        <f t="shared" si="33"/>
        <v>0.27375765136376118</v>
      </c>
      <c r="CJ159" s="110"/>
      <c r="CK159" s="110"/>
      <c r="CL159" s="110"/>
      <c r="CM159" s="110"/>
      <c r="DB159" s="147" t="s">
        <v>175</v>
      </c>
      <c r="DC159" s="237">
        <f>(IFERROR(HLOOKUP(DB$88, 'GREET IO'!$B$77:$BK$98, ROW(DB159)-ROW(DB$155)+1, FALSE), 0)*DC$88+IFERROR(HLOOKUP(DB$89, 'GREET IO'!$B$77:$BK$98, ROW(DB159)-ROW(DB$155)+1, FALSE), 0)*DC$89+IFERROR(HLOOKUP(DB$90, 'GREET IO'!$B$77:$BK$98, ROW(DB159)-ROW(DB$155)+1, FALSE), 0)*DC$90+IFERROR(HLOOKUP(DB$91, 'GREET IO'!$B$77:$BK$98, ROW(DB159)-ROW(DB$155)+1, FALSE), 0)*DC$91+IFERROR(HLOOKUP(DB$92, 'GREET IO'!$B$77:$BK$98, ROW(DB159)-ROW(DB$155)+1, FALSE), 0)*DC$92+IFERROR(HLOOKUP(DB$93, 'GREET IO'!$B$77:$BK$98, ROW(DB159)-ROW(DB$155)+1, FALSE), 0)*DC$93+IFERROR(HLOOKUP(DB$94, 'GREET IO'!$B$77:$BK$98, ROW(DB159)-ROW(DB$155)+1, FALSE), 0)*DC$94+IFERROR(HLOOKUP(DB$95, 'GREET IO'!$B$77:$BK$98, ROW(DB159)-ROW(DB$155)+1, FALSE), 0)*DC$95+IFERROR(HLOOKUP(DB$96, 'GREET IO'!$B$77:$BK$98, ROW(DB159)-ROW(DB$155)+1, FALSE), 0)*DC$96+IFERROR(HLOOKUP(DB$97, 'GREET IO'!$B$77:$BK$98, ROW(DB159)-ROW(DB$155)+1, FALSE), 0)*DC$97+IF(ISTEXT(DB$99), 1, 0)*DC$99*Materials!$K115+IF(ISTEXT(DB$100), 1, 0)*DC$100*Materials!$L115)*$BI$156</f>
        <v>7.5777390478157071E-3</v>
      </c>
      <c r="DD159" s="178">
        <f>DC$104/$BI$157*'GREET IO'!$B148+DC$105/$BI$157*'GREET IO'!$B24/1000000+DC$106/$BI$157*IF(DC$16=Input!$AD$34,"", IF(DC$16=Input!$AD$35, 'Geographic Par.'!$E72, IF(DC$16=Input!$AD$36, 'Geographic Par.'!$F72, IF(DC$16=Input!$AD$37, 'Geographic Par.'!$H72, IF(DC$16=Input!$AD$38,'Geographic Par.'!$G72,'Geographic Par.'!$J72)))))/1000000</f>
        <v>5.3053880092879167E-2</v>
      </c>
      <c r="DE159" s="316"/>
      <c r="DF159" s="179">
        <f t="shared" si="34"/>
        <v>6.0631619140694877E-2</v>
      </c>
      <c r="DJ159" s="110"/>
      <c r="DK159" s="110"/>
      <c r="DL159" s="110"/>
      <c r="DM159" s="110"/>
      <c r="EB159" s="147" t="s">
        <v>173</v>
      </c>
      <c r="EC159" s="237">
        <f>(IFERROR(HLOOKUP(EB$89, 'GREET IO'!$B$77:$BK$98, ROW(EB159)-ROW(EB$157)+1, FALSE), 0)*EC$89+IFERROR(HLOOKUP(EB$90, 'GREET IO'!$B$77:$BK$98, ROW(EB159)-ROW(EB$157)+1, FALSE), 0)*EC$90+IFERROR(HLOOKUP(EB$91, 'GREET IO'!$B$77:$BK$98, ROW(EB159)-ROW(EB$157)+1, FALSE), 0)*EC$91+IFERROR(HLOOKUP(EB$92, 'GREET IO'!$B$77:$BK$98, ROW(EB159)-ROW(EB$157)+1, FALSE), 0)*EC$92+IFERROR(HLOOKUP(EB$93, 'GREET IO'!$B$77:$BK$98, ROW(EB159)-ROW(EB$157)+1, FALSE), 0)*EC$93+IFERROR(HLOOKUP(EB$94, 'GREET IO'!$B$77:$BK$98, ROW(EB159)-ROW(EB$157)+1, FALSE), 0)*EC$94+IFERROR(HLOOKUP(EB$95, 'GREET IO'!$B$77:$BK$98, ROW(EB159)-ROW(EB$157)+1, FALSE), 0)*EC$95+IFERROR(HLOOKUP(EB$96, 'GREET IO'!$B$77:$BK$98, ROW(EB159)-ROW(EB$157)+1, FALSE), 0)*EC$96+IFERROR(HLOOKUP(EB$97, 'GREET IO'!$B$77:$BK$98, ROW(EB159)-ROW(EB$157)+1, FALSE), 0)*EC$97+IFERROR(HLOOKUP(EB$98, 'GREET IO'!$B$77:$BK$98, ROW(EB159)-ROW(EB$157)+1, FALSE), 0)*EC$98+IF(ISTEXT(EB$100), 1, 0)*EC$100*Materials!$M113+IF(ISTEXT(EB$101), 1, 0)*EC$101*Materials!$N113)*$BI$156</f>
        <v>5.4079090128637895E-2</v>
      </c>
      <c r="ED159" s="178">
        <f>EC$106/$BI$157*('GREET IO'!$B146+1)+EC$107/$BI$157*('GREET IO'!$B22/1000000+1)+EC$108/$BI$157*IF(EC$16=Input!$AD$35, 'Geographic Par.'!$E70, IF(EC$16=Input!$AD$36,  'Geographic Par.'!$F70, IF(EC$16=Input!$AD$37, 'Geographic Par.'!$H70, IF(EC$16=Input!$AD$38, 'Geographic Par.'!$G70, 'Geographic Par.'!$J70))))/1000000</f>
        <v>6.6067927443697258E-2</v>
      </c>
      <c r="EE159" s="316"/>
      <c r="EF159" s="179">
        <f t="shared" ref="EF159:EF164" si="35">SUM(EC159:EE159)</f>
        <v>0.12014701757233515</v>
      </c>
    </row>
    <row r="160" spans="2:136">
      <c r="B160"/>
      <c r="C160"/>
      <c r="D160"/>
      <c r="E160"/>
      <c r="BB160" s="147" t="s">
        <v>176</v>
      </c>
      <c r="BC160" s="237">
        <f>(IFERROR(HLOOKUP(BB$88, 'GREET IO'!$B$77:$BK$98, ROW(BB160)-ROW(BB$155)+1, FALSE), 0)*BC$88+IFERROR(HLOOKUP(BB$89, 'GREET IO'!$B$77:$BK$98, ROW(BB160)-ROW(BB$155)+1, FALSE), 0)*BC$89+IFERROR(HLOOKUP(BB$90, 'GREET IO'!$B$77:$BK$98, ROW(BB160)-ROW(BB$155)+1, FALSE), 0)*BC$90+IFERROR(HLOOKUP(BB$91, 'GREET IO'!$B$77:$BK$98, ROW(BB160)-ROW(BB$155)+1, FALSE), 0)*BC$91+IFERROR(HLOOKUP(BB$92, 'GREET IO'!$B$77:$BK$98, ROW(BB160)-ROW(BB$155)+1, FALSE), 0)*BC$92+IFERROR(HLOOKUP(BB$93, 'GREET IO'!$B$77:$BK$98, ROW(BB160)-ROW(BB$155)+1, FALSE), 0)*BC$93+IFERROR(HLOOKUP(BB$94, 'GREET IO'!$B$77:$BK$98, ROW(BB160)-ROW(BB$155)+1, FALSE), 0)*BC$94+IFERROR(HLOOKUP(BB$95, 'GREET IO'!$B$77:$BK$98, ROW(BB160)-ROW(BB$155)+1, FALSE), 0)*BC$95+IFERROR(HLOOKUP(BB$96, 'GREET IO'!$B$77:$BK$98, ROW(BB160)-ROW(BB$155)+1, FALSE), 0)*BC$96+IFERROR(HLOOKUP(BB$97, 'GREET IO'!$B$77:$BK$98, ROW(BB160)-ROW(BB$155)+1, FALSE), 0)*BC$97+IF(ISTEXT(BB$99), 1, 0)*BC$99*Materials!$G116+IF(ISTEXT(BB$100), 1, 0)*BC$100*Materials!$H116)*$BI$156</f>
        <v>5.3234797078891309E-3</v>
      </c>
      <c r="BD160" s="178">
        <f>BC$104/$BI$157*'GREET IO'!$B149+BC$105/$BI$157*('GREET IO'!$B25/1000000+1)+BC$106/$BI$157*IF(BC$16=Input!$AD$34,"", IF(BC$16=Input!$AD$35,'Geographic Par.'!$E73, IF(BC$16=Input!$AD$36,'Geographic Par.'!$F73, IF(BC$16=Input!$AD$37, 'Geographic Par.'!$H73, IF(BC$16=Input!$AD$38,'Geographic Par.'!$G73,'Geographic Par.'!$J73)))))/1000000</f>
        <v>1.5476717024775223E-2</v>
      </c>
      <c r="BE160" s="316"/>
      <c r="BF160" s="179">
        <f t="shared" si="32"/>
        <v>2.0800196732664353E-2</v>
      </c>
      <c r="CB160" s="147" t="s">
        <v>176</v>
      </c>
      <c r="CC160" s="237">
        <f>(IFERROR(HLOOKUP(CB$88, 'GREET IO'!$B$77:$BK$98, ROW(CB160)-ROW(CB$155)+1, FALSE), 0)*CC$88+IFERROR(HLOOKUP(CB$89, 'GREET IO'!$B$77:$BK$98, ROW(CB160)-ROW(CB$155)+1, FALSE), 0)*CC$89+IFERROR(HLOOKUP(CB$90, 'GREET IO'!$B$77:$BK$98, ROW(CB160)-ROW(CB$155)+1, FALSE), 0)*CC$90+IFERROR(HLOOKUP(CB$91, 'GREET IO'!$B$77:$BK$98, ROW(CB160)-ROW(CB$155)+1, FALSE), 0)*CC$91+IFERROR(HLOOKUP(CB$92, 'GREET IO'!$B$77:$BK$98, ROW(CB160)-ROW(CB$155)+1, FALSE), 0)*CC$92+IFERROR(HLOOKUP(CB$93, 'GREET IO'!$B$77:$BK$98, ROW(CB160)-ROW(CB$155)+1, FALSE), 0)*CC$93+IFERROR(HLOOKUP(CB$94, 'GREET IO'!$B$77:$BK$98, ROW(CB160)-ROW(CB$155)+1, FALSE), 0)*CC$94+IFERROR(HLOOKUP(CB$95, 'GREET IO'!$B$77:$BK$98, ROW(CB160)-ROW(CB$155)+1, FALSE), 0)*CC$95+IFERROR(HLOOKUP(CB$96, 'GREET IO'!$B$77:$BK$98, ROW(CB160)-ROW(CB$155)+1, FALSE), 0)*CC$96+IFERROR(HLOOKUP(CB$97, 'GREET IO'!$B$77:$BK$98, ROW(CB160)-ROW(CB$155)+1, FALSE), 0)*CC$97+IF(ISTEXT(CB$99), 1, 0)*CC$99*Materials!$I116+IF(ISTEXT(CB$100), 1, 0)*CC$100*Materials!$J116)*$BI$156</f>
        <v>2.8441747503951696E-2</v>
      </c>
      <c r="CD160" s="178">
        <f>CC$104/$BI$157*'GREET IO'!$B149+CC$105/$BI$157*('GREET IO'!$B25/1000000+1)+CC$106/$BI$157*IF(CC$16=Input!$AD$34,"", IF(CC$16=Input!$AD$35,'Geographic Par.'!$E73, IF(CC$16=Input!$AD$36,'Geographic Par.'!$F73, IF(CC$16=Input!$AD$37, 'Geographic Par.'!$H73, IF(CC$16=Input!$AD$38,'Geographic Par.'!$G73,'Geographic Par.'!$J73)))))/1000000</f>
        <v>1.4657270037624764E-2</v>
      </c>
      <c r="CE160" s="316"/>
      <c r="CF160" s="179">
        <f t="shared" si="33"/>
        <v>4.3099017541576461E-2</v>
      </c>
      <c r="CJ160" s="110"/>
      <c r="CK160" s="110"/>
      <c r="CL160" s="110"/>
      <c r="CM160" s="110"/>
      <c r="DB160" s="147" t="s">
        <v>176</v>
      </c>
      <c r="DC160" s="237">
        <f>(IFERROR(HLOOKUP(DB$88, 'GREET IO'!$B$77:$BK$98, ROW(DB160)-ROW(DB$155)+1, FALSE), 0)*DC$88+IFERROR(HLOOKUP(DB$89, 'GREET IO'!$B$77:$BK$98, ROW(DB160)-ROW(DB$155)+1, FALSE), 0)*DC$89+IFERROR(HLOOKUP(DB$90, 'GREET IO'!$B$77:$BK$98, ROW(DB160)-ROW(DB$155)+1, FALSE), 0)*DC$90+IFERROR(HLOOKUP(DB$91, 'GREET IO'!$B$77:$BK$98, ROW(DB160)-ROW(DB$155)+1, FALSE), 0)*DC$91+IFERROR(HLOOKUP(DB$92, 'GREET IO'!$B$77:$BK$98, ROW(DB160)-ROW(DB$155)+1, FALSE), 0)*DC$92+IFERROR(HLOOKUP(DB$93, 'GREET IO'!$B$77:$BK$98, ROW(DB160)-ROW(DB$155)+1, FALSE), 0)*DC$93+IFERROR(HLOOKUP(DB$94, 'GREET IO'!$B$77:$BK$98, ROW(DB160)-ROW(DB$155)+1, FALSE), 0)*DC$94+IFERROR(HLOOKUP(DB$95, 'GREET IO'!$B$77:$BK$98, ROW(DB160)-ROW(DB$155)+1, FALSE), 0)*DC$95+IFERROR(HLOOKUP(DB$96, 'GREET IO'!$B$77:$BK$98, ROW(DB160)-ROW(DB$155)+1, FALSE), 0)*DC$96+IFERROR(HLOOKUP(DB$97, 'GREET IO'!$B$77:$BK$98, ROW(DB160)-ROW(DB$155)+1, FALSE), 0)*DC$97+IF(ISTEXT(DB$99), 1, 0)*DC$99*Materials!$K116+IF(ISTEXT(DB$100), 1, 0)*DC$100*Materials!$L116)*$BI$156</f>
        <v>2.6964118126570672E-3</v>
      </c>
      <c r="DD160" s="178">
        <f>DC$104/$BI$157*'GREET IO'!$B149+DC$105/$BI$157*('GREET IO'!$B25/1000000+1)+DC$106/$BI$157*IF(DC$16=Input!$AD$34,"", IF(DC$16=Input!$AD$35,'Geographic Par.'!$E73, IF(DC$16=Input!$AD$36,'Geographic Par.'!$F73, IF(DC$16=Input!$AD$37, 'Geographic Par.'!$H73, IF(DC$16=Input!$AD$38,'Geographic Par.'!$G73,'Geographic Par.'!$J73)))))/1000000</f>
        <v>2.5855617807176465E-3</v>
      </c>
      <c r="DE160" s="316"/>
      <c r="DF160" s="179">
        <f t="shared" si="34"/>
        <v>5.2819735933747137E-3</v>
      </c>
      <c r="DJ160" s="110"/>
      <c r="DK160" s="110"/>
      <c r="DL160" s="110"/>
      <c r="DM160" s="110"/>
      <c r="EB160" s="147" t="s">
        <v>174</v>
      </c>
      <c r="EC160" s="237">
        <f>(IFERROR(HLOOKUP(EB$89, 'GREET IO'!$B$77:$BK$98, ROW(EB160)-ROW(EB$157)+1, FALSE), 0)*EC$89+IFERROR(HLOOKUP(EB$90, 'GREET IO'!$B$77:$BK$98, ROW(EB160)-ROW(EB$157)+1, FALSE), 0)*EC$90+IFERROR(HLOOKUP(EB$91, 'GREET IO'!$B$77:$BK$98, ROW(EB160)-ROW(EB$157)+1, FALSE), 0)*EC$91+IFERROR(HLOOKUP(EB$92, 'GREET IO'!$B$77:$BK$98, ROW(EB160)-ROW(EB$157)+1, FALSE), 0)*EC$92+IFERROR(HLOOKUP(EB$93, 'GREET IO'!$B$77:$BK$98, ROW(EB160)-ROW(EB$157)+1, FALSE), 0)*EC$93+IFERROR(HLOOKUP(EB$94, 'GREET IO'!$B$77:$BK$98, ROW(EB160)-ROW(EB$157)+1, FALSE), 0)*EC$94+IFERROR(HLOOKUP(EB$95, 'GREET IO'!$B$77:$BK$98, ROW(EB160)-ROW(EB$157)+1, FALSE), 0)*EC$95+IFERROR(HLOOKUP(EB$96, 'GREET IO'!$B$77:$BK$98, ROW(EB160)-ROW(EB$157)+1, FALSE), 0)*EC$96+IFERROR(HLOOKUP(EB$97, 'GREET IO'!$B$77:$BK$98, ROW(EB160)-ROW(EB$157)+1, FALSE), 0)*EC$97+IFERROR(HLOOKUP(EB$98, 'GREET IO'!$B$77:$BK$98, ROW(EB160)-ROW(EB$157)+1, FALSE), 0)*EC$98+IF(ISTEXT(EB$100), 1, 0)*EC$100*Materials!$M114+IF(ISTEXT(EB$101), 1, 0)*EC$101*Materials!$N114)*$BI$156</f>
        <v>5.0369442029181859E-2</v>
      </c>
      <c r="ED160" s="178">
        <f>EC$106/$BI$157*('GREET IO'!$B147+1)+EC$107/$BI$157*('GREET IO'!$B23/1000000+1)+EC$108/$BI$157*IF(EC$16=Input!$AD$35,  'Geographic Par.'!$E71, IF(EC$16=Input!$AD$36,  'Geographic Par.'!$F71, IF(EC$16=Input!$AD$37,  'Geographic Par.'!$H71, IF(EC$16=Input!$AD$38, 'Geographic Par.'!$G71, 'Geographic Par.'!$J71))))/1000000</f>
        <v>5.409739654016394E-2</v>
      </c>
      <c r="EE160" s="316"/>
      <c r="EF160" s="179">
        <f t="shared" si="35"/>
        <v>0.1044668385693458</v>
      </c>
    </row>
    <row r="161" spans="2:136">
      <c r="B161"/>
      <c r="C161"/>
      <c r="D161"/>
      <c r="E161"/>
      <c r="BB161" s="147" t="s">
        <v>177</v>
      </c>
      <c r="BC161" s="238">
        <f>(IFERROR(HLOOKUP(BB$88, 'GREET IO'!$B$77:$BK$98, ROW(BB161)-ROW(BB$155)+1, FALSE), 0)*BC$88+IFERROR(HLOOKUP(BB$89, 'GREET IO'!$B$77:$BK$98, ROW(BB161)-ROW(BB$155)+1, FALSE), 0)*BC$89+IFERROR(HLOOKUP(BB$90, 'GREET IO'!$B$77:$BK$98, ROW(BB161)-ROW(BB$155)+1, FALSE), 0)*BC$90+IFERROR(HLOOKUP(BB$91, 'GREET IO'!$B$77:$BK$98, ROW(BB161)-ROW(BB$155)+1, FALSE), 0)*BC$91+IFERROR(HLOOKUP(BB$92, 'GREET IO'!$B$77:$BK$98, ROW(BB161)-ROW(BB$155)+1, FALSE), 0)*BC$92+IFERROR(HLOOKUP(BB$93, 'GREET IO'!$B$77:$BK$98, ROW(BB161)-ROW(BB$155)+1, FALSE), 0)*BC$93+IFERROR(HLOOKUP(BB$94, 'GREET IO'!$B$77:$BK$98, ROW(BB161)-ROW(BB$155)+1, FALSE), 0)*BC$94+IFERROR(HLOOKUP(BB$95, 'GREET IO'!$B$77:$BK$98, ROW(BB161)-ROW(BB$155)+1, FALSE), 0)*BC$95+IFERROR(HLOOKUP(BB$96, 'GREET IO'!$B$77:$BK$98, ROW(BB161)-ROW(BB$155)+1, FALSE), 0)*BC$96+IFERROR(HLOOKUP(BB$97, 'GREET IO'!$B$77:$BK$98, ROW(BB161)-ROW(BB$155)+1, FALSE), 0)*BC$97+IF(ISTEXT(BB$99), 1, 0)*BC$99*Materials!$G117+IF(ISTEXT(BB$100), 1, 0)*BC$100*Materials!$H117)*$BI$156</f>
        <v>4.0369056354591485E-4</v>
      </c>
      <c r="BD161" s="177">
        <f>BC$104/$BI$157*('GREET IO'!$B150+1)+BC$105/$BI$157*'GREET IO'!$B26/1000000+BC$106/$BI$157*IF(BC$16=Input!$AD$34,"", IF(BC$16=Input!$AD$35, 'Geographic Par.'!$E74, IF(BC$16=Input!$AD$36,'Geographic Par.'!$F74, IF(BC$16=Input!$AD$37,'Geographic Par.'!$H74, IF(BC$16=Input!$AD$38,'Geographic Par.'!$G74,'Geographic Par.'!$J74)))))/1000000</f>
        <v>5.9235716545848003E-3</v>
      </c>
      <c r="BE161" s="317"/>
      <c r="BF161" s="181">
        <f t="shared" si="32"/>
        <v>6.327262218130715E-3</v>
      </c>
      <c r="CB161" s="147" t="s">
        <v>177</v>
      </c>
      <c r="CC161" s="238">
        <f>(IFERROR(HLOOKUP(CB$88, 'GREET IO'!$B$77:$BK$98, ROW(CB161)-ROW(CB$155)+1, FALSE), 0)*CC$88+IFERROR(HLOOKUP(CB$89, 'GREET IO'!$B$77:$BK$98, ROW(CB161)-ROW(CB$155)+1, FALSE), 0)*CC$89+IFERROR(HLOOKUP(CB$90, 'GREET IO'!$B$77:$BK$98, ROW(CB161)-ROW(CB$155)+1, FALSE), 0)*CC$90+IFERROR(HLOOKUP(CB$91, 'GREET IO'!$B$77:$BK$98, ROW(CB161)-ROW(CB$155)+1, FALSE), 0)*CC$91+IFERROR(HLOOKUP(CB$92, 'GREET IO'!$B$77:$BK$98, ROW(CB161)-ROW(CB$155)+1, FALSE), 0)*CC$92+IFERROR(HLOOKUP(CB$93, 'GREET IO'!$B$77:$BK$98, ROW(CB161)-ROW(CB$155)+1, FALSE), 0)*CC$93+IFERROR(HLOOKUP(CB$94, 'GREET IO'!$B$77:$BK$98, ROW(CB161)-ROW(CB$155)+1, FALSE), 0)*CC$94+IFERROR(HLOOKUP(CB$95, 'GREET IO'!$B$77:$BK$98, ROW(CB161)-ROW(CB$155)+1, FALSE), 0)*CC$95+IFERROR(HLOOKUP(CB$96, 'GREET IO'!$B$77:$BK$98, ROW(CB161)-ROW(CB$155)+1, FALSE), 0)*CC$96+IFERROR(HLOOKUP(CB$97, 'GREET IO'!$B$77:$BK$98, ROW(CB161)-ROW(CB$155)+1, FALSE), 0)*CC$97+IF(ISTEXT(CB$99), 1, 0)*CC$99*Materials!$I117+IF(ISTEXT(CB$100), 1, 0)*CC$100*Materials!$J117)*$BI$156</f>
        <v>2.6042807108036239E-3</v>
      </c>
      <c r="CD161" s="177">
        <f>CC$104/$BI$157*('GREET IO'!$B150+1)+CC$105/$BI$157*'GREET IO'!$B26/1000000+CC$106/$BI$157*IF(CC$16=Input!$AD$34,"", IF(CC$16=Input!$AD$35, 'Geographic Par.'!$E74, IF(CC$16=Input!$AD$36,'Geographic Par.'!$F74, IF(CC$16=Input!$AD$37,'Geographic Par.'!$H74, IF(CC$16=Input!$AD$38,'Geographic Par.'!$G74,'Geographic Par.'!$J74)))))/1000000</f>
        <v>5.0362212718643752E-3</v>
      </c>
      <c r="CE161" s="317"/>
      <c r="CF161" s="181">
        <f t="shared" si="33"/>
        <v>7.6405019826679991E-3</v>
      </c>
      <c r="CJ161" s="110"/>
      <c r="CK161" s="110"/>
      <c r="CL161" s="110"/>
      <c r="CM161" s="110"/>
      <c r="DB161" s="147" t="s">
        <v>177</v>
      </c>
      <c r="DC161" s="238">
        <f>(IFERROR(HLOOKUP(DB$88, 'GREET IO'!$B$77:$BK$98, ROW(DB161)-ROW(DB$155)+1, FALSE), 0)*DC$88+IFERROR(HLOOKUP(DB$89, 'GREET IO'!$B$77:$BK$98, ROW(DB161)-ROW(DB$155)+1, FALSE), 0)*DC$89+IFERROR(HLOOKUP(DB$90, 'GREET IO'!$B$77:$BK$98, ROW(DB161)-ROW(DB$155)+1, FALSE), 0)*DC$90+IFERROR(HLOOKUP(DB$91, 'GREET IO'!$B$77:$BK$98, ROW(DB161)-ROW(DB$155)+1, FALSE), 0)*DC$91+IFERROR(HLOOKUP(DB$92, 'GREET IO'!$B$77:$BK$98, ROW(DB161)-ROW(DB$155)+1, FALSE), 0)*DC$92+IFERROR(HLOOKUP(DB$93, 'GREET IO'!$B$77:$BK$98, ROW(DB161)-ROW(DB$155)+1, FALSE), 0)*DC$93+IFERROR(HLOOKUP(DB$94, 'GREET IO'!$B$77:$BK$98, ROW(DB161)-ROW(DB$155)+1, FALSE), 0)*DC$94+IFERROR(HLOOKUP(DB$95, 'GREET IO'!$B$77:$BK$98, ROW(DB161)-ROW(DB$155)+1, FALSE), 0)*DC$95+IFERROR(HLOOKUP(DB$96, 'GREET IO'!$B$77:$BK$98, ROW(DB161)-ROW(DB$155)+1, FALSE), 0)*DC$96+IFERROR(HLOOKUP(DB$97, 'GREET IO'!$B$77:$BK$98, ROW(DB161)-ROW(DB$155)+1, FALSE), 0)*DC$97+IF(ISTEXT(DB$99), 1, 0)*DC$99*Materials!$K117+IF(ISTEXT(DB$100), 1, 0)*DC$100*Materials!$L117)*$BI$156</f>
        <v>3.1015378904454913E-3</v>
      </c>
      <c r="DD161" s="177">
        <f>DC$104/$BI$157*('GREET IO'!$B150+1)+DC$105/$BI$157*'GREET IO'!$B26/1000000+DC$106/$BI$157*IF(DC$16=Input!$AD$34,"", IF(DC$16=Input!$AD$35, 'Geographic Par.'!$E74, IF(DC$16=Input!$AD$36,'Geographic Par.'!$F74, IF(DC$16=Input!$AD$37,'Geographic Par.'!$H74, IF(DC$16=Input!$AD$38,'Geographic Par.'!$G74,'Geographic Par.'!$J74)))))/1000000</f>
        <v>1.4831502278605867E-3</v>
      </c>
      <c r="DE161" s="317"/>
      <c r="DF161" s="181">
        <f t="shared" si="34"/>
        <v>4.5846881183060784E-3</v>
      </c>
      <c r="DJ161" s="110"/>
      <c r="DK161" s="110"/>
      <c r="DL161" s="110"/>
      <c r="DM161" s="110"/>
      <c r="EB161" s="147" t="s">
        <v>175</v>
      </c>
      <c r="EC161" s="237">
        <f>(IFERROR(HLOOKUP(EB$89, 'GREET IO'!$B$77:$BK$98, ROW(EB161)-ROW(EB$157)+1, FALSE), 0)*EC$89+IFERROR(HLOOKUP(EB$90, 'GREET IO'!$B$77:$BK$98, ROW(EB161)-ROW(EB$157)+1, FALSE), 0)*EC$90+IFERROR(HLOOKUP(EB$91, 'GREET IO'!$B$77:$BK$98, ROW(EB161)-ROW(EB$157)+1, FALSE), 0)*EC$91+IFERROR(HLOOKUP(EB$92, 'GREET IO'!$B$77:$BK$98, ROW(EB161)-ROW(EB$157)+1, FALSE), 0)*EC$92+IFERROR(HLOOKUP(EB$93, 'GREET IO'!$B$77:$BK$98, ROW(EB161)-ROW(EB$157)+1, FALSE), 0)*EC$93+IFERROR(HLOOKUP(EB$94, 'GREET IO'!$B$77:$BK$98, ROW(EB161)-ROW(EB$157)+1, FALSE), 0)*EC$94+IFERROR(HLOOKUP(EB$95, 'GREET IO'!$B$77:$BK$98, ROW(EB161)-ROW(EB$157)+1, FALSE), 0)*EC$95+IFERROR(HLOOKUP(EB$96, 'GREET IO'!$B$77:$BK$98, ROW(EB161)-ROW(EB$157)+1, FALSE), 0)*EC$96+IFERROR(HLOOKUP(EB$97, 'GREET IO'!$B$77:$BK$98, ROW(EB161)-ROW(EB$157)+1, FALSE), 0)*EC$97+IFERROR(HLOOKUP(EB$98, 'GREET IO'!$B$77:$BK$98, ROW(EB161)-ROW(EB$157)+1, FALSE), 0)*EC$98+IF(ISTEXT(EB$100), 1, 0)*EC$100*Materials!$M115+IF(ISTEXT(EB$101), 1, 0)*EC$101*Materials!$N115)*$BI$156</f>
        <v>6.9759044814325403E-3</v>
      </c>
      <c r="ED161" s="178">
        <f>EC$106/$BI$157*'GREET IO'!$B148+EC$107/$BI$157*'GREET IO'!$B24/1000000+EC$108/$BI$157*IF(EC$16=Input!$AD$35,  'Geographic Par.'!$E72, IF(EC$16=Input!$AD$36,'Geographic Par.'!$F72, IF(EC$16=Input!$AD$37,'Geographic Par.'!$H72, IF(EC$16=Input!$AD$38,'Geographic Par.'!$G72,'Geographic Par.'!$J72))))/1000000</f>
        <v>4.9518035306243852E-2</v>
      </c>
      <c r="EE161" s="316"/>
      <c r="EF161" s="179">
        <f t="shared" si="35"/>
        <v>5.6493939787676389E-2</v>
      </c>
    </row>
    <row r="162" spans="2:136">
      <c r="B162"/>
      <c r="C162"/>
      <c r="D162"/>
      <c r="E162"/>
      <c r="BB162" s="143" t="s">
        <v>344</v>
      </c>
      <c r="BC162" s="182">
        <f>(IFERROR(HLOOKUP(BB$88, 'GREET IO'!$B$77:$BK$98, ROW(BB162)-ROW(BB$155)+1, FALSE), 0)*BC$88+IFERROR(HLOOKUP(BB$89, 'GREET IO'!$B$77:$BK$98, ROW(BB162)-ROW(BB$155)+1, FALSE), 0)*BC$89+IFERROR(HLOOKUP(BB$90, 'GREET IO'!$B$77:$BK$98, ROW(BB162)-ROW(BB$155)+1, FALSE), 0)*BC$90+IFERROR(HLOOKUP(BB$91, 'GREET IO'!$B$77:$BK$98, ROW(BB162)-ROW(BB$155)+1, FALSE), 0)*BC$91+IFERROR(HLOOKUP(BB$92, 'GREET IO'!$B$77:$BK$98, ROW(BB162)-ROW(BB$155)+1, FALSE), 0)*BC$92+IFERROR(HLOOKUP(BB$93, 'GREET IO'!$B$77:$BK$98, ROW(BB162)-ROW(BB$155)+1, FALSE), 0)*BC$93+IFERROR(HLOOKUP(BB$94, 'GREET IO'!$B$77:$BK$98, ROW(BB162)-ROW(BB$155)+1, FALSE), 0)*BC$94+IFERROR(HLOOKUP(BB$95, 'GREET IO'!$B$77:$BK$98, ROW(BB162)-ROW(BB$155)+1, FALSE), 0)*BC$95+IFERROR(HLOOKUP(BB$96, 'GREET IO'!$B$77:$BK$98, ROW(BB162)-ROW(BB$155)+1, FALSE), 0)*BC$96+IFERROR(HLOOKUP(BB$97, 'GREET IO'!$B$77:$BK$98, ROW(BB162)-ROW(BB$155)+1, FALSE), 0)*BC$97+IF(ISTEXT(BB$99), 1, 0)*BC$99*Materials!$G118+IF(ISTEXT(BB$100), 1, 0)*BC$100*Materials!$H118)*$BI$156</f>
        <v>0.3860106990772551</v>
      </c>
      <c r="BD162" s="183">
        <f>BC$104/$BI$157*'GREET IO'!$B151+BC$105/$BI$157*'GREET IO'!$B27+BC$106/$BI$157*IF(BC$16=Input!$AD$34,"", IF(BC$16=Input!$AD$35,'Geographic Par.'!$E75, IF(BC$16=Input!$AD$36, 'Geographic Par.'!$F75, IF(BC$16=Input!$AD$37, 'Geographic Par.'!$H75, IF(BC$16=Input!$AD$38,'Geographic Par.'!$G75,'Geographic Par.'!$J75)))))</f>
        <v>57.566256980072424</v>
      </c>
      <c r="BE162" s="183">
        <f>BC110</f>
        <v>1</v>
      </c>
      <c r="BF162" s="184">
        <f t="shared" si="32"/>
        <v>58.952267679149678</v>
      </c>
      <c r="CB162" s="143" t="s">
        <v>344</v>
      </c>
      <c r="CC162" s="182">
        <f>(IFERROR(HLOOKUP(CB$88, 'GREET IO'!$B$77:$BK$98, ROW(CB162)-ROW(CB$155)+1, FALSE), 0)*CC$88+IFERROR(HLOOKUP(CB$89, 'GREET IO'!$B$77:$BK$98, ROW(CB162)-ROW(CB$155)+1, FALSE), 0)*CC$89+IFERROR(HLOOKUP(CB$90, 'GREET IO'!$B$77:$BK$98, ROW(CB162)-ROW(CB$155)+1, FALSE), 0)*CC$90+IFERROR(HLOOKUP(CB$91, 'GREET IO'!$B$77:$BK$98, ROW(CB162)-ROW(CB$155)+1, FALSE), 0)*CC$91+IFERROR(HLOOKUP(CB$92, 'GREET IO'!$B$77:$BK$98, ROW(CB162)-ROW(CB$155)+1, FALSE), 0)*CC$92+IFERROR(HLOOKUP(CB$93, 'GREET IO'!$B$77:$BK$98, ROW(CB162)-ROW(CB$155)+1, FALSE), 0)*CC$93+IFERROR(HLOOKUP(CB$94, 'GREET IO'!$B$77:$BK$98, ROW(CB162)-ROW(CB$155)+1, FALSE), 0)*CC$94+IFERROR(HLOOKUP(CB$95, 'GREET IO'!$B$77:$BK$98, ROW(CB162)-ROW(CB$155)+1, FALSE), 0)*CC$95+IFERROR(HLOOKUP(CB$96, 'GREET IO'!$B$77:$BK$98, ROW(CB162)-ROW(CB$155)+1, FALSE), 0)*CC$96+IFERROR(HLOOKUP(CB$97, 'GREET IO'!$B$77:$BK$98, ROW(CB162)-ROW(CB$155)+1, FALSE), 0)*CC$97+IF(ISTEXT(CB$99), 1, 0)*CC$99*Materials!$I118+IF(ISTEXT(CB$100), 1, 0)*CC$100*Materials!$J118)*$BI$156</f>
        <v>4.1319190623806712</v>
      </c>
      <c r="CD162" s="183">
        <f>CC$104/$BI$157*'GREET IO'!$B151+CC$105/$BI$157*'GREET IO'!$B27+CC$106/$BI$157*IF(CC$16=Input!$AD$34,"", IF(CC$16=Input!$AD$35,'Geographic Par.'!$E75, IF(CC$16=Input!$AD$36, 'Geographic Par.'!$F75, IF(CC$16=Input!$AD$37, 'Geographic Par.'!$H75, IF(CC$16=Input!$AD$38,'Geographic Par.'!$G75,'Geographic Par.'!$J75)))))</f>
        <v>47.979524682403721</v>
      </c>
      <c r="CE162" s="183">
        <f>CC110</f>
        <v>1</v>
      </c>
      <c r="CF162" s="184">
        <f t="shared" si="33"/>
        <v>53.111443744784395</v>
      </c>
      <c r="CJ162" s="110"/>
      <c r="CK162" s="110"/>
      <c r="CL162" s="110"/>
      <c r="CM162" s="110"/>
      <c r="DB162" s="143" t="s">
        <v>344</v>
      </c>
      <c r="DC162" s="182">
        <f>(IFERROR(HLOOKUP(DB$88, 'GREET IO'!$B$77:$BK$98, ROW(DB162)-ROW(DB$155)+1, FALSE), 0)*DC$88+IFERROR(HLOOKUP(DB$89, 'GREET IO'!$B$77:$BK$98, ROW(DB162)-ROW(DB$155)+1, FALSE), 0)*DC$89+IFERROR(HLOOKUP(DB$90, 'GREET IO'!$B$77:$BK$98, ROW(DB162)-ROW(DB$155)+1, FALSE), 0)*DC$90+IFERROR(HLOOKUP(DB$91, 'GREET IO'!$B$77:$BK$98, ROW(DB162)-ROW(DB$155)+1, FALSE), 0)*DC$91+IFERROR(HLOOKUP(DB$92, 'GREET IO'!$B$77:$BK$98, ROW(DB162)-ROW(DB$155)+1, FALSE), 0)*DC$92+IFERROR(HLOOKUP(DB$93, 'GREET IO'!$B$77:$BK$98, ROW(DB162)-ROW(DB$155)+1, FALSE), 0)*DC$93+IFERROR(HLOOKUP(DB$94, 'GREET IO'!$B$77:$BK$98, ROW(DB162)-ROW(DB$155)+1, FALSE), 0)*DC$94+IFERROR(HLOOKUP(DB$95, 'GREET IO'!$B$77:$BK$98, ROW(DB162)-ROW(DB$155)+1, FALSE), 0)*DC$95+IFERROR(HLOOKUP(DB$96, 'GREET IO'!$B$77:$BK$98, ROW(DB162)-ROW(DB$155)+1, FALSE), 0)*DC$96+IFERROR(HLOOKUP(DB$97, 'GREET IO'!$B$77:$BK$98, ROW(DB162)-ROW(DB$155)+1, FALSE), 0)*DC$97+IF(ISTEXT(DB$99), 1, 0)*DC$99*Materials!$K118+IF(ISTEXT(DB$100), 1, 0)*DC$100*Materials!$L118)*$BI$156</f>
        <v>1.4271858875451298</v>
      </c>
      <c r="DD162" s="183">
        <f>DC$104/$BI$157*'GREET IO'!$B151+DC$105/$BI$157*'GREET IO'!$B27+DC$106/$BI$157*IF(DC$16=Input!$AD$34,"", IF(DC$16=Input!$AD$35,'Geographic Par.'!$E75, IF(DC$16=Input!$AD$36, 'Geographic Par.'!$F75, IF(DC$16=Input!$AD$37, 'Geographic Par.'!$H75, IF(DC$16=Input!$AD$38,'Geographic Par.'!$G75,'Geographic Par.'!$J75)))))</f>
        <v>9.6052015220639859</v>
      </c>
      <c r="DE162" s="183">
        <f>DC110</f>
        <v>1</v>
      </c>
      <c r="DF162" s="184">
        <f t="shared" si="34"/>
        <v>12.032387409609116</v>
      </c>
      <c r="DJ162" s="110"/>
      <c r="DK162" s="110"/>
      <c r="DL162" s="110"/>
      <c r="DM162" s="110"/>
      <c r="EB162" s="147" t="s">
        <v>176</v>
      </c>
      <c r="EC162" s="237">
        <f>(IFERROR(HLOOKUP(EB$89, 'GREET IO'!$B$77:$BK$98, ROW(EB162)-ROW(EB$157)+1, FALSE), 0)*EC$89+IFERROR(HLOOKUP(EB$90, 'GREET IO'!$B$77:$BK$98, ROW(EB162)-ROW(EB$157)+1, FALSE), 0)*EC$90+IFERROR(HLOOKUP(EB$91, 'GREET IO'!$B$77:$BK$98, ROW(EB162)-ROW(EB$157)+1, FALSE), 0)*EC$91+IFERROR(HLOOKUP(EB$92, 'GREET IO'!$B$77:$BK$98, ROW(EB162)-ROW(EB$157)+1, FALSE), 0)*EC$92+IFERROR(HLOOKUP(EB$93, 'GREET IO'!$B$77:$BK$98, ROW(EB162)-ROW(EB$157)+1, FALSE), 0)*EC$93+IFERROR(HLOOKUP(EB$94, 'GREET IO'!$B$77:$BK$98, ROW(EB162)-ROW(EB$157)+1, FALSE), 0)*EC$94+IFERROR(HLOOKUP(EB$95, 'GREET IO'!$B$77:$BK$98, ROW(EB162)-ROW(EB$157)+1, FALSE), 0)*EC$95+IFERROR(HLOOKUP(EB$96, 'GREET IO'!$B$77:$BK$98, ROW(EB162)-ROW(EB$157)+1, FALSE), 0)*EC$96+IFERROR(HLOOKUP(EB$97, 'GREET IO'!$B$77:$BK$98, ROW(EB162)-ROW(EB$157)+1, FALSE), 0)*EC$97+IFERROR(HLOOKUP(EB$98, 'GREET IO'!$B$77:$BK$98, ROW(EB162)-ROW(EB$157)+1, FALSE), 0)*EC$98+IF(ISTEXT(EB$100), 1, 0)*EC$100*Materials!$M116+IF(ISTEXT(EB$101), 1, 0)*EC$101*Materials!$N116)*$BI$156</f>
        <v>4.070741521466098E-2</v>
      </c>
      <c r="ED162" s="178">
        <f>EC$106/$BI$157*'GREET IO'!$B149+EC$107/$BI$157*('GREET IO'!$B25/1000000+1)+EC$108/$BI$157*IF(EC$16=Input!$AD$35,'Geographic Par.'!$E73, IF(EC$16=Input!$AD$36, 'Geographic Par.'!$F73, IF(EC$16=Input!$AD$37, 'Geographic Par.'!$H73, IF(EC$16=Input!$AD$38,'Geographic Par.'!$G73,'Geographic Par.'!$J73))))/1000000</f>
        <v>3.1551072433773485E-3</v>
      </c>
      <c r="EE162" s="316"/>
      <c r="EF162" s="179">
        <f t="shared" si="35"/>
        <v>4.386252245803833E-2</v>
      </c>
    </row>
    <row r="163" spans="2:136">
      <c r="B163"/>
      <c r="C163"/>
      <c r="D163"/>
      <c r="E163"/>
      <c r="BB163" s="143" t="s">
        <v>345</v>
      </c>
      <c r="BC163" s="144"/>
      <c r="BD163" s="144"/>
      <c r="BE163" s="144"/>
      <c r="BF163" s="146"/>
      <c r="CB163" s="143" t="s">
        <v>345</v>
      </c>
      <c r="CC163" s="144"/>
      <c r="CD163" s="144"/>
      <c r="CE163" s="144"/>
      <c r="CF163" s="146"/>
      <c r="CJ163" s="110"/>
      <c r="CK163" s="110"/>
      <c r="CL163" s="110"/>
      <c r="CM163" s="110"/>
      <c r="DB163" s="143" t="s">
        <v>345</v>
      </c>
      <c r="DC163" s="144"/>
      <c r="DD163" s="144"/>
      <c r="DE163" s="144"/>
      <c r="DF163" s="146"/>
      <c r="DJ163" s="110"/>
      <c r="DK163" s="110"/>
      <c r="DL163" s="110"/>
      <c r="DM163" s="110"/>
      <c r="EB163" s="147" t="s">
        <v>177</v>
      </c>
      <c r="EC163" s="238">
        <f>(IFERROR(HLOOKUP(EB$89, 'GREET IO'!$B$77:$BK$98, ROW(EB163)-ROW(EB$157)+1, FALSE), 0)*EC$89+IFERROR(HLOOKUP(EB$90, 'GREET IO'!$B$77:$BK$98, ROW(EB163)-ROW(EB$157)+1, FALSE), 0)*EC$90+IFERROR(HLOOKUP(EB$91, 'GREET IO'!$B$77:$BK$98, ROW(EB163)-ROW(EB$157)+1, FALSE), 0)*EC$91+IFERROR(HLOOKUP(EB$92, 'GREET IO'!$B$77:$BK$98, ROW(EB163)-ROW(EB$157)+1, FALSE), 0)*EC$92+IFERROR(HLOOKUP(EB$93, 'GREET IO'!$B$77:$BK$98, ROW(EB163)-ROW(EB$157)+1, FALSE), 0)*EC$93+IFERROR(HLOOKUP(EB$94, 'GREET IO'!$B$77:$BK$98, ROW(EB163)-ROW(EB$157)+1, FALSE), 0)*EC$94+IFERROR(HLOOKUP(EB$95, 'GREET IO'!$B$77:$BK$98, ROW(EB163)-ROW(EB$157)+1, FALSE), 0)*EC$95+IFERROR(HLOOKUP(EB$96, 'GREET IO'!$B$77:$BK$98, ROW(EB163)-ROW(EB$157)+1, FALSE), 0)*EC$96+IFERROR(HLOOKUP(EB$97, 'GREET IO'!$B$77:$BK$98, ROW(EB163)-ROW(EB$157)+1, FALSE), 0)*EC$97+IFERROR(HLOOKUP(EB$98, 'GREET IO'!$B$77:$BK$98, ROW(EB163)-ROW(EB$157)+1, FALSE), 0)*EC$98+IF(ISTEXT(EB$100), 1, 0)*EC$100*Materials!$M117+IF(ISTEXT(EB$101), 1, 0)*EC$101*Materials!$N117)*$BI$156</f>
        <v>2.6861223330883403E-3</v>
      </c>
      <c r="ED163" s="177">
        <f>EC$106/$BI$157*('GREET IO'!$B150+1)+EC$107/$BI$157*'GREET IO'!$B26/1000000+EC$108/$BI$157*IF(EC$16=Input!$AD$35, 'Geographic Par.'!$E74, IF(EC$16=Input!$AD$36, 'Geographic Par.'!$F74, IF(EC$16=Input!$AD$37, 'Geographic Par.'!$H74, IF(EC$16=Input!$AD$38,'Geographic Par.'!$G74,'Geographic Par.'!$J74))))/1000000</f>
        <v>1.424253990542741E-3</v>
      </c>
      <c r="EE163" s="317"/>
      <c r="EF163" s="181">
        <f t="shared" si="35"/>
        <v>4.1103763236310809E-3</v>
      </c>
    </row>
    <row r="164" spans="2:136">
      <c r="B164"/>
      <c r="C164"/>
      <c r="D164"/>
      <c r="E164"/>
      <c r="BB164" s="147" t="s">
        <v>180</v>
      </c>
      <c r="BC164" s="320">
        <f>(IFERROR(HLOOKUP(BB$88, 'GREET IO'!$B$77:$BK$98, ROW(BB164)-ROW(BB$155)+1, FALSE), 0)*BC$88+IFERROR(HLOOKUP(BB$89, 'GREET IO'!$B$77:$BK$98, ROW(BB164)-ROW(BB$155)+1, FALSE), 0)*BC$89+IFERROR(HLOOKUP(BB$90, 'GREET IO'!$B$77:$BK$98, ROW(BB164)-ROW(BB$155)+1, FALSE), 0)*BC$90+IFERROR(HLOOKUP(BB$91, 'GREET IO'!$B$77:$BK$98, ROW(BB164)-ROW(BB$155)+1, FALSE), 0)*BC$91+IFERROR(HLOOKUP(BB$92, 'GREET IO'!$B$77:$BK$98, ROW(BB164)-ROW(BB$155)+1, FALSE), 0)*BC$92+IFERROR(HLOOKUP(BB$93, 'GREET IO'!$B$77:$BK$98, ROW(BB164)-ROW(BB$155)+1, FALSE), 0)*BC$93+IFERROR(HLOOKUP(BB$94, 'GREET IO'!$B$77:$BK$98, ROW(BB164)-ROW(BB$155)+1, FALSE), 0)*BC$94+IFERROR(HLOOKUP(BB$95, 'GREET IO'!$B$77:$BK$98, ROW(BB164)-ROW(BB$155)+1, FALSE), 0)*BC$95+IFERROR(HLOOKUP(BB$96, 'GREET IO'!$B$77:$BK$98, ROW(BB164)-ROW(BB$155)+1, FALSE), 0)*BC$96+IFERROR(HLOOKUP(BB$97, 'GREET IO'!$B$77:$BK$98, ROW(BB164)-ROW(BB$155)+1, FALSE), 0)*BC$97+IF(ISTEXT(BB$99), 1, 0)*BC$99*Materials!$G120+IF(ISTEXT(BB$100), 1, 0)*BC$100*Materials!$H120)*$BI$156</f>
        <v>8.1341109800028261E-2</v>
      </c>
      <c r="BD164" s="242">
        <f>BC$104/$BI$157*('GREET IO'!$B153+'GREET IO'!$T4)+BC$105/$BI$157*('GREET IO'!$B28+'GREET IO'!$B4)+BC$106/$BI$157*IF(BC$16=Input!$AD$34,"", IF(BC$16=Input!$AD$35, 'Geographic Par.'!$E76, IF(BC$16=Input!$AD$36, 'Geographic Par.'!$F76, IF(BC$16=Input!$AD$37, 'Geographic Par.'!$H76, IF(BC$16=Input!$AD$38,'Geographic Par.'!$G76,'Geographic Par.'!$J76)))))</f>
        <v>2.9845036312345496</v>
      </c>
      <c r="BE164" s="242">
        <f t="shared" ref="BE164:BE174" si="36">BE142</f>
        <v>0</v>
      </c>
      <c r="BF164" s="243">
        <f t="shared" ref="BF164:BF176" si="37">SUM(BC164:BE164)</f>
        <v>3.0658447410345779</v>
      </c>
      <c r="CB164" s="147" t="s">
        <v>180</v>
      </c>
      <c r="CC164" s="320">
        <f>(IFERROR(HLOOKUP(CB$88, 'GREET IO'!$B$77:$BK$98, ROW(CB164)-ROW(CB$155)+1, FALSE), 0)*CC$88+IFERROR(HLOOKUP(CB$89, 'GREET IO'!$B$77:$BK$98, ROW(CB164)-ROW(CB$155)+1, FALSE), 0)*CC$89+IFERROR(HLOOKUP(CB$90, 'GREET IO'!$B$77:$BK$98, ROW(CB164)-ROW(CB$155)+1, FALSE), 0)*CC$90+IFERROR(HLOOKUP(CB$91, 'GREET IO'!$B$77:$BK$98, ROW(CB164)-ROW(CB$155)+1, FALSE), 0)*CC$91+IFERROR(HLOOKUP(CB$92, 'GREET IO'!$B$77:$BK$98, ROW(CB164)-ROW(CB$155)+1, FALSE), 0)*CC$92+IFERROR(HLOOKUP(CB$93, 'GREET IO'!$B$77:$BK$98, ROW(CB164)-ROW(CB$155)+1, FALSE), 0)*CC$93+IFERROR(HLOOKUP(CB$94, 'GREET IO'!$B$77:$BK$98, ROW(CB164)-ROW(CB$155)+1, FALSE), 0)*CC$94+IFERROR(HLOOKUP(CB$95, 'GREET IO'!$B$77:$BK$98, ROW(CB164)-ROW(CB$155)+1, FALSE), 0)*CC$95+IFERROR(HLOOKUP(CB$96, 'GREET IO'!$B$77:$BK$98, ROW(CB164)-ROW(CB$155)+1, FALSE), 0)*CC$96+IFERROR(HLOOKUP(CB$97, 'GREET IO'!$B$77:$BK$98, ROW(CB164)-ROW(CB$155)+1, FALSE), 0)*CC$97+IF(ISTEXT(CB$99), 1, 0)*CC$99*Materials!$I120+IF(ISTEXT(CB$100), 1, 0)*CC$100*Materials!$J120)*$BI$156</f>
        <v>1.1598986193041696</v>
      </c>
      <c r="CD164" s="242">
        <f>CC$104/$BI$157*('GREET IO'!$B153+'GREET IO'!$T4)+CC$105/$BI$157*('GREET IO'!$B28+'GREET IO'!$B4)+CC$106/$BI$157*IF(CC$16=Input!$AD$34,"", IF(CC$16=Input!$AD$35, 'Geographic Par.'!$E76, IF(CC$16=Input!$AD$36, 'Geographic Par.'!$F76, IF(CC$16=Input!$AD$37, 'Geographic Par.'!$H76, IF(CC$16=Input!$AD$38,'Geographic Par.'!$G76,'Geographic Par.'!$J76)))))</f>
        <v>2.5137765364930305</v>
      </c>
      <c r="CE164" s="242">
        <f t="shared" ref="CE164:CE174" si="38">CE142</f>
        <v>0</v>
      </c>
      <c r="CF164" s="243">
        <f t="shared" ref="CF164:CF176" si="39">SUM(CC164:CE164)</f>
        <v>3.6736751557972003</v>
      </c>
      <c r="CJ164" s="110"/>
      <c r="CK164" s="110"/>
      <c r="CL164" s="110"/>
      <c r="CM164" s="110"/>
      <c r="DB164" s="147" t="s">
        <v>180</v>
      </c>
      <c r="DC164" s="320">
        <f>(IFERROR(HLOOKUP(DB$88, 'GREET IO'!$B$77:$BK$98, ROW(DB164)-ROW(DB$155)+1, FALSE), 0)*DC$88+IFERROR(HLOOKUP(DB$89, 'GREET IO'!$B$77:$BK$98, ROW(DB164)-ROW(DB$155)+1, FALSE), 0)*DC$89+IFERROR(HLOOKUP(DB$90, 'GREET IO'!$B$77:$BK$98, ROW(DB164)-ROW(DB$155)+1, FALSE), 0)*DC$90+IFERROR(HLOOKUP(DB$91, 'GREET IO'!$B$77:$BK$98, ROW(DB164)-ROW(DB$155)+1, FALSE), 0)*DC$91+IFERROR(HLOOKUP(DB$92, 'GREET IO'!$B$77:$BK$98, ROW(DB164)-ROW(DB$155)+1, FALSE), 0)*DC$92+IFERROR(HLOOKUP(DB$93, 'GREET IO'!$B$77:$BK$98, ROW(DB164)-ROW(DB$155)+1, FALSE), 0)*DC$93+IFERROR(HLOOKUP(DB$94, 'GREET IO'!$B$77:$BK$98, ROW(DB164)-ROW(DB$155)+1, FALSE), 0)*DC$94+IFERROR(HLOOKUP(DB$95, 'GREET IO'!$B$77:$BK$98, ROW(DB164)-ROW(DB$155)+1, FALSE), 0)*DC$95+IFERROR(HLOOKUP(DB$96, 'GREET IO'!$B$77:$BK$98, ROW(DB164)-ROW(DB$155)+1, FALSE), 0)*DC$96+IFERROR(HLOOKUP(DB$97, 'GREET IO'!$B$77:$BK$98, ROW(DB164)-ROW(DB$155)+1, FALSE), 0)*DC$97+IF(ISTEXT(DB$99), 1, 0)*DC$99*Materials!$K120+IF(ISTEXT(DB$100), 1, 0)*DC$100*Materials!$L120)*$BI$156</f>
        <v>0.22583648067982595</v>
      </c>
      <c r="DD164" s="242">
        <f>DC$104/$BI$157*('GREET IO'!$B153+'GREET IO'!$T4)+DC$105/$BI$157*('GREET IO'!$B28+'GREET IO'!$B4)+DC$106/$BI$157*IF(DC$16=Input!$AD$34,"", IF(DC$16=Input!$AD$35, 'Geographic Par.'!$E76, IF(DC$16=Input!$AD$36, 'Geographic Par.'!$F76, IF(DC$16=Input!$AD$37, 'Geographic Par.'!$H76, IF(DC$16=Input!$AD$38,'Geographic Par.'!$G76,'Geographic Par.'!$J76)))))</f>
        <v>0.5228265562466673</v>
      </c>
      <c r="DE164" s="242">
        <f t="shared" ref="DE164:DE174" si="40">DE142</f>
        <v>0</v>
      </c>
      <c r="DF164" s="243">
        <f t="shared" ref="DF164:DF176" si="41">SUM(DC164:DE164)</f>
        <v>0.74866303692649327</v>
      </c>
      <c r="DJ164" s="110"/>
      <c r="DK164" s="110"/>
      <c r="DL164" s="110"/>
      <c r="DM164" s="110"/>
      <c r="EB164" s="143" t="s">
        <v>344</v>
      </c>
      <c r="EC164" s="182">
        <f>(IFERROR(HLOOKUP(EB$89, 'GREET IO'!$B$77:$BK$98, ROW(EB164)-ROW(EB$157)+1, FALSE), 0)*EC$89+IFERROR(HLOOKUP(EB$90, 'GREET IO'!$B$77:$BK$98, ROW(EB164)-ROW(EB$157)+1, FALSE), 0)*EC$90+IFERROR(HLOOKUP(EB$91, 'GREET IO'!$B$77:$BK$98, ROW(EB164)-ROW(EB$157)+1, FALSE), 0)*EC$91+IFERROR(HLOOKUP(EB$92, 'GREET IO'!$B$77:$BK$98, ROW(EB164)-ROW(EB$157)+1, FALSE), 0)*EC$92+IFERROR(HLOOKUP(EB$93, 'GREET IO'!$B$77:$BK$98, ROW(EB164)-ROW(EB$157)+1, FALSE), 0)*EC$93+IFERROR(HLOOKUP(EB$94, 'GREET IO'!$B$77:$BK$98, ROW(EB164)-ROW(EB$157)+1, FALSE), 0)*EC$94+IFERROR(HLOOKUP(EB$95, 'GREET IO'!$B$77:$BK$98, ROW(EB164)-ROW(EB$157)+1, FALSE), 0)*EC$95+IFERROR(HLOOKUP(EB$96, 'GREET IO'!$B$77:$BK$98, ROW(EB164)-ROW(EB$157)+1, FALSE), 0)*EC$96+IFERROR(HLOOKUP(EB$97, 'GREET IO'!$B$77:$BK$98, ROW(EB164)-ROW(EB$157)+1, FALSE), 0)*EC$97+IFERROR(HLOOKUP(EB$98, 'GREET IO'!$B$77:$BK$98, ROW(EB164)-ROW(EB$157)+1, FALSE), 0)*EC$98+IF(ISTEXT(EB$100), 1, 0)*EC$100*Materials!$M118+IF(ISTEXT(EB$101), 1, 0)*EC$101*Materials!$N118)*$BI$156</f>
        <v>4.37964272950245</v>
      </c>
      <c r="ED164" s="183">
        <f>EC$106/$BI$157*'GREET IO'!$B151+EC$107/$BI$157*'GREET IO'!$B27+EC$108/$BI$157*IF(EC$16=Input!$AD$35, 'Geographic Par.'!$E75, IF(EC$16=Input!$AD$36, 'Geographic Par.'!$F75, IF(EC$16=Input!$AD$37, 'Geographic Par.'!$H75, IF(EC$16=Input!$AD$38,'Geographic Par.'!$G75,'Geographic Par.'!$J75))))</f>
        <v>8.9680304059345506</v>
      </c>
      <c r="EE164" s="318">
        <f>EC112</f>
        <v>1</v>
      </c>
      <c r="EF164" s="319">
        <f t="shared" si="35"/>
        <v>14.347673135437001</v>
      </c>
    </row>
    <row r="165" spans="2:136">
      <c r="B165"/>
      <c r="C165"/>
      <c r="D165"/>
      <c r="E165"/>
      <c r="BB165" s="147" t="s">
        <v>181</v>
      </c>
      <c r="BC165" s="173">
        <f>(IFERROR(HLOOKUP(BB$88, 'GREET IO'!$B$77:$BK$98, ROW(BB165)-ROW(BB$155)+1, FALSE), 0)*BC$88+IFERROR(HLOOKUP(BB$89, 'GREET IO'!$B$77:$BK$98, ROW(BB165)-ROW(BB$155)+1, FALSE), 0)*BC$89+IFERROR(HLOOKUP(BB$90, 'GREET IO'!$B$77:$BK$98, ROW(BB165)-ROW(BB$155)+1, FALSE), 0)*BC$90+IFERROR(HLOOKUP(BB$91, 'GREET IO'!$B$77:$BK$98, ROW(BB165)-ROW(BB$155)+1, FALSE), 0)*BC$91+IFERROR(HLOOKUP(BB$92, 'GREET IO'!$B$77:$BK$98, ROW(BB165)-ROW(BB$155)+1, FALSE), 0)*BC$92+IFERROR(HLOOKUP(BB$93, 'GREET IO'!$B$77:$BK$98, ROW(BB165)-ROW(BB$155)+1, FALSE), 0)*BC$93+IFERROR(HLOOKUP(BB$94, 'GREET IO'!$B$77:$BK$98, ROW(BB165)-ROW(BB$155)+1, FALSE), 0)*BC$94+IFERROR(HLOOKUP(BB$95, 'GREET IO'!$B$77:$BK$98, ROW(BB165)-ROW(BB$155)+1, FALSE), 0)*BC$95+IFERROR(HLOOKUP(BB$96, 'GREET IO'!$B$77:$BK$98, ROW(BB165)-ROW(BB$155)+1, FALSE), 0)*BC$96+IFERROR(HLOOKUP(BB$97, 'GREET IO'!$B$77:$BK$98, ROW(BB165)-ROW(BB$155)+1, FALSE), 0)*BC$97+IF(ISTEXT(BB$99), 1, 0)*BC$99*Materials!$G121+IF(ISTEXT(BB$100), 1, 0)*BC$100*Materials!$H121)*$BI$156</f>
        <v>0.30183759493942719</v>
      </c>
      <c r="BD165" s="242">
        <f>BC$104/$BI$157*('GREET IO'!$B154+'GREET IO'!$T5)+BC$105/$BI$157*('GREET IO'!$B29+'GREET IO'!$B5)+BC$106/$BI$157*IF(BC$16=Input!$AD$34,"", IF(BC$16=Input!$AD$35, 'Geographic Par.'!$E77, IF(BC$16=Input!$AD$36, 'Geographic Par.'!$F77, IF(BC$16=Input!$AD$37, 'Geographic Par.'!$H77, IF(BC$16=Input!$AD$38,'Geographic Par.'!$G77,'Geographic Par.'!$J77)))))</f>
        <v>11.939094815608403</v>
      </c>
      <c r="BE165" s="178">
        <f t="shared" si="36"/>
        <v>0</v>
      </c>
      <c r="BF165" s="179">
        <f t="shared" si="37"/>
        <v>12.240932410547829</v>
      </c>
      <c r="CB165" s="147" t="s">
        <v>181</v>
      </c>
      <c r="CC165" s="173">
        <f>(IFERROR(HLOOKUP(CB$88, 'GREET IO'!$B$77:$BK$98, ROW(CB165)-ROW(CB$155)+1, FALSE), 0)*CC$88+IFERROR(HLOOKUP(CB$89, 'GREET IO'!$B$77:$BK$98, ROW(CB165)-ROW(CB$155)+1, FALSE), 0)*CC$89+IFERROR(HLOOKUP(CB$90, 'GREET IO'!$B$77:$BK$98, ROW(CB165)-ROW(CB$155)+1, FALSE), 0)*CC$90+IFERROR(HLOOKUP(CB$91, 'GREET IO'!$B$77:$BK$98, ROW(CB165)-ROW(CB$155)+1, FALSE), 0)*CC$91+IFERROR(HLOOKUP(CB$92, 'GREET IO'!$B$77:$BK$98, ROW(CB165)-ROW(CB$155)+1, FALSE), 0)*CC$92+IFERROR(HLOOKUP(CB$93, 'GREET IO'!$B$77:$BK$98, ROW(CB165)-ROW(CB$155)+1, FALSE), 0)*CC$93+IFERROR(HLOOKUP(CB$94, 'GREET IO'!$B$77:$BK$98, ROW(CB165)-ROW(CB$155)+1, FALSE), 0)*CC$94+IFERROR(HLOOKUP(CB$95, 'GREET IO'!$B$77:$BK$98, ROW(CB165)-ROW(CB$155)+1, FALSE), 0)*CC$95+IFERROR(HLOOKUP(CB$96, 'GREET IO'!$B$77:$BK$98, ROW(CB165)-ROW(CB$155)+1, FALSE), 0)*CC$96+IFERROR(HLOOKUP(CB$97, 'GREET IO'!$B$77:$BK$98, ROW(CB165)-ROW(CB$155)+1, FALSE), 0)*CC$97+IF(ISTEXT(CB$99), 1, 0)*CC$99*Materials!$I121+IF(ISTEXT(CB$100), 1, 0)*CC$100*Materials!$J121)*$BI$156</f>
        <v>2.450133633848123</v>
      </c>
      <c r="CD165" s="242">
        <f>CC$104/$BI$157*('GREET IO'!$B154+'GREET IO'!$T5)+CC$105/$BI$157*('GREET IO'!$B29+'GREET IO'!$B5)+CC$106/$BI$157*IF(CC$16=Input!$AD$34,"", IF(CC$16=Input!$AD$35, 'Geographic Par.'!$E77, IF(CC$16=Input!$AD$36, 'Geographic Par.'!$F77, IF(CC$16=Input!$AD$37, 'Geographic Par.'!$H77, IF(CC$16=Input!$AD$38,'Geographic Par.'!$G77,'Geographic Par.'!$J77)))))</f>
        <v>10.060982119420737</v>
      </c>
      <c r="CE165" s="178">
        <f t="shared" si="38"/>
        <v>0</v>
      </c>
      <c r="CF165" s="179">
        <f t="shared" si="39"/>
        <v>12.511115753268861</v>
      </c>
      <c r="CJ165" s="110"/>
      <c r="CK165" s="110"/>
      <c r="CL165" s="110"/>
      <c r="CM165" s="110"/>
      <c r="DB165" s="147" t="s">
        <v>181</v>
      </c>
      <c r="DC165" s="173">
        <f>(IFERROR(HLOOKUP(DB$88, 'GREET IO'!$B$77:$BK$98, ROW(DB165)-ROW(DB$155)+1, FALSE), 0)*DC$88+IFERROR(HLOOKUP(DB$89, 'GREET IO'!$B$77:$BK$98, ROW(DB165)-ROW(DB$155)+1, FALSE), 0)*DC$89+IFERROR(HLOOKUP(DB$90, 'GREET IO'!$B$77:$BK$98, ROW(DB165)-ROW(DB$155)+1, FALSE), 0)*DC$90+IFERROR(HLOOKUP(DB$91, 'GREET IO'!$B$77:$BK$98, ROW(DB165)-ROW(DB$155)+1, FALSE), 0)*DC$91+IFERROR(HLOOKUP(DB$92, 'GREET IO'!$B$77:$BK$98, ROW(DB165)-ROW(DB$155)+1, FALSE), 0)*DC$92+IFERROR(HLOOKUP(DB$93, 'GREET IO'!$B$77:$BK$98, ROW(DB165)-ROW(DB$155)+1, FALSE), 0)*DC$93+IFERROR(HLOOKUP(DB$94, 'GREET IO'!$B$77:$BK$98, ROW(DB165)-ROW(DB$155)+1, FALSE), 0)*DC$94+IFERROR(HLOOKUP(DB$95, 'GREET IO'!$B$77:$BK$98, ROW(DB165)-ROW(DB$155)+1, FALSE), 0)*DC$95+IFERROR(HLOOKUP(DB$96, 'GREET IO'!$B$77:$BK$98, ROW(DB165)-ROW(DB$155)+1, FALSE), 0)*DC$96+IFERROR(HLOOKUP(DB$97, 'GREET IO'!$B$77:$BK$98, ROW(DB165)-ROW(DB$155)+1, FALSE), 0)*DC$97+IF(ISTEXT(DB$99), 1, 0)*DC$99*Materials!$K121+IF(ISTEXT(DB$100), 1, 0)*DC$100*Materials!$L121)*$BI$156</f>
        <v>0.77258092567911318</v>
      </c>
      <c r="DD165" s="242">
        <f>DC$104/$BI$157*('GREET IO'!$B154+'GREET IO'!$T5)+DC$105/$BI$157*('GREET IO'!$B29+'GREET IO'!$B5)+DC$106/$BI$157*IF(DC$16=Input!$AD$34,"", IF(DC$16=Input!$AD$35, 'Geographic Par.'!$E77, IF(DC$16=Input!$AD$36, 'Geographic Par.'!$F77, IF(DC$16=Input!$AD$37, 'Geographic Par.'!$H77, IF(DC$16=Input!$AD$38,'Geographic Par.'!$G77,'Geographic Par.'!$J77)))))</f>
        <v>2.0955294387961381</v>
      </c>
      <c r="DE165" s="178">
        <f t="shared" si="40"/>
        <v>0</v>
      </c>
      <c r="DF165" s="179">
        <f t="shared" si="41"/>
        <v>2.8681103644752515</v>
      </c>
      <c r="DJ165" s="110"/>
      <c r="DK165" s="110"/>
      <c r="DL165" s="110"/>
      <c r="DM165" s="110"/>
      <c r="EB165" s="143" t="s">
        <v>345</v>
      </c>
      <c r="EC165" s="144"/>
      <c r="ED165" s="144"/>
      <c r="EE165" s="144"/>
      <c r="EF165" s="169"/>
    </row>
    <row r="166" spans="2:136">
      <c r="BB166" s="147" t="s">
        <v>182</v>
      </c>
      <c r="BC166" s="173">
        <f>(IFERROR(HLOOKUP(BB$88, 'GREET IO'!$B$77:$BK$98, ROW(BB166)-ROW(BB$155)+1, FALSE), 0)*BC$88+IFERROR(HLOOKUP(BB$89, 'GREET IO'!$B$77:$BK$98, ROW(BB166)-ROW(BB$155)+1, FALSE), 0)*BC$89+IFERROR(HLOOKUP(BB$90, 'GREET IO'!$B$77:$BK$98, ROW(BB166)-ROW(BB$155)+1, FALSE), 0)*BC$90+IFERROR(HLOOKUP(BB$91, 'GREET IO'!$B$77:$BK$98, ROW(BB166)-ROW(BB$155)+1, FALSE), 0)*BC$91+IFERROR(HLOOKUP(BB$92, 'GREET IO'!$B$77:$BK$98, ROW(BB166)-ROW(BB$155)+1, FALSE), 0)*BC$92+IFERROR(HLOOKUP(BB$93, 'GREET IO'!$B$77:$BK$98, ROW(BB166)-ROW(BB$155)+1, FALSE), 0)*BC$93+IFERROR(HLOOKUP(BB$94, 'GREET IO'!$B$77:$BK$98, ROW(BB166)-ROW(BB$155)+1, FALSE), 0)*BC$94+IFERROR(HLOOKUP(BB$95, 'GREET IO'!$B$77:$BK$98, ROW(BB166)-ROW(BB$155)+1, FALSE), 0)*BC$95+IFERROR(HLOOKUP(BB$96, 'GREET IO'!$B$77:$BK$98, ROW(BB166)-ROW(BB$155)+1, FALSE), 0)*BC$96+IFERROR(HLOOKUP(BB$97, 'GREET IO'!$B$77:$BK$98, ROW(BB166)-ROW(BB$155)+1, FALSE), 0)*BC$97+IF(ISTEXT(BB$99), 1, 0)*BC$99*Materials!$G122+IF(ISTEXT(BB$100), 1, 0)*BC$100*Materials!$H122)*$BI$156</f>
        <v>0.56855502187663498</v>
      </c>
      <c r="BD166" s="242">
        <f>BC$104/$BI$157*('GREET IO'!$B155+'GREET IO'!$T6)+BC$105/$BI$157*('GREET IO'!$B30+'GREET IO'!$B6)+BC$106/$BI$157*IF(BC$16=Input!$AD$34,"", IF(BC$16=Input!$AD$35, 'Geographic Par.'!$E78, IF(BC$16=Input!$AD$36, 'Geographic Par.'!$F78, IF(BC$16=Input!$AD$37, 'Geographic Par.'!$H78, IF(BC$16=Input!$AD$38,'Geographic Par.'!$G78,'Geographic Par.'!$J78)))))</f>
        <v>26.281268378381885</v>
      </c>
      <c r="BE166" s="178">
        <f t="shared" si="36"/>
        <v>0</v>
      </c>
      <c r="BF166" s="179">
        <f t="shared" si="37"/>
        <v>26.849823400258519</v>
      </c>
      <c r="CB166" s="147" t="s">
        <v>182</v>
      </c>
      <c r="CC166" s="173">
        <f>(IFERROR(HLOOKUP(CB$88, 'GREET IO'!$B$77:$BK$98, ROW(CB166)-ROW(CB$155)+1, FALSE), 0)*CC$88+IFERROR(HLOOKUP(CB$89, 'GREET IO'!$B$77:$BK$98, ROW(CB166)-ROW(CB$155)+1, FALSE), 0)*CC$89+IFERROR(HLOOKUP(CB$90, 'GREET IO'!$B$77:$BK$98, ROW(CB166)-ROW(CB$155)+1, FALSE), 0)*CC$90+IFERROR(HLOOKUP(CB$91, 'GREET IO'!$B$77:$BK$98, ROW(CB166)-ROW(CB$155)+1, FALSE), 0)*CC$91+IFERROR(HLOOKUP(CB$92, 'GREET IO'!$B$77:$BK$98, ROW(CB166)-ROW(CB$155)+1, FALSE), 0)*CC$92+IFERROR(HLOOKUP(CB$93, 'GREET IO'!$B$77:$BK$98, ROW(CB166)-ROW(CB$155)+1, FALSE), 0)*CC$93+IFERROR(HLOOKUP(CB$94, 'GREET IO'!$B$77:$BK$98, ROW(CB166)-ROW(CB$155)+1, FALSE), 0)*CC$94+IFERROR(HLOOKUP(CB$95, 'GREET IO'!$B$77:$BK$98, ROW(CB166)-ROW(CB$155)+1, FALSE), 0)*CC$95+IFERROR(HLOOKUP(CB$96, 'GREET IO'!$B$77:$BK$98, ROW(CB166)-ROW(CB$155)+1, FALSE), 0)*CC$96+IFERROR(HLOOKUP(CB$97, 'GREET IO'!$B$77:$BK$98, ROW(CB166)-ROW(CB$155)+1, FALSE), 0)*CC$97+IF(ISTEXT(CB$99), 1, 0)*CC$99*Materials!$I122+IF(ISTEXT(CB$100), 1, 0)*CC$100*Materials!$J122)*$BI$156</f>
        <v>3.1035998961388205</v>
      </c>
      <c r="CD166" s="242">
        <f>CC$104/$BI$157*('GREET IO'!$B155+'GREET IO'!$T6)+CC$105/$BI$157*('GREET IO'!$B30+'GREET IO'!$B6)+CC$106/$BI$157*IF(CC$16=Input!$AD$34,"", IF(CC$16=Input!$AD$35, 'Geographic Par.'!$E78, IF(CC$16=Input!$AD$36, 'Geographic Par.'!$F78, IF(CC$16=Input!$AD$37, 'Geographic Par.'!$H78, IF(CC$16=Input!$AD$38,'Geographic Par.'!$G78,'Geographic Par.'!$J78)))))</f>
        <v>22.085295328300518</v>
      </c>
      <c r="CE166" s="178">
        <f t="shared" si="38"/>
        <v>0</v>
      </c>
      <c r="CF166" s="179">
        <f t="shared" si="39"/>
        <v>25.188895224439339</v>
      </c>
      <c r="CJ166" s="110"/>
      <c r="CK166" s="110"/>
      <c r="CL166" s="110"/>
      <c r="CM166" s="110"/>
      <c r="DB166" s="147" t="s">
        <v>182</v>
      </c>
      <c r="DC166" s="173">
        <f>(IFERROR(HLOOKUP(DB$88, 'GREET IO'!$B$77:$BK$98, ROW(DB166)-ROW(DB$155)+1, FALSE), 0)*DC$88+IFERROR(HLOOKUP(DB$89, 'GREET IO'!$B$77:$BK$98, ROW(DB166)-ROW(DB$155)+1, FALSE), 0)*DC$89+IFERROR(HLOOKUP(DB$90, 'GREET IO'!$B$77:$BK$98, ROW(DB166)-ROW(DB$155)+1, FALSE), 0)*DC$90+IFERROR(HLOOKUP(DB$91, 'GREET IO'!$B$77:$BK$98, ROW(DB166)-ROW(DB$155)+1, FALSE), 0)*DC$91+IFERROR(HLOOKUP(DB$92, 'GREET IO'!$B$77:$BK$98, ROW(DB166)-ROW(DB$155)+1, FALSE), 0)*DC$92+IFERROR(HLOOKUP(DB$93, 'GREET IO'!$B$77:$BK$98, ROW(DB166)-ROW(DB$155)+1, FALSE), 0)*DC$93+IFERROR(HLOOKUP(DB$94, 'GREET IO'!$B$77:$BK$98, ROW(DB166)-ROW(DB$155)+1, FALSE), 0)*DC$94+IFERROR(HLOOKUP(DB$95, 'GREET IO'!$B$77:$BK$98, ROW(DB166)-ROW(DB$155)+1, FALSE), 0)*DC$95+IFERROR(HLOOKUP(DB$96, 'GREET IO'!$B$77:$BK$98, ROW(DB166)-ROW(DB$155)+1, FALSE), 0)*DC$96+IFERROR(HLOOKUP(DB$97, 'GREET IO'!$B$77:$BK$98, ROW(DB166)-ROW(DB$155)+1, FALSE), 0)*DC$97+IF(ISTEXT(DB$99), 1, 0)*DC$99*Materials!$K122+IF(ISTEXT(DB$100), 1, 0)*DC$100*Materials!$L122)*$BI$156</f>
        <v>1.9528782023079427</v>
      </c>
      <c r="DD166" s="242">
        <f>DC$104/$BI$157*('GREET IO'!$B155+'GREET IO'!$T6)+DC$105/$BI$157*('GREET IO'!$B30+'GREET IO'!$B6)+DC$106/$BI$157*IF(DC$16=Input!$AD$34,"", IF(DC$16=Input!$AD$35, 'Geographic Par.'!$E78, IF(DC$16=Input!$AD$36, 'Geographic Par.'!$F78, IF(DC$16=Input!$AD$37, 'Geographic Par.'!$H78, IF(DC$16=Input!$AD$38,'Geographic Par.'!$G78,'Geographic Par.'!$J78)))))</f>
        <v>4.6870017847039094</v>
      </c>
      <c r="DE166" s="178">
        <f t="shared" si="40"/>
        <v>0</v>
      </c>
      <c r="DF166" s="179">
        <f t="shared" si="41"/>
        <v>6.6398799870118523</v>
      </c>
      <c r="DJ166" s="110"/>
      <c r="DK166" s="110"/>
      <c r="DL166" s="110"/>
      <c r="DM166" s="110"/>
      <c r="EB166" s="147" t="s">
        <v>180</v>
      </c>
      <c r="EC166" s="320">
        <f>(IFERROR(HLOOKUP(EB$89, 'GREET IO'!$B$77:$BK$98, ROW(EB166)-ROW(EB$157)+1, FALSE), 0)*EC$89+IFERROR(HLOOKUP(EB$90, 'GREET IO'!$B$77:$BK$98, ROW(EB166)-ROW(EB$157)+1, FALSE), 0)*EC$90+IFERROR(HLOOKUP(EB$91, 'GREET IO'!$B$77:$BK$98, ROW(EB166)-ROW(EB$157)+1, FALSE), 0)*EC$91+IFERROR(HLOOKUP(EB$92, 'GREET IO'!$B$77:$BK$98, ROW(EB166)-ROW(EB$157)+1, FALSE), 0)*EC$92+IFERROR(HLOOKUP(EB$93, 'GREET IO'!$B$77:$BK$98, ROW(EB166)-ROW(EB$157)+1, FALSE), 0)*EC$93+IFERROR(HLOOKUP(EB$94, 'GREET IO'!$B$77:$BK$98, ROW(EB166)-ROW(EB$157)+1, FALSE), 0)*EC$94+IFERROR(HLOOKUP(EB$95, 'GREET IO'!$B$77:$BK$98, ROW(EB166)-ROW(EB$157)+1, FALSE), 0)*EC$95+IFERROR(HLOOKUP(EB$96, 'GREET IO'!$B$77:$BK$98, ROW(EB166)-ROW(EB$157)+1, FALSE), 0)*EC$96+IFERROR(HLOOKUP(EB$97, 'GREET IO'!$B$77:$BK$98, ROW(EB166)-ROW(EB$157)+1, FALSE), 0)*EC$97+IFERROR(HLOOKUP(EB$98, 'GREET IO'!$B$77:$BK$98, ROW(EB166)-ROW(EB$157)+1, FALSE), 0)*EC$98+IF(ISTEXT(EB$100), 1, 0)*EC$100*Materials!$M120+IF(ISTEXT(EB$101), 1, 0)*EC$101*Materials!$N120)*$BI$156</f>
        <v>2.9607618791679862</v>
      </c>
      <c r="ED166" s="320">
        <f>EC$106/$BI$157*('GREET IO'!$B153+'GREET IO'!$T4)+EC$107/$BI$157*('GREET IO'!$B28+'GREET IO'!$B4)+EC$108/$BI$157*IF(EC$16=Input!$AD$34,"", IF(EC$16=Input!$AD$35, 'Geographic Par.'!$E76, IF(EC$16=Input!$AD$36, 'Geographic Par.'!$F76, IF(EC$16=Input!$AD$37, 'Geographic Par.'!$H76, IF(EC$16=Input!$AD$38,'Geographic Par.'!$G76,'Geographic Par.'!$J76)))))</f>
        <v>0.49911333145058012</v>
      </c>
      <c r="EE166" s="242">
        <f t="shared" ref="EE166:EE176" si="42">EE144</f>
        <v>0</v>
      </c>
      <c r="EF166" s="243">
        <f t="shared" ref="EF166:EF178" si="43">SUM(EC166:EE166)</f>
        <v>3.4598752106185664</v>
      </c>
    </row>
    <row r="167" spans="2:136">
      <c r="B167"/>
      <c r="C167"/>
      <c r="D167"/>
      <c r="E167"/>
      <c r="F167"/>
      <c r="G167"/>
      <c r="H167"/>
      <c r="I167"/>
      <c r="J167"/>
      <c r="K167"/>
      <c r="BB167" s="147" t="s">
        <v>183</v>
      </c>
      <c r="BC167" s="173">
        <f>(IFERROR(HLOOKUP(BB$88, 'GREET IO'!$B$77:$BK$98, ROW(BB167)-ROW(BB$155)+1, FALSE), 0)*BC$88+IFERROR(HLOOKUP(BB$89, 'GREET IO'!$B$77:$BK$98, ROW(BB167)-ROW(BB$155)+1, FALSE), 0)*BC$89+IFERROR(HLOOKUP(BB$90, 'GREET IO'!$B$77:$BK$98, ROW(BB167)-ROW(BB$155)+1, FALSE), 0)*BC$90+IFERROR(HLOOKUP(BB$91, 'GREET IO'!$B$77:$BK$98, ROW(BB167)-ROW(BB$155)+1, FALSE), 0)*BC$91+IFERROR(HLOOKUP(BB$92, 'GREET IO'!$B$77:$BK$98, ROW(BB167)-ROW(BB$155)+1, FALSE), 0)*BC$92+IFERROR(HLOOKUP(BB$93, 'GREET IO'!$B$77:$BK$98, ROW(BB167)-ROW(BB$155)+1, FALSE), 0)*BC$93+IFERROR(HLOOKUP(BB$94, 'GREET IO'!$B$77:$BK$98, ROW(BB167)-ROW(BB$155)+1, FALSE), 0)*BC$94+IFERROR(HLOOKUP(BB$95, 'GREET IO'!$B$77:$BK$98, ROW(BB167)-ROW(BB$155)+1, FALSE), 0)*BC$95+IFERROR(HLOOKUP(BB$96, 'GREET IO'!$B$77:$BK$98, ROW(BB167)-ROW(BB$155)+1, FALSE), 0)*BC$96+IFERROR(HLOOKUP(BB$97, 'GREET IO'!$B$77:$BK$98, ROW(BB167)-ROW(BB$155)+1, FALSE), 0)*BC$97+IF(ISTEXT(BB$99), 1, 0)*BC$99*Materials!$G123+IF(ISTEXT(BB$100), 1, 0)*BC$100*Materials!$H123)*$BI$156</f>
        <v>5.040829292661652E-2</v>
      </c>
      <c r="BD167" s="242">
        <f>BC$104/$BI$157*('GREET IO'!$B156+'GREET IO'!$T7)+BC$105/$BI$157*('GREET IO'!$B31+'GREET IO'!$B7)+BC$106/$BI$157*IF(BC$16=Input!$AD$34,"", IF(BC$16=Input!$AD$35, 'Geographic Par.'!$E79, IF(BC$16=Input!$AD$36, 'Geographic Par.'!$F79, IF(BC$16=Input!$AD$37, 'Geographic Par.'!$H79, IF(BC$16=Input!$AD$38,'Geographic Par.'!$G79,'Geographic Par.'!$J79)))))</f>
        <v>5.3038315064217167</v>
      </c>
      <c r="BE167" s="178">
        <f t="shared" si="36"/>
        <v>0</v>
      </c>
      <c r="BF167" s="179">
        <f t="shared" si="37"/>
        <v>5.3542397993483331</v>
      </c>
      <c r="CB167" s="147" t="s">
        <v>183</v>
      </c>
      <c r="CC167" s="173">
        <f>(IFERROR(HLOOKUP(CB$88, 'GREET IO'!$B$77:$BK$98, ROW(CB167)-ROW(CB$155)+1, FALSE), 0)*CC$88+IFERROR(HLOOKUP(CB$89, 'GREET IO'!$B$77:$BK$98, ROW(CB167)-ROW(CB$155)+1, FALSE), 0)*CC$89+IFERROR(HLOOKUP(CB$90, 'GREET IO'!$B$77:$BK$98, ROW(CB167)-ROW(CB$155)+1, FALSE), 0)*CC$90+IFERROR(HLOOKUP(CB$91, 'GREET IO'!$B$77:$BK$98, ROW(CB167)-ROW(CB$155)+1, FALSE), 0)*CC$91+IFERROR(HLOOKUP(CB$92, 'GREET IO'!$B$77:$BK$98, ROW(CB167)-ROW(CB$155)+1, FALSE), 0)*CC$92+IFERROR(HLOOKUP(CB$93, 'GREET IO'!$B$77:$BK$98, ROW(CB167)-ROW(CB$155)+1, FALSE), 0)*CC$93+IFERROR(HLOOKUP(CB$94, 'GREET IO'!$B$77:$BK$98, ROW(CB167)-ROW(CB$155)+1, FALSE), 0)*CC$94+IFERROR(HLOOKUP(CB$95, 'GREET IO'!$B$77:$BK$98, ROW(CB167)-ROW(CB$155)+1, FALSE), 0)*CC$95+IFERROR(HLOOKUP(CB$96, 'GREET IO'!$B$77:$BK$98, ROW(CB167)-ROW(CB$155)+1, FALSE), 0)*CC$96+IFERROR(HLOOKUP(CB$97, 'GREET IO'!$B$77:$BK$98, ROW(CB167)-ROW(CB$155)+1, FALSE), 0)*CC$97+IF(ISTEXT(CB$99), 1, 0)*CC$99*Materials!$I123+IF(ISTEXT(CB$100), 1, 0)*CC$100*Materials!$J123)*$BI$156</f>
        <v>0.31670660980115112</v>
      </c>
      <c r="CD167" s="242">
        <f>CC$104/$BI$157*('GREET IO'!$B156+'GREET IO'!$T7)+CC$105/$BI$157*('GREET IO'!$B31+'GREET IO'!$B7)+CC$106/$BI$157*IF(CC$16=Input!$AD$34,"", IF(CC$16=Input!$AD$35, 'Geographic Par.'!$E79, IF(CC$16=Input!$AD$36, 'Geographic Par.'!$F79, IF(CC$16=Input!$AD$37, 'Geographic Par.'!$H79, IF(CC$16=Input!$AD$38,'Geographic Par.'!$G79,'Geographic Par.'!$J79)))))</f>
        <v>4.4288454163096826</v>
      </c>
      <c r="CE167" s="178">
        <f t="shared" si="38"/>
        <v>0</v>
      </c>
      <c r="CF167" s="179">
        <f t="shared" si="39"/>
        <v>4.7455520261108335</v>
      </c>
      <c r="CJ167" s="110"/>
      <c r="CK167" s="110"/>
      <c r="CL167" s="110"/>
      <c r="CM167" s="110"/>
      <c r="DB167" s="147" t="s">
        <v>183</v>
      </c>
      <c r="DC167" s="173">
        <f>(IFERROR(HLOOKUP(DB$88, 'GREET IO'!$B$77:$BK$98, ROW(DB167)-ROW(DB$155)+1, FALSE), 0)*DC$88+IFERROR(HLOOKUP(DB$89, 'GREET IO'!$B$77:$BK$98, ROW(DB167)-ROW(DB$155)+1, FALSE), 0)*DC$89+IFERROR(HLOOKUP(DB$90, 'GREET IO'!$B$77:$BK$98, ROW(DB167)-ROW(DB$155)+1, FALSE), 0)*DC$90+IFERROR(HLOOKUP(DB$91, 'GREET IO'!$B$77:$BK$98, ROW(DB167)-ROW(DB$155)+1, FALSE), 0)*DC$91+IFERROR(HLOOKUP(DB$92, 'GREET IO'!$B$77:$BK$98, ROW(DB167)-ROW(DB$155)+1, FALSE), 0)*DC$92+IFERROR(HLOOKUP(DB$93, 'GREET IO'!$B$77:$BK$98, ROW(DB167)-ROW(DB$155)+1, FALSE), 0)*DC$93+IFERROR(HLOOKUP(DB$94, 'GREET IO'!$B$77:$BK$98, ROW(DB167)-ROW(DB$155)+1, FALSE), 0)*DC$94+IFERROR(HLOOKUP(DB$95, 'GREET IO'!$B$77:$BK$98, ROW(DB167)-ROW(DB$155)+1, FALSE), 0)*DC$95+IFERROR(HLOOKUP(DB$96, 'GREET IO'!$B$77:$BK$98, ROW(DB167)-ROW(DB$155)+1, FALSE), 0)*DC$96+IFERROR(HLOOKUP(DB$97, 'GREET IO'!$B$77:$BK$98, ROW(DB167)-ROW(DB$155)+1, FALSE), 0)*DC$97+IF(ISTEXT(DB$99), 1, 0)*DC$99*Materials!$K123+IF(ISTEXT(DB$100), 1, 0)*DC$100*Materials!$L123)*$BI$156</f>
        <v>0.282533168252039</v>
      </c>
      <c r="DD167" s="242">
        <f>DC$104/$BI$157*('GREET IO'!$B156+'GREET IO'!$T7)+DC$105/$BI$157*('GREET IO'!$B31+'GREET IO'!$B7)+DC$106/$BI$157*IF(DC$16=Input!$AD$34,"", IF(DC$16=Input!$AD$35, 'Geographic Par.'!$E79, IF(DC$16=Input!$AD$36, 'Geographic Par.'!$F79, IF(DC$16=Input!$AD$37, 'Geographic Par.'!$H79, IF(DC$16=Input!$AD$38,'Geographic Par.'!$G79,'Geographic Par.'!$J79)))))</f>
        <v>0.8978969086502967</v>
      </c>
      <c r="DE167" s="178">
        <f t="shared" si="40"/>
        <v>0</v>
      </c>
      <c r="DF167" s="179">
        <f t="shared" si="41"/>
        <v>1.1804300769023357</v>
      </c>
      <c r="DJ167" s="110"/>
      <c r="DK167" s="110"/>
      <c r="DL167" s="110"/>
      <c r="DM167" s="110"/>
      <c r="EB167" s="147" t="s">
        <v>181</v>
      </c>
      <c r="EC167" s="173">
        <f>(IFERROR(HLOOKUP(EB$89, 'GREET IO'!$B$77:$BK$98, ROW(EB167)-ROW(EB$157)+1, FALSE), 0)*EC$89+IFERROR(HLOOKUP(EB$90, 'GREET IO'!$B$77:$BK$98, ROW(EB167)-ROW(EB$157)+1, FALSE), 0)*EC$90+IFERROR(HLOOKUP(EB$91, 'GREET IO'!$B$77:$BK$98, ROW(EB167)-ROW(EB$157)+1, FALSE), 0)*EC$91+IFERROR(HLOOKUP(EB$92, 'GREET IO'!$B$77:$BK$98, ROW(EB167)-ROW(EB$157)+1, FALSE), 0)*EC$92+IFERROR(HLOOKUP(EB$93, 'GREET IO'!$B$77:$BK$98, ROW(EB167)-ROW(EB$157)+1, FALSE), 0)*EC$93+IFERROR(HLOOKUP(EB$94, 'GREET IO'!$B$77:$BK$98, ROW(EB167)-ROW(EB$157)+1, FALSE), 0)*EC$94+IFERROR(HLOOKUP(EB$95, 'GREET IO'!$B$77:$BK$98, ROW(EB167)-ROW(EB$157)+1, FALSE), 0)*EC$95+IFERROR(HLOOKUP(EB$96, 'GREET IO'!$B$77:$BK$98, ROW(EB167)-ROW(EB$157)+1, FALSE), 0)*EC$96+IFERROR(HLOOKUP(EB$97, 'GREET IO'!$B$77:$BK$98, ROW(EB167)-ROW(EB$157)+1, FALSE), 0)*EC$97+IFERROR(HLOOKUP(EB$98, 'GREET IO'!$B$77:$BK$98, ROW(EB167)-ROW(EB$157)+1, FALSE), 0)*EC$98+IF(ISTEXT(EB$100), 1, 0)*EC$100*Materials!$M121+IF(ISTEXT(EB$101), 1, 0)*EC$101*Materials!$N121)*$BI$156</f>
        <v>4.1589980947478624</v>
      </c>
      <c r="ED167" s="320">
        <f>EC$106/$BI$157*('GREET IO'!$B154+'GREET IO'!$T5)+EC$107/$BI$157*('GREET IO'!$B29+'GREET IO'!$B5)+EC$108/$BI$157*IF(EC$16=Input!$AD$34,"", IF(EC$16=Input!$AD$35, 'Geographic Par.'!$E77, IF(EC$16=Input!$AD$36, 'Geographic Par.'!$F77, IF(EC$16=Input!$AD$37, 'Geographic Par.'!$H77, IF(EC$16=Input!$AD$38,'Geographic Par.'!$G77,'Geographic Par.'!$J77)))))</f>
        <v>2.0024751141745996</v>
      </c>
      <c r="EE167" s="178">
        <f t="shared" si="42"/>
        <v>0</v>
      </c>
      <c r="EF167" s="243">
        <f t="shared" si="43"/>
        <v>6.1614732089224624</v>
      </c>
    </row>
    <row r="168" spans="2:136">
      <c r="B168"/>
      <c r="C168"/>
      <c r="D168"/>
      <c r="E168"/>
      <c r="F168"/>
      <c r="G168"/>
      <c r="H168"/>
      <c r="I168"/>
      <c r="J168"/>
      <c r="K168"/>
      <c r="BB168" s="147" t="s">
        <v>184</v>
      </c>
      <c r="BC168" s="173">
        <f>(IFERROR(HLOOKUP(BB$88, 'GREET IO'!$B$77:$BK$98, ROW(BB168)-ROW(BB$155)+1, FALSE), 0)*BC$88+IFERROR(HLOOKUP(BB$89, 'GREET IO'!$B$77:$BK$98, ROW(BB168)-ROW(BB$155)+1, FALSE), 0)*BC$89+IFERROR(HLOOKUP(BB$90, 'GREET IO'!$B$77:$BK$98, ROW(BB168)-ROW(BB$155)+1, FALSE), 0)*BC$90+IFERROR(HLOOKUP(BB$91, 'GREET IO'!$B$77:$BK$98, ROW(BB168)-ROW(BB$155)+1, FALSE), 0)*BC$91+IFERROR(HLOOKUP(BB$92, 'GREET IO'!$B$77:$BK$98, ROW(BB168)-ROW(BB$155)+1, FALSE), 0)*BC$92+IFERROR(HLOOKUP(BB$93, 'GREET IO'!$B$77:$BK$98, ROW(BB168)-ROW(BB$155)+1, FALSE), 0)*BC$93+IFERROR(HLOOKUP(BB$94, 'GREET IO'!$B$77:$BK$98, ROW(BB168)-ROW(BB$155)+1, FALSE), 0)*BC$94+IFERROR(HLOOKUP(BB$95, 'GREET IO'!$B$77:$BK$98, ROW(BB168)-ROW(BB$155)+1, FALSE), 0)*BC$95+IFERROR(HLOOKUP(BB$96, 'GREET IO'!$B$77:$BK$98, ROW(BB168)-ROW(BB$155)+1, FALSE), 0)*BC$96+IFERROR(HLOOKUP(BB$97, 'GREET IO'!$B$77:$BK$98, ROW(BB168)-ROW(BB$155)+1, FALSE), 0)*BC$97+IF(ISTEXT(BB$99), 1, 0)*BC$99*Materials!$G124+IF(ISTEXT(BB$100), 1, 0)*BC$100*Materials!$H124)*$BI$156</f>
        <v>3.4944011328469783E-2</v>
      </c>
      <c r="BD168" s="242">
        <f>BC$104/$BI$157*('GREET IO'!$B157+'GREET IO'!$T8)+BC$105/$BI$157*('GREET IO'!$B32+'GREET IO'!$B8)+BC$106/$BI$157*IF(BC$16=Input!$AD$34,"", IF(BC$16=Input!$AD$35, 'Geographic Par.'!$E80, IF(BC$16=Input!$AD$36, 'Geographic Par.'!$F80, IF(BC$16=Input!$AD$37, 'Geographic Par.'!$H80, IF(BC$16=Input!$AD$38,'Geographic Par.'!$G80,'Geographic Par.'!$J80)))))</f>
        <v>2.4235454018307969</v>
      </c>
      <c r="BE168" s="178">
        <f t="shared" si="36"/>
        <v>0</v>
      </c>
      <c r="BF168" s="179">
        <f t="shared" si="37"/>
        <v>2.4584894131592665</v>
      </c>
      <c r="CB168" s="147" t="s">
        <v>184</v>
      </c>
      <c r="CC168" s="173">
        <f>(IFERROR(HLOOKUP(CB$88, 'GREET IO'!$B$77:$BK$98, ROW(CB168)-ROW(CB$155)+1, FALSE), 0)*CC$88+IFERROR(HLOOKUP(CB$89, 'GREET IO'!$B$77:$BK$98, ROW(CB168)-ROW(CB$155)+1, FALSE), 0)*CC$89+IFERROR(HLOOKUP(CB$90, 'GREET IO'!$B$77:$BK$98, ROW(CB168)-ROW(CB$155)+1, FALSE), 0)*CC$90+IFERROR(HLOOKUP(CB$91, 'GREET IO'!$B$77:$BK$98, ROW(CB168)-ROW(CB$155)+1, FALSE), 0)*CC$91+IFERROR(HLOOKUP(CB$92, 'GREET IO'!$B$77:$BK$98, ROW(CB168)-ROW(CB$155)+1, FALSE), 0)*CC$92+IFERROR(HLOOKUP(CB$93, 'GREET IO'!$B$77:$BK$98, ROW(CB168)-ROW(CB$155)+1, FALSE), 0)*CC$93+IFERROR(HLOOKUP(CB$94, 'GREET IO'!$B$77:$BK$98, ROW(CB168)-ROW(CB$155)+1, FALSE), 0)*CC$94+IFERROR(HLOOKUP(CB$95, 'GREET IO'!$B$77:$BK$98, ROW(CB168)-ROW(CB$155)+1, FALSE), 0)*CC$95+IFERROR(HLOOKUP(CB$96, 'GREET IO'!$B$77:$BK$98, ROW(CB168)-ROW(CB$155)+1, FALSE), 0)*CC$96+IFERROR(HLOOKUP(CB$97, 'GREET IO'!$B$77:$BK$98, ROW(CB168)-ROW(CB$155)+1, FALSE), 0)*CC$97+IF(ISTEXT(CB$99), 1, 0)*CC$99*Materials!$I124+IF(ISTEXT(CB$100), 1, 0)*CC$100*Materials!$J124)*$BI$156</f>
        <v>0.21551452342942556</v>
      </c>
      <c r="CD168" s="242">
        <f>CC$104/$BI$157*('GREET IO'!$B157+'GREET IO'!$T8)+CC$105/$BI$157*('GREET IO'!$B32+'GREET IO'!$B8)+CC$106/$BI$157*IF(CC$16=Input!$AD$34,"", IF(CC$16=Input!$AD$35, 'Geographic Par.'!$E80, IF(CC$16=Input!$AD$36, 'Geographic Par.'!$F80, IF(CC$16=Input!$AD$37, 'Geographic Par.'!$H80, IF(CC$16=Input!$AD$38,'Geographic Par.'!$G80,'Geographic Par.'!$J80)))))</f>
        <v>2.0284684586716777</v>
      </c>
      <c r="CE168" s="178">
        <f t="shared" si="38"/>
        <v>0</v>
      </c>
      <c r="CF168" s="179">
        <f t="shared" si="39"/>
        <v>2.2439829821011035</v>
      </c>
      <c r="CJ168" s="110"/>
      <c r="CK168" s="110"/>
      <c r="CL168" s="110"/>
      <c r="CM168" s="110"/>
      <c r="DB168" s="147" t="s">
        <v>184</v>
      </c>
      <c r="DC168" s="173">
        <f>(IFERROR(HLOOKUP(DB$88, 'GREET IO'!$B$77:$BK$98, ROW(DB168)-ROW(DB$155)+1, FALSE), 0)*DC$88+IFERROR(HLOOKUP(DB$89, 'GREET IO'!$B$77:$BK$98, ROW(DB168)-ROW(DB$155)+1, FALSE), 0)*DC$89+IFERROR(HLOOKUP(DB$90, 'GREET IO'!$B$77:$BK$98, ROW(DB168)-ROW(DB$155)+1, FALSE), 0)*DC$90+IFERROR(HLOOKUP(DB$91, 'GREET IO'!$B$77:$BK$98, ROW(DB168)-ROW(DB$155)+1, FALSE), 0)*DC$91+IFERROR(HLOOKUP(DB$92, 'GREET IO'!$B$77:$BK$98, ROW(DB168)-ROW(DB$155)+1, FALSE), 0)*DC$92+IFERROR(HLOOKUP(DB$93, 'GREET IO'!$B$77:$BK$98, ROW(DB168)-ROW(DB$155)+1, FALSE), 0)*DC$93+IFERROR(HLOOKUP(DB$94, 'GREET IO'!$B$77:$BK$98, ROW(DB168)-ROW(DB$155)+1, FALSE), 0)*DC$94+IFERROR(HLOOKUP(DB$95, 'GREET IO'!$B$77:$BK$98, ROW(DB168)-ROW(DB$155)+1, FALSE), 0)*DC$95+IFERROR(HLOOKUP(DB$96, 'GREET IO'!$B$77:$BK$98, ROW(DB168)-ROW(DB$155)+1, FALSE), 0)*DC$96+IFERROR(HLOOKUP(DB$97, 'GREET IO'!$B$77:$BK$98, ROW(DB168)-ROW(DB$155)+1, FALSE), 0)*DC$97+IF(ISTEXT(DB$99), 1, 0)*DC$99*Materials!$K124+IF(ISTEXT(DB$100), 1, 0)*DC$100*Materials!$L124)*$BI$156</f>
        <v>0.20518169299393363</v>
      </c>
      <c r="DD168" s="242">
        <f>DC$104/$BI$157*('GREET IO'!$B157+'GREET IO'!$T8)+DC$105/$BI$157*('GREET IO'!$B32+'GREET IO'!$B8)+DC$106/$BI$157*IF(DC$16=Input!$AD$34,"", IF(DC$16=Input!$AD$35, 'Geographic Par.'!$E80, IF(DC$16=Input!$AD$36, 'Geographic Par.'!$F80, IF(DC$16=Input!$AD$37, 'Geographic Par.'!$H80, IF(DC$16=Input!$AD$38,'Geographic Par.'!$G80,'Geographic Par.'!$J80)))))</f>
        <v>0.41734250395164085</v>
      </c>
      <c r="DE168" s="178">
        <f t="shared" si="40"/>
        <v>0</v>
      </c>
      <c r="DF168" s="179">
        <f t="shared" si="41"/>
        <v>0.62252419694557448</v>
      </c>
      <c r="DJ168" s="110"/>
      <c r="DK168" s="110"/>
      <c r="DL168" s="110"/>
      <c r="DM168" s="110"/>
      <c r="EB168" s="147" t="s">
        <v>182</v>
      </c>
      <c r="EC168" s="173">
        <f>(IFERROR(HLOOKUP(EB$89, 'GREET IO'!$B$77:$BK$98, ROW(EB168)-ROW(EB$157)+1, FALSE), 0)*EC$89+IFERROR(HLOOKUP(EB$90, 'GREET IO'!$B$77:$BK$98, ROW(EB168)-ROW(EB$157)+1, FALSE), 0)*EC$90+IFERROR(HLOOKUP(EB$91, 'GREET IO'!$B$77:$BK$98, ROW(EB168)-ROW(EB$157)+1, FALSE), 0)*EC$91+IFERROR(HLOOKUP(EB$92, 'GREET IO'!$B$77:$BK$98, ROW(EB168)-ROW(EB$157)+1, FALSE), 0)*EC$92+IFERROR(HLOOKUP(EB$93, 'GREET IO'!$B$77:$BK$98, ROW(EB168)-ROW(EB$157)+1, FALSE), 0)*EC$93+IFERROR(HLOOKUP(EB$94, 'GREET IO'!$B$77:$BK$98, ROW(EB168)-ROW(EB$157)+1, FALSE), 0)*EC$94+IFERROR(HLOOKUP(EB$95, 'GREET IO'!$B$77:$BK$98, ROW(EB168)-ROW(EB$157)+1, FALSE), 0)*EC$95+IFERROR(HLOOKUP(EB$96, 'GREET IO'!$B$77:$BK$98, ROW(EB168)-ROW(EB$157)+1, FALSE), 0)*EC$96+IFERROR(HLOOKUP(EB$97, 'GREET IO'!$B$77:$BK$98, ROW(EB168)-ROW(EB$157)+1, FALSE), 0)*EC$97+IFERROR(HLOOKUP(EB$98, 'GREET IO'!$B$77:$BK$98, ROW(EB168)-ROW(EB$157)+1, FALSE), 0)*EC$98+IF(ISTEXT(EB$100), 1, 0)*EC$100*Materials!$M122+IF(ISTEXT(EB$101), 1, 0)*EC$101*Materials!$N122)*$BI$156</f>
        <v>3.7298457325618171</v>
      </c>
      <c r="ED168" s="320">
        <f>EC$106/$BI$157*('GREET IO'!$B155+'GREET IO'!$T6)+EC$107/$BI$157*('GREET IO'!$B30+'GREET IO'!$B6)+EC$108/$BI$157*IF(EC$16=Input!$AD$34,"", IF(EC$16=Input!$AD$35, 'Geographic Par.'!$E78, IF(EC$16=Input!$AD$36, 'Geographic Par.'!$F78, IF(EC$16=Input!$AD$37, 'Geographic Par.'!$H78, IF(EC$16=Input!$AD$38,'Geographic Par.'!$G78,'Geographic Par.'!$J78)))))</f>
        <v>4.450879253554219</v>
      </c>
      <c r="EE168" s="178">
        <f t="shared" si="42"/>
        <v>0</v>
      </c>
      <c r="EF168" s="243">
        <f t="shared" si="43"/>
        <v>8.1807249861160365</v>
      </c>
    </row>
    <row r="169" spans="2:136">
      <c r="B169"/>
      <c r="C169"/>
      <c r="D169"/>
      <c r="E169"/>
      <c r="F169"/>
      <c r="G169"/>
      <c r="H169"/>
      <c r="I169"/>
      <c r="J169"/>
      <c r="K169"/>
      <c r="BB169" s="147" t="s">
        <v>185</v>
      </c>
      <c r="BC169" s="173">
        <f>(IFERROR(HLOOKUP(BB$88, 'GREET IO'!$B$77:$BK$98, ROW(BB169)-ROW(BB$155)+1, FALSE), 0)*BC$88+IFERROR(HLOOKUP(BB$89, 'GREET IO'!$B$77:$BK$98, ROW(BB169)-ROW(BB$155)+1, FALSE), 0)*BC$89+IFERROR(HLOOKUP(BB$90, 'GREET IO'!$B$77:$BK$98, ROW(BB169)-ROW(BB$155)+1, FALSE), 0)*BC$90+IFERROR(HLOOKUP(BB$91, 'GREET IO'!$B$77:$BK$98, ROW(BB169)-ROW(BB$155)+1, FALSE), 0)*BC$91+IFERROR(HLOOKUP(BB$92, 'GREET IO'!$B$77:$BK$98, ROW(BB169)-ROW(BB$155)+1, FALSE), 0)*BC$92+IFERROR(HLOOKUP(BB$93, 'GREET IO'!$B$77:$BK$98, ROW(BB169)-ROW(BB$155)+1, FALSE), 0)*BC$93+IFERROR(HLOOKUP(BB$94, 'GREET IO'!$B$77:$BK$98, ROW(BB169)-ROW(BB$155)+1, FALSE), 0)*BC$94+IFERROR(HLOOKUP(BB$95, 'GREET IO'!$B$77:$BK$98, ROW(BB169)-ROW(BB$155)+1, FALSE), 0)*BC$95+IFERROR(HLOOKUP(BB$96, 'GREET IO'!$B$77:$BK$98, ROW(BB169)-ROW(BB$155)+1, FALSE), 0)*BC$96+IFERROR(HLOOKUP(BB$97, 'GREET IO'!$B$77:$BK$98, ROW(BB169)-ROW(BB$155)+1, FALSE), 0)*BC$97+IF(ISTEXT(BB$99), 1, 0)*BC$99*Materials!$G125+IF(ISTEXT(BB$100), 1, 0)*BC$100*Materials!$H125)*$BI$156</f>
        <v>1.1673921174089907</v>
      </c>
      <c r="BD169" s="242">
        <f>BC$104/$BI$157*('GREET IO'!$B158+'GREET IO'!$T9)+BC$105/$BI$157*('GREET IO'!$B33+'GREET IO'!$B9)+BC$106/$BI$157*IF(BC$16=Input!$AD$34,"", IF(BC$16=Input!$AD$35, 'Geographic Par.'!$E81, IF(BC$16=Input!$AD$36, 'Geographic Par.'!$F81, IF(BC$16=Input!$AD$37, 'Geographic Par.'!$H81, IF(BC$16=Input!$AD$38,'Geographic Par.'!$G81,'Geographic Par.'!$J81)))))</f>
        <v>33.258094861318838</v>
      </c>
      <c r="BE169" s="178">
        <f t="shared" si="36"/>
        <v>0</v>
      </c>
      <c r="BF169" s="179">
        <f t="shared" si="37"/>
        <v>34.425486978727832</v>
      </c>
      <c r="CB169" s="147" t="s">
        <v>185</v>
      </c>
      <c r="CC169" s="173">
        <f>(IFERROR(HLOOKUP(CB$88, 'GREET IO'!$B$77:$BK$98, ROW(CB169)-ROW(CB$155)+1, FALSE), 0)*CC$88+IFERROR(HLOOKUP(CB$89, 'GREET IO'!$B$77:$BK$98, ROW(CB169)-ROW(CB$155)+1, FALSE), 0)*CC$89+IFERROR(HLOOKUP(CB$90, 'GREET IO'!$B$77:$BK$98, ROW(CB169)-ROW(CB$155)+1, FALSE), 0)*CC$90+IFERROR(HLOOKUP(CB$91, 'GREET IO'!$B$77:$BK$98, ROW(CB169)-ROW(CB$155)+1, FALSE), 0)*CC$91+IFERROR(HLOOKUP(CB$92, 'GREET IO'!$B$77:$BK$98, ROW(CB169)-ROW(CB$155)+1, FALSE), 0)*CC$92+IFERROR(HLOOKUP(CB$93, 'GREET IO'!$B$77:$BK$98, ROW(CB169)-ROW(CB$155)+1, FALSE), 0)*CC$93+IFERROR(HLOOKUP(CB$94, 'GREET IO'!$B$77:$BK$98, ROW(CB169)-ROW(CB$155)+1, FALSE), 0)*CC$94+IFERROR(HLOOKUP(CB$95, 'GREET IO'!$B$77:$BK$98, ROW(CB169)-ROW(CB$155)+1, FALSE), 0)*CC$95+IFERROR(HLOOKUP(CB$96, 'GREET IO'!$B$77:$BK$98, ROW(CB169)-ROW(CB$155)+1, FALSE), 0)*CC$96+IFERROR(HLOOKUP(CB$97, 'GREET IO'!$B$77:$BK$98, ROW(CB169)-ROW(CB$155)+1, FALSE), 0)*CC$97+IF(ISTEXT(CB$99), 1, 0)*CC$99*Materials!$I125+IF(ISTEXT(CB$100), 1, 0)*CC$100*Materials!$J125)*$BI$156</f>
        <v>4.7364881228303712</v>
      </c>
      <c r="CD169" s="242">
        <f>CC$104/$BI$157*('GREET IO'!$B158+'GREET IO'!$T9)+CC$105/$BI$157*('GREET IO'!$B33+'GREET IO'!$B9)+CC$106/$BI$157*IF(CC$16=Input!$AD$34,"", IF(CC$16=Input!$AD$35, 'Geographic Par.'!$E81, IF(CC$16=Input!$AD$36, 'Geographic Par.'!$F81, IF(CC$16=Input!$AD$37, 'Geographic Par.'!$H81, IF(CC$16=Input!$AD$38,'Geographic Par.'!$G81,'Geographic Par.'!$J81)))))</f>
        <v>27.733705742504632</v>
      </c>
      <c r="CE169" s="178">
        <f t="shared" si="38"/>
        <v>0</v>
      </c>
      <c r="CF169" s="179">
        <f t="shared" si="39"/>
        <v>32.470193865335006</v>
      </c>
      <c r="CJ169" s="110"/>
      <c r="CK169" s="110"/>
      <c r="CL169" s="110"/>
      <c r="CM169" s="110"/>
      <c r="DB169" s="147" t="s">
        <v>185</v>
      </c>
      <c r="DC169" s="173">
        <f>(IFERROR(HLOOKUP(DB$88, 'GREET IO'!$B$77:$BK$98, ROW(DB169)-ROW(DB$155)+1, FALSE), 0)*DC$88+IFERROR(HLOOKUP(DB$89, 'GREET IO'!$B$77:$BK$98, ROW(DB169)-ROW(DB$155)+1, FALSE), 0)*DC$89+IFERROR(HLOOKUP(DB$90, 'GREET IO'!$B$77:$BK$98, ROW(DB169)-ROW(DB$155)+1, FALSE), 0)*DC$90+IFERROR(HLOOKUP(DB$91, 'GREET IO'!$B$77:$BK$98, ROW(DB169)-ROW(DB$155)+1, FALSE), 0)*DC$91+IFERROR(HLOOKUP(DB$92, 'GREET IO'!$B$77:$BK$98, ROW(DB169)-ROW(DB$155)+1, FALSE), 0)*DC$92+IFERROR(HLOOKUP(DB$93, 'GREET IO'!$B$77:$BK$98, ROW(DB169)-ROW(DB$155)+1, FALSE), 0)*DC$93+IFERROR(HLOOKUP(DB$94, 'GREET IO'!$B$77:$BK$98, ROW(DB169)-ROW(DB$155)+1, FALSE), 0)*DC$94+IFERROR(HLOOKUP(DB$95, 'GREET IO'!$B$77:$BK$98, ROW(DB169)-ROW(DB$155)+1, FALSE), 0)*DC$95+IFERROR(HLOOKUP(DB$96, 'GREET IO'!$B$77:$BK$98, ROW(DB169)-ROW(DB$155)+1, FALSE), 0)*DC$96+IFERROR(HLOOKUP(DB$97, 'GREET IO'!$B$77:$BK$98, ROW(DB169)-ROW(DB$155)+1, FALSE), 0)*DC$97+IF(ISTEXT(DB$99), 1, 0)*DC$99*Materials!$K125+IF(ISTEXT(DB$100), 1, 0)*DC$100*Materials!$L125)*$BI$156</f>
        <v>1.6410459412054894</v>
      </c>
      <c r="DD169" s="242">
        <f>DC$104/$BI$157*('GREET IO'!$B158+'GREET IO'!$T9)+DC$105/$BI$157*('GREET IO'!$B33+'GREET IO'!$B9)+DC$106/$BI$157*IF(DC$16=Input!$AD$34,"", IF(DC$16=Input!$AD$35, 'Geographic Par.'!$E81, IF(DC$16=Input!$AD$36, 'Geographic Par.'!$F81, IF(DC$16=Input!$AD$37, 'Geographic Par.'!$H81, IF(DC$16=Input!$AD$38,'Geographic Par.'!$G81,'Geographic Par.'!$J81)))))</f>
        <v>5.5451624966253776</v>
      </c>
      <c r="DE169" s="178">
        <f t="shared" si="40"/>
        <v>0</v>
      </c>
      <c r="DF169" s="179">
        <f t="shared" si="41"/>
        <v>7.1862084378308673</v>
      </c>
      <c r="DJ169" s="110"/>
      <c r="DK169" s="110"/>
      <c r="DL169" s="110"/>
      <c r="DM169" s="110"/>
      <c r="EB169" s="147" t="s">
        <v>183</v>
      </c>
      <c r="EC169" s="173">
        <f>(IFERROR(HLOOKUP(EB$89, 'GREET IO'!$B$77:$BK$98, ROW(EB169)-ROW(EB$157)+1, FALSE), 0)*EC$89+IFERROR(HLOOKUP(EB$90, 'GREET IO'!$B$77:$BK$98, ROW(EB169)-ROW(EB$157)+1, FALSE), 0)*EC$90+IFERROR(HLOOKUP(EB$91, 'GREET IO'!$B$77:$BK$98, ROW(EB169)-ROW(EB$157)+1, FALSE), 0)*EC$91+IFERROR(HLOOKUP(EB$92, 'GREET IO'!$B$77:$BK$98, ROW(EB169)-ROW(EB$157)+1, FALSE), 0)*EC$92+IFERROR(HLOOKUP(EB$93, 'GREET IO'!$B$77:$BK$98, ROW(EB169)-ROW(EB$157)+1, FALSE), 0)*EC$93+IFERROR(HLOOKUP(EB$94, 'GREET IO'!$B$77:$BK$98, ROW(EB169)-ROW(EB$157)+1, FALSE), 0)*EC$94+IFERROR(HLOOKUP(EB$95, 'GREET IO'!$B$77:$BK$98, ROW(EB169)-ROW(EB$157)+1, FALSE), 0)*EC$95+IFERROR(HLOOKUP(EB$96, 'GREET IO'!$B$77:$BK$98, ROW(EB169)-ROW(EB$157)+1, FALSE), 0)*EC$96+IFERROR(HLOOKUP(EB$97, 'GREET IO'!$B$77:$BK$98, ROW(EB169)-ROW(EB$157)+1, FALSE), 0)*EC$97+IFERROR(HLOOKUP(EB$98, 'GREET IO'!$B$77:$BK$98, ROW(EB169)-ROW(EB$157)+1, FALSE), 0)*EC$98+IF(ISTEXT(EB$100), 1, 0)*EC$100*Materials!$M123+IF(ISTEXT(EB$101), 1, 0)*EC$101*Materials!$N123)*$BI$156</f>
        <v>0.28974744913641481</v>
      </c>
      <c r="ED169" s="320">
        <f>EC$106/$BI$157*('GREET IO'!$B156+'GREET IO'!$T7)+EC$107/$BI$157*('GREET IO'!$B31+'GREET IO'!$B7)+EC$108/$BI$157*IF(EC$16=Input!$AD$34,"", IF(EC$16=Input!$AD$35, 'Geographic Par.'!$E79, IF(EC$16=Input!$AD$36, 'Geographic Par.'!$F79, IF(EC$16=Input!$AD$37, 'Geographic Par.'!$H79, IF(EC$16=Input!$AD$38,'Geographic Par.'!$G79,'Geographic Par.'!$J79)))))</f>
        <v>0.84176511636504769</v>
      </c>
      <c r="EE169" s="178">
        <f t="shared" si="42"/>
        <v>0</v>
      </c>
      <c r="EF169" s="243">
        <f t="shared" si="43"/>
        <v>1.1315125655014624</v>
      </c>
    </row>
    <row r="170" spans="2:136">
      <c r="B170"/>
      <c r="C170"/>
      <c r="D170"/>
      <c r="E170"/>
      <c r="F170"/>
      <c r="G170"/>
      <c r="H170"/>
      <c r="I170"/>
      <c r="J170"/>
      <c r="K170"/>
      <c r="BB170" s="147" t="s">
        <v>186</v>
      </c>
      <c r="BC170" s="173">
        <f>(IFERROR(HLOOKUP(BB$88, 'GREET IO'!$B$77:$BK$98, ROW(BB170)-ROW(BB$155)+1, FALSE), 0)*BC$88+IFERROR(HLOOKUP(BB$89, 'GREET IO'!$B$77:$BK$98, ROW(BB170)-ROW(BB$155)+1, FALSE), 0)*BC$89+IFERROR(HLOOKUP(BB$90, 'GREET IO'!$B$77:$BK$98, ROW(BB170)-ROW(BB$155)+1, FALSE), 0)*BC$90+IFERROR(HLOOKUP(BB$91, 'GREET IO'!$B$77:$BK$98, ROW(BB170)-ROW(BB$155)+1, FALSE), 0)*BC$91+IFERROR(HLOOKUP(BB$92, 'GREET IO'!$B$77:$BK$98, ROW(BB170)-ROW(BB$155)+1, FALSE), 0)*BC$92+IFERROR(HLOOKUP(BB$93, 'GREET IO'!$B$77:$BK$98, ROW(BB170)-ROW(BB$155)+1, FALSE), 0)*BC$93+IFERROR(HLOOKUP(BB$94, 'GREET IO'!$B$77:$BK$98, ROW(BB170)-ROW(BB$155)+1, FALSE), 0)*BC$94+IFERROR(HLOOKUP(BB$95, 'GREET IO'!$B$77:$BK$98, ROW(BB170)-ROW(BB$155)+1, FALSE), 0)*BC$95+IFERROR(HLOOKUP(BB$96, 'GREET IO'!$B$77:$BK$98, ROW(BB170)-ROW(BB$155)+1, FALSE), 0)*BC$96+IFERROR(HLOOKUP(BB$97, 'GREET IO'!$B$77:$BK$98, ROW(BB170)-ROW(BB$155)+1, FALSE), 0)*BC$97+IF(ISTEXT(BB$99), 1, 0)*BC$99*Materials!$G126+IF(ISTEXT(BB$100), 1, 0)*BC$100*Materials!$H126)*$BI$156</f>
        <v>3.7272158463406454E-3</v>
      </c>
      <c r="BD170" s="242">
        <f>BC$104/$BI$157*('GREET IO'!$B159+'GREET IO'!$T10)+BC$105/$BI$157*('GREET IO'!$B34+'GREET IO'!$B10)+BC$106/$BI$157*IF(BC$16=Input!$AD$34,"", IF(BC$16=Input!$AD$35, 'Geographic Par.'!$E82, IF(BC$16=Input!$AD$36, 'Geographic Par.'!$F82, IF(BC$16=Input!$AD$37, 'Geographic Par.'!$H82, IF(BC$16=Input!$AD$38,'Geographic Par.'!$G82,'Geographic Par.'!$J82)))))</f>
        <v>0.12083782631447491</v>
      </c>
      <c r="BE170" s="178">
        <f t="shared" si="36"/>
        <v>0</v>
      </c>
      <c r="BF170" s="179">
        <f t="shared" si="37"/>
        <v>0.12456504216081556</v>
      </c>
      <c r="CB170" s="147" t="s">
        <v>186</v>
      </c>
      <c r="CC170" s="173">
        <f>(IFERROR(HLOOKUP(CB$88, 'GREET IO'!$B$77:$BK$98, ROW(CB170)-ROW(CB$155)+1, FALSE), 0)*CC$88+IFERROR(HLOOKUP(CB$89, 'GREET IO'!$B$77:$BK$98, ROW(CB170)-ROW(CB$155)+1, FALSE), 0)*CC$89+IFERROR(HLOOKUP(CB$90, 'GREET IO'!$B$77:$BK$98, ROW(CB170)-ROW(CB$155)+1, FALSE), 0)*CC$90+IFERROR(HLOOKUP(CB$91, 'GREET IO'!$B$77:$BK$98, ROW(CB170)-ROW(CB$155)+1, FALSE), 0)*CC$91+IFERROR(HLOOKUP(CB$92, 'GREET IO'!$B$77:$BK$98, ROW(CB170)-ROW(CB$155)+1, FALSE), 0)*CC$92+IFERROR(HLOOKUP(CB$93, 'GREET IO'!$B$77:$BK$98, ROW(CB170)-ROW(CB$155)+1, FALSE), 0)*CC$93+IFERROR(HLOOKUP(CB$94, 'GREET IO'!$B$77:$BK$98, ROW(CB170)-ROW(CB$155)+1, FALSE), 0)*CC$94+IFERROR(HLOOKUP(CB$95, 'GREET IO'!$B$77:$BK$98, ROW(CB170)-ROW(CB$155)+1, FALSE), 0)*CC$95+IFERROR(HLOOKUP(CB$96, 'GREET IO'!$B$77:$BK$98, ROW(CB170)-ROW(CB$155)+1, FALSE), 0)*CC$96+IFERROR(HLOOKUP(CB$97, 'GREET IO'!$B$77:$BK$98, ROW(CB170)-ROW(CB$155)+1, FALSE), 0)*CC$97+IF(ISTEXT(CB$99), 1, 0)*CC$99*Materials!$I126+IF(ISTEXT(CB$100), 1, 0)*CC$100*Materials!$J126)*$BI$156</f>
        <v>2.1216768331797909E-2</v>
      </c>
      <c r="CD170" s="242">
        <f>CC$104/$BI$157*('GREET IO'!$B159+'GREET IO'!$T10)+CC$105/$BI$157*('GREET IO'!$B34+'GREET IO'!$B10)+CC$106/$BI$157*IF(CC$16=Input!$AD$34,"", IF(CC$16=Input!$AD$35, 'Geographic Par.'!$E82, IF(CC$16=Input!$AD$36, 'Geographic Par.'!$F82, IF(CC$16=Input!$AD$37, 'Geographic Par.'!$H82, IF(CC$16=Input!$AD$38,'Geographic Par.'!$G82,'Geographic Par.'!$J82)))))</f>
        <v>0.1037641690652607</v>
      </c>
      <c r="CE170" s="178">
        <f t="shared" si="38"/>
        <v>0</v>
      </c>
      <c r="CF170" s="179">
        <f t="shared" si="39"/>
        <v>0.12498093739705861</v>
      </c>
      <c r="CJ170" s="110"/>
      <c r="CK170" s="110"/>
      <c r="CL170" s="110"/>
      <c r="CM170" s="110"/>
      <c r="DB170" s="147" t="s">
        <v>186</v>
      </c>
      <c r="DC170" s="173">
        <f>(IFERROR(HLOOKUP(DB$88, 'GREET IO'!$B$77:$BK$98, ROW(DB170)-ROW(DB$155)+1, FALSE), 0)*DC$88+IFERROR(HLOOKUP(DB$89, 'GREET IO'!$B$77:$BK$98, ROW(DB170)-ROW(DB$155)+1, FALSE), 0)*DC$89+IFERROR(HLOOKUP(DB$90, 'GREET IO'!$B$77:$BK$98, ROW(DB170)-ROW(DB$155)+1, FALSE), 0)*DC$90+IFERROR(HLOOKUP(DB$91, 'GREET IO'!$B$77:$BK$98, ROW(DB170)-ROW(DB$155)+1, FALSE), 0)*DC$91+IFERROR(HLOOKUP(DB$92, 'GREET IO'!$B$77:$BK$98, ROW(DB170)-ROW(DB$155)+1, FALSE), 0)*DC$92+IFERROR(HLOOKUP(DB$93, 'GREET IO'!$B$77:$BK$98, ROW(DB170)-ROW(DB$155)+1, FALSE), 0)*DC$93+IFERROR(HLOOKUP(DB$94, 'GREET IO'!$B$77:$BK$98, ROW(DB170)-ROW(DB$155)+1, FALSE), 0)*DC$94+IFERROR(HLOOKUP(DB$95, 'GREET IO'!$B$77:$BK$98, ROW(DB170)-ROW(DB$155)+1, FALSE), 0)*DC$95+IFERROR(HLOOKUP(DB$96, 'GREET IO'!$B$77:$BK$98, ROW(DB170)-ROW(DB$155)+1, FALSE), 0)*DC$96+IFERROR(HLOOKUP(DB$97, 'GREET IO'!$B$77:$BK$98, ROW(DB170)-ROW(DB$155)+1, FALSE), 0)*DC$97+IF(ISTEXT(DB$99), 1, 0)*DC$99*Materials!$K126+IF(ISTEXT(DB$100), 1, 0)*DC$100*Materials!$L126)*$BI$156</f>
        <v>2.4981110958769395E-2</v>
      </c>
      <c r="DD170" s="242">
        <f>DC$104/$BI$157*('GREET IO'!$B159+'GREET IO'!$T10)+DC$105/$BI$157*('GREET IO'!$B34+'GREET IO'!$B10)+DC$106/$BI$157*IF(DC$16=Input!$AD$34,"", IF(DC$16=Input!$AD$35, 'Geographic Par.'!$E82, IF(DC$16=Input!$AD$36, 'Geographic Par.'!$F82, IF(DC$16=Input!$AD$37, 'Geographic Par.'!$H82, IF(DC$16=Input!$AD$38,'Geographic Par.'!$G82,'Geographic Par.'!$J82)))))</f>
        <v>3.0263870047526037E-2</v>
      </c>
      <c r="DE170" s="178">
        <f t="shared" si="40"/>
        <v>0</v>
      </c>
      <c r="DF170" s="179">
        <f t="shared" si="41"/>
        <v>5.5244981006295435E-2</v>
      </c>
      <c r="DJ170" s="110"/>
      <c r="DK170" s="110"/>
      <c r="DL170" s="110"/>
      <c r="DM170" s="110"/>
      <c r="EB170" s="147" t="s">
        <v>184</v>
      </c>
      <c r="EC170" s="173">
        <f>(IFERROR(HLOOKUP(EB$89, 'GREET IO'!$B$77:$BK$98, ROW(EB170)-ROW(EB$157)+1, FALSE), 0)*EC$89+IFERROR(HLOOKUP(EB$90, 'GREET IO'!$B$77:$BK$98, ROW(EB170)-ROW(EB$157)+1, FALSE), 0)*EC$90+IFERROR(HLOOKUP(EB$91, 'GREET IO'!$B$77:$BK$98, ROW(EB170)-ROW(EB$157)+1, FALSE), 0)*EC$91+IFERROR(HLOOKUP(EB$92, 'GREET IO'!$B$77:$BK$98, ROW(EB170)-ROW(EB$157)+1, FALSE), 0)*EC$92+IFERROR(HLOOKUP(EB$93, 'GREET IO'!$B$77:$BK$98, ROW(EB170)-ROW(EB$157)+1, FALSE), 0)*EC$93+IFERROR(HLOOKUP(EB$94, 'GREET IO'!$B$77:$BK$98, ROW(EB170)-ROW(EB$157)+1, FALSE), 0)*EC$94+IFERROR(HLOOKUP(EB$95, 'GREET IO'!$B$77:$BK$98, ROW(EB170)-ROW(EB$157)+1, FALSE), 0)*EC$95+IFERROR(HLOOKUP(EB$96, 'GREET IO'!$B$77:$BK$98, ROW(EB170)-ROW(EB$157)+1, FALSE), 0)*EC$96+IFERROR(HLOOKUP(EB$97, 'GREET IO'!$B$77:$BK$98, ROW(EB170)-ROW(EB$157)+1, FALSE), 0)*EC$97+IFERROR(HLOOKUP(EB$98, 'GREET IO'!$B$77:$BK$98, ROW(EB170)-ROW(EB$157)+1, FALSE), 0)*EC$98+IF(ISTEXT(EB$100), 1, 0)*EC$100*Materials!$M124+IF(ISTEXT(EB$101), 1, 0)*EC$101*Materials!$N124)*$BI$156</f>
        <v>0.20667731127398481</v>
      </c>
      <c r="ED170" s="320">
        <f>EC$106/$BI$157*('GREET IO'!$B157+'GREET IO'!$T8)+EC$107/$BI$157*('GREET IO'!$B32+'GREET IO'!$B8)+EC$108/$BI$157*IF(EC$16=Input!$AD$34,"", IF(EC$16=Input!$AD$35, 'Geographic Par.'!$E80, IF(EC$16=Input!$AD$36, 'Geographic Par.'!$F80, IF(EC$16=Input!$AD$37, 'Geographic Par.'!$H80, IF(EC$16=Input!$AD$38,'Geographic Par.'!$G80,'Geographic Par.'!$J80)))))</f>
        <v>0.39319145535558669</v>
      </c>
      <c r="EE170" s="178">
        <f t="shared" si="42"/>
        <v>0</v>
      </c>
      <c r="EF170" s="243">
        <f t="shared" si="43"/>
        <v>0.59986876662957145</v>
      </c>
    </row>
    <row r="171" spans="2:136">
      <c r="B171"/>
      <c r="C171"/>
      <c r="D171"/>
      <c r="E171"/>
      <c r="F171"/>
      <c r="G171"/>
      <c r="H171"/>
      <c r="I171"/>
      <c r="J171"/>
      <c r="K171"/>
      <c r="BB171" s="147" t="s">
        <v>187</v>
      </c>
      <c r="BC171" s="173">
        <f>(IFERROR(HLOOKUP(BB$88, 'GREET IO'!$B$77:$BK$98, ROW(BB171)-ROW(BB$155)+1, FALSE), 0)*BC$88+IFERROR(HLOOKUP(BB$89, 'GREET IO'!$B$77:$BK$98, ROW(BB171)-ROW(BB$155)+1, FALSE), 0)*BC$89+IFERROR(HLOOKUP(BB$90, 'GREET IO'!$B$77:$BK$98, ROW(BB171)-ROW(BB$155)+1, FALSE), 0)*BC$90+IFERROR(HLOOKUP(BB$91, 'GREET IO'!$B$77:$BK$98, ROW(BB171)-ROW(BB$155)+1, FALSE), 0)*BC$91+IFERROR(HLOOKUP(BB$92, 'GREET IO'!$B$77:$BK$98, ROW(BB171)-ROW(BB$155)+1, FALSE), 0)*BC$92+IFERROR(HLOOKUP(BB$93, 'GREET IO'!$B$77:$BK$98, ROW(BB171)-ROW(BB$155)+1, FALSE), 0)*BC$93+IFERROR(HLOOKUP(BB$94, 'GREET IO'!$B$77:$BK$98, ROW(BB171)-ROW(BB$155)+1, FALSE), 0)*BC$94+IFERROR(HLOOKUP(BB$95, 'GREET IO'!$B$77:$BK$98, ROW(BB171)-ROW(BB$155)+1, FALSE), 0)*BC$95+IFERROR(HLOOKUP(BB$96, 'GREET IO'!$B$77:$BK$98, ROW(BB171)-ROW(BB$155)+1, FALSE), 0)*BC$96+IFERROR(HLOOKUP(BB$97, 'GREET IO'!$B$77:$BK$98, ROW(BB171)-ROW(BB$155)+1, FALSE), 0)*BC$97+IF(ISTEXT(BB$99), 1, 0)*BC$99*Materials!$G127+IF(ISTEXT(BB$100), 1, 0)*BC$100*Materials!$H127)*$BI$156</f>
        <v>1.1276766427538998E-2</v>
      </c>
      <c r="BD171" s="242">
        <f>BC$104/$BI$157*('GREET IO'!$B160+'GREET IO'!$T11)+BC$105/$BI$157*('GREET IO'!$B35+'GREET IO'!$B11)+BC$106/$BI$157*IF(BC$16=Input!$AD$34,"", IF(BC$16=Input!$AD$35, 'Geographic Par.'!$E83, IF(BC$16=Input!$AD$36, 'Geographic Par.'!$F83, IF(BC$16=Input!$AD$37, 'Geographic Par.'!$H83, IF(BC$16=Input!$AD$38,'Geographic Par.'!$G83,'Geographic Par.'!$J83)))))</f>
        <v>0.23173138803468379</v>
      </c>
      <c r="BE171" s="178">
        <f t="shared" si="36"/>
        <v>0</v>
      </c>
      <c r="BF171" s="179">
        <f t="shared" si="37"/>
        <v>0.24300815446222279</v>
      </c>
      <c r="CB171" s="147" t="s">
        <v>187</v>
      </c>
      <c r="CC171" s="173">
        <f>(IFERROR(HLOOKUP(CB$88, 'GREET IO'!$B$77:$BK$98, ROW(CB171)-ROW(CB$155)+1, FALSE), 0)*CC$88+IFERROR(HLOOKUP(CB$89, 'GREET IO'!$B$77:$BK$98, ROW(CB171)-ROW(CB$155)+1, FALSE), 0)*CC$89+IFERROR(HLOOKUP(CB$90, 'GREET IO'!$B$77:$BK$98, ROW(CB171)-ROW(CB$155)+1, FALSE), 0)*CC$90+IFERROR(HLOOKUP(CB$91, 'GREET IO'!$B$77:$BK$98, ROW(CB171)-ROW(CB$155)+1, FALSE), 0)*CC$91+IFERROR(HLOOKUP(CB$92, 'GREET IO'!$B$77:$BK$98, ROW(CB171)-ROW(CB$155)+1, FALSE), 0)*CC$92+IFERROR(HLOOKUP(CB$93, 'GREET IO'!$B$77:$BK$98, ROW(CB171)-ROW(CB$155)+1, FALSE), 0)*CC$93+IFERROR(HLOOKUP(CB$94, 'GREET IO'!$B$77:$BK$98, ROW(CB171)-ROW(CB$155)+1, FALSE), 0)*CC$94+IFERROR(HLOOKUP(CB$95, 'GREET IO'!$B$77:$BK$98, ROW(CB171)-ROW(CB$155)+1, FALSE), 0)*CC$95+IFERROR(HLOOKUP(CB$96, 'GREET IO'!$B$77:$BK$98, ROW(CB171)-ROW(CB$155)+1, FALSE), 0)*CC$96+IFERROR(HLOOKUP(CB$97, 'GREET IO'!$B$77:$BK$98, ROW(CB171)-ROW(CB$155)+1, FALSE), 0)*CC$97+IF(ISTEXT(CB$99), 1, 0)*CC$99*Materials!$I127+IF(ISTEXT(CB$100), 1, 0)*CC$100*Materials!$J127)*$BI$156</f>
        <v>6.111487621804567E-2</v>
      </c>
      <c r="CD171" s="242">
        <f>CC$104/$BI$157*('GREET IO'!$B160+'GREET IO'!$T11)+CC$105/$BI$157*('GREET IO'!$B35+'GREET IO'!$B11)+CC$106/$BI$157*IF(CC$16=Input!$AD$34,"", IF(CC$16=Input!$AD$35, 'Geographic Par.'!$E83, IF(CC$16=Input!$AD$36, 'Geographic Par.'!$F83, IF(CC$16=Input!$AD$37, 'Geographic Par.'!$H83, IF(CC$16=Input!$AD$38,'Geographic Par.'!$G83,'Geographic Par.'!$J83)))))</f>
        <v>0.19630628956859211</v>
      </c>
      <c r="CE171" s="178">
        <f t="shared" si="38"/>
        <v>0</v>
      </c>
      <c r="CF171" s="179">
        <f t="shared" si="39"/>
        <v>0.25742116578663776</v>
      </c>
      <c r="CJ171" s="110"/>
      <c r="CK171" s="110"/>
      <c r="CL171" s="110"/>
      <c r="CM171" s="110"/>
      <c r="DB171" s="147" t="s">
        <v>187</v>
      </c>
      <c r="DC171" s="173">
        <f>(IFERROR(HLOOKUP(DB$88, 'GREET IO'!$B$77:$BK$98, ROW(DB171)-ROW(DB$155)+1, FALSE), 0)*DC$88+IFERROR(HLOOKUP(DB$89, 'GREET IO'!$B$77:$BK$98, ROW(DB171)-ROW(DB$155)+1, FALSE), 0)*DC$89+IFERROR(HLOOKUP(DB$90, 'GREET IO'!$B$77:$BK$98, ROW(DB171)-ROW(DB$155)+1, FALSE), 0)*DC$90+IFERROR(HLOOKUP(DB$91, 'GREET IO'!$B$77:$BK$98, ROW(DB171)-ROW(DB$155)+1, FALSE), 0)*DC$91+IFERROR(HLOOKUP(DB$92, 'GREET IO'!$B$77:$BK$98, ROW(DB171)-ROW(DB$155)+1, FALSE), 0)*DC$92+IFERROR(HLOOKUP(DB$93, 'GREET IO'!$B$77:$BK$98, ROW(DB171)-ROW(DB$155)+1, FALSE), 0)*DC$93+IFERROR(HLOOKUP(DB$94, 'GREET IO'!$B$77:$BK$98, ROW(DB171)-ROW(DB$155)+1, FALSE), 0)*DC$94+IFERROR(HLOOKUP(DB$95, 'GREET IO'!$B$77:$BK$98, ROW(DB171)-ROW(DB$155)+1, FALSE), 0)*DC$95+IFERROR(HLOOKUP(DB$96, 'GREET IO'!$B$77:$BK$98, ROW(DB171)-ROW(DB$155)+1, FALSE), 0)*DC$96+IFERROR(HLOOKUP(DB$97, 'GREET IO'!$B$77:$BK$98, ROW(DB171)-ROW(DB$155)+1, FALSE), 0)*DC$97+IF(ISTEXT(DB$99), 1, 0)*DC$99*Materials!$K127+IF(ISTEXT(DB$100), 1, 0)*DC$100*Materials!$L127)*$BI$156</f>
        <v>5.0241597438630624E-2</v>
      </c>
      <c r="DD171" s="242">
        <f>DC$104/$BI$157*('GREET IO'!$B160+'GREET IO'!$T11)+DC$105/$BI$157*('GREET IO'!$B35+'GREET IO'!$B11)+DC$106/$BI$157*IF(DC$16=Input!$AD$34,"", IF(DC$16=Input!$AD$35, 'Geographic Par.'!$E83, IF(DC$16=Input!$AD$36, 'Geographic Par.'!$F83, IF(DC$16=Input!$AD$37, 'Geographic Par.'!$H83, IF(DC$16=Input!$AD$38,'Geographic Par.'!$G83,'Geographic Par.'!$J83)))))</f>
        <v>4.1442895867601519E-2</v>
      </c>
      <c r="DE171" s="178">
        <f t="shared" si="40"/>
        <v>0</v>
      </c>
      <c r="DF171" s="179">
        <f t="shared" si="41"/>
        <v>9.1684493306232143E-2</v>
      </c>
      <c r="DJ171" s="110"/>
      <c r="DK171" s="110"/>
      <c r="DL171" s="110"/>
      <c r="DM171" s="110"/>
      <c r="EB171" s="147" t="s">
        <v>185</v>
      </c>
      <c r="EC171" s="173">
        <f>(IFERROR(HLOOKUP(EB$89, 'GREET IO'!$B$77:$BK$98, ROW(EB171)-ROW(EB$157)+1, FALSE), 0)*EC$89+IFERROR(HLOOKUP(EB$90, 'GREET IO'!$B$77:$BK$98, ROW(EB171)-ROW(EB$157)+1, FALSE), 0)*EC$90+IFERROR(HLOOKUP(EB$91, 'GREET IO'!$B$77:$BK$98, ROW(EB171)-ROW(EB$157)+1, FALSE), 0)*EC$91+IFERROR(HLOOKUP(EB$92, 'GREET IO'!$B$77:$BK$98, ROW(EB171)-ROW(EB$157)+1, FALSE), 0)*EC$92+IFERROR(HLOOKUP(EB$93, 'GREET IO'!$B$77:$BK$98, ROW(EB171)-ROW(EB$157)+1, FALSE), 0)*EC$93+IFERROR(HLOOKUP(EB$94, 'GREET IO'!$B$77:$BK$98, ROW(EB171)-ROW(EB$157)+1, FALSE), 0)*EC$94+IFERROR(HLOOKUP(EB$95, 'GREET IO'!$B$77:$BK$98, ROW(EB171)-ROW(EB$157)+1, FALSE), 0)*EC$95+IFERROR(HLOOKUP(EB$96, 'GREET IO'!$B$77:$BK$98, ROW(EB171)-ROW(EB$157)+1, FALSE), 0)*EC$96+IFERROR(HLOOKUP(EB$97, 'GREET IO'!$B$77:$BK$98, ROW(EB171)-ROW(EB$157)+1, FALSE), 0)*EC$97+IFERROR(HLOOKUP(EB$98, 'GREET IO'!$B$77:$BK$98, ROW(EB171)-ROW(EB$157)+1, FALSE), 0)*EC$98+IF(ISTEXT(EB$100), 1, 0)*EC$100*Materials!$M125+IF(ISTEXT(EB$101), 1, 0)*EC$101*Materials!$N125)*$BI$156</f>
        <v>4.9191302820340512</v>
      </c>
      <c r="ED171" s="320">
        <f>EC$106/$BI$157*('GREET IO'!$B158+'GREET IO'!$T9)+EC$107/$BI$157*('GREET IO'!$B33+'GREET IO'!$B9)+EC$108/$BI$157*IF(EC$16=Input!$AD$34,"", IF(EC$16=Input!$AD$35, 'Geographic Par.'!$E81, IF(EC$16=Input!$AD$36, 'Geographic Par.'!$F81, IF(EC$16=Input!$AD$37, 'Geographic Par.'!$H81, IF(EC$16=Input!$AD$38,'Geographic Par.'!$G81,'Geographic Par.'!$J81)))))</f>
        <v>5.1833279517050963</v>
      </c>
      <c r="EE171" s="178">
        <f t="shared" si="42"/>
        <v>0</v>
      </c>
      <c r="EF171" s="243">
        <f t="shared" si="43"/>
        <v>10.102458233739148</v>
      </c>
    </row>
    <row r="172" spans="2:136">
      <c r="B172"/>
      <c r="C172"/>
      <c r="D172"/>
      <c r="E172"/>
      <c r="F172"/>
      <c r="G172"/>
      <c r="H172"/>
      <c r="I172"/>
      <c r="J172"/>
      <c r="K172"/>
      <c r="BB172" s="147" t="s">
        <v>188</v>
      </c>
      <c r="BC172" s="173">
        <f>(IFERROR(HLOOKUP(BB$88, 'GREET IO'!$B$77:$BK$98, ROW(BB172)-ROW(BB$155)+1, FALSE), 0)*BC$88+IFERROR(HLOOKUP(BB$89, 'GREET IO'!$B$77:$BK$98, ROW(BB172)-ROW(BB$155)+1, FALSE), 0)*BC$89+IFERROR(HLOOKUP(BB$90, 'GREET IO'!$B$77:$BK$98, ROW(BB172)-ROW(BB$155)+1, FALSE), 0)*BC$90+IFERROR(HLOOKUP(BB$91, 'GREET IO'!$B$77:$BK$98, ROW(BB172)-ROW(BB$155)+1, FALSE), 0)*BC$91+IFERROR(HLOOKUP(BB$92, 'GREET IO'!$B$77:$BK$98, ROW(BB172)-ROW(BB$155)+1, FALSE), 0)*BC$92+IFERROR(HLOOKUP(BB$93, 'GREET IO'!$B$77:$BK$98, ROW(BB172)-ROW(BB$155)+1, FALSE), 0)*BC$93+IFERROR(HLOOKUP(BB$94, 'GREET IO'!$B$77:$BK$98, ROW(BB172)-ROW(BB$155)+1, FALSE), 0)*BC$94+IFERROR(HLOOKUP(BB$95, 'GREET IO'!$B$77:$BK$98, ROW(BB172)-ROW(BB$155)+1, FALSE), 0)*BC$95+IFERROR(HLOOKUP(BB$96, 'GREET IO'!$B$77:$BK$98, ROW(BB172)-ROW(BB$155)+1, FALSE), 0)*BC$96+IFERROR(HLOOKUP(BB$97, 'GREET IO'!$B$77:$BK$98, ROW(BB172)-ROW(BB$155)+1, FALSE), 0)*BC$97+IF(ISTEXT(BB$99), 1, 0)*BC$99*Materials!$G128+IF(ISTEXT(BB$100), 1, 0)*BC$100*Materials!$H128)*$BI$156</f>
        <v>1.2756631637704434</v>
      </c>
      <c r="BD172" s="242">
        <f>BC$104/$BI$157*('GREET IO'!$B161+'GREET IO'!$T12)+BC$105/$BI$157*('GREET IO'!$B36+'GREET IO'!$B12)+BC$106/$BI$157*IF(BC$16=Input!$AD$34,"", IF(BC$16=Input!$AD$35, 'Geographic Par.'!$E84, IF(BC$16=Input!$AD$36, 'Geographic Par.'!$F84, IF(BC$16=Input!$AD$37, 'Geographic Par.'!$H84, IF(BC$16=Input!$AD$38,'Geographic Par.'!$G84,'Geographic Par.'!$J84)))))</f>
        <v>54.685924854630187</v>
      </c>
      <c r="BE172" s="178">
        <f t="shared" si="36"/>
        <v>0</v>
      </c>
      <c r="BF172" s="179">
        <f t="shared" si="37"/>
        <v>55.961588018400633</v>
      </c>
      <c r="CB172" s="147" t="s">
        <v>188</v>
      </c>
      <c r="CC172" s="173">
        <f>(IFERROR(HLOOKUP(CB$88, 'GREET IO'!$B$77:$BK$98, ROW(CB172)-ROW(CB$155)+1, FALSE), 0)*CC$88+IFERROR(HLOOKUP(CB$89, 'GREET IO'!$B$77:$BK$98, ROW(CB172)-ROW(CB$155)+1, FALSE), 0)*CC$89+IFERROR(HLOOKUP(CB$90, 'GREET IO'!$B$77:$BK$98, ROW(CB172)-ROW(CB$155)+1, FALSE), 0)*CC$90+IFERROR(HLOOKUP(CB$91, 'GREET IO'!$B$77:$BK$98, ROW(CB172)-ROW(CB$155)+1, FALSE), 0)*CC$91+IFERROR(HLOOKUP(CB$92, 'GREET IO'!$B$77:$BK$98, ROW(CB172)-ROW(CB$155)+1, FALSE), 0)*CC$92+IFERROR(HLOOKUP(CB$93, 'GREET IO'!$B$77:$BK$98, ROW(CB172)-ROW(CB$155)+1, FALSE), 0)*CC$93+IFERROR(HLOOKUP(CB$94, 'GREET IO'!$B$77:$BK$98, ROW(CB172)-ROW(CB$155)+1, FALSE), 0)*CC$94+IFERROR(HLOOKUP(CB$95, 'GREET IO'!$B$77:$BK$98, ROW(CB172)-ROW(CB$155)+1, FALSE), 0)*CC$95+IFERROR(HLOOKUP(CB$96, 'GREET IO'!$B$77:$BK$98, ROW(CB172)-ROW(CB$155)+1, FALSE), 0)*CC$96+IFERROR(HLOOKUP(CB$97, 'GREET IO'!$B$77:$BK$98, ROW(CB172)-ROW(CB$155)+1, FALSE), 0)*CC$97+IF(ISTEXT(CB$99), 1, 0)*CC$99*Materials!$I128+IF(ISTEXT(CB$100), 1, 0)*CC$100*Materials!$J128)*$BI$156</f>
        <v>9.129091507641391</v>
      </c>
      <c r="CD172" s="242">
        <f>CC$104/$BI$157*('GREET IO'!$B161+'GREET IO'!$T12)+CC$105/$BI$157*('GREET IO'!$B36+'GREET IO'!$B12)+CC$106/$BI$157*IF(CC$16=Input!$AD$34,"", IF(CC$16=Input!$AD$35, 'Geographic Par.'!$E84, IF(CC$16=Input!$AD$36, 'Geographic Par.'!$F84, IF(CC$16=Input!$AD$37, 'Geographic Par.'!$H84, IF(CC$16=Input!$AD$38,'Geographic Par.'!$G84,'Geographic Par.'!$J84)))))</f>
        <v>45.93526794334516</v>
      </c>
      <c r="CE172" s="178">
        <f t="shared" si="38"/>
        <v>0</v>
      </c>
      <c r="CF172" s="179">
        <f t="shared" si="39"/>
        <v>55.064359450986551</v>
      </c>
      <c r="CJ172" s="110"/>
      <c r="CK172" s="110"/>
      <c r="CL172" s="110"/>
      <c r="CM172" s="110"/>
      <c r="DB172" s="147" t="s">
        <v>188</v>
      </c>
      <c r="DC172" s="173">
        <f>(IFERROR(HLOOKUP(DB$88, 'GREET IO'!$B$77:$BK$98, ROW(DB172)-ROW(DB$155)+1, FALSE), 0)*DC$88+IFERROR(HLOOKUP(DB$89, 'GREET IO'!$B$77:$BK$98, ROW(DB172)-ROW(DB$155)+1, FALSE), 0)*DC$89+IFERROR(HLOOKUP(DB$90, 'GREET IO'!$B$77:$BK$98, ROW(DB172)-ROW(DB$155)+1, FALSE), 0)*DC$90+IFERROR(HLOOKUP(DB$91, 'GREET IO'!$B$77:$BK$98, ROW(DB172)-ROW(DB$155)+1, FALSE), 0)*DC$91+IFERROR(HLOOKUP(DB$92, 'GREET IO'!$B$77:$BK$98, ROW(DB172)-ROW(DB$155)+1, FALSE), 0)*DC$92+IFERROR(HLOOKUP(DB$93, 'GREET IO'!$B$77:$BK$98, ROW(DB172)-ROW(DB$155)+1, FALSE), 0)*DC$93+IFERROR(HLOOKUP(DB$94, 'GREET IO'!$B$77:$BK$98, ROW(DB172)-ROW(DB$155)+1, FALSE), 0)*DC$94+IFERROR(HLOOKUP(DB$95, 'GREET IO'!$B$77:$BK$98, ROW(DB172)-ROW(DB$155)+1, FALSE), 0)*DC$95+IFERROR(HLOOKUP(DB$96, 'GREET IO'!$B$77:$BK$98, ROW(DB172)-ROW(DB$155)+1, FALSE), 0)*DC$96+IFERROR(HLOOKUP(DB$97, 'GREET IO'!$B$77:$BK$98, ROW(DB172)-ROW(DB$155)+1, FALSE), 0)*DC$97+IF(ISTEXT(DB$99), 1, 0)*DC$99*Materials!$K128+IF(ISTEXT(DB$100), 1, 0)*DC$100*Materials!$L128)*$BI$156</f>
        <v>1.9540836204882308</v>
      </c>
      <c r="DD172" s="242">
        <f>DC$104/$BI$157*('GREET IO'!$B161+'GREET IO'!$T12)+DC$105/$BI$157*('GREET IO'!$B36+'GREET IO'!$B12)+DC$106/$BI$157*IF(DC$16=Input!$AD$34,"", IF(DC$16=Input!$AD$35, 'Geographic Par.'!$E84, IF(DC$16=Input!$AD$36, 'Geographic Par.'!$F84, IF(DC$16=Input!$AD$37, 'Geographic Par.'!$H84, IF(DC$16=Input!$AD$38,'Geographic Par.'!$G84,'Geographic Par.'!$J84)))))</f>
        <v>9.1577805935038228</v>
      </c>
      <c r="DE172" s="178">
        <f t="shared" si="40"/>
        <v>0</v>
      </c>
      <c r="DF172" s="179">
        <f t="shared" si="41"/>
        <v>11.111864213992053</v>
      </c>
      <c r="DJ172" s="110"/>
      <c r="DK172" s="110"/>
      <c r="DL172" s="110"/>
      <c r="DM172" s="110"/>
      <c r="EB172" s="147" t="s">
        <v>186</v>
      </c>
      <c r="EC172" s="173">
        <f>(IFERROR(HLOOKUP(EB$89, 'GREET IO'!$B$77:$BK$98, ROW(EB172)-ROW(EB$157)+1, FALSE), 0)*EC$89+IFERROR(HLOOKUP(EB$90, 'GREET IO'!$B$77:$BK$98, ROW(EB172)-ROW(EB$157)+1, FALSE), 0)*EC$90+IFERROR(HLOOKUP(EB$91, 'GREET IO'!$B$77:$BK$98, ROW(EB172)-ROW(EB$157)+1, FALSE), 0)*EC$91+IFERROR(HLOOKUP(EB$92, 'GREET IO'!$B$77:$BK$98, ROW(EB172)-ROW(EB$157)+1, FALSE), 0)*EC$92+IFERROR(HLOOKUP(EB$93, 'GREET IO'!$B$77:$BK$98, ROW(EB172)-ROW(EB$157)+1, FALSE), 0)*EC$93+IFERROR(HLOOKUP(EB$94, 'GREET IO'!$B$77:$BK$98, ROW(EB172)-ROW(EB$157)+1, FALSE), 0)*EC$94+IFERROR(HLOOKUP(EB$95, 'GREET IO'!$B$77:$BK$98, ROW(EB172)-ROW(EB$157)+1, FALSE), 0)*EC$95+IFERROR(HLOOKUP(EB$96, 'GREET IO'!$B$77:$BK$98, ROW(EB172)-ROW(EB$157)+1, FALSE), 0)*EC$96+IFERROR(HLOOKUP(EB$97, 'GREET IO'!$B$77:$BK$98, ROW(EB172)-ROW(EB$157)+1, FALSE), 0)*EC$97+IFERROR(HLOOKUP(EB$98, 'GREET IO'!$B$77:$BK$98, ROW(EB172)-ROW(EB$157)+1, FALSE), 0)*EC$98+IF(ISTEXT(EB$100), 1, 0)*EC$100*Materials!$M126+IF(ISTEXT(EB$101), 1, 0)*EC$101*Materials!$N126)*$BI$156</f>
        <v>2.3989580167529244E-2</v>
      </c>
      <c r="ED172" s="320">
        <f>EC$106/$BI$157*('GREET IO'!$B159+'GREET IO'!$T10)+EC$107/$BI$157*('GREET IO'!$B34+'GREET IO'!$B10)+EC$108/$BI$157*IF(EC$16=Input!$AD$34,"", IF(EC$16=Input!$AD$35, 'Geographic Par.'!$E82, IF(EC$16=Input!$AD$36, 'Geographic Par.'!$F82, IF(EC$16=Input!$AD$37, 'Geographic Par.'!$H82, IF(EC$16=Input!$AD$38,'Geographic Par.'!$G82,'Geographic Par.'!$J82)))))</f>
        <v>2.949511450624593E-2</v>
      </c>
      <c r="EE172" s="178">
        <f t="shared" si="42"/>
        <v>0</v>
      </c>
      <c r="EF172" s="243">
        <f t="shared" si="43"/>
        <v>5.3484694673775174E-2</v>
      </c>
    </row>
    <row r="173" spans="2:136">
      <c r="B173"/>
      <c r="C173"/>
      <c r="D173"/>
      <c r="E173"/>
      <c r="F173"/>
      <c r="G173"/>
      <c r="H173"/>
      <c r="I173"/>
      <c r="J173"/>
      <c r="K173"/>
      <c r="BB173" s="147" t="s">
        <v>189</v>
      </c>
      <c r="BC173" s="173">
        <f>(IFERROR(HLOOKUP(BB$88, 'GREET IO'!$B$77:$BK$98, ROW(BB173)-ROW(BB$155)+1, FALSE), 0)*BC$88+IFERROR(HLOOKUP(BB$89, 'GREET IO'!$B$77:$BK$98, ROW(BB173)-ROW(BB$155)+1, FALSE), 0)*BC$89+IFERROR(HLOOKUP(BB$90, 'GREET IO'!$B$77:$BK$98, ROW(BB173)-ROW(BB$155)+1, FALSE), 0)*BC$90+IFERROR(HLOOKUP(BB$91, 'GREET IO'!$B$77:$BK$98, ROW(BB173)-ROW(BB$155)+1, FALSE), 0)*BC$91+IFERROR(HLOOKUP(BB$92, 'GREET IO'!$B$77:$BK$98, ROW(BB173)-ROW(BB$155)+1, FALSE), 0)*BC$92+IFERROR(HLOOKUP(BB$93, 'GREET IO'!$B$77:$BK$98, ROW(BB173)-ROW(BB$155)+1, FALSE), 0)*BC$93+IFERROR(HLOOKUP(BB$94, 'GREET IO'!$B$77:$BK$98, ROW(BB173)-ROW(BB$155)+1, FALSE), 0)*BC$94+IFERROR(HLOOKUP(BB$95, 'GREET IO'!$B$77:$BK$98, ROW(BB173)-ROW(BB$155)+1, FALSE), 0)*BC$95+IFERROR(HLOOKUP(BB$96, 'GREET IO'!$B$77:$BK$98, ROW(BB173)-ROW(BB$155)+1, FALSE), 0)*BC$96+IFERROR(HLOOKUP(BB$97, 'GREET IO'!$B$77:$BK$98, ROW(BB173)-ROW(BB$155)+1, FALSE), 0)*BC$97+IF(ISTEXT(BB$99), 1, 0)*BC$99*Materials!$G129+IF(ISTEXT(BB$100), 1, 0)*BC$100*Materials!$H129)*$BI$156</f>
        <v>1.1211842279501762E-2</v>
      </c>
      <c r="BD173" s="242">
        <f>BC$104/$BI$157*('GREET IO'!$B162+'GREET IO'!$T13)+BC$105/$BI$157*('GREET IO'!$B37+'GREET IO'!$B13)+BC$106/$BI$157*IF(BC$16=Input!$AD$34,"", IF(BC$16=Input!$AD$35, 'Geographic Par.'!$E85, IF(BC$16=Input!$AD$36, 'Geographic Par.'!$F85, IF(BC$16=Input!$AD$37, 'Geographic Par.'!$H85, IF(BC$16=Input!$AD$38,'Geographic Par.'!$G85,'Geographic Par.'!$J85)))))</f>
        <v>0.81985132989725462</v>
      </c>
      <c r="BE173" s="178">
        <f t="shared" si="36"/>
        <v>0</v>
      </c>
      <c r="BF173" s="179">
        <f t="shared" si="37"/>
        <v>0.8310631721767564</v>
      </c>
      <c r="CB173" s="147" t="s">
        <v>189</v>
      </c>
      <c r="CC173" s="173">
        <f>(IFERROR(HLOOKUP(CB$88, 'GREET IO'!$B$77:$BK$98, ROW(CB173)-ROW(CB$155)+1, FALSE), 0)*CC$88+IFERROR(HLOOKUP(CB$89, 'GREET IO'!$B$77:$BK$98, ROW(CB173)-ROW(CB$155)+1, FALSE), 0)*CC$89+IFERROR(HLOOKUP(CB$90, 'GREET IO'!$B$77:$BK$98, ROW(CB173)-ROW(CB$155)+1, FALSE), 0)*CC$90+IFERROR(HLOOKUP(CB$91, 'GREET IO'!$B$77:$BK$98, ROW(CB173)-ROW(CB$155)+1, FALSE), 0)*CC$91+IFERROR(HLOOKUP(CB$92, 'GREET IO'!$B$77:$BK$98, ROW(CB173)-ROW(CB$155)+1, FALSE), 0)*CC$92+IFERROR(HLOOKUP(CB$93, 'GREET IO'!$B$77:$BK$98, ROW(CB173)-ROW(CB$155)+1, FALSE), 0)*CC$93+IFERROR(HLOOKUP(CB$94, 'GREET IO'!$B$77:$BK$98, ROW(CB173)-ROW(CB$155)+1, FALSE), 0)*CC$94+IFERROR(HLOOKUP(CB$95, 'GREET IO'!$B$77:$BK$98, ROW(CB173)-ROW(CB$155)+1, FALSE), 0)*CC$95+IFERROR(HLOOKUP(CB$96, 'GREET IO'!$B$77:$BK$98, ROW(CB173)-ROW(CB$155)+1, FALSE), 0)*CC$96+IFERROR(HLOOKUP(CB$97, 'GREET IO'!$B$77:$BK$98, ROW(CB173)-ROW(CB$155)+1, FALSE), 0)*CC$97+IF(ISTEXT(CB$99), 1, 0)*CC$99*Materials!$I129+IF(ISTEXT(CB$100), 1, 0)*CC$100*Materials!$J129)*$BI$156</f>
        <v>5.9443709571192875E-2</v>
      </c>
      <c r="CD173" s="242">
        <f>CC$104/$BI$157*('GREET IO'!$B162+'GREET IO'!$T13)+CC$105/$BI$157*('GREET IO'!$B37+'GREET IO'!$B13)+CC$106/$BI$157*IF(CC$16=Input!$AD$34,"", IF(CC$16=Input!$AD$35, 'Geographic Par.'!$E85, IF(CC$16=Input!$AD$36, 'Geographic Par.'!$F85, IF(CC$16=Input!$AD$37, 'Geographic Par.'!$H85, IF(CC$16=Input!$AD$38,'Geographic Par.'!$G85,'Geographic Par.'!$J85)))))</f>
        <v>0.68683497283202621</v>
      </c>
      <c r="CE173" s="178">
        <f t="shared" si="38"/>
        <v>0</v>
      </c>
      <c r="CF173" s="179">
        <f t="shared" si="39"/>
        <v>0.74627868240321904</v>
      </c>
      <c r="CJ173" s="110"/>
      <c r="CK173" s="110"/>
      <c r="CL173" s="110"/>
      <c r="CM173" s="110"/>
      <c r="DB173" s="147" t="s">
        <v>189</v>
      </c>
      <c r="DC173" s="173">
        <f>(IFERROR(HLOOKUP(DB$88, 'GREET IO'!$B$77:$BK$98, ROW(DB173)-ROW(DB$155)+1, FALSE), 0)*DC$88+IFERROR(HLOOKUP(DB$89, 'GREET IO'!$B$77:$BK$98, ROW(DB173)-ROW(DB$155)+1, FALSE), 0)*DC$89+IFERROR(HLOOKUP(DB$90, 'GREET IO'!$B$77:$BK$98, ROW(DB173)-ROW(DB$155)+1, FALSE), 0)*DC$90+IFERROR(HLOOKUP(DB$91, 'GREET IO'!$B$77:$BK$98, ROW(DB173)-ROW(DB$155)+1, FALSE), 0)*DC$91+IFERROR(HLOOKUP(DB$92, 'GREET IO'!$B$77:$BK$98, ROW(DB173)-ROW(DB$155)+1, FALSE), 0)*DC$92+IFERROR(HLOOKUP(DB$93, 'GREET IO'!$B$77:$BK$98, ROW(DB173)-ROW(DB$155)+1, FALSE), 0)*DC$93+IFERROR(HLOOKUP(DB$94, 'GREET IO'!$B$77:$BK$98, ROW(DB173)-ROW(DB$155)+1, FALSE), 0)*DC$94+IFERROR(HLOOKUP(DB$95, 'GREET IO'!$B$77:$BK$98, ROW(DB173)-ROW(DB$155)+1, FALSE), 0)*DC$95+IFERROR(HLOOKUP(DB$96, 'GREET IO'!$B$77:$BK$98, ROW(DB173)-ROW(DB$155)+1, FALSE), 0)*DC$96+IFERROR(HLOOKUP(DB$97, 'GREET IO'!$B$77:$BK$98, ROW(DB173)-ROW(DB$155)+1, FALSE), 0)*DC$97+IF(ISTEXT(DB$99), 1, 0)*DC$99*Materials!$K129+IF(ISTEXT(DB$100), 1, 0)*DC$100*Materials!$L129)*$BI$156</f>
        <v>1.5278206310126481E-2</v>
      </c>
      <c r="DD173" s="242">
        <f>DC$104/$BI$157*('GREET IO'!$B162+'GREET IO'!$T13)+DC$105/$BI$157*('GREET IO'!$B37+'GREET IO'!$B13)+DC$106/$BI$157*IF(DC$16=Input!$AD$34,"", IF(DC$16=Input!$AD$35, 'Geographic Par.'!$E85, IF(DC$16=Input!$AD$36, 'Geographic Par.'!$F85, IF(DC$16=Input!$AD$37, 'Geographic Par.'!$H85, IF(DC$16=Input!$AD$38,'Geographic Par.'!$G85,'Geographic Par.'!$J85)))))</f>
        <v>0.13761214266310282</v>
      </c>
      <c r="DE173" s="178">
        <f t="shared" si="40"/>
        <v>0</v>
      </c>
      <c r="DF173" s="179">
        <f t="shared" si="41"/>
        <v>0.15289034897322928</v>
      </c>
      <c r="DJ173" s="110"/>
      <c r="DK173" s="110"/>
      <c r="DL173" s="110"/>
      <c r="DM173" s="110"/>
      <c r="EB173" s="147" t="s">
        <v>187</v>
      </c>
      <c r="EC173" s="173">
        <f>(IFERROR(HLOOKUP(EB$89, 'GREET IO'!$B$77:$BK$98, ROW(EB173)-ROW(EB$157)+1, FALSE), 0)*EC$89+IFERROR(HLOOKUP(EB$90, 'GREET IO'!$B$77:$BK$98, ROW(EB173)-ROW(EB$157)+1, FALSE), 0)*EC$90+IFERROR(HLOOKUP(EB$91, 'GREET IO'!$B$77:$BK$98, ROW(EB173)-ROW(EB$157)+1, FALSE), 0)*EC$91+IFERROR(HLOOKUP(EB$92, 'GREET IO'!$B$77:$BK$98, ROW(EB173)-ROW(EB$157)+1, FALSE), 0)*EC$92+IFERROR(HLOOKUP(EB$93, 'GREET IO'!$B$77:$BK$98, ROW(EB173)-ROW(EB$157)+1, FALSE), 0)*EC$93+IFERROR(HLOOKUP(EB$94, 'GREET IO'!$B$77:$BK$98, ROW(EB173)-ROW(EB$157)+1, FALSE), 0)*EC$94+IFERROR(HLOOKUP(EB$95, 'GREET IO'!$B$77:$BK$98, ROW(EB173)-ROW(EB$157)+1, FALSE), 0)*EC$95+IFERROR(HLOOKUP(EB$96, 'GREET IO'!$B$77:$BK$98, ROW(EB173)-ROW(EB$157)+1, FALSE), 0)*EC$96+IFERROR(HLOOKUP(EB$97, 'GREET IO'!$B$77:$BK$98, ROW(EB173)-ROW(EB$157)+1, FALSE), 0)*EC$97+IFERROR(HLOOKUP(EB$98, 'GREET IO'!$B$77:$BK$98, ROW(EB173)-ROW(EB$157)+1, FALSE), 0)*EC$98+IF(ISTEXT(EB$100), 1, 0)*EC$100*Materials!$M127+IF(ISTEXT(EB$101), 1, 0)*EC$101*Materials!$N127)*$BI$156</f>
        <v>6.9496325275221246E-2</v>
      </c>
      <c r="ED173" s="320">
        <f>EC$106/$BI$157*('GREET IO'!$B160+'GREET IO'!$T11)+EC$107/$BI$157*('GREET IO'!$B35+'GREET IO'!$B11)+EC$108/$BI$157*IF(EC$16=Input!$AD$34,"", IF(EC$16=Input!$AD$35, 'Geographic Par.'!$E83, IF(EC$16=Input!$AD$36, 'Geographic Par.'!$F83, IF(EC$16=Input!$AD$37, 'Geographic Par.'!$H83, IF(EC$16=Input!$AD$38,'Geographic Par.'!$G83,'Geographic Par.'!$J83)))))</f>
        <v>4.0015506616948596E-2</v>
      </c>
      <c r="EE173" s="178">
        <f t="shared" si="42"/>
        <v>0</v>
      </c>
      <c r="EF173" s="243">
        <f t="shared" si="43"/>
        <v>0.10951183189216984</v>
      </c>
    </row>
    <row r="174" spans="2:136">
      <c r="B174"/>
      <c r="C174"/>
      <c r="D174"/>
      <c r="E174"/>
      <c r="F174"/>
      <c r="G174"/>
      <c r="H174"/>
      <c r="I174"/>
      <c r="J174"/>
      <c r="K174"/>
      <c r="BB174" s="147" t="s">
        <v>190</v>
      </c>
      <c r="BC174" s="321">
        <f>(IFERROR(HLOOKUP(BB$88, 'GREET IO'!$B$77:$BK$98, ROW(BB174)-ROW(BB$155)+1, FALSE), 0)*BC$88+IFERROR(HLOOKUP(BB$89, 'GREET IO'!$B$77:$BK$98, ROW(BB174)-ROW(BB$155)+1, FALSE), 0)*BC$89+IFERROR(HLOOKUP(BB$90, 'GREET IO'!$B$77:$BK$98, ROW(BB174)-ROW(BB$155)+1, FALSE), 0)*BC$90+IFERROR(HLOOKUP(BB$91, 'GREET IO'!$B$77:$BK$98, ROW(BB174)-ROW(BB$155)+1, FALSE), 0)*BC$91+IFERROR(HLOOKUP(BB$92, 'GREET IO'!$B$77:$BK$98, ROW(BB174)-ROW(BB$155)+1, FALSE), 0)*BC$92+IFERROR(HLOOKUP(BB$93, 'GREET IO'!$B$77:$BK$98, ROW(BB174)-ROW(BB$155)+1, FALSE), 0)*BC$93+IFERROR(HLOOKUP(BB$94, 'GREET IO'!$B$77:$BK$98, ROW(BB174)-ROW(BB$155)+1, FALSE), 0)*BC$94+IFERROR(HLOOKUP(BB$95, 'GREET IO'!$B$77:$BK$98, ROW(BB174)-ROW(BB$155)+1, FALSE), 0)*BC$95+IFERROR(HLOOKUP(BB$96, 'GREET IO'!$B$77:$BK$98, ROW(BB174)-ROW(BB$155)+1, FALSE), 0)*BC$96+IFERROR(HLOOKUP(BB$97, 'GREET IO'!$B$77:$BK$98, ROW(BB174)-ROW(BB$155)+1, FALSE), 0)*BC$97+IF(ISTEXT(BB$99), 1, 0)*BC$99*Materials!$G130+IF(ISTEXT(BB$100), 1, 0)*BC$100*Materials!$H130)*$BI$156</f>
        <v>486.03197754701858</v>
      </c>
      <c r="BD174" s="321">
        <f>BC$104/$BI$157*('GREET IO'!$B163+'GREET IO'!$T14)+BC$105/$BI$157*('GREET IO'!$B38+'GREET IO'!$B14)+BC$106/$BI$157*IF(BC$16=Input!$AD$34,"", IF(BC$16=Input!$AD$35, 'Geographic Par.'!$E86, IF(BC$16=Input!$AD$36, 'Geographic Par.'!$F86, IF(BC$16=Input!$AD$37, 'Geographic Par.'!$H86, IF(BC$16=Input!$AD$38,'Geographic Par.'!$G86,'Geographic Par.'!$J86)))))</f>
        <v>33200.329898661483</v>
      </c>
      <c r="BE174" s="185">
        <f t="shared" si="36"/>
        <v>1502.5652787948129</v>
      </c>
      <c r="BF174" s="338">
        <f t="shared" si="37"/>
        <v>35188.927155003315</v>
      </c>
      <c r="CB174" s="147" t="s">
        <v>190</v>
      </c>
      <c r="CC174" s="321">
        <f>(IFERROR(HLOOKUP(CB$88, 'GREET IO'!$B$77:$BK$98, ROW(CB174)-ROW(CB$155)+1, FALSE), 0)*CC$88+IFERROR(HLOOKUP(CB$89, 'GREET IO'!$B$77:$BK$98, ROW(CB174)-ROW(CB$155)+1, FALSE), 0)*CC$89+IFERROR(HLOOKUP(CB$90, 'GREET IO'!$B$77:$BK$98, ROW(CB174)-ROW(CB$155)+1, FALSE), 0)*CC$90+IFERROR(HLOOKUP(CB$91, 'GREET IO'!$B$77:$BK$98, ROW(CB174)-ROW(CB$155)+1, FALSE), 0)*CC$91+IFERROR(HLOOKUP(CB$92, 'GREET IO'!$B$77:$BK$98, ROW(CB174)-ROW(CB$155)+1, FALSE), 0)*CC$92+IFERROR(HLOOKUP(CB$93, 'GREET IO'!$B$77:$BK$98, ROW(CB174)-ROW(CB$155)+1, FALSE), 0)*CC$93+IFERROR(HLOOKUP(CB$94, 'GREET IO'!$B$77:$BK$98, ROW(CB174)-ROW(CB$155)+1, FALSE), 0)*CC$94+IFERROR(HLOOKUP(CB$95, 'GREET IO'!$B$77:$BK$98, ROW(CB174)-ROW(CB$155)+1, FALSE), 0)*CC$95+IFERROR(HLOOKUP(CB$96, 'GREET IO'!$B$77:$BK$98, ROW(CB174)-ROW(CB$155)+1, FALSE), 0)*CC$96+IFERROR(HLOOKUP(CB$97, 'GREET IO'!$B$77:$BK$98, ROW(CB174)-ROW(CB$155)+1, FALSE), 0)*CC$97+IF(ISTEXT(CB$99), 1, 0)*CC$99*Materials!$I130+IF(ISTEXT(CB$100), 1, 0)*CC$100*Materials!$J130)*$BI$156</f>
        <v>2807.5673352612539</v>
      </c>
      <c r="CD174" s="321">
        <f>CC$104/$BI$157*('GREET IO'!$B163+'GREET IO'!$T14)+CC$105/$BI$157*('GREET IO'!$B38+'GREET IO'!$B14)+CC$106/$BI$157*IF(CC$16=Input!$AD$34,"", IF(CC$16=Input!$AD$35, 'Geographic Par.'!$E86, IF(CC$16=Input!$AD$36, 'Geographic Par.'!$F86, IF(CC$16=Input!$AD$37, 'Geographic Par.'!$H86, IF(CC$16=Input!$AD$38,'Geographic Par.'!$G86,'Geographic Par.'!$J86)))))</f>
        <v>27779.372916688495</v>
      </c>
      <c r="CE174" s="185">
        <f t="shared" si="38"/>
        <v>0</v>
      </c>
      <c r="CF174" s="338">
        <f t="shared" si="39"/>
        <v>30586.940251949749</v>
      </c>
      <c r="CJ174" s="110"/>
      <c r="CK174" s="110"/>
      <c r="CL174" s="110"/>
      <c r="CM174" s="110"/>
      <c r="DB174" s="147" t="s">
        <v>190</v>
      </c>
      <c r="DC174" s="321">
        <f>(IFERROR(HLOOKUP(DB$88, 'GREET IO'!$B$77:$BK$98, ROW(DB174)-ROW(DB$155)+1, FALSE), 0)*DC$88+IFERROR(HLOOKUP(DB$89, 'GREET IO'!$B$77:$BK$98, ROW(DB174)-ROW(DB$155)+1, FALSE), 0)*DC$89+IFERROR(HLOOKUP(DB$90, 'GREET IO'!$B$77:$BK$98, ROW(DB174)-ROW(DB$155)+1, FALSE), 0)*DC$90+IFERROR(HLOOKUP(DB$91, 'GREET IO'!$B$77:$BK$98, ROW(DB174)-ROW(DB$155)+1, FALSE), 0)*DC$91+IFERROR(HLOOKUP(DB$92, 'GREET IO'!$B$77:$BK$98, ROW(DB174)-ROW(DB$155)+1, FALSE), 0)*DC$92+IFERROR(HLOOKUP(DB$93, 'GREET IO'!$B$77:$BK$98, ROW(DB174)-ROW(DB$155)+1, FALSE), 0)*DC$93+IFERROR(HLOOKUP(DB$94, 'GREET IO'!$B$77:$BK$98, ROW(DB174)-ROW(DB$155)+1, FALSE), 0)*DC$94+IFERROR(HLOOKUP(DB$95, 'GREET IO'!$B$77:$BK$98, ROW(DB174)-ROW(DB$155)+1, FALSE), 0)*DC$95+IFERROR(HLOOKUP(DB$96, 'GREET IO'!$B$77:$BK$98, ROW(DB174)-ROW(DB$155)+1, FALSE), 0)*DC$96+IFERROR(HLOOKUP(DB$97, 'GREET IO'!$B$77:$BK$98, ROW(DB174)-ROW(DB$155)+1, FALSE), 0)*DC$97+IF(ISTEXT(DB$99), 1, 0)*DC$99*Materials!$K130+IF(ISTEXT(DB$100), 1, 0)*DC$100*Materials!$L130)*$BI$156</f>
        <v>1182.4351714632817</v>
      </c>
      <c r="DD174" s="321">
        <f>DC$104/$BI$157*('GREET IO'!$B163+'GREET IO'!$T14)+DC$105/$BI$157*('GREET IO'!$B38+'GREET IO'!$B14)+DC$106/$BI$157*IF(DC$16=Input!$AD$34,"", IF(DC$16=Input!$AD$35, 'Geographic Par.'!$E86, IF(DC$16=Input!$AD$36, 'Geographic Par.'!$F86, IF(DC$16=Input!$AD$37, 'Geographic Par.'!$H86, IF(DC$16=Input!$AD$38,'Geographic Par.'!$G86,'Geographic Par.'!$J86)))))</f>
        <v>5573.3378465526121</v>
      </c>
      <c r="DE174" s="185">
        <f t="shared" si="40"/>
        <v>221.7837837837838</v>
      </c>
      <c r="DF174" s="338">
        <f t="shared" si="41"/>
        <v>6977.5568017996784</v>
      </c>
      <c r="DJ174" s="110"/>
      <c r="DK174" s="110"/>
      <c r="DL174" s="110"/>
      <c r="DM174" s="110"/>
      <c r="EB174" s="147" t="s">
        <v>188</v>
      </c>
      <c r="EC174" s="173">
        <f>(IFERROR(HLOOKUP(EB$89, 'GREET IO'!$B$77:$BK$98, ROW(EB174)-ROW(EB$157)+1, FALSE), 0)*EC$89+IFERROR(HLOOKUP(EB$90, 'GREET IO'!$B$77:$BK$98, ROW(EB174)-ROW(EB$157)+1, FALSE), 0)*EC$90+IFERROR(HLOOKUP(EB$91, 'GREET IO'!$B$77:$BK$98, ROW(EB174)-ROW(EB$157)+1, FALSE), 0)*EC$91+IFERROR(HLOOKUP(EB$92, 'GREET IO'!$B$77:$BK$98, ROW(EB174)-ROW(EB$157)+1, FALSE), 0)*EC$92+IFERROR(HLOOKUP(EB$93, 'GREET IO'!$B$77:$BK$98, ROW(EB174)-ROW(EB$157)+1, FALSE), 0)*EC$93+IFERROR(HLOOKUP(EB$94, 'GREET IO'!$B$77:$BK$98, ROW(EB174)-ROW(EB$157)+1, FALSE), 0)*EC$94+IFERROR(HLOOKUP(EB$95, 'GREET IO'!$B$77:$BK$98, ROW(EB174)-ROW(EB$157)+1, FALSE), 0)*EC$95+IFERROR(HLOOKUP(EB$96, 'GREET IO'!$B$77:$BK$98, ROW(EB174)-ROW(EB$157)+1, FALSE), 0)*EC$96+IFERROR(HLOOKUP(EB$97, 'GREET IO'!$B$77:$BK$98, ROW(EB174)-ROW(EB$157)+1, FALSE), 0)*EC$97+IFERROR(HLOOKUP(EB$98, 'GREET IO'!$B$77:$BK$98, ROW(EB174)-ROW(EB$157)+1, FALSE), 0)*EC$98+IF(ISTEXT(EB$100), 1, 0)*EC$100*Materials!$M128+IF(ISTEXT(EB$101), 1, 0)*EC$101*Materials!$N128)*$BI$156</f>
        <v>16.353300852836266</v>
      </c>
      <c r="ED174" s="320">
        <f>EC$106/$BI$157*('GREET IO'!$B161+'GREET IO'!$T12)+EC$107/$BI$157*('GREET IO'!$B36+'GREET IO'!$B12)+EC$108/$BI$157*IF(EC$16=Input!$AD$34,"", IF(EC$16=Input!$AD$35, 'Geographic Par.'!$E84, IF(EC$16=Input!$AD$36, 'Geographic Par.'!$F84, IF(EC$16=Input!$AD$37, 'Geographic Par.'!$H84, IF(EC$16=Input!$AD$38,'Geographic Par.'!$G84,'Geographic Par.'!$J84)))))</f>
        <v>8.7003795361430569</v>
      </c>
      <c r="EE174" s="178">
        <f t="shared" si="42"/>
        <v>0</v>
      </c>
      <c r="EF174" s="243">
        <f t="shared" si="43"/>
        <v>25.053680388979323</v>
      </c>
    </row>
    <row r="175" spans="2:136">
      <c r="B175"/>
      <c r="C175"/>
      <c r="D175"/>
      <c r="E175"/>
      <c r="F175"/>
      <c r="G175"/>
      <c r="H175"/>
      <c r="I175"/>
      <c r="J175"/>
      <c r="K175"/>
      <c r="BB175" s="147" t="s">
        <v>198</v>
      </c>
      <c r="BC175" s="321">
        <f>(IFERROR(HLOOKUP(BB$88, 'GREET IO'!$B$77:$BK$98, ROW(BB175)-ROW(BB$155)+1, FALSE), 0)*BC$88+IFERROR(HLOOKUP(BB$89, 'GREET IO'!$B$77:$BK$98, ROW(BB175)-ROW(BB$155)+1, FALSE), 0)*BC$89+IFERROR(HLOOKUP(BB$90, 'GREET IO'!$B$77:$BK$98, ROW(BB175)-ROW(BB$155)+1, FALSE), 0)*BC$90+IFERROR(HLOOKUP(BB$91, 'GREET IO'!$B$77:$BK$98, ROW(BB175)-ROW(BB$155)+1, FALSE), 0)*BC$91+IFERROR(HLOOKUP(BB$92, 'GREET IO'!$B$77:$BK$98, ROW(BB175)-ROW(BB$155)+1, FALSE), 0)*BC$92+IFERROR(HLOOKUP(BB$93, 'GREET IO'!$B$77:$BK$98, ROW(BB175)-ROW(BB$155)+1, FALSE), 0)*BC$93+IFERROR(HLOOKUP(BB$94, 'GREET IO'!$B$77:$BK$98, ROW(BB175)-ROW(BB$155)+1, FALSE), 0)*BC$94+IFERROR(HLOOKUP(BB$95, 'GREET IO'!$B$77:$BK$98, ROW(BB175)-ROW(BB$155)+1, FALSE), 0)*BC$95+IFERROR(HLOOKUP(BB$96, 'GREET IO'!$B$77:$BK$98, ROW(BB175)-ROW(BB$155)+1, FALSE), 0)*BC$96+IFERROR(HLOOKUP(BB$97, 'GREET IO'!$B$77:$BK$98, ROW(BB175)-ROW(BB$155)+1, FALSE), 0)*BC$97+IF(ISTEXT(BB$99), 1, 0)*BC$99*Materials!$G131+IF(ISTEXT(BB$100), 1, 0)*BC$100*Materials!$H131)*$BI$156</f>
        <v>486.75980689318118</v>
      </c>
      <c r="BD175" s="185">
        <f>BD174+BD164*'GREET IO'!$B$118/'GREET IO'!$B$120+BD165*'GREET IO'!$B$119/'GREET IO'!$B$120</f>
        <v>33228.393036355737</v>
      </c>
      <c r="BE175" s="185">
        <f>BE174+BE164*'GREET IO'!$B$118/'GREET IO'!$B$120+BE165*'GREET IO'!$B$119/'GREET IO'!$B$120</f>
        <v>1502.5652787948129</v>
      </c>
      <c r="BF175" s="338">
        <f t="shared" si="37"/>
        <v>35217.718122043734</v>
      </c>
      <c r="CB175" s="147" t="s">
        <v>198</v>
      </c>
      <c r="CC175" s="321">
        <f>(IFERROR(HLOOKUP(CB$88, 'GREET IO'!$B$77:$BK$98, ROW(CB175)-ROW(CB$155)+1, FALSE), 0)*CC$88+IFERROR(HLOOKUP(CB$89, 'GREET IO'!$B$77:$BK$98, ROW(CB175)-ROW(CB$155)+1, FALSE), 0)*CC$89+IFERROR(HLOOKUP(CB$90, 'GREET IO'!$B$77:$BK$98, ROW(CB175)-ROW(CB$155)+1, FALSE), 0)*CC$90+IFERROR(HLOOKUP(CB$91, 'GREET IO'!$B$77:$BK$98, ROW(CB175)-ROW(CB$155)+1, FALSE), 0)*CC$91+IFERROR(HLOOKUP(CB$92, 'GREET IO'!$B$77:$BK$98, ROW(CB175)-ROW(CB$155)+1, FALSE), 0)*CC$92+IFERROR(HLOOKUP(CB$93, 'GREET IO'!$B$77:$BK$98, ROW(CB175)-ROW(CB$155)+1, FALSE), 0)*CC$93+IFERROR(HLOOKUP(CB$94, 'GREET IO'!$B$77:$BK$98, ROW(CB175)-ROW(CB$155)+1, FALSE), 0)*CC$94+IFERROR(HLOOKUP(CB$95, 'GREET IO'!$B$77:$BK$98, ROW(CB175)-ROW(CB$155)+1, FALSE), 0)*CC$95+IFERROR(HLOOKUP(CB$96, 'GREET IO'!$B$77:$BK$98, ROW(CB175)-ROW(CB$155)+1, FALSE), 0)*CC$96+IFERROR(HLOOKUP(CB$97, 'GREET IO'!$B$77:$BK$98, ROW(CB175)-ROW(CB$155)+1, FALSE), 0)*CC$97+IF(ISTEXT(CB$99), 1, 0)*CC$99*Materials!$I131+IF(ISTEXT(CB$100), 1, 0)*CC$100*Materials!$J131)*$BI$156</f>
        <v>2815.0325626207996</v>
      </c>
      <c r="CD175" s="185">
        <f>CD174+CD164*'GREET IO'!$B$118/'GREET IO'!$B$120+CD165*'GREET IO'!$B$119/'GREET IO'!$B$120</f>
        <v>27803.017634986321</v>
      </c>
      <c r="CE175" s="185">
        <f>CE174+CE164*'GREET IO'!$B$118/'GREET IO'!$B$120+CE165*'GREET IO'!$B$119/'GREET IO'!$B$120</f>
        <v>0</v>
      </c>
      <c r="CF175" s="338">
        <f t="shared" si="39"/>
        <v>30618.050197607121</v>
      </c>
      <c r="CJ175" s="110"/>
      <c r="CK175" s="110"/>
      <c r="CL175" s="110"/>
      <c r="CM175" s="110"/>
      <c r="DB175" s="147" t="s">
        <v>198</v>
      </c>
      <c r="DC175" s="321">
        <f>(IFERROR(HLOOKUP(DB$88, 'GREET IO'!$B$77:$BK$98, ROW(DB175)-ROW(DB$155)+1, FALSE), 0)*DC$88+IFERROR(HLOOKUP(DB$89, 'GREET IO'!$B$77:$BK$98, ROW(DB175)-ROW(DB$155)+1, FALSE), 0)*DC$89+IFERROR(HLOOKUP(DB$90, 'GREET IO'!$B$77:$BK$98, ROW(DB175)-ROW(DB$155)+1, FALSE), 0)*DC$90+IFERROR(HLOOKUP(DB$91, 'GREET IO'!$B$77:$BK$98, ROW(DB175)-ROW(DB$155)+1, FALSE), 0)*DC$91+IFERROR(HLOOKUP(DB$92, 'GREET IO'!$B$77:$BK$98, ROW(DB175)-ROW(DB$155)+1, FALSE), 0)*DC$92+IFERROR(HLOOKUP(DB$93, 'GREET IO'!$B$77:$BK$98, ROW(DB175)-ROW(DB$155)+1, FALSE), 0)*DC$93+IFERROR(HLOOKUP(DB$94, 'GREET IO'!$B$77:$BK$98, ROW(DB175)-ROW(DB$155)+1, FALSE), 0)*DC$94+IFERROR(HLOOKUP(DB$95, 'GREET IO'!$B$77:$BK$98, ROW(DB175)-ROW(DB$155)+1, FALSE), 0)*DC$95+IFERROR(HLOOKUP(DB$96, 'GREET IO'!$B$77:$BK$98, ROW(DB175)-ROW(DB$155)+1, FALSE), 0)*DC$96+IFERROR(HLOOKUP(DB$97, 'GREET IO'!$B$77:$BK$98, ROW(DB175)-ROW(DB$155)+1, FALSE), 0)*DC$97+IF(ISTEXT(DB$99), 1, 0)*DC$99*Materials!$K131+IF(ISTEXT(DB$100), 1, 0)*DC$100*Materials!$L131)*$BI$156</f>
        <v>1184.353084235087</v>
      </c>
      <c r="DD175" s="185">
        <f>DD174+DD164*'GREET IO'!$B$118/'GREET IO'!$B$120+DD165*'GREET IO'!$B$119/'GREET IO'!$B$120</f>
        <v>5578.260297485308</v>
      </c>
      <c r="DE175" s="185">
        <f>DE174+DE164*'GREET IO'!$B$118/'GREET IO'!$B$120+DE165*'GREET IO'!$B$119/'GREET IO'!$B$120</f>
        <v>221.7837837837838</v>
      </c>
      <c r="DF175" s="338">
        <f t="shared" si="41"/>
        <v>6984.3971655041796</v>
      </c>
      <c r="DJ175" s="110"/>
      <c r="DK175" s="110"/>
      <c r="DL175" s="110"/>
      <c r="DM175" s="110"/>
      <c r="EB175" s="147" t="s">
        <v>189</v>
      </c>
      <c r="EC175" s="173">
        <f>(IFERROR(HLOOKUP(EB$89, 'GREET IO'!$B$77:$BK$98, ROW(EB175)-ROW(EB$157)+1, FALSE), 0)*EC$89+IFERROR(HLOOKUP(EB$90, 'GREET IO'!$B$77:$BK$98, ROW(EB175)-ROW(EB$157)+1, FALSE), 0)*EC$90+IFERROR(HLOOKUP(EB$91, 'GREET IO'!$B$77:$BK$98, ROW(EB175)-ROW(EB$157)+1, FALSE), 0)*EC$91+IFERROR(HLOOKUP(EB$92, 'GREET IO'!$B$77:$BK$98, ROW(EB175)-ROW(EB$157)+1, FALSE), 0)*EC$92+IFERROR(HLOOKUP(EB$93, 'GREET IO'!$B$77:$BK$98, ROW(EB175)-ROW(EB$157)+1, FALSE), 0)*EC$93+IFERROR(HLOOKUP(EB$94, 'GREET IO'!$B$77:$BK$98, ROW(EB175)-ROW(EB$157)+1, FALSE), 0)*EC$94+IFERROR(HLOOKUP(EB$95, 'GREET IO'!$B$77:$BK$98, ROW(EB175)-ROW(EB$157)+1, FALSE), 0)*EC$95+IFERROR(HLOOKUP(EB$96, 'GREET IO'!$B$77:$BK$98, ROW(EB175)-ROW(EB$157)+1, FALSE), 0)*EC$96+IFERROR(HLOOKUP(EB$97, 'GREET IO'!$B$77:$BK$98, ROW(EB175)-ROW(EB$157)+1, FALSE), 0)*EC$97+IFERROR(HLOOKUP(EB$98, 'GREET IO'!$B$77:$BK$98, ROW(EB175)-ROW(EB$157)+1, FALSE), 0)*EC$98+IF(ISTEXT(EB$100), 1, 0)*EC$100*Materials!$M129+IF(ISTEXT(EB$101), 1, 0)*EC$101*Materials!$N129)*$BI$156</f>
        <v>7.4445768830882608E-2</v>
      </c>
      <c r="ED175" s="320">
        <f>EC$106/$BI$157*('GREET IO'!$B162+'GREET IO'!$T13)+EC$107/$BI$157*('GREET IO'!$B37+'GREET IO'!$B13)+EC$108/$BI$157*IF(EC$16=Input!$AD$34,"", IF(EC$16=Input!$AD$35, 'Geographic Par.'!$E85, IF(EC$16=Input!$AD$36, 'Geographic Par.'!$F85, IF(EC$16=Input!$AD$37, 'Geographic Par.'!$H85, IF(EC$16=Input!$AD$38,'Geographic Par.'!$G85,'Geographic Par.'!$J85)))))</f>
        <v>0.12996218435146653</v>
      </c>
      <c r="EE175" s="178">
        <f t="shared" si="42"/>
        <v>0</v>
      </c>
      <c r="EF175" s="243">
        <f t="shared" si="43"/>
        <v>0.20440795318234914</v>
      </c>
    </row>
    <row r="176" spans="2:136">
      <c r="B176"/>
      <c r="C176"/>
      <c r="D176"/>
      <c r="E176"/>
      <c r="F176"/>
      <c r="G176"/>
      <c r="H176"/>
      <c r="I176"/>
      <c r="J176"/>
      <c r="K176"/>
      <c r="BB176" s="267" t="s">
        <v>199</v>
      </c>
      <c r="BC176" s="321">
        <f>(IFERROR(HLOOKUP(BB$88, 'GREET IO'!$B$77:$BK$98, ROW(BB176)-ROW(BB$155)+1, FALSE), 0)*BC$88+IFERROR(HLOOKUP(BB$89, 'GREET IO'!$B$77:$BK$98, ROW(BB176)-ROW(BB$155)+1, FALSE), 0)*BC$89+IFERROR(HLOOKUP(BB$90, 'GREET IO'!$B$77:$BK$98, ROW(BB176)-ROW(BB$155)+1, FALSE), 0)*BC$90+IFERROR(HLOOKUP(BB$91, 'GREET IO'!$B$77:$BK$98, ROW(BB176)-ROW(BB$155)+1, FALSE), 0)*BC$91+IFERROR(HLOOKUP(BB$92, 'GREET IO'!$B$77:$BK$98, ROW(BB176)-ROW(BB$155)+1, FALSE), 0)*BC$92+IFERROR(HLOOKUP(BB$93, 'GREET IO'!$B$77:$BK$98, ROW(BB176)-ROW(BB$155)+1, FALSE), 0)*BC$93+IFERROR(HLOOKUP(BB$94, 'GREET IO'!$B$77:$BK$98, ROW(BB176)-ROW(BB$155)+1, FALSE), 0)*BC$94+IFERROR(HLOOKUP(BB$95, 'GREET IO'!$B$77:$BK$98, ROW(BB176)-ROW(BB$155)+1, FALSE), 0)*BC$95+IFERROR(HLOOKUP(BB$96, 'GREET IO'!$B$77:$BK$98, ROW(BB176)-ROW(BB$155)+1, FALSE), 0)*BC$96+IFERROR(HLOOKUP(BB$97, 'GREET IO'!$B$77:$BK$98, ROW(BB176)-ROW(BB$155)+1, FALSE), 0)*BC$97+IF(ISTEXT(BB$99), 1, 0)*BC$99*Materials!$G132+IF(ISTEXT(BB$100), 1, 0)*BC$100*Materials!$H132)*$BI$156</f>
        <v>527.83540211584443</v>
      </c>
      <c r="BD176" s="323">
        <f>BD175+SUMPRODUCT(BD172:BD173,'GREET IO'!$B$114:$B$115)</f>
        <v>35081.853010085666</v>
      </c>
      <c r="BE176" s="323">
        <f>BE175+SUMPRODUCT(BE172:BE173,'GREET IO'!$B$114:$B$115)</f>
        <v>1502.5652787948129</v>
      </c>
      <c r="BF176" s="313">
        <f t="shared" si="37"/>
        <v>37112.253690996324</v>
      </c>
      <c r="CB176" s="267" t="s">
        <v>199</v>
      </c>
      <c r="CC176" s="321">
        <f>(IFERROR(HLOOKUP(CB$88, 'GREET IO'!$B$77:$BK$98, ROW(CB176)-ROW(CB$155)+1, FALSE), 0)*CC$88+IFERROR(HLOOKUP(CB$89, 'GREET IO'!$B$77:$BK$98, ROW(CB176)-ROW(CB$155)+1, FALSE), 0)*CC$89+IFERROR(HLOOKUP(CB$90, 'GREET IO'!$B$77:$BK$98, ROW(CB176)-ROW(CB$155)+1, FALSE), 0)*CC$90+IFERROR(HLOOKUP(CB$91, 'GREET IO'!$B$77:$BK$98, ROW(CB176)-ROW(CB$155)+1, FALSE), 0)*CC$91+IFERROR(HLOOKUP(CB$92, 'GREET IO'!$B$77:$BK$98, ROW(CB176)-ROW(CB$155)+1, FALSE), 0)*CC$92+IFERROR(HLOOKUP(CB$93, 'GREET IO'!$B$77:$BK$98, ROW(CB176)-ROW(CB$155)+1, FALSE), 0)*CC$93+IFERROR(HLOOKUP(CB$94, 'GREET IO'!$B$77:$BK$98, ROW(CB176)-ROW(CB$155)+1, FALSE), 0)*CC$94+IFERROR(HLOOKUP(CB$95, 'GREET IO'!$B$77:$BK$98, ROW(CB176)-ROW(CB$155)+1, FALSE), 0)*CC$95+IFERROR(HLOOKUP(CB$96, 'GREET IO'!$B$77:$BK$98, ROW(CB176)-ROW(CB$155)+1, FALSE), 0)*CC$96+IFERROR(HLOOKUP(CB$97, 'GREET IO'!$B$77:$BK$98, ROW(CB176)-ROW(CB$155)+1, FALSE), 0)*CC$97+IF(ISTEXT(CB$99), 1, 0)*CC$99*Materials!$I132+IF(ISTEXT(CB$100), 1, 0)*CC$100*Materials!$J132)*$BI$156</f>
        <v>3103.3076222614491</v>
      </c>
      <c r="CD176" s="323">
        <f>CD175+SUMPRODUCT(CD172:CD173,'GREET IO'!$B$114:$B$115)</f>
        <v>29359.39456728115</v>
      </c>
      <c r="CE176" s="323">
        <f>CE175+SUMPRODUCT(CE172:CE173,'GREET IO'!$B$114:$B$115)</f>
        <v>0</v>
      </c>
      <c r="CF176" s="313">
        <f t="shared" si="39"/>
        <v>32462.702189542601</v>
      </c>
      <c r="CJ176" s="110"/>
      <c r="CK176" s="110"/>
      <c r="CL176" s="110"/>
      <c r="CM176" s="110"/>
      <c r="DB176" s="267" t="s">
        <v>199</v>
      </c>
      <c r="DC176" s="321">
        <f>(IFERROR(HLOOKUP(DB$88, 'GREET IO'!$B$77:$BK$98, ROW(DB176)-ROW(DB$155)+1, FALSE), 0)*DC$88+IFERROR(HLOOKUP(DB$89, 'GREET IO'!$B$77:$BK$98, ROW(DB176)-ROW(DB$155)+1, FALSE), 0)*DC$89+IFERROR(HLOOKUP(DB$90, 'GREET IO'!$B$77:$BK$98, ROW(DB176)-ROW(DB$155)+1, FALSE), 0)*DC$90+IFERROR(HLOOKUP(DB$91, 'GREET IO'!$B$77:$BK$98, ROW(DB176)-ROW(DB$155)+1, FALSE), 0)*DC$91+IFERROR(HLOOKUP(DB$92, 'GREET IO'!$B$77:$BK$98, ROW(DB176)-ROW(DB$155)+1, FALSE), 0)*DC$92+IFERROR(HLOOKUP(DB$93, 'GREET IO'!$B$77:$BK$98, ROW(DB176)-ROW(DB$155)+1, FALSE), 0)*DC$93+IFERROR(HLOOKUP(DB$94, 'GREET IO'!$B$77:$BK$98, ROW(DB176)-ROW(DB$155)+1, FALSE), 0)*DC$94+IFERROR(HLOOKUP(DB$95, 'GREET IO'!$B$77:$BK$98, ROW(DB176)-ROW(DB$155)+1, FALSE), 0)*DC$95+IFERROR(HLOOKUP(DB$96, 'GREET IO'!$B$77:$BK$98, ROW(DB176)-ROW(DB$155)+1, FALSE), 0)*DC$96+IFERROR(HLOOKUP(DB$97, 'GREET IO'!$B$77:$BK$98, ROW(DB176)-ROW(DB$155)+1, FALSE), 0)*DC$97+IF(ISTEXT(DB$99), 1, 0)*DC$99*Materials!$K132+IF(ISTEXT(DB$100), 1, 0)*DC$100*Materials!$L132)*$BI$156</f>
        <v>1246.7557264483007</v>
      </c>
      <c r="DD176" s="323">
        <f>DD175+SUMPRODUCT(DD172:DD173,'GREET IO'!$B$114:$B$115)</f>
        <v>5888.7302741187486</v>
      </c>
      <c r="DE176" s="323">
        <f>DE175+SUMPRODUCT(DE172:DE173,'GREET IO'!$B$114:$B$115)</f>
        <v>221.7837837837838</v>
      </c>
      <c r="DF176" s="313">
        <f t="shared" si="41"/>
        <v>7357.2697843508331</v>
      </c>
      <c r="DJ176" s="110"/>
      <c r="DK176" s="110"/>
      <c r="DL176" s="110"/>
      <c r="DM176" s="110"/>
      <c r="EB176" s="147" t="s">
        <v>190</v>
      </c>
      <c r="EC176" s="321">
        <f>(IFERROR(HLOOKUP(EB$89, 'GREET IO'!$B$77:$BK$98, ROW(EB176)-ROW(EB$157)+1, FALSE), 0)*EC$89+IFERROR(HLOOKUP(EB$90, 'GREET IO'!$B$77:$BK$98, ROW(EB176)-ROW(EB$157)+1, FALSE), 0)*EC$90+IFERROR(HLOOKUP(EB$91, 'GREET IO'!$B$77:$BK$98, ROW(EB176)-ROW(EB$157)+1, FALSE), 0)*EC$91+IFERROR(HLOOKUP(EB$92, 'GREET IO'!$B$77:$BK$98, ROW(EB176)-ROW(EB$157)+1, FALSE), 0)*EC$92+IFERROR(HLOOKUP(EB$93, 'GREET IO'!$B$77:$BK$98, ROW(EB176)-ROW(EB$157)+1, FALSE), 0)*EC$93+IFERROR(HLOOKUP(EB$94, 'GREET IO'!$B$77:$BK$98, ROW(EB176)-ROW(EB$157)+1, FALSE), 0)*EC$94+IFERROR(HLOOKUP(EB$95, 'GREET IO'!$B$77:$BK$98, ROW(EB176)-ROW(EB$157)+1, FALSE), 0)*EC$95+IFERROR(HLOOKUP(EB$96, 'GREET IO'!$B$77:$BK$98, ROW(EB176)-ROW(EB$157)+1, FALSE), 0)*EC$96+IFERROR(HLOOKUP(EB$97, 'GREET IO'!$B$77:$BK$98, ROW(EB176)-ROW(EB$157)+1, FALSE), 0)*EC$97+IFERROR(HLOOKUP(EB$98, 'GREET IO'!$B$77:$BK$98, ROW(EB176)-ROW(EB$157)+1, FALSE), 0)*EC$98+IF(ISTEXT(EB$100), 1, 0)*EC$100*Materials!$M130+IF(ISTEXT(EB$101), 1, 0)*EC$101*Materials!$N130)*$BI$156</f>
        <v>3355.2998190602602</v>
      </c>
      <c r="ED176" s="321">
        <f>EC$106/$BI$157*('GREET IO'!$B163+'GREET IO'!$T14)+EC$107/$BI$157*('GREET IO'!$B38+'GREET IO'!$B14)+EC$108/$BI$157*IF(EC$16=Input!$AD$34,"", IF(EC$16=Input!$AD$35, 'Geographic Par.'!$E86, IF(EC$16=Input!$AD$36, 'Geographic Par.'!$F86, IF(EC$16=Input!$AD$37, 'Geographic Par.'!$H86, IF(EC$16=Input!$AD$38,'Geographic Par.'!$G86,'Geographic Par.'!$J86)))))</f>
        <v>5249.0059558945231</v>
      </c>
      <c r="EE176" s="185">
        <f t="shared" si="42"/>
        <v>0</v>
      </c>
      <c r="EF176" s="322">
        <f t="shared" si="43"/>
        <v>8604.3057749547843</v>
      </c>
    </row>
    <row r="177" spans="2:143">
      <c r="B177"/>
      <c r="C177"/>
      <c r="D177"/>
      <c r="E177"/>
      <c r="F177"/>
      <c r="G177"/>
      <c r="H177"/>
      <c r="I177"/>
      <c r="J177"/>
      <c r="K177"/>
      <c r="CJ177" s="110"/>
      <c r="CK177" s="110"/>
      <c r="CL177" s="110"/>
      <c r="CM177" s="110"/>
      <c r="DJ177" s="110"/>
      <c r="DK177" s="110"/>
      <c r="DL177" s="110"/>
      <c r="DM177" s="110"/>
      <c r="EB177" s="147" t="s">
        <v>198</v>
      </c>
      <c r="EC177" s="321">
        <f>(IFERROR(HLOOKUP(EB$89, 'GREET IO'!$B$77:$BK$98, ROW(EB177)-ROW(EB$157)+1, FALSE), 0)*EC$89+IFERROR(HLOOKUP(EB$90, 'GREET IO'!$B$77:$BK$98, ROW(EB177)-ROW(EB$157)+1, FALSE), 0)*EC$90+IFERROR(HLOOKUP(EB$91, 'GREET IO'!$B$77:$BK$98, ROW(EB177)-ROW(EB$157)+1, FALSE), 0)*EC$91+IFERROR(HLOOKUP(EB$92, 'GREET IO'!$B$77:$BK$98, ROW(EB177)-ROW(EB$157)+1, FALSE), 0)*EC$92+IFERROR(HLOOKUP(EB$93, 'GREET IO'!$B$77:$BK$98, ROW(EB177)-ROW(EB$157)+1, FALSE), 0)*EC$93+IFERROR(HLOOKUP(EB$94, 'GREET IO'!$B$77:$BK$98, ROW(EB177)-ROW(EB$157)+1, FALSE), 0)*EC$94+IFERROR(HLOOKUP(EB$95, 'GREET IO'!$B$77:$BK$98, ROW(EB177)-ROW(EB$157)+1, FALSE), 0)*EC$95+IFERROR(HLOOKUP(EB$96, 'GREET IO'!$B$77:$BK$98, ROW(EB177)-ROW(EB$157)+1, FALSE), 0)*EC$96+IFERROR(HLOOKUP(EB$97, 'GREET IO'!$B$77:$BK$98, ROW(EB177)-ROW(EB$157)+1, FALSE), 0)*EC$97+IFERROR(HLOOKUP(EB$98, 'GREET IO'!$B$77:$BK$98, ROW(EB177)-ROW(EB$157)+1, FALSE), 0)*EC$98+IF(ISTEXT(EB$100), 1, 0)*EC$100*Materials!$M131+IF(ISTEXT(EB$101), 1, 0)*EC$101*Materials!$N131)*$BI$156</f>
        <v>3371.0630953516043</v>
      </c>
      <c r="ED177" s="185">
        <f>ED176+ED166*'GREET IO'!$B$118/'GREET IO'!$B$120+ED167*'GREET IO'!$B$119/'GREET IO'!$B$120</f>
        <v>5253.7082723855328</v>
      </c>
      <c r="EE177" s="185">
        <f>EE176+EE166*'GREET IO'!$B$118/'GREET IO'!$B$120+EE167*'GREET IO'!$B$119/'GREET IO'!$B$120</f>
        <v>0</v>
      </c>
      <c r="EF177" s="322">
        <f t="shared" si="43"/>
        <v>8624.7713677371376</v>
      </c>
    </row>
    <row r="178" spans="2:143">
      <c r="B178"/>
      <c r="C178"/>
      <c r="D178"/>
      <c r="E178"/>
      <c r="F178"/>
      <c r="G178"/>
      <c r="H178"/>
      <c r="I178"/>
      <c r="J178"/>
      <c r="K178"/>
      <c r="BB178" s="111" t="s">
        <v>663</v>
      </c>
      <c r="CB178" s="111" t="s">
        <v>663</v>
      </c>
      <c r="CJ178" s="110"/>
      <c r="CK178" s="110"/>
      <c r="CL178" s="110"/>
      <c r="CM178" s="110"/>
      <c r="DB178" s="111" t="s">
        <v>663</v>
      </c>
      <c r="DJ178" s="110"/>
      <c r="DK178" s="110"/>
      <c r="DL178" s="110"/>
      <c r="DM178" s="110"/>
      <c r="EB178" s="267" t="s">
        <v>1990</v>
      </c>
      <c r="EC178" s="321">
        <f>(IFERROR(HLOOKUP(EB$89, 'GREET IO'!$B$77:$BK$98, ROW(EB178)-ROW(EB$157)+1, FALSE), 0)*EC$89+IFERROR(HLOOKUP(EB$90, 'GREET IO'!$B$77:$BK$98, ROW(EB178)-ROW(EB$157)+1, FALSE), 0)*EC$90+IFERROR(HLOOKUP(EB$91, 'GREET IO'!$B$77:$BK$98, ROW(EB178)-ROW(EB$157)+1, FALSE), 0)*EC$91+IFERROR(HLOOKUP(EB$92, 'GREET IO'!$B$77:$BK$98, ROW(EB178)-ROW(EB$157)+1, FALSE), 0)*EC$92+IFERROR(HLOOKUP(EB$93, 'GREET IO'!$B$77:$BK$98, ROW(EB178)-ROW(EB$157)+1, FALSE), 0)*EC$93+IFERROR(HLOOKUP(EB$94, 'GREET IO'!$B$77:$BK$98, ROW(EB178)-ROW(EB$157)+1, FALSE), 0)*EC$94+IFERROR(HLOOKUP(EB$95, 'GREET IO'!$B$77:$BK$98, ROW(EB178)-ROW(EB$157)+1, FALSE), 0)*EC$95+IFERROR(HLOOKUP(EB$96, 'GREET IO'!$B$77:$BK$98, ROW(EB178)-ROW(EB$157)+1, FALSE), 0)*EC$96+IFERROR(HLOOKUP(EB$97, 'GREET IO'!$B$77:$BK$98, ROW(EB178)-ROW(EB$157)+1, FALSE), 0)*EC$97+IFERROR(HLOOKUP(EB$98, 'GREET IO'!$B$77:$BK$98, ROW(EB178)-ROW(EB$157)+1, FALSE), 0)*EC$98+IF(ISTEXT(EB$100), 1, 0)*EC$100*Materials!$M132+IF(ISTEXT(EB$101), 1, 0)*EC$101*Materials!$N132)*$BI$156</f>
        <v>3878.7151556569565</v>
      </c>
      <c r="ED178" s="323">
        <f>ED177+SUMPRODUCT(ED174:ED175,'GREET IO'!$B$114:$B$115)</f>
        <v>5548.4592588905462</v>
      </c>
      <c r="EE178" s="323">
        <f>EE177+SUMPRODUCT(EE174:EE175,'GREET IO'!$B$114:$B$115)</f>
        <v>0</v>
      </c>
      <c r="EF178" s="313">
        <f t="shared" si="43"/>
        <v>9427.1744145475022</v>
      </c>
    </row>
    <row r="179" spans="2:143">
      <c r="B179"/>
      <c r="C179"/>
      <c r="D179"/>
      <c r="E179"/>
      <c r="F179"/>
      <c r="G179"/>
      <c r="H179"/>
      <c r="I179"/>
      <c r="J179"/>
      <c r="K179"/>
      <c r="BB179" s="324"/>
      <c r="BC179" s="332" t="str">
        <f>IF(BB127="Select Output"," ",BB127)</f>
        <v>Copper metal</v>
      </c>
      <c r="BD179" s="332" t="str">
        <f>IF(BB128="Select Output"," ",BB128)</f>
        <v>Co2+ in product</v>
      </c>
      <c r="BE179" s="332" t="str">
        <f>IF(BB129="Select Output"," ",BB129)</f>
        <v>Ni2+ in product</v>
      </c>
      <c r="BF179" s="332" t="str">
        <f>IF(BB130="Select Output"," ",BB130)</f>
        <v xml:space="preserve"> </v>
      </c>
      <c r="BG179" s="332" t="str">
        <f>IF(BB131="Select Output"," ",BB131)</f>
        <v xml:space="preserve"> </v>
      </c>
      <c r="BH179" s="332" t="str">
        <f>IF(BB132="Select Output"," ",BB132)</f>
        <v xml:space="preserve"> </v>
      </c>
      <c r="BI179" s="1394" t="str">
        <f>IF(BB133="Select Output"," ",BB133)</f>
        <v xml:space="preserve"> </v>
      </c>
      <c r="BJ179"/>
      <c r="BK179"/>
      <c r="BL179"/>
      <c r="CB179" s="324"/>
      <c r="CC179" s="1649" t="str">
        <f>IF(CB126="Select Output"," ",CB126)</f>
        <v>Lithium Carbonate (crude)</v>
      </c>
      <c r="CD179" s="1649" t="str">
        <f>IF(CB127="Select Output"," ",CB127)</f>
        <v>Co2+ in product</v>
      </c>
      <c r="CE179" s="1649" t="str">
        <f>IF(CB128="Select Output"," ",CB128)</f>
        <v>Ni2+ in product</v>
      </c>
      <c r="CF179" s="1649" t="str">
        <f>IF(CB129="Select Output"," ",CB129)</f>
        <v>Mn2+ in product</v>
      </c>
      <c r="CG179" s="1649" t="str">
        <f>IF(CB130="Select Output"," ",CB130)</f>
        <v>Graphite</v>
      </c>
      <c r="CH179" s="1649" t="str">
        <f>IF(CB131="Select Output"," ",CB131)</f>
        <v xml:space="preserve"> </v>
      </c>
      <c r="CI179" s="1649" t="str">
        <f>IF(CB132="Select Output"," ",CB132)</f>
        <v xml:space="preserve"> </v>
      </c>
      <c r="CJ179" s="1649" t="str">
        <f>IF(CB133="Select Output"," ",CB133)</f>
        <v xml:space="preserve"> </v>
      </c>
      <c r="CK179" s="1646" t="str">
        <f>IF(CB134="Select Output"," ",CB134)</f>
        <v xml:space="preserve"> </v>
      </c>
      <c r="CL179"/>
      <c r="CM179"/>
      <c r="DB179" s="324"/>
      <c r="DC179" s="332" t="str">
        <f>IF(DB126="Select Output"," ",DB126)</f>
        <v>Copper</v>
      </c>
      <c r="DD179" s="332" t="str">
        <f>IF(DB127="Select Output"," ",DB127)</f>
        <v xml:space="preserve"> </v>
      </c>
      <c r="DE179" s="332" t="str">
        <f>IF(DB128="Select Output"," ",DB128)</f>
        <v>Aluminum</v>
      </c>
      <c r="DF179" s="332" t="str">
        <f>IF(DB129="Select Output"," ",DB129)</f>
        <v>NMC(622)</v>
      </c>
      <c r="DG179" s="332" t="str">
        <f>IF(DB130="Select Output"," ",DB130)</f>
        <v xml:space="preserve"> </v>
      </c>
      <c r="DH179" s="332" t="str">
        <f>IF(DB131="Select Output"," ",DB131)</f>
        <v>Graphite</v>
      </c>
      <c r="DI179" s="332" t="str">
        <f>IF(DB132="Select Output"," ",DB132)</f>
        <v xml:space="preserve"> </v>
      </c>
      <c r="DJ179" s="342" t="str">
        <f>IF(DB133="Select Output"," ",DB133)</f>
        <v xml:space="preserve"> </v>
      </c>
      <c r="DK179" s="1368" t="str">
        <f>IF(DB134="Select Output"," ",DB134)</f>
        <v xml:space="preserve"> </v>
      </c>
      <c r="DL179"/>
      <c r="DM179" s="110"/>
    </row>
    <row r="180" spans="2:143">
      <c r="B180"/>
      <c r="C180"/>
      <c r="D180"/>
      <c r="E180"/>
      <c r="F180"/>
      <c r="G180"/>
      <c r="H180"/>
      <c r="I180"/>
      <c r="J180"/>
      <c r="K180"/>
      <c r="BB180" s="147" t="s">
        <v>448</v>
      </c>
      <c r="BC180" s="344">
        <f>BC127/SUM(BC127:BC133)</f>
        <v>2.0080321285140562E-2</v>
      </c>
      <c r="BD180" s="345">
        <f>BC128/SUM(BC127:BC133)</f>
        <v>0.48995983935742971</v>
      </c>
      <c r="BE180" s="345">
        <f>BC129/SUM(BC127:BC133)</f>
        <v>0.48995983935742971</v>
      </c>
      <c r="BF180" s="345">
        <f>BC130/SUM(BC127:BC133)</f>
        <v>0</v>
      </c>
      <c r="BG180" s="345">
        <f>BC131/SUM(BC127:BC133)</f>
        <v>0</v>
      </c>
      <c r="BH180" s="345">
        <f>BC132/SUM(BC127:BC133)</f>
        <v>0</v>
      </c>
      <c r="BI180" s="1638">
        <f>BC133/SUM(BC127:BC133)</f>
        <v>0</v>
      </c>
      <c r="BJ180"/>
      <c r="BK180"/>
      <c r="BL180"/>
      <c r="CB180" s="147" t="s">
        <v>448</v>
      </c>
      <c r="CC180" s="344">
        <f>CC126/SUM(CC126:CC135)</f>
        <v>0</v>
      </c>
      <c r="CD180" s="345">
        <f>CC127/SUM(CC126:CC135)</f>
        <v>0.13418530351437699</v>
      </c>
      <c r="CE180" s="345">
        <f>CC128/SUM(CC126:CC135)</f>
        <v>0.13418530351437699</v>
      </c>
      <c r="CF180" s="345">
        <f>CC129/SUM(CC126:CC135)</f>
        <v>0.12566560170394034</v>
      </c>
      <c r="CG180" s="345">
        <f>CC130/SUM(CC126:CC135)</f>
        <v>0.32907348242811502</v>
      </c>
      <c r="CH180" s="345">
        <f>CC131/SUM(CC126:CC135)</f>
        <v>0</v>
      </c>
      <c r="CI180" s="345">
        <f>CC132/SUM(CC126:CC135)</f>
        <v>0</v>
      </c>
      <c r="CJ180" s="346">
        <f>CC133/SUM(CC126:CC135)</f>
        <v>0</v>
      </c>
      <c r="CK180" s="347">
        <v>0</v>
      </c>
      <c r="CL180"/>
      <c r="CM180" s="110"/>
      <c r="DB180" s="147" t="s">
        <v>448</v>
      </c>
      <c r="DC180" s="344">
        <f>DC126/SUM(DC126:DC135)</f>
        <v>4.9900199600798403E-3</v>
      </c>
      <c r="DD180" s="345">
        <f>DC127/SUM(DC126:DC135)</f>
        <v>0</v>
      </c>
      <c r="DE180" s="345">
        <f>DC128/SUM(DC126:DC135)</f>
        <v>2.9940119760479044E-3</v>
      </c>
      <c r="DF180" s="345">
        <f>DC129/SUM(DC126:DC135)</f>
        <v>0.56886227544910173</v>
      </c>
      <c r="DG180" s="345">
        <f>DC130/SUM(DC126:DC135)</f>
        <v>0</v>
      </c>
      <c r="DH180" s="345">
        <f>DC131/SUM(DC126:DC135)</f>
        <v>0.30838323353293412</v>
      </c>
      <c r="DI180" s="345">
        <f>DC132/SUM(DC126:DC135)</f>
        <v>0</v>
      </c>
      <c r="DJ180" s="346">
        <f>DC133/SUM(DC126:DC135)</f>
        <v>0</v>
      </c>
      <c r="DK180" s="347">
        <f>DC134/SUM(DC126:DC135)</f>
        <v>0</v>
      </c>
      <c r="DL180"/>
      <c r="DM180" s="110"/>
      <c r="EB180" s="111" t="s">
        <v>663</v>
      </c>
      <c r="EJ180" s="110"/>
      <c r="EK180" s="110"/>
      <c r="EL180" s="110"/>
      <c r="EM180" s="110"/>
    </row>
    <row r="181" spans="2:143">
      <c r="B181"/>
      <c r="C181"/>
      <c r="D181"/>
      <c r="E181"/>
      <c r="F181"/>
      <c r="G181"/>
      <c r="H181"/>
      <c r="I181"/>
      <c r="J181"/>
      <c r="K181"/>
      <c r="BB181" s="278" t="s">
        <v>449</v>
      </c>
      <c r="BC181" s="329">
        <f t="shared" ref="BC181:BI181" si="44">BC186/$BJ186</f>
        <v>4.4721297433331017E-3</v>
      </c>
      <c r="BD181" s="255">
        <f t="shared" si="44"/>
        <v>0.7458849636202084</v>
      </c>
      <c r="BE181" s="255">
        <f t="shared" si="44"/>
        <v>0.24964290663645855</v>
      </c>
      <c r="BF181" s="255">
        <f t="shared" si="44"/>
        <v>0</v>
      </c>
      <c r="BG181" s="255">
        <f t="shared" si="44"/>
        <v>0</v>
      </c>
      <c r="BH181" s="255">
        <f t="shared" si="44"/>
        <v>0</v>
      </c>
      <c r="BI181" s="1639">
        <f t="shared" si="44"/>
        <v>0</v>
      </c>
      <c r="BJ181"/>
      <c r="BK181"/>
      <c r="BL181"/>
      <c r="CB181" s="278" t="s">
        <v>449</v>
      </c>
      <c r="CC181" s="329">
        <f t="shared" ref="CC181:CK181" si="45">CC186/$CL186</f>
        <v>0</v>
      </c>
      <c r="CD181" s="255">
        <f t="shared" si="45"/>
        <v>0.71275524576710891</v>
      </c>
      <c r="CE181" s="255">
        <f t="shared" si="45"/>
        <v>0.23855460285734559</v>
      </c>
      <c r="CF181" s="255">
        <f t="shared" si="45"/>
        <v>4.1747449611465953E-2</v>
      </c>
      <c r="CG181" s="255">
        <f t="shared" si="45"/>
        <v>6.9427017640794741E-3</v>
      </c>
      <c r="CH181" s="255">
        <f t="shared" si="45"/>
        <v>0</v>
      </c>
      <c r="CI181" s="255">
        <f t="shared" si="45"/>
        <v>0</v>
      </c>
      <c r="CJ181" s="330">
        <f t="shared" si="45"/>
        <v>0</v>
      </c>
      <c r="CK181" s="331">
        <f t="shared" si="45"/>
        <v>0</v>
      </c>
      <c r="CL181"/>
      <c r="CM181" s="110"/>
      <c r="DB181" s="278" t="s">
        <v>449</v>
      </c>
      <c r="DC181" s="329">
        <f ca="1">DC186/$DL186</f>
        <v>2.4777933779971529E-3</v>
      </c>
      <c r="DD181" s="255">
        <f t="shared" ref="DD181:DK181" ca="1" si="46">DD186/$DL186</f>
        <v>0</v>
      </c>
      <c r="DE181" s="255">
        <f t="shared" ca="1" si="46"/>
        <v>2.3360748236504603E-4</v>
      </c>
      <c r="DF181" s="255">
        <f t="shared" ca="1" si="46"/>
        <v>0.9929821921589066</v>
      </c>
      <c r="DG181" s="255">
        <f t="shared" ca="1" si="46"/>
        <v>0</v>
      </c>
      <c r="DH181" s="255">
        <f t="shared" ca="1" si="46"/>
        <v>4.3064069807312588E-3</v>
      </c>
      <c r="DI181" s="255">
        <f t="shared" ca="1" si="46"/>
        <v>0</v>
      </c>
      <c r="DJ181" s="330">
        <f t="shared" ca="1" si="46"/>
        <v>0</v>
      </c>
      <c r="DK181" s="331">
        <f t="shared" ca="1" si="46"/>
        <v>0</v>
      </c>
      <c r="DL181"/>
      <c r="DM181" s="110"/>
      <c r="EB181" s="324"/>
      <c r="EC181" s="325" t="str">
        <f>IF(EB127&lt;&gt;"Select Output", EB127, " ")</f>
        <v xml:space="preserve"> </v>
      </c>
      <c r="ED181" s="326" t="str">
        <f>IF(EB128&lt;&gt;"Select Output", EB128, " ")</f>
        <v>NMC(622)</v>
      </c>
      <c r="EE181" s="326" t="str">
        <f>IF(EB129&lt;&gt;"Select Output", EB129, " ")</f>
        <v>Co2+ in product</v>
      </c>
      <c r="EF181" s="326" t="str">
        <f>IF(EB130&lt;&gt;"Select Output", EB130, " ")</f>
        <v>Ni2+ in product</v>
      </c>
      <c r="EG181" s="326" t="str">
        <f>IF(EB131&lt;&gt;"Select Output", EB131, " ")</f>
        <v>Mn2+ in product</v>
      </c>
      <c r="EH181" s="326" t="str">
        <f>IF(EB132&lt;&gt;"Select Output", EB132, " ")</f>
        <v>Graphite</v>
      </c>
      <c r="EI181" s="326" t="str">
        <f>IF(EB133&lt;&gt;"Select Output", EB133, " ")</f>
        <v>Aluminum</v>
      </c>
      <c r="EJ181" s="326" t="str">
        <f>IF(EB134&lt;&gt;"Select Output", EB134, " ")</f>
        <v>Copper</v>
      </c>
      <c r="EK181" s="1394" t="str">
        <f>IF(EB135&lt;&gt;"Select Output", EB135, " ")</f>
        <v xml:space="preserve"> </v>
      </c>
      <c r="EL181"/>
      <c r="EM181"/>
    </row>
    <row r="182" spans="2:143">
      <c r="B182"/>
      <c r="C182"/>
      <c r="D182"/>
      <c r="E182"/>
      <c r="F182"/>
      <c r="G182"/>
      <c r="H182"/>
      <c r="I182"/>
      <c r="J182"/>
      <c r="K182"/>
      <c r="CJ182" s="110"/>
      <c r="CK182" s="110"/>
      <c r="CL182" s="110"/>
      <c r="CM182" s="110"/>
      <c r="DJ182" s="110"/>
      <c r="DK182" s="110"/>
      <c r="DL182" s="110"/>
      <c r="DM182" s="110"/>
      <c r="EB182" s="147" t="s">
        <v>448</v>
      </c>
      <c r="EC182" s="327">
        <f>EC127/SUM(EC$127:EC$137)</f>
        <v>0</v>
      </c>
      <c r="ED182" s="327">
        <f>EC128/SUM(EC$127:EC$137)</f>
        <v>0.18925952211970665</v>
      </c>
      <c r="EE182" s="327">
        <f>EC129/SUM(EC$127:EC$137)</f>
        <v>0</v>
      </c>
      <c r="EF182" s="327">
        <f>EC130/SUM(EC$127:EC$137)</f>
        <v>0</v>
      </c>
      <c r="EG182" s="327">
        <f>EC131/SUM(EC$127:EC$137)</f>
        <v>0</v>
      </c>
      <c r="EH182" s="327">
        <f>EC132/SUM(EC$127:EC$137)</f>
        <v>7.3101490418736689E-2</v>
      </c>
      <c r="EI182" s="327">
        <f>EC133/SUM(EC$127:EC$137)</f>
        <v>7.0972320794889985E-4</v>
      </c>
      <c r="EJ182" s="328">
        <f>EC134/SUM(EC$127:EC$137)</f>
        <v>1.1828720132481664E-3</v>
      </c>
      <c r="EK182" s="1652">
        <f>EC135/SUM(EC$127:EC$137)</f>
        <v>0</v>
      </c>
      <c r="EL182"/>
      <c r="EM182"/>
    </row>
    <row r="183" spans="2:143">
      <c r="B183"/>
      <c r="C183"/>
      <c r="D183"/>
      <c r="E183"/>
      <c r="F183"/>
      <c r="G183"/>
      <c r="H183"/>
      <c r="I183"/>
      <c r="J183"/>
      <c r="K183"/>
      <c r="BB183" s="133" t="s">
        <v>1912</v>
      </c>
      <c r="CB183" s="133" t="s">
        <v>1912</v>
      </c>
      <c r="CJ183" s="110"/>
      <c r="CK183" s="110"/>
      <c r="CL183" s="110"/>
      <c r="CM183" s="110"/>
      <c r="DB183" s="133" t="s">
        <v>1912</v>
      </c>
      <c r="DJ183" s="110"/>
      <c r="DK183" s="110"/>
      <c r="DL183" s="110"/>
      <c r="DM183" s="110"/>
      <c r="EB183" s="278" t="s">
        <v>449</v>
      </c>
      <c r="EC183" s="329">
        <f t="shared" ref="EC183:EK183" ca="1" si="47">EC188/$EL188</f>
        <v>0</v>
      </c>
      <c r="ED183" s="255">
        <f t="shared" ca="1" si="47"/>
        <v>0.99498970303909762</v>
      </c>
      <c r="EE183" s="255">
        <f t="shared" ca="1" si="47"/>
        <v>0</v>
      </c>
      <c r="EF183" s="255">
        <f t="shared" ca="1" si="47"/>
        <v>0</v>
      </c>
      <c r="EG183" s="255">
        <f t="shared" ca="1" si="47"/>
        <v>0</v>
      </c>
      <c r="EH183" s="255">
        <f t="shared" ca="1" si="47"/>
        <v>3.0745181823908117E-3</v>
      </c>
      <c r="EI183" s="255">
        <f t="shared" ca="1" si="47"/>
        <v>1.6678183350703985E-4</v>
      </c>
      <c r="EJ183" s="330">
        <f t="shared" ca="1" si="47"/>
        <v>1.7689969450045342E-3</v>
      </c>
      <c r="EK183" s="331">
        <f t="shared" ca="1" si="47"/>
        <v>0</v>
      </c>
      <c r="EL183"/>
      <c r="EM183"/>
    </row>
    <row r="184" spans="2:143">
      <c r="B184"/>
      <c r="C184"/>
      <c r="D184"/>
      <c r="E184"/>
      <c r="F184"/>
      <c r="G184"/>
      <c r="H184"/>
      <c r="I184"/>
      <c r="J184"/>
      <c r="K184"/>
      <c r="BB184" s="111" t="s">
        <v>664</v>
      </c>
      <c r="CB184" s="111" t="s">
        <v>664</v>
      </c>
      <c r="CJ184" s="110"/>
      <c r="CK184" s="110"/>
      <c r="CL184" s="110"/>
      <c r="CM184" s="110"/>
      <c r="DB184" s="111" t="s">
        <v>664</v>
      </c>
      <c r="DJ184" s="110"/>
      <c r="DK184" s="110"/>
      <c r="DL184" s="110"/>
      <c r="DM184" s="110"/>
      <c r="EJ184" s="110"/>
      <c r="EK184" s="110"/>
      <c r="EL184" s="110"/>
      <c r="EM184" s="110"/>
    </row>
    <row r="185" spans="2:143">
      <c r="B185"/>
      <c r="C185"/>
      <c r="D185"/>
      <c r="E185"/>
      <c r="F185"/>
      <c r="G185"/>
      <c r="H185"/>
      <c r="I185"/>
      <c r="J185"/>
      <c r="K185"/>
      <c r="BB185" s="324"/>
      <c r="BC185" s="332" t="str">
        <f>BC179</f>
        <v>Copper metal</v>
      </c>
      <c r="BD185" s="332" t="str">
        <f t="shared" ref="BD185:BI185" si="48">BD179</f>
        <v>Co2+ in product</v>
      </c>
      <c r="BE185" s="332" t="str">
        <f t="shared" si="48"/>
        <v>Ni2+ in product</v>
      </c>
      <c r="BF185" s="332" t="str">
        <f t="shared" si="48"/>
        <v xml:space="preserve"> </v>
      </c>
      <c r="BG185" s="332" t="str">
        <f t="shared" si="48"/>
        <v xml:space="preserve"> </v>
      </c>
      <c r="BH185" s="332" t="str">
        <f t="shared" si="48"/>
        <v xml:space="preserve"> </v>
      </c>
      <c r="BI185" s="332" t="str">
        <f t="shared" si="48"/>
        <v xml:space="preserve"> </v>
      </c>
      <c r="BJ185" s="333" t="s">
        <v>193</v>
      </c>
      <c r="BK185"/>
      <c r="BL185"/>
      <c r="BM185" s="111"/>
      <c r="CB185" s="324"/>
      <c r="CC185" s="1649" t="str">
        <f>CC179</f>
        <v>Lithium Carbonate (crude)</v>
      </c>
      <c r="CD185" s="1649" t="str">
        <f t="shared" ref="CD185:CK185" si="49">CD179</f>
        <v>Co2+ in product</v>
      </c>
      <c r="CE185" s="1649" t="str">
        <f t="shared" si="49"/>
        <v>Ni2+ in product</v>
      </c>
      <c r="CF185" s="1649" t="str">
        <f t="shared" si="49"/>
        <v>Mn2+ in product</v>
      </c>
      <c r="CG185" s="1649" t="str">
        <f t="shared" si="49"/>
        <v>Graphite</v>
      </c>
      <c r="CH185" s="1649" t="str">
        <f t="shared" si="49"/>
        <v xml:space="preserve"> </v>
      </c>
      <c r="CI185" s="1649" t="str">
        <f t="shared" si="49"/>
        <v xml:space="preserve"> </v>
      </c>
      <c r="CJ185" s="1649" t="str">
        <f t="shared" si="49"/>
        <v xml:space="preserve"> </v>
      </c>
      <c r="CK185" s="1649" t="str">
        <f t="shared" si="49"/>
        <v xml:space="preserve"> </v>
      </c>
      <c r="CL185" s="333" t="s">
        <v>193</v>
      </c>
      <c r="DB185" s="324"/>
      <c r="DC185" s="332" t="str">
        <f>DC179</f>
        <v>Copper</v>
      </c>
      <c r="DD185" s="332" t="str">
        <f t="shared" ref="DD185:DK185" si="50">DD179</f>
        <v xml:space="preserve"> </v>
      </c>
      <c r="DE185" s="332" t="str">
        <f t="shared" si="50"/>
        <v>Aluminum</v>
      </c>
      <c r="DF185" s="332" t="str">
        <f t="shared" si="50"/>
        <v>NMC(622)</v>
      </c>
      <c r="DG185" s="332" t="str">
        <f t="shared" si="50"/>
        <v xml:space="preserve"> </v>
      </c>
      <c r="DH185" s="332" t="str">
        <f t="shared" si="50"/>
        <v>Graphite</v>
      </c>
      <c r="DI185" s="332" t="str">
        <f t="shared" si="50"/>
        <v xml:space="preserve"> </v>
      </c>
      <c r="DJ185" s="332" t="str">
        <f t="shared" si="50"/>
        <v xml:space="preserve"> </v>
      </c>
      <c r="DK185" s="332" t="str">
        <f t="shared" si="50"/>
        <v xml:space="preserve"> </v>
      </c>
      <c r="DL185" s="333" t="s">
        <v>193</v>
      </c>
      <c r="EB185" s="133" t="s">
        <v>1912</v>
      </c>
      <c r="EJ185" s="110"/>
      <c r="EK185" s="110"/>
      <c r="EL185" s="110"/>
      <c r="EM185" s="110"/>
    </row>
    <row r="186" spans="2:143">
      <c r="B186"/>
      <c r="C186"/>
      <c r="D186"/>
      <c r="E186"/>
      <c r="F186"/>
      <c r="G186"/>
      <c r="H186"/>
      <c r="I186"/>
      <c r="J186"/>
      <c r="K186"/>
      <c r="BB186" s="253" t="s">
        <v>1921</v>
      </c>
      <c r="BC186" s="334">
        <f>BC127*IFERROR(VLOOKUP(BB127,$B$33:$C$51,2,FALSE),0)</f>
        <v>3.6832586339999994E-2</v>
      </c>
      <c r="BD186" s="335">
        <f>BC128*IFERROR(VLOOKUP(BB128,$B$33:$C$50,2,FALSE),0)</f>
        <v>6.1431295375999992</v>
      </c>
      <c r="BE186" s="335">
        <f>BC129*IFERROR(VLOOKUP(BB129,$B$33:$C$50,2,FALSE),0)</f>
        <v>2.0560659999999999</v>
      </c>
      <c r="BF186" s="335">
        <f>BC130*IFERROR(VLOOKUP(BB130,$B$33:$C$50,2,FALSE),0)</f>
        <v>0</v>
      </c>
      <c r="BG186" s="335">
        <f>BC131*IFERROR(VLOOKUP(BB131,$B$33:$C$50,2,FALSE),0)</f>
        <v>0</v>
      </c>
      <c r="BH186" s="335">
        <f>BC132*IFERROR(VLOOKUP(BB132,$B$33:$C$50,2,FALSE),0)</f>
        <v>0</v>
      </c>
      <c r="BI186" s="335">
        <f>BC133*IFERROR(VLOOKUP(BB133,$B$33:$C$50,2,FALSE),0)</f>
        <v>0</v>
      </c>
      <c r="BJ186" s="337">
        <f>SUM(BC186:BI186)</f>
        <v>8.2360281239399988</v>
      </c>
      <c r="BK186"/>
      <c r="BL186"/>
      <c r="BM186" s="111"/>
      <c r="BN186" s="266"/>
      <c r="CB186" s="253" t="s">
        <v>1921</v>
      </c>
      <c r="CC186" s="334">
        <f>CC126*IFERROR(VLOOKUP(CB126,$B$33:$C$50,2,FALSE),0)</f>
        <v>0</v>
      </c>
      <c r="CD186" s="335">
        <f>CC127*IFERROR(VLOOKUP(CB127,$B$33:$C$50,2,FALSE),0)</f>
        <v>6.3445436207999997</v>
      </c>
      <c r="CE186" s="335">
        <f>CC128*IFERROR(VLOOKUP(CB128,$B$33:$C$50,2,FALSE),0)</f>
        <v>2.1234780000000004</v>
      </c>
      <c r="CF186" s="335">
        <f>CC129*IFERROR(VLOOKUP(CB129,$B$33:$C$50,2,FALSE),0)</f>
        <v>0.37161215815679999</v>
      </c>
      <c r="CG186" s="335">
        <f>CC130*IFERROR(VLOOKUP(CB130,$B$33:$C$50,2,FALSE),0)</f>
        <v>6.1800000000000001E-2</v>
      </c>
      <c r="CH186" s="335">
        <f>CC131*IFERROR(VLOOKUP(CB131,$B$33:$C$50,2,FALSE),0)</f>
        <v>0</v>
      </c>
      <c r="CI186" s="335">
        <f>CC132*IFERROR(VLOOKUP(CB132,$B$33:$C$50,2,FALSE),0)</f>
        <v>0</v>
      </c>
      <c r="CJ186" s="336">
        <f>CC133*IFERROR(VLOOKUP(CB133,$B$33:$C$50,2,FALSE),0)</f>
        <v>0</v>
      </c>
      <c r="CK186" s="336">
        <f>CC134*IFERROR(VLOOKUP(CB134,$B$33:$C$50,2,FALSE),0)</f>
        <v>0</v>
      </c>
      <c r="CL186" s="337">
        <f>SUM(CC186:CK186)</f>
        <v>8.9014337789568003</v>
      </c>
      <c r="DB186" s="253" t="s">
        <v>1921</v>
      </c>
      <c r="DC186" s="334">
        <f>DC126*IFERROR(VLOOKUP(DB126,$B$33:$C$50,2,FALSE),0)</f>
        <v>3.5558095517999995E-2</v>
      </c>
      <c r="DD186" s="335">
        <f>DC127*IFERROR(VLOOKUP(DB127,$B$33:$C$50,2,FALSE),0)</f>
        <v>0</v>
      </c>
      <c r="DE186" s="335">
        <f>DC128*IFERROR(VLOOKUP(DB128,$B$33:$C$50,2,FALSE),0)</f>
        <v>3.3524333567999999E-3</v>
      </c>
      <c r="DF186" s="335">
        <f ca="1">DC129*IFERROR(VLOOKUP(DB129,$B$33:$C$50,2,FALSE),0)</f>
        <v>14.249999999999998</v>
      </c>
      <c r="DG186" s="335">
        <f>DC130*IFERROR(VLOOKUP(DB130,$B$33:$C$50,2,FALSE),0)</f>
        <v>0</v>
      </c>
      <c r="DH186" s="335">
        <f>DC131*IFERROR(VLOOKUP(DB131,$B$33:$C$50,2,FALSE),0)</f>
        <v>6.1800000000000001E-2</v>
      </c>
      <c r="DI186" s="335">
        <f>DC132*IFERROR(VLOOKUP(DB132,$B$33:$C$50,2,FALSE),0)</f>
        <v>0</v>
      </c>
      <c r="DJ186" s="336">
        <f>DC133*IFERROR(VLOOKUP(DB133,$B$33:$C$50,2,FALSE),0)</f>
        <v>0</v>
      </c>
      <c r="DK186" s="336">
        <f>DC134*IFERROR(VLOOKUP(DB134,$B$33:$C$50,2,FALSE),0)</f>
        <v>0</v>
      </c>
      <c r="DL186" s="337">
        <f ca="1">SUM(DC186:DK186)</f>
        <v>14.350710528874798</v>
      </c>
      <c r="DN186" s="266"/>
      <c r="EB186" s="111" t="s">
        <v>664</v>
      </c>
      <c r="EJ186" s="110"/>
      <c r="EK186" s="110"/>
      <c r="EL186" s="110"/>
      <c r="EM186" s="110"/>
    </row>
    <row r="187" spans="2:143">
      <c r="B187"/>
      <c r="C187"/>
      <c r="D187"/>
      <c r="E187"/>
      <c r="F187"/>
      <c r="G187"/>
      <c r="H187"/>
      <c r="I187"/>
      <c r="J187"/>
      <c r="K187"/>
      <c r="CJ187" s="110"/>
      <c r="CK187" s="110"/>
      <c r="CL187" s="110"/>
      <c r="CM187" s="1065"/>
      <c r="DJ187" s="110"/>
      <c r="DK187" s="110"/>
      <c r="DL187" s="110"/>
      <c r="DM187" s="110"/>
      <c r="EB187" s="324"/>
      <c r="EC187" s="332" t="str">
        <f t="shared" ref="EC187:EK187" si="51">EC181</f>
        <v xml:space="preserve"> </v>
      </c>
      <c r="ED187" s="332" t="str">
        <f t="shared" si="51"/>
        <v>NMC(622)</v>
      </c>
      <c r="EE187" s="332" t="str">
        <f t="shared" si="51"/>
        <v>Co2+ in product</v>
      </c>
      <c r="EF187" s="332" t="str">
        <f t="shared" si="51"/>
        <v>Ni2+ in product</v>
      </c>
      <c r="EG187" s="332" t="str">
        <f t="shared" si="51"/>
        <v>Mn2+ in product</v>
      </c>
      <c r="EH187" s="332" t="str">
        <f t="shared" si="51"/>
        <v>Graphite</v>
      </c>
      <c r="EI187" s="332" t="str">
        <f t="shared" si="51"/>
        <v>Aluminum</v>
      </c>
      <c r="EJ187" s="332" t="str">
        <f t="shared" si="51"/>
        <v>Copper</v>
      </c>
      <c r="EK187" s="332" t="str">
        <f t="shared" si="51"/>
        <v xml:space="preserve"> </v>
      </c>
      <c r="EL187" s="333" t="s">
        <v>193</v>
      </c>
      <c r="EM187"/>
    </row>
    <row r="188" spans="2:143">
      <c r="B188"/>
      <c r="C188"/>
      <c r="D188"/>
      <c r="E188"/>
      <c r="F188"/>
      <c r="G188"/>
      <c r="H188"/>
      <c r="I188"/>
      <c r="J188"/>
      <c r="K188"/>
      <c r="BB188" s="111" t="s">
        <v>1917</v>
      </c>
      <c r="CB188" s="111" t="s">
        <v>1917</v>
      </c>
      <c r="CJ188" s="110"/>
      <c r="CK188" s="110"/>
      <c r="CL188" s="110"/>
      <c r="CM188" s="110"/>
      <c r="DB188" s="111" t="s">
        <v>1917</v>
      </c>
      <c r="DJ188" s="110"/>
      <c r="DK188" s="110"/>
      <c r="DL188" s="110"/>
      <c r="DM188" s="110"/>
      <c r="EB188" s="253" t="s">
        <v>1921</v>
      </c>
      <c r="EC188" s="334">
        <f>EC127*IFERROR(VLOOKUP(EB127,$B$33:$C$50,2,FALSE),0)</f>
        <v>0</v>
      </c>
      <c r="ED188" s="335">
        <f ca="1">EC128*IFERROR(VLOOKUP(EB128,$B$33:$C$50,2,FALSE),0)</f>
        <v>20</v>
      </c>
      <c r="EE188" s="335">
        <f>EC129*IFERROR(VLOOKUP(EB129,$B$33:$C$50,2,FALSE),0)</f>
        <v>0</v>
      </c>
      <c r="EF188" s="335">
        <f>EC130*IFERROR(VLOOKUP(EB130,$B$33:$C$50,2,FALSE),0)</f>
        <v>0</v>
      </c>
      <c r="EG188" s="335">
        <f>EC131*IFERROR(VLOOKUP(EB131,$B$33:$C$50,2,FALSE),0)</f>
        <v>0</v>
      </c>
      <c r="EH188" s="335">
        <f>EC132*IFERROR(VLOOKUP(EB132,$B$33:$C$50,2,FALSE),0)</f>
        <v>6.1800000000000001E-2</v>
      </c>
      <c r="EI188" s="335">
        <f>EC133*IFERROR(VLOOKUP(EB133,$B$33:$C$50,2,FALSE),0)</f>
        <v>3.3524333567999999E-3</v>
      </c>
      <c r="EJ188" s="336">
        <f>EC134*IFERROR(VLOOKUP(EB134,$B$33:$C$50,2,FALSE),0)</f>
        <v>3.5558095517999995E-2</v>
      </c>
      <c r="EK188" s="336">
        <f>EC135*IFERROR(VLOOKUP(EB135,$B$33:$C$50,2,FALSE),0)</f>
        <v>0</v>
      </c>
      <c r="EL188" s="337">
        <f ca="1">SUM(EC188:EK188)</f>
        <v>20.100710528874799</v>
      </c>
      <c r="EM188"/>
    </row>
    <row r="189" spans="2:143">
      <c r="B189"/>
      <c r="C189"/>
      <c r="D189"/>
      <c r="E189"/>
      <c r="F189"/>
      <c r="G189"/>
      <c r="H189"/>
      <c r="I189"/>
      <c r="J189"/>
      <c r="K189"/>
      <c r="BB189" s="1602" t="s">
        <v>1974</v>
      </c>
      <c r="BC189" s="1603">
        <f ca="1">BC190+BC191</f>
        <v>81013602.893170431</v>
      </c>
      <c r="BE189"/>
      <c r="BF189"/>
      <c r="BG189"/>
      <c r="CB189" s="1602" t="s">
        <v>1530</v>
      </c>
      <c r="CC189" s="1603">
        <f ca="1">CC190+CC191</f>
        <v>45251123.525253616</v>
      </c>
      <c r="CE189"/>
      <c r="CF189"/>
      <c r="CG189"/>
      <c r="CJ189" s="110"/>
      <c r="CK189" s="110"/>
      <c r="CL189" s="110"/>
      <c r="CM189" s="110"/>
      <c r="DB189" s="1602" t="s">
        <v>1530</v>
      </c>
      <c r="DC189" s="1603">
        <f ca="1">DC190+DC191</f>
        <v>63961851.416102163</v>
      </c>
      <c r="DD189"/>
      <c r="DE189"/>
      <c r="DF189"/>
      <c r="DG189"/>
      <c r="DJ189" s="110"/>
      <c r="DK189" s="110"/>
      <c r="DL189" s="110"/>
      <c r="DM189" s="110"/>
    </row>
    <row r="190" spans="2:143">
      <c r="B190"/>
      <c r="C190"/>
      <c r="D190"/>
      <c r="E190"/>
      <c r="F190"/>
      <c r="G190"/>
      <c r="H190"/>
      <c r="I190"/>
      <c r="J190"/>
      <c r="K190"/>
      <c r="BA190" s="111" t="s">
        <v>1980</v>
      </c>
      <c r="BB190" s="340" t="s">
        <v>1526</v>
      </c>
      <c r="BC190" s="348">
        <f>BD454</f>
        <v>75592543.843093336</v>
      </c>
      <c r="BE190"/>
      <c r="BF190"/>
      <c r="BG190"/>
      <c r="CB190" s="340" t="s">
        <v>1526</v>
      </c>
      <c r="CC190" s="348">
        <f>CD454</f>
        <v>39743987.41943308</v>
      </c>
      <c r="CE190"/>
      <c r="CF190"/>
      <c r="CG190"/>
      <c r="CJ190" s="110"/>
      <c r="CK190" s="110"/>
      <c r="CL190" s="110"/>
      <c r="CM190" s="110"/>
      <c r="DB190" s="340" t="s">
        <v>1526</v>
      </c>
      <c r="DC190" s="348">
        <f>DD454</f>
        <v>56957381.007111177</v>
      </c>
      <c r="DD190"/>
      <c r="DE190"/>
      <c r="DF190"/>
      <c r="DG190"/>
      <c r="DJ190" s="110"/>
      <c r="DK190" s="110"/>
      <c r="DL190" s="110"/>
      <c r="DM190" s="110"/>
      <c r="EB190" s="111" t="s">
        <v>1917</v>
      </c>
    </row>
    <row r="191" spans="2:143">
      <c r="B191"/>
      <c r="C191"/>
      <c r="D191"/>
      <c r="E191"/>
      <c r="F191"/>
      <c r="G191"/>
      <c r="H191"/>
      <c r="I191"/>
      <c r="J191"/>
      <c r="K191"/>
      <c r="BB191" s="340" t="s">
        <v>1529</v>
      </c>
      <c r="BC191" s="348">
        <f ca="1">BD472</f>
        <v>5421059.0500770956</v>
      </c>
      <c r="BE191"/>
      <c r="BF191"/>
      <c r="BG191"/>
      <c r="CB191" s="340" t="s">
        <v>1529</v>
      </c>
      <c r="CC191" s="348">
        <f ca="1">CD472</f>
        <v>5507136.1058205394</v>
      </c>
      <c r="CE191"/>
      <c r="CF191"/>
      <c r="CG191"/>
      <c r="CJ191" s="110"/>
      <c r="CK191" s="110"/>
      <c r="CL191" s="110"/>
      <c r="CM191" s="110"/>
      <c r="DB191" s="340" t="s">
        <v>1529</v>
      </c>
      <c r="DC191" s="348">
        <f ca="1">DD472</f>
        <v>7004470.4089909839</v>
      </c>
      <c r="DD191"/>
      <c r="DE191"/>
      <c r="DF191"/>
      <c r="DG191"/>
      <c r="DJ191" s="110"/>
      <c r="DK191" s="110"/>
      <c r="DL191" s="110"/>
      <c r="DM191" s="110"/>
      <c r="EB191" s="1602" t="s">
        <v>1530</v>
      </c>
      <c r="EC191" s="1603">
        <f ca="1">EC192+EC193</f>
        <v>49361850.444403403</v>
      </c>
    </row>
    <row r="192" spans="2:143">
      <c r="B192"/>
      <c r="C192"/>
      <c r="D192"/>
      <c r="E192"/>
      <c r="F192"/>
      <c r="G192"/>
      <c r="H192"/>
      <c r="I192"/>
      <c r="J192"/>
      <c r="K192"/>
      <c r="BB192" s="343" t="s">
        <v>1869</v>
      </c>
      <c r="BC192" s="348">
        <f>BD477</f>
        <v>32357723.688910976</v>
      </c>
      <c r="BE192"/>
      <c r="BF192"/>
      <c r="BG192"/>
      <c r="CB192" s="343" t="s">
        <v>1869</v>
      </c>
      <c r="CC192" s="348">
        <f>CD477</f>
        <v>41533923.86166618</v>
      </c>
      <c r="CE192"/>
      <c r="CF192"/>
      <c r="CG192"/>
      <c r="CJ192" s="110"/>
      <c r="CK192" s="110"/>
      <c r="CL192" s="110"/>
      <c r="CM192" s="110"/>
      <c r="DB192" s="343" t="s">
        <v>1869</v>
      </c>
      <c r="DC192" s="348">
        <f>DD477</f>
        <v>52873938.951833054</v>
      </c>
      <c r="DD192"/>
      <c r="DE192"/>
      <c r="DF192"/>
      <c r="DG192"/>
      <c r="DJ192" s="110"/>
      <c r="DK192" s="110"/>
      <c r="DL192" s="110"/>
      <c r="DM192" s="110"/>
      <c r="EB192" s="340" t="s">
        <v>1526</v>
      </c>
      <c r="EC192" s="348">
        <f>ED454</f>
        <v>43274806.024939805</v>
      </c>
    </row>
    <row r="193" spans="2:135">
      <c r="B193"/>
      <c r="C193"/>
      <c r="D193"/>
      <c r="E193"/>
      <c r="F193"/>
      <c r="G193"/>
      <c r="H193"/>
      <c r="I193"/>
      <c r="J193"/>
      <c r="K193"/>
      <c r="BB193" s="343" t="s">
        <v>1870</v>
      </c>
      <c r="BC193" s="348">
        <f ca="1">BD483</f>
        <v>6987747.5340059102</v>
      </c>
      <c r="BE193"/>
      <c r="BF193"/>
      <c r="BG193"/>
      <c r="CB193" s="343" t="s">
        <v>1870</v>
      </c>
      <c r="CC193" s="348">
        <f ca="1">CD483</f>
        <v>5123005.5944200139</v>
      </c>
      <c r="CE193"/>
      <c r="CF193"/>
      <c r="CG193"/>
      <c r="CJ193" s="110"/>
      <c r="CK193" s="110"/>
      <c r="CL193" s="110"/>
      <c r="CM193" s="110"/>
      <c r="DB193" s="343" t="s">
        <v>1870</v>
      </c>
      <c r="DC193" s="348">
        <f ca="1">DD483</f>
        <v>7017877.6078394214</v>
      </c>
      <c r="DD193"/>
      <c r="DE193"/>
      <c r="DF193"/>
      <c r="DG193"/>
      <c r="DJ193" s="110"/>
      <c r="DK193" s="110"/>
      <c r="DL193" s="110"/>
      <c r="DM193" s="110"/>
      <c r="EB193" s="340" t="s">
        <v>1529</v>
      </c>
      <c r="EC193" s="348">
        <f ca="1">ED472</f>
        <v>6087044.4194608862</v>
      </c>
    </row>
    <row r="194" spans="2:135">
      <c r="B194"/>
      <c r="C194"/>
      <c r="D194"/>
      <c r="E194"/>
      <c r="F194"/>
      <c r="G194"/>
      <c r="H194"/>
      <c r="I194"/>
      <c r="J194"/>
      <c r="K194"/>
      <c r="BB194" s="343" t="s">
        <v>1871</v>
      </c>
      <c r="BC194" s="348">
        <f ca="1">BC192+BC193</f>
        <v>39345471.222916886</v>
      </c>
      <c r="BE194"/>
      <c r="BF194"/>
      <c r="BG194"/>
      <c r="CB194" s="343" t="s">
        <v>1871</v>
      </c>
      <c r="CC194" s="348">
        <f ca="1">CC192+CC193</f>
        <v>46656929.456086196</v>
      </c>
      <c r="CE194"/>
      <c r="CF194"/>
      <c r="CG194"/>
      <c r="CJ194" s="110"/>
      <c r="CK194" s="110"/>
      <c r="CL194" s="110"/>
      <c r="CM194" s="110"/>
      <c r="DB194" s="343" t="s">
        <v>1871</v>
      </c>
      <c r="DC194" s="348">
        <f ca="1">DC192+DC193</f>
        <v>59891816.559672475</v>
      </c>
      <c r="DD194"/>
      <c r="DE194"/>
      <c r="DF194"/>
      <c r="DG194"/>
      <c r="DJ194" s="110"/>
      <c r="DK194" s="110"/>
      <c r="DL194" s="110"/>
      <c r="DM194" s="110"/>
      <c r="EB194" s="343" t="s">
        <v>1869</v>
      </c>
      <c r="EC194" s="348">
        <f>ED477</f>
        <v>46283588.720100105</v>
      </c>
    </row>
    <row r="195" spans="2:135">
      <c r="B195"/>
      <c r="C195"/>
      <c r="D195"/>
      <c r="E195"/>
      <c r="F195"/>
      <c r="G195"/>
      <c r="H195"/>
      <c r="I195"/>
      <c r="J195"/>
      <c r="K195"/>
      <c r="BB195" s="343" t="s">
        <v>1872</v>
      </c>
      <c r="BC195" s="348">
        <f>BD501</f>
        <v>7981217.750739242</v>
      </c>
      <c r="BE195"/>
      <c r="BF195"/>
      <c r="BG195"/>
      <c r="CB195" s="343" t="s">
        <v>1872</v>
      </c>
      <c r="CC195" s="348">
        <f>CD501</f>
        <v>4196252.7221673662</v>
      </c>
      <c r="CE195"/>
      <c r="CF195"/>
      <c r="CG195"/>
      <c r="CJ195" s="110"/>
      <c r="CK195" s="110"/>
      <c r="CL195" s="110"/>
      <c r="CM195" s="110"/>
      <c r="DB195" s="343" t="s">
        <v>1872</v>
      </c>
      <c r="DC195" s="348">
        <f>DD501</f>
        <v>6013678.5616470343</v>
      </c>
      <c r="DD195"/>
      <c r="DE195"/>
      <c r="DF195"/>
      <c r="DG195"/>
      <c r="DJ195" s="110"/>
      <c r="DK195" s="110"/>
      <c r="DL195" s="110"/>
      <c r="DM195" s="110"/>
      <c r="EB195" s="343" t="s">
        <v>1870</v>
      </c>
      <c r="EC195" s="348">
        <f ca="1">ED483</f>
        <v>6526608.9678430352</v>
      </c>
    </row>
    <row r="196" spans="2:135">
      <c r="B196"/>
      <c r="C196"/>
      <c r="D196"/>
      <c r="E196"/>
      <c r="F196"/>
      <c r="G196"/>
      <c r="H196"/>
      <c r="I196"/>
      <c r="J196"/>
      <c r="K196"/>
      <c r="BB196" s="343" t="s">
        <v>1920</v>
      </c>
      <c r="BC196" s="1252">
        <f>C89</f>
        <v>2.2999999999999998</v>
      </c>
      <c r="BE196"/>
      <c r="BF196"/>
      <c r="BG196"/>
      <c r="CB196" s="343" t="s">
        <v>1920</v>
      </c>
      <c r="CC196" s="1252">
        <f>D89</f>
        <v>2.56</v>
      </c>
      <c r="CE196"/>
      <c r="CF196"/>
      <c r="CG196"/>
      <c r="CJ196" s="110"/>
      <c r="CK196" s="110"/>
      <c r="CL196" s="110"/>
      <c r="CM196" s="110"/>
      <c r="DB196" s="343" t="s">
        <v>1920</v>
      </c>
      <c r="DC196" s="1252">
        <f>E89</f>
        <v>3.14</v>
      </c>
      <c r="DD196"/>
      <c r="DE196"/>
      <c r="DF196"/>
      <c r="DG196"/>
      <c r="DJ196" s="110"/>
      <c r="DK196" s="110"/>
      <c r="DL196" s="110"/>
      <c r="DM196" s="110"/>
      <c r="EB196" s="343" t="s">
        <v>1871</v>
      </c>
      <c r="EC196" s="348">
        <f ca="1">EC194+EC195</f>
        <v>52810197.687943138</v>
      </c>
    </row>
    <row r="197" spans="2:135">
      <c r="B197"/>
      <c r="C197"/>
      <c r="D197"/>
      <c r="E197"/>
      <c r="F197"/>
      <c r="G197"/>
      <c r="H197"/>
      <c r="I197"/>
      <c r="J197"/>
      <c r="K197"/>
      <c r="BB197" s="349" t="s">
        <v>1925</v>
      </c>
      <c r="BC197" s="1253">
        <f ca="1">(BC194+BC195)/BC25/1000+IF(BC196&lt;0,BC196,0)</f>
        <v>4.7326688973656124</v>
      </c>
      <c r="BE197"/>
      <c r="BF197"/>
      <c r="BG197"/>
      <c r="CB197" s="349" t="s">
        <v>1925</v>
      </c>
      <c r="CC197" s="1253">
        <f ca="1">(CC194+CC195)/CC25/1000+IF(CC196&lt;0,CC196,0)</f>
        <v>5.0853182178253569</v>
      </c>
      <c r="CE197"/>
      <c r="CF197"/>
      <c r="CG197"/>
      <c r="CJ197" s="110"/>
      <c r="CK197" s="110"/>
      <c r="CL197" s="110"/>
      <c r="CM197" s="110"/>
      <c r="DB197" s="349" t="s">
        <v>1925</v>
      </c>
      <c r="DC197" s="1253">
        <f ca="1">(DC194+DC195)/DC25/1000+IF(DC196&lt;0,DC196,0)</f>
        <v>6.5905495121319513</v>
      </c>
      <c r="DD197"/>
      <c r="DE197"/>
      <c r="DF197"/>
      <c r="DG197"/>
      <c r="DJ197" s="110"/>
      <c r="DK197" s="110"/>
      <c r="DL197" s="110"/>
      <c r="DM197" s="110"/>
      <c r="EB197" s="343" t="s">
        <v>1872</v>
      </c>
      <c r="EC197" s="348">
        <f>ED501</f>
        <v>4569043.8824622771</v>
      </c>
    </row>
    <row r="198" spans="2:135">
      <c r="B198"/>
      <c r="C198"/>
      <c r="D198"/>
      <c r="E198"/>
      <c r="F198"/>
      <c r="G198"/>
      <c r="H198"/>
      <c r="I198"/>
      <c r="J198"/>
      <c r="K198"/>
      <c r="BB198"/>
      <c r="BC198"/>
      <c r="BE198"/>
      <c r="BF198"/>
      <c r="BG198"/>
      <c r="CB198"/>
      <c r="CC198"/>
      <c r="CD198"/>
      <c r="CE198"/>
      <c r="CF198"/>
      <c r="CG198"/>
      <c r="CJ198" s="110"/>
      <c r="CK198" s="110"/>
      <c r="CL198" s="110"/>
      <c r="CM198" s="110"/>
      <c r="DB198"/>
      <c r="DC198"/>
      <c r="DD198"/>
      <c r="DE198"/>
      <c r="DF198"/>
      <c r="DG198"/>
      <c r="DJ198" s="110"/>
      <c r="DK198" s="110"/>
      <c r="DL198" s="110"/>
      <c r="DM198" s="110"/>
      <c r="EB198" s="343" t="s">
        <v>1920</v>
      </c>
      <c r="EC198" s="1252">
        <f>F89</f>
        <v>3</v>
      </c>
    </row>
    <row r="199" spans="2:135">
      <c r="B199"/>
      <c r="C199"/>
      <c r="D199"/>
      <c r="E199"/>
      <c r="F199"/>
      <c r="G199"/>
      <c r="H199"/>
      <c r="I199"/>
      <c r="J199"/>
      <c r="K199"/>
      <c r="BB199"/>
      <c r="BC199"/>
      <c r="BD199"/>
      <c r="BE199"/>
      <c r="CB199"/>
      <c r="CC199"/>
      <c r="CD199"/>
      <c r="CE199"/>
      <c r="CJ199" s="110"/>
      <c r="CK199" s="110"/>
      <c r="CL199" s="110"/>
      <c r="CM199" s="110"/>
      <c r="DB199"/>
      <c r="DC199"/>
      <c r="DD199"/>
      <c r="DE199"/>
      <c r="DJ199" s="110"/>
      <c r="DK199" s="110"/>
      <c r="DL199" s="110"/>
      <c r="DM199" s="110"/>
      <c r="EB199" s="349" t="s">
        <v>1925</v>
      </c>
      <c r="EC199" s="1253">
        <f ca="1">(EC196+EC197)/EC26/1000+IF(EC198&lt;0,EC198,0)</f>
        <v>5.7379241570405419</v>
      </c>
      <c r="EE199"/>
    </row>
    <row r="200" spans="2:135">
      <c r="B200"/>
      <c r="C200"/>
      <c r="D200"/>
      <c r="E200"/>
      <c r="F200"/>
      <c r="G200"/>
      <c r="H200"/>
      <c r="I200"/>
      <c r="J200"/>
      <c r="K200"/>
      <c r="CD200"/>
      <c r="CE200"/>
      <c r="CF200"/>
      <c r="CG200"/>
      <c r="CH200"/>
      <c r="CI200"/>
      <c r="CJ200"/>
      <c r="CK200"/>
      <c r="CL200"/>
      <c r="CM200"/>
      <c r="DB200"/>
      <c r="DC200"/>
      <c r="DD200"/>
      <c r="DE200"/>
      <c r="DF200"/>
      <c r="DG200"/>
      <c r="DH200"/>
      <c r="DI200"/>
      <c r="DJ200"/>
      <c r="DK200"/>
      <c r="DL200"/>
      <c r="DM200"/>
      <c r="EB200"/>
      <c r="EC200"/>
      <c r="ED200"/>
      <c r="EE200"/>
    </row>
    <row r="201" spans="2:135">
      <c r="B201"/>
      <c r="C201"/>
      <c r="D201"/>
      <c r="E201"/>
      <c r="F201"/>
      <c r="G201"/>
      <c r="H201"/>
      <c r="I201"/>
      <c r="J201"/>
      <c r="K201"/>
      <c r="CB201"/>
      <c r="CC201"/>
      <c r="CD201"/>
      <c r="CE201"/>
      <c r="CF201"/>
      <c r="CG201"/>
      <c r="CH201"/>
      <c r="CI201"/>
      <c r="CJ201"/>
      <c r="CK201"/>
      <c r="CL201"/>
      <c r="CM201"/>
      <c r="DB201"/>
      <c r="DC201"/>
      <c r="DD201"/>
      <c r="DE201"/>
      <c r="DF201"/>
      <c r="DG201"/>
      <c r="DH201"/>
      <c r="DI201"/>
      <c r="DJ201"/>
      <c r="DK201"/>
      <c r="DL201"/>
      <c r="DM201"/>
      <c r="EB201"/>
      <c r="EC201"/>
      <c r="ED201"/>
      <c r="EE201"/>
    </row>
    <row r="202" spans="2:135">
      <c r="B202"/>
      <c r="C202"/>
      <c r="D202"/>
      <c r="E202"/>
      <c r="F202"/>
      <c r="G202"/>
      <c r="H202"/>
      <c r="I202"/>
      <c r="J202"/>
      <c r="K202"/>
      <c r="CB202"/>
      <c r="CC202"/>
      <c r="CD202"/>
      <c r="CE202"/>
      <c r="CF202"/>
      <c r="CG202"/>
      <c r="CH202"/>
      <c r="CI202"/>
      <c r="CJ202"/>
      <c r="CK202"/>
      <c r="CL202"/>
      <c r="CM202"/>
      <c r="DB202"/>
      <c r="DC202"/>
      <c r="DD202"/>
      <c r="DE202"/>
      <c r="DF202"/>
      <c r="DG202"/>
      <c r="DH202"/>
      <c r="DI202"/>
      <c r="DJ202"/>
      <c r="DK202"/>
      <c r="DL202"/>
      <c r="DM202"/>
    </row>
    <row r="203" spans="2:135">
      <c r="B203"/>
      <c r="C203"/>
      <c r="D203"/>
      <c r="E203"/>
      <c r="F203"/>
      <c r="G203"/>
      <c r="H203"/>
      <c r="I203"/>
      <c r="J203"/>
      <c r="K203"/>
      <c r="CB203"/>
      <c r="CC203"/>
      <c r="CD203"/>
      <c r="CE203"/>
      <c r="CF203"/>
      <c r="CG203"/>
      <c r="CH203"/>
      <c r="CI203"/>
      <c r="CJ203"/>
      <c r="CK203"/>
      <c r="CL203"/>
      <c r="CM203"/>
      <c r="DB203"/>
      <c r="DC203"/>
      <c r="DD203"/>
      <c r="DE203"/>
      <c r="DF203"/>
      <c r="DG203"/>
      <c r="DH203"/>
      <c r="DI203"/>
      <c r="DJ203"/>
      <c r="DK203"/>
      <c r="DL203"/>
      <c r="DM203"/>
    </row>
    <row r="204" spans="2:135">
      <c r="B204"/>
      <c r="C204"/>
      <c r="D204"/>
      <c r="E204"/>
      <c r="F204"/>
      <c r="G204"/>
      <c r="H204"/>
      <c r="I204"/>
      <c r="J204"/>
      <c r="K204"/>
      <c r="CB204"/>
      <c r="CC204"/>
      <c r="CD204"/>
      <c r="CE204"/>
      <c r="CF204"/>
      <c r="CG204"/>
      <c r="CH204"/>
      <c r="CI204"/>
      <c r="CJ204"/>
      <c r="CK204"/>
      <c r="CL204"/>
      <c r="CM204"/>
      <c r="DB204"/>
      <c r="DC204"/>
      <c r="DD204"/>
      <c r="DE204"/>
      <c r="DF204"/>
      <c r="DG204"/>
      <c r="DH204"/>
      <c r="DI204"/>
      <c r="DJ204"/>
      <c r="DK204"/>
      <c r="DL204"/>
      <c r="DM204"/>
    </row>
    <row r="205" spans="2:135">
      <c r="B205"/>
      <c r="C205"/>
      <c r="D205"/>
      <c r="E205"/>
      <c r="F205"/>
      <c r="G205"/>
      <c r="H205"/>
      <c r="I205"/>
      <c r="J205"/>
      <c r="K205"/>
      <c r="CB205"/>
      <c r="CC205"/>
      <c r="CD205"/>
      <c r="CE205"/>
      <c r="CF205"/>
      <c r="CG205"/>
      <c r="CH205"/>
      <c r="CI205"/>
      <c r="CJ205"/>
      <c r="CK205"/>
      <c r="CL205"/>
      <c r="CM205"/>
      <c r="DB205"/>
      <c r="DC205"/>
      <c r="DD205"/>
      <c r="DE205"/>
      <c r="DF205"/>
      <c r="DG205"/>
      <c r="DH205"/>
      <c r="DI205"/>
      <c r="DJ205"/>
      <c r="DK205"/>
      <c r="DL205"/>
      <c r="DM205"/>
    </row>
    <row r="206" spans="2:135">
      <c r="B206"/>
      <c r="C206"/>
      <c r="D206"/>
      <c r="E206"/>
      <c r="F206"/>
      <c r="G206"/>
      <c r="H206"/>
      <c r="I206"/>
      <c r="J206"/>
      <c r="K206"/>
      <c r="CB206"/>
      <c r="CC206"/>
      <c r="CD206"/>
      <c r="CE206"/>
      <c r="CF206"/>
      <c r="CG206"/>
      <c r="CH206"/>
      <c r="CI206"/>
      <c r="CJ206"/>
      <c r="CK206"/>
      <c r="CL206"/>
      <c r="CM206"/>
      <c r="DB206"/>
      <c r="DC206"/>
      <c r="DD206"/>
      <c r="DE206"/>
      <c r="DF206"/>
      <c r="DG206"/>
      <c r="DH206"/>
      <c r="DI206"/>
      <c r="DJ206"/>
      <c r="DK206"/>
      <c r="DL206"/>
      <c r="DM206"/>
    </row>
    <row r="207" spans="2:135">
      <c r="B207"/>
      <c r="C207"/>
      <c r="D207"/>
      <c r="E207"/>
      <c r="F207"/>
      <c r="G207"/>
      <c r="H207"/>
      <c r="I207"/>
      <c r="J207"/>
      <c r="K207"/>
      <c r="CB207"/>
      <c r="CC207"/>
      <c r="CD207"/>
      <c r="CE207"/>
      <c r="CF207"/>
      <c r="CG207"/>
      <c r="CH207"/>
      <c r="CI207"/>
      <c r="CJ207"/>
      <c r="CK207"/>
      <c r="CL207"/>
      <c r="CM207"/>
      <c r="DB207"/>
      <c r="DC207"/>
      <c r="DD207"/>
      <c r="DE207"/>
      <c r="DF207"/>
      <c r="DG207"/>
      <c r="DH207"/>
      <c r="DI207"/>
      <c r="DJ207"/>
      <c r="DK207"/>
      <c r="DL207"/>
      <c r="DM207"/>
    </row>
    <row r="208" spans="2:135">
      <c r="B208"/>
      <c r="C208"/>
      <c r="D208"/>
      <c r="E208"/>
      <c r="F208"/>
      <c r="G208"/>
      <c r="H208"/>
      <c r="I208"/>
      <c r="J208"/>
      <c r="K208"/>
      <c r="CB208"/>
      <c r="CC208"/>
      <c r="CD208"/>
      <c r="CE208"/>
      <c r="CF208"/>
      <c r="CG208"/>
      <c r="CH208"/>
      <c r="CI208"/>
      <c r="CJ208"/>
      <c r="CK208"/>
      <c r="CL208"/>
      <c r="CM208"/>
      <c r="DB208"/>
      <c r="DC208"/>
      <c r="DD208"/>
      <c r="DE208"/>
      <c r="DF208"/>
      <c r="DG208"/>
      <c r="DH208"/>
      <c r="DI208"/>
      <c r="DJ208"/>
      <c r="DK208"/>
      <c r="DL208"/>
      <c r="DM208"/>
    </row>
    <row r="209" spans="2:117">
      <c r="B209"/>
      <c r="C209"/>
      <c r="D209"/>
      <c r="E209"/>
      <c r="F209"/>
      <c r="G209"/>
      <c r="H209"/>
      <c r="I209"/>
      <c r="J209"/>
      <c r="K209"/>
      <c r="CB209"/>
      <c r="CC209"/>
      <c r="CD209"/>
      <c r="CE209"/>
      <c r="CF209"/>
      <c r="CG209"/>
      <c r="CH209"/>
      <c r="CI209"/>
      <c r="CJ209"/>
      <c r="CK209"/>
      <c r="CL209"/>
      <c r="CM209"/>
      <c r="DB209"/>
      <c r="DC209"/>
      <c r="DD209"/>
      <c r="DE209"/>
      <c r="DF209"/>
      <c r="DG209"/>
      <c r="DH209"/>
      <c r="DI209"/>
      <c r="DJ209"/>
      <c r="DK209"/>
      <c r="DL209"/>
      <c r="DM209"/>
    </row>
    <row r="210" spans="2:117">
      <c r="B210"/>
      <c r="C210"/>
      <c r="D210"/>
      <c r="E210"/>
      <c r="F210"/>
      <c r="G210"/>
      <c r="H210"/>
      <c r="I210"/>
      <c r="J210"/>
      <c r="K210"/>
      <c r="CB210"/>
      <c r="CC210"/>
      <c r="CD210"/>
      <c r="CE210"/>
      <c r="CF210"/>
      <c r="CG210"/>
      <c r="CH210"/>
      <c r="CI210"/>
      <c r="CJ210"/>
      <c r="CK210"/>
      <c r="CL210"/>
      <c r="CM210"/>
      <c r="DB210"/>
      <c r="DC210"/>
      <c r="DD210"/>
      <c r="DE210"/>
      <c r="DF210"/>
      <c r="DG210"/>
      <c r="DH210"/>
      <c r="DI210"/>
      <c r="DJ210"/>
      <c r="DK210"/>
      <c r="DL210"/>
      <c r="DM210"/>
    </row>
    <row r="211" spans="2:117">
      <c r="B211"/>
      <c r="C211"/>
      <c r="D211"/>
      <c r="E211"/>
      <c r="F211"/>
      <c r="G211"/>
      <c r="H211"/>
      <c r="I211"/>
      <c r="J211"/>
      <c r="K211"/>
      <c r="CB211"/>
      <c r="CC211"/>
      <c r="CD211"/>
      <c r="CE211"/>
      <c r="CF211"/>
      <c r="CG211"/>
      <c r="CH211"/>
      <c r="CI211"/>
      <c r="CJ211"/>
      <c r="CK211"/>
      <c r="CL211"/>
      <c r="CM211"/>
      <c r="DB211"/>
      <c r="DC211"/>
      <c r="DD211"/>
      <c r="DE211"/>
      <c r="DF211"/>
      <c r="DG211"/>
      <c r="DH211"/>
      <c r="DI211"/>
      <c r="DJ211"/>
      <c r="DK211"/>
      <c r="DL211"/>
      <c r="DM211"/>
    </row>
    <row r="212" spans="2:117">
      <c r="B212"/>
      <c r="C212"/>
      <c r="D212"/>
      <c r="E212"/>
      <c r="F212"/>
      <c r="G212"/>
      <c r="H212"/>
      <c r="I212"/>
      <c r="J212"/>
      <c r="K212"/>
      <c r="CB212"/>
      <c r="CC212"/>
      <c r="CD212"/>
      <c r="CE212"/>
      <c r="CF212"/>
      <c r="CG212"/>
      <c r="CH212"/>
      <c r="CI212"/>
      <c r="CJ212"/>
      <c r="CK212"/>
      <c r="CL212"/>
      <c r="CM212"/>
      <c r="DB212"/>
      <c r="DC212"/>
      <c r="DD212"/>
      <c r="DE212"/>
      <c r="DF212"/>
      <c r="DG212"/>
      <c r="DH212"/>
      <c r="DI212"/>
      <c r="DJ212"/>
      <c r="DK212"/>
      <c r="DL212"/>
      <c r="DM212"/>
    </row>
    <row r="213" spans="2:117">
      <c r="B213"/>
      <c r="C213"/>
      <c r="D213"/>
      <c r="E213"/>
      <c r="F213"/>
      <c r="G213"/>
      <c r="H213"/>
      <c r="I213"/>
      <c r="J213"/>
      <c r="K213"/>
      <c r="CB213"/>
      <c r="CC213"/>
      <c r="CD213"/>
      <c r="CE213"/>
      <c r="CF213"/>
      <c r="CG213"/>
      <c r="CH213"/>
      <c r="CI213"/>
      <c r="CJ213"/>
      <c r="CK213"/>
      <c r="CL213"/>
      <c r="CM213"/>
      <c r="DB213"/>
      <c r="DC213"/>
      <c r="DD213"/>
      <c r="DE213"/>
      <c r="DF213"/>
      <c r="DG213"/>
      <c r="DH213"/>
      <c r="DI213"/>
      <c r="DJ213"/>
      <c r="DK213"/>
      <c r="DL213"/>
      <c r="DM213"/>
    </row>
    <row r="214" spans="2:117">
      <c r="B214"/>
      <c r="C214"/>
      <c r="D214"/>
      <c r="E214"/>
      <c r="F214"/>
      <c r="G214"/>
      <c r="H214"/>
      <c r="I214"/>
      <c r="J214"/>
      <c r="K214"/>
      <c r="CB214"/>
      <c r="CC214"/>
      <c r="CD214"/>
      <c r="CE214"/>
      <c r="CF214"/>
      <c r="CG214"/>
      <c r="CH214"/>
      <c r="CI214"/>
      <c r="CJ214"/>
      <c r="CK214"/>
      <c r="CL214"/>
      <c r="CM214"/>
      <c r="DB214"/>
      <c r="DC214"/>
      <c r="DD214"/>
      <c r="DE214"/>
      <c r="DF214"/>
      <c r="DG214"/>
      <c r="DH214"/>
      <c r="DI214"/>
      <c r="DJ214"/>
      <c r="DK214"/>
      <c r="DL214"/>
      <c r="DM214"/>
    </row>
    <row r="215" spans="2:117">
      <c r="B215"/>
      <c r="C215"/>
      <c r="D215"/>
      <c r="E215"/>
      <c r="F215"/>
      <c r="G215"/>
      <c r="H215"/>
      <c r="I215"/>
      <c r="J215"/>
      <c r="K215"/>
      <c r="CB215"/>
      <c r="CC215"/>
      <c r="CD215"/>
      <c r="CE215"/>
      <c r="CF215"/>
      <c r="CG215"/>
      <c r="CH215"/>
      <c r="CI215"/>
      <c r="CJ215"/>
      <c r="CK215"/>
      <c r="CL215"/>
      <c r="CM215"/>
      <c r="DB215"/>
      <c r="DC215"/>
      <c r="DD215"/>
      <c r="DE215"/>
      <c r="DF215"/>
      <c r="DG215"/>
      <c r="DH215"/>
      <c r="DI215"/>
      <c r="DJ215"/>
      <c r="DK215"/>
      <c r="DL215"/>
      <c r="DM215"/>
    </row>
    <row r="216" spans="2:117">
      <c r="B216"/>
      <c r="C216"/>
      <c r="D216"/>
      <c r="E216"/>
      <c r="F216"/>
      <c r="G216"/>
      <c r="H216"/>
      <c r="I216"/>
      <c r="J216"/>
      <c r="K216"/>
      <c r="CB216"/>
      <c r="CC216"/>
      <c r="CD216"/>
      <c r="CE216"/>
      <c r="CF216"/>
      <c r="CG216"/>
      <c r="CH216"/>
      <c r="CI216"/>
      <c r="CJ216"/>
      <c r="CK216"/>
      <c r="CL216"/>
      <c r="CM216"/>
      <c r="DB216"/>
      <c r="DC216"/>
      <c r="DD216"/>
      <c r="DE216"/>
      <c r="DF216"/>
      <c r="DG216"/>
      <c r="DH216"/>
      <c r="DI216"/>
      <c r="DJ216"/>
      <c r="DK216"/>
      <c r="DL216"/>
      <c r="DM216"/>
    </row>
    <row r="217" spans="2:117">
      <c r="B217"/>
      <c r="C217"/>
      <c r="D217"/>
      <c r="E217"/>
      <c r="F217"/>
      <c r="G217"/>
      <c r="H217"/>
      <c r="I217"/>
      <c r="J217"/>
      <c r="K217"/>
      <c r="BE217"/>
      <c r="BF217"/>
      <c r="BG217"/>
    </row>
    <row r="218" spans="2:117">
      <c r="B218"/>
      <c r="C218"/>
      <c r="D218"/>
      <c r="E218"/>
      <c r="F218"/>
      <c r="G218"/>
      <c r="H218"/>
      <c r="I218"/>
      <c r="J218"/>
      <c r="K218"/>
      <c r="BE218"/>
      <c r="BF218"/>
      <c r="BG218"/>
    </row>
    <row r="219" spans="2:117">
      <c r="B219"/>
      <c r="C219"/>
      <c r="D219"/>
      <c r="E219"/>
      <c r="F219"/>
      <c r="G219"/>
      <c r="H219"/>
      <c r="I219"/>
      <c r="J219"/>
      <c r="K219"/>
      <c r="BE219"/>
      <c r="BF219"/>
      <c r="BG219"/>
    </row>
    <row r="220" spans="2:117">
      <c r="B220"/>
      <c r="C220"/>
      <c r="D220"/>
      <c r="E220"/>
      <c r="F220"/>
      <c r="G220"/>
      <c r="H220"/>
      <c r="I220"/>
      <c r="J220"/>
      <c r="K220"/>
      <c r="BE220"/>
      <c r="BF220"/>
      <c r="BG220"/>
    </row>
    <row r="221" spans="2:117">
      <c r="B221"/>
      <c r="C221"/>
      <c r="D221"/>
      <c r="E221"/>
      <c r="F221"/>
      <c r="G221"/>
      <c r="H221"/>
      <c r="I221"/>
      <c r="J221"/>
      <c r="K221"/>
      <c r="BE221"/>
      <c r="BF221"/>
      <c r="BG221"/>
    </row>
    <row r="222" spans="2:117">
      <c r="B222"/>
      <c r="C222"/>
      <c r="D222"/>
      <c r="E222"/>
      <c r="F222"/>
      <c r="G222"/>
      <c r="H222"/>
      <c r="I222"/>
      <c r="J222"/>
      <c r="K222"/>
      <c r="BE222"/>
      <c r="BF222"/>
      <c r="BG222"/>
    </row>
    <row r="223" spans="2:117">
      <c r="B223"/>
      <c r="C223"/>
      <c r="D223"/>
      <c r="E223"/>
      <c r="F223"/>
      <c r="G223"/>
      <c r="H223"/>
      <c r="I223"/>
      <c r="J223"/>
      <c r="K223"/>
      <c r="BE223"/>
      <c r="BF223"/>
      <c r="BG223"/>
    </row>
    <row r="224" spans="2:117">
      <c r="B224"/>
      <c r="C224"/>
      <c r="D224"/>
      <c r="E224"/>
      <c r="F224"/>
      <c r="G224"/>
      <c r="H224"/>
      <c r="I224"/>
      <c r="J224"/>
      <c r="K224"/>
      <c r="BE224"/>
      <c r="BF224"/>
      <c r="BG224"/>
    </row>
    <row r="225" spans="2:59">
      <c r="B225"/>
      <c r="C225"/>
      <c r="D225"/>
      <c r="E225"/>
      <c r="F225"/>
      <c r="G225"/>
      <c r="H225"/>
      <c r="I225"/>
      <c r="J225"/>
      <c r="K225"/>
      <c r="BE225"/>
      <c r="BF225"/>
      <c r="BG225"/>
    </row>
    <row r="226" spans="2:59">
      <c r="B226"/>
      <c r="C226"/>
      <c r="D226"/>
      <c r="E226"/>
      <c r="F226"/>
      <c r="G226"/>
      <c r="H226"/>
      <c r="I226"/>
      <c r="J226"/>
      <c r="K226"/>
      <c r="BE226"/>
      <c r="BF226"/>
      <c r="BG226"/>
    </row>
    <row r="227" spans="2:59">
      <c r="B227"/>
      <c r="C227"/>
      <c r="D227"/>
      <c r="E227"/>
      <c r="F227"/>
      <c r="G227"/>
      <c r="H227"/>
      <c r="I227"/>
      <c r="J227"/>
      <c r="K227"/>
      <c r="BE227"/>
      <c r="BF227"/>
      <c r="BG227"/>
    </row>
    <row r="228" spans="2:59">
      <c r="B228"/>
      <c r="C228"/>
      <c r="D228"/>
      <c r="E228"/>
      <c r="F228"/>
      <c r="G228"/>
      <c r="H228"/>
      <c r="I228"/>
      <c r="J228"/>
      <c r="K228"/>
      <c r="BE228"/>
      <c r="BF228"/>
      <c r="BG228"/>
    </row>
    <row r="229" spans="2:59">
      <c r="B229"/>
      <c r="C229"/>
      <c r="D229"/>
      <c r="E229"/>
      <c r="F229"/>
      <c r="G229"/>
      <c r="H229"/>
      <c r="I229"/>
      <c r="J229"/>
      <c r="K229"/>
      <c r="BE229"/>
      <c r="BF229"/>
      <c r="BG229"/>
    </row>
    <row r="230" spans="2:59">
      <c r="B230"/>
      <c r="C230"/>
      <c r="D230"/>
      <c r="E230"/>
      <c r="F230"/>
      <c r="G230"/>
      <c r="H230"/>
      <c r="I230"/>
      <c r="J230"/>
      <c r="K230"/>
      <c r="BE230"/>
      <c r="BF230"/>
      <c r="BG230"/>
    </row>
    <row r="231" spans="2:59">
      <c r="B231"/>
      <c r="C231"/>
      <c r="D231"/>
      <c r="E231"/>
      <c r="F231"/>
      <c r="G231"/>
      <c r="H231"/>
      <c r="I231"/>
      <c r="J231"/>
      <c r="K231"/>
      <c r="BE231"/>
      <c r="BF231"/>
      <c r="BG231"/>
    </row>
    <row r="232" spans="2:59">
      <c r="B232"/>
      <c r="C232"/>
      <c r="D232"/>
      <c r="E232"/>
      <c r="F232"/>
      <c r="G232"/>
      <c r="H232"/>
      <c r="I232"/>
      <c r="J232"/>
      <c r="K232"/>
      <c r="BE232"/>
      <c r="BF232"/>
      <c r="BG232"/>
    </row>
    <row r="233" spans="2:59">
      <c r="B233"/>
      <c r="C233"/>
      <c r="D233"/>
      <c r="E233"/>
      <c r="F233"/>
      <c r="G233"/>
      <c r="H233"/>
      <c r="I233"/>
      <c r="J233"/>
      <c r="K233"/>
      <c r="BE233"/>
      <c r="BF233"/>
      <c r="BG233"/>
    </row>
    <row r="234" spans="2:59">
      <c r="B234"/>
      <c r="C234"/>
      <c r="D234"/>
      <c r="E234"/>
      <c r="F234"/>
      <c r="G234"/>
      <c r="H234"/>
      <c r="I234"/>
      <c r="J234"/>
      <c r="K234"/>
      <c r="BE234"/>
      <c r="BF234"/>
      <c r="BG234"/>
    </row>
    <row r="235" spans="2:59">
      <c r="B235"/>
      <c r="C235"/>
      <c r="D235"/>
      <c r="E235"/>
      <c r="F235"/>
      <c r="G235"/>
      <c r="H235"/>
      <c r="I235"/>
      <c r="J235"/>
      <c r="K235"/>
      <c r="BE235"/>
      <c r="BF235"/>
      <c r="BG235"/>
    </row>
    <row r="236" spans="2:59">
      <c r="B236"/>
      <c r="C236"/>
      <c r="D236"/>
      <c r="E236"/>
      <c r="F236"/>
      <c r="G236"/>
      <c r="H236"/>
      <c r="I236"/>
      <c r="J236"/>
      <c r="K236"/>
      <c r="BE236"/>
      <c r="BF236"/>
      <c r="BG236"/>
    </row>
    <row r="237" spans="2:59">
      <c r="B237"/>
      <c r="C237"/>
      <c r="D237"/>
      <c r="E237"/>
      <c r="F237"/>
      <c r="G237"/>
      <c r="H237"/>
      <c r="I237"/>
      <c r="J237"/>
      <c r="K237"/>
      <c r="BE237"/>
      <c r="BF237"/>
      <c r="BG237"/>
    </row>
    <row r="238" spans="2:59">
      <c r="B238"/>
      <c r="C238"/>
      <c r="D238"/>
      <c r="E238"/>
      <c r="F238"/>
      <c r="G238"/>
      <c r="H238"/>
      <c r="I238"/>
      <c r="J238"/>
      <c r="K238"/>
      <c r="BE238"/>
      <c r="BF238"/>
      <c r="BG238"/>
    </row>
    <row r="239" spans="2:59">
      <c r="B239"/>
      <c r="C239"/>
      <c r="D239"/>
      <c r="E239"/>
      <c r="F239"/>
      <c r="G239"/>
      <c r="H239"/>
      <c r="I239"/>
      <c r="J239"/>
      <c r="K239"/>
      <c r="BE239"/>
      <c r="BF239"/>
      <c r="BG239"/>
    </row>
    <row r="240" spans="2:59">
      <c r="B240"/>
      <c r="C240"/>
      <c r="D240"/>
      <c r="E240"/>
      <c r="F240"/>
      <c r="G240"/>
      <c r="H240"/>
      <c r="I240"/>
      <c r="J240"/>
      <c r="K240"/>
      <c r="BE240"/>
      <c r="BF240"/>
      <c r="BG240"/>
    </row>
    <row r="241" spans="2:59">
      <c r="B241"/>
      <c r="C241"/>
      <c r="D241"/>
      <c r="E241"/>
      <c r="F241"/>
      <c r="G241"/>
      <c r="H241"/>
      <c r="I241"/>
      <c r="J241"/>
      <c r="K241"/>
      <c r="BE241"/>
      <c r="BF241"/>
      <c r="BG241"/>
    </row>
    <row r="242" spans="2:59">
      <c r="B242"/>
      <c r="C242"/>
      <c r="D242"/>
      <c r="E242"/>
      <c r="F242"/>
      <c r="G242"/>
      <c r="H242"/>
      <c r="I242"/>
      <c r="J242"/>
      <c r="K242"/>
      <c r="BE242"/>
      <c r="BF242"/>
      <c r="BG242"/>
    </row>
    <row r="243" spans="2:59">
      <c r="B243"/>
      <c r="C243"/>
      <c r="D243"/>
      <c r="E243"/>
      <c r="F243"/>
      <c r="G243"/>
      <c r="H243"/>
      <c r="I243"/>
      <c r="J243"/>
      <c r="K243"/>
      <c r="BE243"/>
      <c r="BF243"/>
      <c r="BG243"/>
    </row>
    <row r="244" spans="2:59">
      <c r="B244"/>
      <c r="C244"/>
      <c r="D244"/>
      <c r="E244"/>
      <c r="F244"/>
      <c r="G244"/>
      <c r="H244"/>
      <c r="I244"/>
      <c r="J244"/>
      <c r="K244"/>
      <c r="BE244"/>
      <c r="BF244"/>
      <c r="BG244"/>
    </row>
    <row r="245" spans="2:59">
      <c r="B245"/>
      <c r="C245"/>
      <c r="D245"/>
      <c r="E245"/>
      <c r="F245"/>
      <c r="G245"/>
      <c r="H245"/>
      <c r="I245"/>
      <c r="J245"/>
      <c r="K245"/>
      <c r="BE245"/>
      <c r="BF245"/>
      <c r="BG245"/>
    </row>
    <row r="246" spans="2:59">
      <c r="B246"/>
      <c r="C246"/>
      <c r="D246"/>
      <c r="E246"/>
      <c r="F246"/>
      <c r="G246"/>
      <c r="H246"/>
      <c r="I246"/>
      <c r="J246"/>
      <c r="K246"/>
      <c r="BE246"/>
      <c r="BF246"/>
      <c r="BG246"/>
    </row>
    <row r="247" spans="2:59">
      <c r="B247"/>
      <c r="C247"/>
      <c r="D247"/>
      <c r="E247"/>
      <c r="F247"/>
      <c r="G247"/>
      <c r="H247"/>
      <c r="I247"/>
      <c r="J247"/>
      <c r="K247"/>
      <c r="BE247"/>
      <c r="BF247"/>
      <c r="BG247"/>
    </row>
    <row r="248" spans="2:59">
      <c r="B248"/>
      <c r="C248"/>
      <c r="D248"/>
      <c r="E248"/>
      <c r="F248"/>
      <c r="G248"/>
      <c r="H248"/>
      <c r="I248"/>
      <c r="J248"/>
      <c r="K248"/>
      <c r="BE248"/>
      <c r="BF248"/>
      <c r="BG248"/>
    </row>
    <row r="249" spans="2:59">
      <c r="B249"/>
      <c r="C249"/>
      <c r="D249"/>
      <c r="E249"/>
      <c r="F249"/>
      <c r="G249"/>
      <c r="H249"/>
      <c r="I249"/>
      <c r="J249"/>
      <c r="K249"/>
      <c r="BE249"/>
      <c r="BF249"/>
      <c r="BG249"/>
    </row>
    <row r="250" spans="2:59">
      <c r="B250"/>
      <c r="C250"/>
      <c r="D250"/>
      <c r="E250"/>
      <c r="F250"/>
      <c r="G250"/>
      <c r="H250"/>
      <c r="I250"/>
      <c r="J250"/>
      <c r="K250"/>
      <c r="BE250"/>
      <c r="BF250"/>
      <c r="BG250"/>
    </row>
    <row r="251" spans="2:59">
      <c r="BE251"/>
      <c r="BF251"/>
      <c r="BG251"/>
    </row>
    <row r="252" spans="2:59">
      <c r="BE252"/>
      <c r="BF252"/>
      <c r="BG252"/>
    </row>
    <row r="253" spans="2:59">
      <c r="BE253"/>
      <c r="BF253"/>
      <c r="BG253"/>
    </row>
    <row r="254" spans="2:59">
      <c r="BE254"/>
      <c r="BF254"/>
      <c r="BG254"/>
    </row>
    <row r="305" spans="2:136">
      <c r="B305"/>
      <c r="C305"/>
      <c r="D305"/>
      <c r="E305"/>
      <c r="F305"/>
      <c r="G305"/>
      <c r="H305"/>
      <c r="I305"/>
      <c r="J305"/>
      <c r="K305"/>
      <c r="L305"/>
    </row>
    <row r="306" spans="2:136">
      <c r="B306"/>
      <c r="C306"/>
      <c r="D306"/>
      <c r="E306"/>
      <c r="F306"/>
      <c r="G306"/>
      <c r="H306"/>
      <c r="I306"/>
      <c r="J306"/>
      <c r="K306"/>
      <c r="L306"/>
    </row>
    <row r="307" spans="2:136" ht="14.5" thickBot="1">
      <c r="B307"/>
      <c r="C307"/>
      <c r="D307"/>
      <c r="E307"/>
      <c r="F307"/>
      <c r="G307"/>
      <c r="H307"/>
      <c r="I307"/>
      <c r="J307"/>
      <c r="K307"/>
      <c r="L307"/>
      <c r="BB307" s="353" t="s">
        <v>450</v>
      </c>
      <c r="BD307" s="354"/>
      <c r="BE307" s="355"/>
      <c r="CB307" s="353" t="s">
        <v>587</v>
      </c>
      <c r="CD307" s="354"/>
      <c r="CE307" s="355"/>
      <c r="DB307" s="353" t="s">
        <v>588</v>
      </c>
      <c r="DD307" s="354"/>
      <c r="DE307" s="355"/>
      <c r="EB307" s="353" t="s">
        <v>589</v>
      </c>
      <c r="ED307" s="354"/>
      <c r="EE307" s="355"/>
    </row>
    <row r="308" spans="2:136">
      <c r="B308"/>
      <c r="C308"/>
      <c r="D308"/>
      <c r="E308"/>
      <c r="F308"/>
      <c r="G308"/>
      <c r="H308"/>
      <c r="I308"/>
      <c r="J308"/>
      <c r="K308"/>
      <c r="L308"/>
      <c r="BA308"/>
      <c r="BB308" s="356"/>
      <c r="BC308" s="357"/>
      <c r="BD308" s="358"/>
      <c r="BE308" s="358"/>
      <c r="BF308" s="359"/>
      <c r="BG308" s="262"/>
      <c r="CA308"/>
      <c r="CB308" s="356"/>
      <c r="CC308" s="357"/>
      <c r="CD308" s="358"/>
      <c r="CE308" s="358"/>
      <c r="CF308" s="359"/>
      <c r="CG308" s="115"/>
      <c r="DA308"/>
      <c r="DB308" s="356"/>
      <c r="DC308" s="357"/>
      <c r="DD308" s="358"/>
      <c r="DE308" s="358"/>
      <c r="DF308" s="359"/>
      <c r="EA308"/>
      <c r="EB308" s="356"/>
      <c r="EC308" s="357"/>
      <c r="ED308" s="358"/>
      <c r="EE308" s="358"/>
      <c r="EF308" s="359"/>
    </row>
    <row r="309" spans="2:136">
      <c r="B309"/>
      <c r="C309"/>
      <c r="D309"/>
      <c r="E309"/>
      <c r="F309"/>
      <c r="G309"/>
      <c r="H309"/>
      <c r="I309"/>
      <c r="J309"/>
      <c r="K309"/>
      <c r="L309"/>
      <c r="BA309"/>
      <c r="BB309" s="360" t="s">
        <v>490</v>
      </c>
      <c r="BC309" s="361">
        <f>BC20</f>
        <v>24</v>
      </c>
      <c r="BD309" s="362" t="s">
        <v>455</v>
      </c>
      <c r="BE309" s="362"/>
      <c r="BF309" s="363"/>
      <c r="CA309"/>
      <c r="CB309" s="360" t="s">
        <v>490</v>
      </c>
      <c r="CC309" s="361">
        <f>CC20</f>
        <v>24</v>
      </c>
      <c r="CD309" s="362" t="s">
        <v>455</v>
      </c>
      <c r="CE309" s="362"/>
      <c r="CF309" s="363"/>
      <c r="DA309"/>
      <c r="DB309" s="360" t="s">
        <v>490</v>
      </c>
      <c r="DC309" s="361">
        <f>DC20</f>
        <v>24</v>
      </c>
      <c r="DD309" s="362" t="s">
        <v>455</v>
      </c>
      <c r="DE309" s="362"/>
      <c r="DF309" s="363"/>
      <c r="EA309"/>
      <c r="EB309" s="360" t="s">
        <v>490</v>
      </c>
      <c r="EC309" s="361">
        <f>EC21</f>
        <v>24</v>
      </c>
      <c r="ED309" s="362" t="s">
        <v>455</v>
      </c>
      <c r="EE309" s="362"/>
      <c r="EF309" s="363"/>
    </row>
    <row r="310" spans="2:136">
      <c r="B310"/>
      <c r="C310"/>
      <c r="D310"/>
      <c r="E310"/>
      <c r="F310"/>
      <c r="G310"/>
      <c r="H310"/>
      <c r="I310"/>
      <c r="J310"/>
      <c r="K310"/>
      <c r="L310"/>
      <c r="BA310"/>
      <c r="BB310" s="360" t="s">
        <v>491</v>
      </c>
      <c r="BC310" s="361">
        <f>BC21</f>
        <v>30</v>
      </c>
      <c r="BD310" s="362" t="s">
        <v>455</v>
      </c>
      <c r="BE310" s="362"/>
      <c r="BF310" s="363"/>
      <c r="CA310"/>
      <c r="CB310" s="360" t="s">
        <v>491</v>
      </c>
      <c r="CC310" s="361">
        <f>CC21</f>
        <v>30</v>
      </c>
      <c r="CD310" s="362" t="s">
        <v>455</v>
      </c>
      <c r="CE310" s="362"/>
      <c r="CF310" s="363"/>
      <c r="DA310"/>
      <c r="DB310" s="360" t="s">
        <v>491</v>
      </c>
      <c r="DC310" s="361">
        <f>DC21</f>
        <v>30</v>
      </c>
      <c r="DD310" s="362" t="s">
        <v>455</v>
      </c>
      <c r="DE310" s="362"/>
      <c r="DF310" s="363"/>
      <c r="DY310"/>
      <c r="DZ310"/>
      <c r="EA310"/>
      <c r="EB310" s="360" t="s">
        <v>491</v>
      </c>
      <c r="EC310" s="361">
        <f>EC22</f>
        <v>24</v>
      </c>
      <c r="ED310" s="362" t="s">
        <v>455</v>
      </c>
      <c r="EE310" s="362"/>
      <c r="EF310" s="363"/>
    </row>
    <row r="311" spans="2:136">
      <c r="B311"/>
      <c r="C311"/>
      <c r="D311"/>
      <c r="E311"/>
      <c r="F311"/>
      <c r="G311"/>
      <c r="H311"/>
      <c r="I311"/>
      <c r="J311"/>
      <c r="K311"/>
      <c r="L311"/>
      <c r="BA311"/>
      <c r="BB311" s="360" t="s">
        <v>492</v>
      </c>
      <c r="BC311" s="361">
        <f>BC22</f>
        <v>360</v>
      </c>
      <c r="BD311" s="362" t="s">
        <v>476</v>
      </c>
      <c r="BE311" s="362">
        <f>BC310*BC311</f>
        <v>10800</v>
      </c>
      <c r="BF311" s="363" t="s">
        <v>561</v>
      </c>
      <c r="CA311"/>
      <c r="CB311" s="360" t="s">
        <v>492</v>
      </c>
      <c r="CC311" s="361">
        <f>CC22</f>
        <v>365</v>
      </c>
      <c r="CD311" s="362" t="s">
        <v>476</v>
      </c>
      <c r="CE311" s="362">
        <f>CC310*CC311</f>
        <v>10950</v>
      </c>
      <c r="CF311" s="363" t="s">
        <v>561</v>
      </c>
      <c r="DA311"/>
      <c r="DB311" s="360" t="s">
        <v>492</v>
      </c>
      <c r="DC311" s="361">
        <f>DC22</f>
        <v>360</v>
      </c>
      <c r="DD311" s="362" t="s">
        <v>476</v>
      </c>
      <c r="DE311" s="362">
        <f>DC310*DC311</f>
        <v>10800</v>
      </c>
      <c r="DF311" s="363" t="s">
        <v>561</v>
      </c>
      <c r="DY311"/>
      <c r="DZ311"/>
      <c r="EA311"/>
      <c r="EB311" s="360" t="s">
        <v>492</v>
      </c>
      <c r="EC311" s="361">
        <f>EC23</f>
        <v>320</v>
      </c>
      <c r="ED311" s="362" t="s">
        <v>476</v>
      </c>
      <c r="EE311" s="362">
        <f>EC310*EC311</f>
        <v>7680</v>
      </c>
      <c r="EF311" s="363" t="s">
        <v>561</v>
      </c>
    </row>
    <row r="312" spans="2:136">
      <c r="B312"/>
      <c r="C312"/>
      <c r="D312"/>
      <c r="E312"/>
      <c r="F312"/>
      <c r="G312"/>
      <c r="H312"/>
      <c r="I312"/>
      <c r="J312"/>
      <c r="K312"/>
      <c r="L312"/>
      <c r="BA312"/>
      <c r="BB312" s="360" t="s">
        <v>477</v>
      </c>
      <c r="BC312" s="361">
        <f>BC23</f>
        <v>10</v>
      </c>
      <c r="BD312" s="362" t="s">
        <v>453</v>
      </c>
      <c r="BE312" s="362"/>
      <c r="BF312" s="363"/>
      <c r="CA312"/>
      <c r="CB312" s="360" t="s">
        <v>477</v>
      </c>
      <c r="CC312" s="361">
        <f>CC23</f>
        <v>10</v>
      </c>
      <c r="CD312" s="362" t="s">
        <v>453</v>
      </c>
      <c r="CE312" s="362"/>
      <c r="CF312" s="363"/>
      <c r="DA312"/>
      <c r="DB312" s="360" t="s">
        <v>477</v>
      </c>
      <c r="DC312" s="361">
        <f>DC23</f>
        <v>10</v>
      </c>
      <c r="DD312" s="362" t="s">
        <v>453</v>
      </c>
      <c r="DE312" s="362"/>
      <c r="DF312" s="363"/>
      <c r="DY312"/>
      <c r="DZ312"/>
      <c r="EA312"/>
      <c r="EB312" s="360" t="s">
        <v>477</v>
      </c>
      <c r="EC312" s="361">
        <f>EC24</f>
        <v>10</v>
      </c>
      <c r="ED312" s="362" t="s">
        <v>453</v>
      </c>
      <c r="EE312" s="362"/>
      <c r="EF312" s="363"/>
    </row>
    <row r="313" spans="2:136">
      <c r="B313"/>
      <c r="C313"/>
      <c r="D313"/>
      <c r="E313"/>
      <c r="F313"/>
      <c r="G313"/>
      <c r="H313"/>
      <c r="I313"/>
      <c r="J313"/>
      <c r="K313"/>
      <c r="L313"/>
      <c r="BA313"/>
      <c r="BB313" s="360" t="s">
        <v>493</v>
      </c>
      <c r="BC313" s="361">
        <f>BC24</f>
        <v>15000</v>
      </c>
      <c r="BD313" s="362" t="s">
        <v>581</v>
      </c>
      <c r="BE313" s="362"/>
      <c r="BF313" s="363"/>
      <c r="CA313"/>
      <c r="CB313" s="360" t="s">
        <v>493</v>
      </c>
      <c r="CC313" s="361">
        <f>CC24</f>
        <v>15000</v>
      </c>
      <c r="CD313" s="362" t="s">
        <v>581</v>
      </c>
      <c r="CE313" s="362"/>
      <c r="CF313" s="363"/>
      <c r="DA313"/>
      <c r="DB313" s="360" t="s">
        <v>493</v>
      </c>
      <c r="DC313" s="361">
        <f>DC24</f>
        <v>15000</v>
      </c>
      <c r="DD313" s="362" t="s">
        <v>581</v>
      </c>
      <c r="DE313" s="362"/>
      <c r="DF313" s="363"/>
      <c r="DY313"/>
      <c r="DZ313"/>
      <c r="EA313"/>
      <c r="EB313" s="360" t="s">
        <v>493</v>
      </c>
      <c r="EC313" s="361">
        <f>EC25</f>
        <v>15000</v>
      </c>
      <c r="ED313" s="362" t="s">
        <v>581</v>
      </c>
      <c r="EE313" s="362"/>
      <c r="EF313" s="363"/>
    </row>
    <row r="314" spans="2:136">
      <c r="B314"/>
      <c r="C314"/>
      <c r="D314"/>
      <c r="E314"/>
      <c r="F314"/>
      <c r="G314"/>
      <c r="H314"/>
      <c r="I314"/>
      <c r="J314"/>
      <c r="K314"/>
      <c r="L314"/>
      <c r="BA314"/>
      <c r="BB314" s="360"/>
      <c r="BC314" s="365">
        <f>BC315/BC311/BC310</f>
        <v>0.92592592592592593</v>
      </c>
      <c r="BD314" s="362" t="s">
        <v>582</v>
      </c>
      <c r="BE314" s="362">
        <f>BC314*BC310</f>
        <v>27.777777777777779</v>
      </c>
      <c r="BF314" s="363" t="s">
        <v>583</v>
      </c>
      <c r="CA314"/>
      <c r="CB314" s="360"/>
      <c r="CC314" s="364">
        <f>CC315/CC311/CC310</f>
        <v>0.91324200913242004</v>
      </c>
      <c r="CD314" s="362" t="s">
        <v>582</v>
      </c>
      <c r="CE314" s="362">
        <f>CC314*CC310</f>
        <v>27.397260273972602</v>
      </c>
      <c r="CF314" s="363" t="s">
        <v>583</v>
      </c>
      <c r="DA314"/>
      <c r="DB314" s="360"/>
      <c r="DC314" s="365">
        <f>DC315/DC311/DC310</f>
        <v>0.92592592592592593</v>
      </c>
      <c r="DD314" s="362" t="s">
        <v>582</v>
      </c>
      <c r="DE314" s="362">
        <f>DC314*DC310</f>
        <v>27.777777777777779</v>
      </c>
      <c r="DF314" s="363" t="s">
        <v>583</v>
      </c>
      <c r="DY314"/>
      <c r="DZ314"/>
      <c r="EA314"/>
      <c r="EB314" s="360"/>
      <c r="EC314" s="365">
        <f>EC315/EC311/EC310</f>
        <v>1.3020833333333333</v>
      </c>
      <c r="ED314" s="362" t="s">
        <v>582</v>
      </c>
      <c r="EE314" s="362">
        <f>EC314*EC310</f>
        <v>31.25</v>
      </c>
      <c r="EF314" s="363" t="s">
        <v>583</v>
      </c>
    </row>
    <row r="315" spans="2:136">
      <c r="B315"/>
      <c r="C315"/>
      <c r="D315"/>
      <c r="E315"/>
      <c r="F315"/>
      <c r="G315"/>
      <c r="H315"/>
      <c r="I315"/>
      <c r="J315"/>
      <c r="K315"/>
      <c r="L315"/>
      <c r="BA315"/>
      <c r="BB315" s="360" t="s">
        <v>1</v>
      </c>
      <c r="BC315" s="366">
        <f>BC25</f>
        <v>10000</v>
      </c>
      <c r="BD315" s="362" t="s">
        <v>581</v>
      </c>
      <c r="BE315" s="362"/>
      <c r="BF315" s="363"/>
      <c r="CA315"/>
      <c r="CB315" s="360" t="s">
        <v>1</v>
      </c>
      <c r="CC315" s="366">
        <f>CC25</f>
        <v>10000</v>
      </c>
      <c r="CD315" s="362" t="s">
        <v>581</v>
      </c>
      <c r="CE315" s="362"/>
      <c r="CF315" s="363"/>
      <c r="DA315"/>
      <c r="DB315" s="360" t="s">
        <v>1</v>
      </c>
      <c r="DC315" s="366">
        <f>DC25</f>
        <v>10000</v>
      </c>
      <c r="DD315" s="362" t="s">
        <v>581</v>
      </c>
      <c r="DE315" s="362"/>
      <c r="DF315" s="363"/>
      <c r="DY315"/>
      <c r="DZ315"/>
      <c r="EA315"/>
      <c r="EB315" s="360" t="s">
        <v>1</v>
      </c>
      <c r="EC315" s="366">
        <f>EC26</f>
        <v>10000</v>
      </c>
      <c r="ED315" s="362" t="s">
        <v>581</v>
      </c>
      <c r="EE315" s="362"/>
      <c r="EF315" s="363"/>
    </row>
    <row r="316" spans="2:136">
      <c r="B316"/>
      <c r="C316"/>
      <c r="D316"/>
      <c r="E316"/>
      <c r="F316"/>
      <c r="G316"/>
      <c r="H316"/>
      <c r="I316"/>
      <c r="J316"/>
      <c r="K316"/>
      <c r="L316"/>
      <c r="BA316"/>
      <c r="BB316" s="360" t="s">
        <v>494</v>
      </c>
      <c r="BC316" s="367">
        <f>BC315/BC313</f>
        <v>0.66666666666666663</v>
      </c>
      <c r="BD316" s="362"/>
      <c r="BE316" s="362"/>
      <c r="BF316" s="363"/>
      <c r="CA316"/>
      <c r="CB316" s="360" t="s">
        <v>494</v>
      </c>
      <c r="CC316" s="367">
        <f>CC315/CC313</f>
        <v>0.66666666666666663</v>
      </c>
      <c r="CD316" s="362"/>
      <c r="CE316" s="362"/>
      <c r="CF316" s="363"/>
      <c r="DA316"/>
      <c r="DB316" s="360" t="s">
        <v>494</v>
      </c>
      <c r="DC316" s="367">
        <f>DC315/DC313</f>
        <v>0.66666666666666663</v>
      </c>
      <c r="DD316" s="362"/>
      <c r="DE316" s="362"/>
      <c r="DF316" s="363"/>
      <c r="DY316"/>
      <c r="DZ316"/>
      <c r="EA316"/>
      <c r="EB316" s="360" t="s">
        <v>494</v>
      </c>
      <c r="EC316" s="367">
        <f>EC315/EC313</f>
        <v>0.66666666666666663</v>
      </c>
      <c r="ED316" s="362"/>
      <c r="EE316" s="362"/>
      <c r="EF316" s="363"/>
    </row>
    <row r="317" spans="2:136">
      <c r="B317"/>
      <c r="C317"/>
      <c r="D317"/>
      <c r="E317"/>
      <c r="F317"/>
      <c r="G317"/>
      <c r="H317"/>
      <c r="I317"/>
      <c r="J317"/>
      <c r="K317"/>
      <c r="L317"/>
      <c r="BA317"/>
      <c r="BB317" s="360"/>
      <c r="BC317" s="368"/>
      <c r="BD317" s="369"/>
      <c r="BE317" s="362"/>
      <c r="BF317" s="363"/>
      <c r="CA317"/>
      <c r="CB317" s="360"/>
      <c r="CC317" s="368"/>
      <c r="CD317" s="369"/>
      <c r="CE317" s="362"/>
      <c r="CF317" s="363"/>
      <c r="DA317"/>
      <c r="DB317" s="360"/>
      <c r="DC317" s="368"/>
      <c r="DD317" s="369"/>
      <c r="DE317" s="362"/>
      <c r="DF317" s="363"/>
      <c r="DY317"/>
      <c r="DZ317"/>
      <c r="EA317"/>
      <c r="EB317" s="360"/>
      <c r="EC317" s="368"/>
      <c r="ED317" s="369"/>
      <c r="EE317" s="362"/>
      <c r="EF317" s="363"/>
    </row>
    <row r="318" spans="2:136">
      <c r="B318"/>
      <c r="C318"/>
      <c r="D318"/>
      <c r="E318"/>
      <c r="F318"/>
      <c r="G318"/>
      <c r="H318"/>
      <c r="I318"/>
      <c r="J318"/>
      <c r="K318"/>
      <c r="L318"/>
      <c r="BA318"/>
      <c r="BB318" s="370"/>
      <c r="BC318" s="362"/>
      <c r="BD318" s="371"/>
      <c r="BE318" s="362"/>
      <c r="BF318" s="363"/>
      <c r="CA318"/>
      <c r="CB318" s="370"/>
      <c r="CC318" s="362"/>
      <c r="CD318" s="371"/>
      <c r="CE318" s="362"/>
      <c r="CF318" s="363"/>
      <c r="DA318"/>
      <c r="DB318" s="370"/>
      <c r="DC318" s="362"/>
      <c r="DD318" s="371"/>
      <c r="DE318" s="362"/>
      <c r="DF318" s="363"/>
      <c r="DY318"/>
      <c r="DZ318"/>
      <c r="EA318"/>
      <c r="EB318" s="370"/>
      <c r="EC318" s="362"/>
      <c r="ED318" s="371"/>
      <c r="EE318" s="362"/>
      <c r="EF318" s="363"/>
    </row>
    <row r="319" spans="2:136">
      <c r="B319"/>
      <c r="C319"/>
      <c r="D319"/>
      <c r="E319"/>
      <c r="F319"/>
      <c r="G319"/>
      <c r="H319"/>
      <c r="I319"/>
      <c r="J319"/>
      <c r="K319"/>
      <c r="L319"/>
      <c r="BA319"/>
      <c r="BB319" s="360"/>
      <c r="BC319" s="362"/>
      <c r="BD319" s="372"/>
      <c r="BE319" s="362"/>
      <c r="BF319" s="363"/>
      <c r="CA319"/>
      <c r="CB319" s="360"/>
      <c r="CC319" s="362"/>
      <c r="CD319" s="372"/>
      <c r="CE319" s="362"/>
      <c r="CF319" s="363"/>
      <c r="DA319"/>
      <c r="DB319" s="360"/>
      <c r="DC319" s="362"/>
      <c r="DD319" s="372"/>
      <c r="DE319" s="362"/>
      <c r="DF319" s="363"/>
      <c r="DY319"/>
      <c r="DZ319"/>
      <c r="EA319"/>
      <c r="EB319" s="360"/>
      <c r="EC319" s="362"/>
      <c r="ED319" s="372"/>
      <c r="EE319" s="362"/>
      <c r="EF319" s="363"/>
    </row>
    <row r="320" spans="2:136">
      <c r="B320"/>
      <c r="C320"/>
      <c r="D320"/>
      <c r="E320"/>
      <c r="F320"/>
      <c r="G320"/>
      <c r="H320"/>
      <c r="I320"/>
      <c r="J320"/>
      <c r="K320"/>
      <c r="L320"/>
      <c r="BA320"/>
      <c r="BB320" s="360"/>
      <c r="BC320" s="362"/>
      <c r="BD320" s="371"/>
      <c r="BE320" s="362"/>
      <c r="BF320" s="363"/>
      <c r="CA320"/>
      <c r="CB320" s="360"/>
      <c r="CC320" s="362"/>
      <c r="CD320" s="371"/>
      <c r="CE320" s="362"/>
      <c r="CF320" s="363"/>
      <c r="DA320"/>
      <c r="DB320" s="360"/>
      <c r="DC320" s="362"/>
      <c r="DD320" s="371"/>
      <c r="DE320" s="362"/>
      <c r="DF320" s="363"/>
      <c r="DY320"/>
      <c r="DZ320"/>
      <c r="EA320"/>
      <c r="EB320" s="360"/>
      <c r="EC320" s="362"/>
      <c r="ED320" s="371"/>
      <c r="EE320" s="362"/>
      <c r="EF320" s="363"/>
    </row>
    <row r="321" spans="2:136">
      <c r="B321"/>
      <c r="C321"/>
      <c r="D321"/>
      <c r="E321"/>
      <c r="F321"/>
      <c r="G321"/>
      <c r="H321"/>
      <c r="I321"/>
      <c r="J321"/>
      <c r="K321"/>
      <c r="L321"/>
      <c r="BA321"/>
      <c r="BB321" s="360" t="s">
        <v>363</v>
      </c>
      <c r="BC321" s="373">
        <f>$C$61</f>
        <v>0.01</v>
      </c>
      <c r="BD321" s="362" t="s">
        <v>457</v>
      </c>
      <c r="BE321" s="664">
        <f>BC106*BC$315*1000/3.6</f>
        <v>500000000</v>
      </c>
      <c r="BF321" s="363" t="s">
        <v>495</v>
      </c>
      <c r="CA321"/>
      <c r="CB321" s="360" t="s">
        <v>363</v>
      </c>
      <c r="CC321" s="373">
        <f>$C$61</f>
        <v>0.01</v>
      </c>
      <c r="CD321" s="362" t="s">
        <v>457</v>
      </c>
      <c r="CE321" s="664">
        <f>CC106*CC$315*1000/3.6</f>
        <v>416666666.66666663</v>
      </c>
      <c r="CF321" s="363" t="s">
        <v>495</v>
      </c>
      <c r="DA321"/>
      <c r="DB321" s="360" t="s">
        <v>363</v>
      </c>
      <c r="DC321" s="373">
        <f>$C$61</f>
        <v>0.01</v>
      </c>
      <c r="DD321" s="362" t="s">
        <v>457</v>
      </c>
      <c r="DE321" s="664">
        <f>DC106*DC$315*1000/3.6</f>
        <v>83333333.333333328</v>
      </c>
      <c r="DF321" s="363" t="s">
        <v>495</v>
      </c>
      <c r="DY321"/>
      <c r="DZ321"/>
      <c r="EA321"/>
      <c r="EB321" s="360"/>
      <c r="EC321" s="362"/>
      <c r="ED321" s="372"/>
      <c r="EE321" s="362"/>
      <c r="EF321" s="363"/>
    </row>
    <row r="322" spans="2:136">
      <c r="B322"/>
      <c r="C322"/>
      <c r="D322"/>
      <c r="E322"/>
      <c r="F322"/>
      <c r="G322"/>
      <c r="H322"/>
      <c r="I322"/>
      <c r="J322"/>
      <c r="K322"/>
      <c r="L322"/>
      <c r="BA322"/>
      <c r="BB322" s="360" t="s">
        <v>496</v>
      </c>
      <c r="BC322" s="375">
        <f>$C$62</f>
        <v>2E-3</v>
      </c>
      <c r="BD322" s="362" t="s">
        <v>459</v>
      </c>
      <c r="BE322" s="663">
        <v>0</v>
      </c>
      <c r="BF322" s="363" t="s">
        <v>497</v>
      </c>
      <c r="BG322" s="262"/>
      <c r="BH322"/>
      <c r="BI322"/>
      <c r="BJ322"/>
      <c r="BK322"/>
      <c r="CA322"/>
      <c r="CB322" s="360" t="s">
        <v>496</v>
      </c>
      <c r="CC322" s="375">
        <f>$C$62</f>
        <v>2E-3</v>
      </c>
      <c r="CD322" s="362" t="s">
        <v>459</v>
      </c>
      <c r="CE322" s="663">
        <v>0</v>
      </c>
      <c r="CF322" s="363" t="s">
        <v>497</v>
      </c>
      <c r="DA322"/>
      <c r="DB322" s="360" t="s">
        <v>496</v>
      </c>
      <c r="DC322" s="375">
        <f>$C$62</f>
        <v>2E-3</v>
      </c>
      <c r="DD322" s="362" t="s">
        <v>459</v>
      </c>
      <c r="DE322" s="663">
        <v>0</v>
      </c>
      <c r="DF322" s="363" t="s">
        <v>497</v>
      </c>
      <c r="DY322"/>
      <c r="DZ322"/>
      <c r="EA322"/>
      <c r="EB322" s="360" t="s">
        <v>363</v>
      </c>
      <c r="EC322" s="373">
        <f>$C$61</f>
        <v>0.01</v>
      </c>
      <c r="ED322" s="362" t="s">
        <v>457</v>
      </c>
      <c r="EE322" s="664">
        <f>EC108*EC$315*1000/3.6</f>
        <v>77777777.777777776</v>
      </c>
      <c r="EF322" s="363" t="s">
        <v>495</v>
      </c>
    </row>
    <row r="323" spans="2:136">
      <c r="B323"/>
      <c r="C323"/>
      <c r="D323"/>
      <c r="E323"/>
      <c r="F323"/>
      <c r="G323"/>
      <c r="H323"/>
      <c r="I323"/>
      <c r="J323"/>
      <c r="K323"/>
      <c r="L323"/>
      <c r="BA323"/>
      <c r="BB323" s="360" t="s">
        <v>523</v>
      </c>
      <c r="BC323" s="375">
        <f>$C$62</f>
        <v>2E-3</v>
      </c>
      <c r="BD323" s="362" t="s">
        <v>459</v>
      </c>
      <c r="BE323" s="664">
        <f>BC110*BC$315*1000</f>
        <v>10000000</v>
      </c>
      <c r="BF323" s="363" t="s">
        <v>497</v>
      </c>
      <c r="BH323"/>
      <c r="BI323"/>
      <c r="BJ323"/>
      <c r="BK323"/>
      <c r="CA323"/>
      <c r="CB323" s="360" t="s">
        <v>523</v>
      </c>
      <c r="CC323" s="375">
        <f>$C$62</f>
        <v>2E-3</v>
      </c>
      <c r="CD323" s="362" t="s">
        <v>459</v>
      </c>
      <c r="CE323" s="664">
        <f>CC110*CC$315*1000</f>
        <v>10000000</v>
      </c>
      <c r="CF323" s="363" t="s">
        <v>497</v>
      </c>
      <c r="DA323"/>
      <c r="DB323" s="360" t="s">
        <v>523</v>
      </c>
      <c r="DC323" s="375">
        <f>$C$62</f>
        <v>2E-3</v>
      </c>
      <c r="DD323" s="362" t="s">
        <v>459</v>
      </c>
      <c r="DE323" s="664">
        <f>DC110*DC$315*1000</f>
        <v>10000000</v>
      </c>
      <c r="DF323" s="363" t="s">
        <v>497</v>
      </c>
      <c r="DY323"/>
      <c r="DZ323"/>
      <c r="EA323"/>
      <c r="EB323" s="360" t="s">
        <v>496</v>
      </c>
      <c r="EC323" s="375">
        <f>$C$62</f>
        <v>2E-3</v>
      </c>
      <c r="ED323" s="362" t="s">
        <v>459</v>
      </c>
      <c r="EE323" s="663">
        <v>0</v>
      </c>
      <c r="EF323" s="363" t="s">
        <v>497</v>
      </c>
    </row>
    <row r="324" spans="2:136">
      <c r="B324"/>
      <c r="C324"/>
      <c r="D324"/>
      <c r="E324"/>
      <c r="F324"/>
      <c r="G324"/>
      <c r="H324"/>
      <c r="I324"/>
      <c r="J324"/>
      <c r="K324"/>
      <c r="L324"/>
      <c r="BA324"/>
      <c r="BB324" s="360" t="s">
        <v>40</v>
      </c>
      <c r="BC324" s="376">
        <f>$C$60/1055</f>
        <v>9.4786729857819903E-6</v>
      </c>
      <c r="BD324" s="362" t="s">
        <v>1531</v>
      </c>
      <c r="BE324" s="664">
        <f>BC105*BC$315*1000</f>
        <v>3000000</v>
      </c>
      <c r="BF324" s="363" t="s">
        <v>1532</v>
      </c>
      <c r="BH324"/>
      <c r="BI324"/>
      <c r="BJ324"/>
      <c r="BK324"/>
      <c r="CA324"/>
      <c r="CB324" s="360" t="s">
        <v>40</v>
      </c>
      <c r="CC324" s="373">
        <f>$C$60/1055</f>
        <v>9.4786729857819903E-6</v>
      </c>
      <c r="CD324" s="362" t="s">
        <v>1531</v>
      </c>
      <c r="CE324" s="664">
        <f>CC105*CC$315*1000</f>
        <v>19100000</v>
      </c>
      <c r="CF324" s="363" t="s">
        <v>1532</v>
      </c>
      <c r="CG324" s="115"/>
      <c r="DA324"/>
      <c r="DB324" s="360" t="s">
        <v>40</v>
      </c>
      <c r="DC324" s="373">
        <f>$C$60/1055</f>
        <v>9.4786729857819903E-6</v>
      </c>
      <c r="DD324" s="362" t="s">
        <v>1531</v>
      </c>
      <c r="DE324" s="664">
        <f>DC105*DC$315*1000</f>
        <v>0</v>
      </c>
      <c r="DF324" s="363" t="s">
        <v>495</v>
      </c>
      <c r="DY324"/>
      <c r="DZ324"/>
      <c r="EA324"/>
      <c r="EB324" s="360" t="s">
        <v>523</v>
      </c>
      <c r="EC324" s="375">
        <f>$C$62</f>
        <v>2E-3</v>
      </c>
      <c r="ED324" s="362" t="s">
        <v>459</v>
      </c>
      <c r="EE324" s="664">
        <f>EC112*EC$315*1000</f>
        <v>10000000</v>
      </c>
      <c r="EF324" s="363" t="s">
        <v>497</v>
      </c>
    </row>
    <row r="325" spans="2:136">
      <c r="B325"/>
      <c r="C325"/>
      <c r="D325"/>
      <c r="E325"/>
      <c r="F325"/>
      <c r="G325"/>
      <c r="H325"/>
      <c r="I325"/>
      <c r="J325"/>
      <c r="K325"/>
      <c r="L325"/>
      <c r="BA325"/>
      <c r="BB325" s="360"/>
      <c r="BC325" s="362"/>
      <c r="BD325" s="371"/>
      <c r="BE325" s="663"/>
      <c r="BF325" s="363"/>
      <c r="BH325"/>
      <c r="BI325"/>
      <c r="BJ325"/>
      <c r="BK325"/>
      <c r="CA325"/>
      <c r="CB325" s="360"/>
      <c r="CC325" s="362"/>
      <c r="CD325" s="371"/>
      <c r="CE325" s="663"/>
      <c r="CF325" s="363"/>
      <c r="DA325"/>
      <c r="DB325" s="360"/>
      <c r="DC325" s="362"/>
      <c r="DD325" s="371"/>
      <c r="DE325" s="663"/>
      <c r="DF325" s="363"/>
      <c r="DY325"/>
      <c r="DZ325"/>
      <c r="EA325"/>
      <c r="EB325" s="360" t="s">
        <v>40</v>
      </c>
      <c r="EC325" s="373">
        <f>$C$60/1055</f>
        <v>9.4786729857819903E-6</v>
      </c>
      <c r="ED325" s="362" t="s">
        <v>1531</v>
      </c>
      <c r="EE325" s="664">
        <f>EC107*EC$315*1000</f>
        <v>7000000</v>
      </c>
      <c r="EF325" s="363" t="s">
        <v>1532</v>
      </c>
    </row>
    <row r="326" spans="2:136">
      <c r="B326"/>
      <c r="C326"/>
      <c r="D326"/>
      <c r="E326"/>
      <c r="F326"/>
      <c r="G326"/>
      <c r="H326"/>
      <c r="I326"/>
      <c r="J326"/>
      <c r="K326"/>
      <c r="L326"/>
      <c r="BA326"/>
      <c r="BB326" s="360" t="s">
        <v>1259</v>
      </c>
      <c r="BC326" s="960">
        <f>$C$55/$H$54</f>
        <v>1.1022927689594356E-2</v>
      </c>
      <c r="BD326" s="371" t="s">
        <v>460</v>
      </c>
      <c r="BE326" s="663">
        <f>(BC134+BC135)*BC$315*1000</f>
        <v>3930000</v>
      </c>
      <c r="BF326" s="363" t="s">
        <v>1262</v>
      </c>
      <c r="BH326"/>
      <c r="BI326"/>
      <c r="BJ326"/>
      <c r="BK326"/>
      <c r="CA326"/>
      <c r="CB326" s="360" t="s">
        <v>1259</v>
      </c>
      <c r="CC326" s="960">
        <f>$C$55/$H$54</f>
        <v>1.1022927689594356E-2</v>
      </c>
      <c r="CD326" s="371" t="s">
        <v>460</v>
      </c>
      <c r="CE326" s="663">
        <f>(CC134+CC135)*CC$315*1000</f>
        <v>2600000</v>
      </c>
      <c r="CF326" s="363" t="s">
        <v>1262</v>
      </c>
      <c r="DA326"/>
      <c r="DB326" s="360" t="s">
        <v>1259</v>
      </c>
      <c r="DC326" s="960">
        <f>$C$55/$H$54</f>
        <v>1.1022927689594356E-2</v>
      </c>
      <c r="DD326" s="371" t="s">
        <v>460</v>
      </c>
      <c r="DE326" s="663">
        <f>DC135*DC315*1000</f>
        <v>1150000</v>
      </c>
      <c r="DF326" s="363" t="s">
        <v>1262</v>
      </c>
      <c r="DY326"/>
      <c r="DZ326"/>
      <c r="EA326"/>
      <c r="EB326" s="360"/>
      <c r="EC326" s="362"/>
      <c r="ED326" s="371"/>
      <c r="EE326" s="663"/>
      <c r="EF326" s="363"/>
    </row>
    <row r="327" spans="2:136" ht="14.5" thickBot="1">
      <c r="B327"/>
      <c r="C327"/>
      <c r="D327"/>
      <c r="E327"/>
      <c r="F327"/>
      <c r="G327"/>
      <c r="H327"/>
      <c r="I327"/>
      <c r="J327"/>
      <c r="K327"/>
      <c r="L327"/>
      <c r="BA327"/>
      <c r="BB327" s="377" t="s">
        <v>1260</v>
      </c>
      <c r="BC327" s="1053">
        <f>$C$56</f>
        <v>3.0000000000000001E-3</v>
      </c>
      <c r="BD327" s="1054" t="s">
        <v>1261</v>
      </c>
      <c r="BE327" s="1055">
        <f>BC136/3.78541*BC$315*1000</f>
        <v>13533540.620434774</v>
      </c>
      <c r="BF327" s="379" t="s">
        <v>497</v>
      </c>
      <c r="BH327"/>
      <c r="BI327"/>
      <c r="BJ327"/>
      <c r="BK327"/>
      <c r="CA327"/>
      <c r="CB327" s="377" t="s">
        <v>1260</v>
      </c>
      <c r="CC327" s="1053">
        <f>$C$56</f>
        <v>3.0000000000000001E-3</v>
      </c>
      <c r="CD327" s="1054" t="s">
        <v>1261</v>
      </c>
      <c r="CE327" s="1055">
        <f>CC136/3.78541*CC$315*1000</f>
        <v>27381446.131330553</v>
      </c>
      <c r="CF327" s="379" t="s">
        <v>497</v>
      </c>
      <c r="DA327"/>
      <c r="DB327" s="377" t="s">
        <v>1260</v>
      </c>
      <c r="DC327" s="1053">
        <f>$C$56</f>
        <v>3.0000000000000001E-3</v>
      </c>
      <c r="DD327" s="1054" t="s">
        <v>1261</v>
      </c>
      <c r="DE327" s="1055">
        <f>DC136*DC$315*1000/3.7854</f>
        <v>10115179.373381941</v>
      </c>
      <c r="DF327" s="379" t="s">
        <v>497</v>
      </c>
      <c r="DY327"/>
      <c r="DZ327"/>
      <c r="EA327"/>
      <c r="EB327" s="360" t="s">
        <v>1259</v>
      </c>
      <c r="EC327" s="960">
        <f>$C$55/$H$54</f>
        <v>1.1022927689594356E-2</v>
      </c>
      <c r="ED327" s="371" t="s">
        <v>460</v>
      </c>
      <c r="EE327" s="663">
        <f>EC136*EC315*1000</f>
        <v>1100000</v>
      </c>
      <c r="EF327" s="363" t="s">
        <v>1262</v>
      </c>
    </row>
    <row r="328" spans="2:136" ht="14.5" thickBot="1">
      <c r="B328"/>
      <c r="C328"/>
      <c r="D328"/>
      <c r="E328"/>
      <c r="F328"/>
      <c r="G328"/>
      <c r="H328"/>
      <c r="I328"/>
      <c r="J328"/>
      <c r="K328"/>
      <c r="L328"/>
      <c r="BA328"/>
      <c r="BB328" s="370" t="s">
        <v>473</v>
      </c>
      <c r="BC328" s="368" t="s">
        <v>498</v>
      </c>
      <c r="BD328" s="362"/>
      <c r="BE328" s="368" t="s">
        <v>404</v>
      </c>
      <c r="BF328" s="363"/>
      <c r="BH328"/>
      <c r="BI328"/>
      <c r="BJ328"/>
      <c r="BK328"/>
      <c r="CA328"/>
      <c r="CB328" s="370" t="s">
        <v>473</v>
      </c>
      <c r="CC328" s="368" t="s">
        <v>498</v>
      </c>
      <c r="CD328" s="362"/>
      <c r="CE328" s="368" t="s">
        <v>404</v>
      </c>
      <c r="CF328" s="363"/>
      <c r="CG328" s="115"/>
      <c r="DA328"/>
      <c r="DB328" s="370" t="s">
        <v>473</v>
      </c>
      <c r="DC328" s="368" t="s">
        <v>498</v>
      </c>
      <c r="DD328" s="362"/>
      <c r="DE328" s="368" t="s">
        <v>404</v>
      </c>
      <c r="DF328" s="363"/>
      <c r="DY328"/>
      <c r="DZ328"/>
      <c r="EA328"/>
      <c r="EB328" s="377" t="s">
        <v>1260</v>
      </c>
      <c r="EC328" s="1053">
        <f>$C$56</f>
        <v>3.0000000000000001E-3</v>
      </c>
      <c r="ED328" s="1054" t="s">
        <v>1261</v>
      </c>
      <c r="EE328" s="1055">
        <f>EC137*EC$315*1000/3.7854</f>
        <v>7925186.2418766841</v>
      </c>
      <c r="EF328" s="379" t="s">
        <v>497</v>
      </c>
    </row>
    <row r="329" spans="2:136">
      <c r="B329"/>
      <c r="C329"/>
      <c r="D329"/>
      <c r="E329"/>
      <c r="F329"/>
      <c r="G329"/>
      <c r="H329"/>
      <c r="I329"/>
      <c r="J329"/>
      <c r="K329"/>
      <c r="L329"/>
      <c r="BA329"/>
      <c r="BB329" s="360" t="s">
        <v>238</v>
      </c>
      <c r="BC329" s="383">
        <f>IF(C89&lt;0,0,C89)*1000</f>
        <v>2300</v>
      </c>
      <c r="BD329" s="374" t="s">
        <v>584</v>
      </c>
      <c r="BE329" s="384">
        <f>BC25</f>
        <v>10000</v>
      </c>
      <c r="BF329" s="363" t="s">
        <v>585</v>
      </c>
      <c r="BG329" s="262"/>
      <c r="BH329"/>
      <c r="BI329"/>
      <c r="BJ329"/>
      <c r="BK329"/>
      <c r="CA329"/>
      <c r="CB329" s="360" t="s">
        <v>238</v>
      </c>
      <c r="CC329" s="383">
        <f>IF(D89&lt;0,0,D89)*1000</f>
        <v>2560</v>
      </c>
      <c r="CD329" s="374" t="s">
        <v>584</v>
      </c>
      <c r="CE329" s="385">
        <f>CD25</f>
        <v>10000</v>
      </c>
      <c r="CF329" s="363" t="s">
        <v>585</v>
      </c>
      <c r="DA329"/>
      <c r="DB329" s="360" t="s">
        <v>238</v>
      </c>
      <c r="DC329" s="383">
        <f>IF(E89&lt;0,0,D89)*1000</f>
        <v>2560</v>
      </c>
      <c r="DD329" s="374" t="s">
        <v>584</v>
      </c>
      <c r="DE329" s="385">
        <f>DD25</f>
        <v>10000</v>
      </c>
      <c r="DF329" s="363" t="s">
        <v>585</v>
      </c>
      <c r="DY329"/>
      <c r="DZ329"/>
      <c r="EA329"/>
      <c r="EB329" s="360" t="s">
        <v>238</v>
      </c>
      <c r="EC329" s="383">
        <f>IF(F89&lt;0,0,F89)*1000</f>
        <v>3000</v>
      </c>
      <c r="ED329" s="374" t="s">
        <v>584</v>
      </c>
      <c r="EE329" s="385">
        <f>EC26</f>
        <v>10000</v>
      </c>
      <c r="EF329" s="363" t="s">
        <v>585</v>
      </c>
    </row>
    <row r="330" spans="2:136">
      <c r="B330"/>
      <c r="C330"/>
      <c r="D330"/>
      <c r="E330"/>
      <c r="F330"/>
      <c r="G330"/>
      <c r="H330"/>
      <c r="I330"/>
      <c r="J330"/>
      <c r="K330"/>
      <c r="L330"/>
      <c r="BA330"/>
      <c r="BB330" s="360" t="str">
        <f>BB88</f>
        <v>Limestone</v>
      </c>
      <c r="BC330" s="383">
        <f t="shared" ref="BC330:BC339" si="52">IFERROR(VLOOKUP(BB330,$B$66:$C$86,2,FALSE),0)*1000</f>
        <v>131.66</v>
      </c>
      <c r="BD330" s="374" t="s">
        <v>584</v>
      </c>
      <c r="BE330" s="384">
        <f>BE$329*IFERROR(VLOOKUP(BB330,BB$88:BC$97,2, FALSE),0)</f>
        <v>2600</v>
      </c>
      <c r="BF330" s="363" t="s">
        <v>585</v>
      </c>
      <c r="BG330" s="262"/>
      <c r="BH330"/>
      <c r="BI330"/>
      <c r="BJ330"/>
      <c r="BK330"/>
      <c r="CA330"/>
      <c r="CB330" s="360" t="str">
        <f>CB88</f>
        <v>Sulfuric Acid</v>
      </c>
      <c r="CC330" s="383">
        <f t="shared" ref="CC330:CC339" si="53">IFERROR(VLOOKUP(CB330,$B$66:$C$86,2,FALSE),0)*1000</f>
        <v>83.358565256891183</v>
      </c>
      <c r="CD330" s="374" t="s">
        <v>584</v>
      </c>
      <c r="CE330" s="384">
        <f>CE$329*IFERROR(VLOOKUP(CB330,CB$88:CC$97,2, FALSE),0)</f>
        <v>16000</v>
      </c>
      <c r="CF330" s="363" t="s">
        <v>585</v>
      </c>
      <c r="DA330"/>
      <c r="DB330" s="360" t="str">
        <f>DB88</f>
        <v>Lithium Hydroxide</v>
      </c>
      <c r="DC330" s="383">
        <f t="shared" ref="DC330:DC339" si="54">IFERROR(VLOOKUP(DB330,$B$66:$C$86,2,FALSE),0)*1000</f>
        <v>34893.805309734504</v>
      </c>
      <c r="DD330" s="374" t="s">
        <v>584</v>
      </c>
      <c r="DE330" s="384">
        <f>DE$329*IFERROR(VLOOKUP(DB330,DB$88:DC$97,2, FALSE),0)</f>
        <v>500</v>
      </c>
      <c r="DF330" s="363" t="s">
        <v>585</v>
      </c>
      <c r="DY330"/>
      <c r="DZ330"/>
      <c r="EA330"/>
      <c r="EB330" s="360" t="str">
        <f t="shared" ref="EB330:EB338" si="55">EB89</f>
        <v>Sulfuric Acid</v>
      </c>
      <c r="EC330" s="383">
        <f t="shared" ref="EC330:EC339" si="56">IFERROR(VLOOKUP(EB330,$B$66:$C$86,2,FALSE)*1000,0)</f>
        <v>83.358565256891183</v>
      </c>
      <c r="ED330" s="374" t="s">
        <v>584</v>
      </c>
      <c r="EE330" s="384">
        <f>EE$329*IFERROR(VLOOKUP(EB330,EB$89:EC$98,2, FALSE),0)</f>
        <v>16000</v>
      </c>
      <c r="EF330" s="363" t="s">
        <v>585</v>
      </c>
    </row>
    <row r="331" spans="2:136">
      <c r="B331"/>
      <c r="C331"/>
      <c r="D331"/>
      <c r="E331"/>
      <c r="F331"/>
      <c r="G331"/>
      <c r="H331"/>
      <c r="I331"/>
      <c r="J331"/>
      <c r="K331"/>
      <c r="L331"/>
      <c r="BA331"/>
      <c r="BB331" s="360" t="str">
        <f t="shared" ref="BB331:BB339" si="57">BB89</f>
        <v>Sand</v>
      </c>
      <c r="BC331" s="383">
        <f t="shared" si="52"/>
        <v>46.42</v>
      </c>
      <c r="BD331" s="374" t="s">
        <v>584</v>
      </c>
      <c r="BE331" s="384">
        <f t="shared" ref="BE331:BE339" si="58">BE$329*IFERROR(VLOOKUP(BB331,BB$88:BC$97,2, FALSE),0)</f>
        <v>3900</v>
      </c>
      <c r="BF331" s="363" t="s">
        <v>585</v>
      </c>
      <c r="BH331"/>
      <c r="BI331"/>
      <c r="BJ331"/>
      <c r="BK331"/>
      <c r="CA331"/>
      <c r="CB331" s="360" t="str">
        <f t="shared" ref="CB331:CB339" si="59">CB89</f>
        <v>Hydrogen Peroxide</v>
      </c>
      <c r="CC331" s="383">
        <f t="shared" si="53"/>
        <v>1459.4</v>
      </c>
      <c r="CD331" s="374" t="s">
        <v>584</v>
      </c>
      <c r="CE331" s="384">
        <f t="shared" ref="CE331:CE339" si="60">CE$329*IFERROR(VLOOKUP(CB331,CB$88:CC$97,2, FALSE),0)</f>
        <v>1100</v>
      </c>
      <c r="CF331" s="363" t="s">
        <v>585</v>
      </c>
      <c r="DA331"/>
      <c r="DB331" s="360" t="str">
        <f t="shared" ref="DB331:DB339" si="61">DB89</f>
        <v>Lime</v>
      </c>
      <c r="DC331" s="383">
        <f t="shared" si="54"/>
        <v>131.66</v>
      </c>
      <c r="DD331" s="374" t="s">
        <v>584</v>
      </c>
      <c r="DE331" s="384">
        <f t="shared" ref="DE331:DE339" si="62">DE$329*IFERROR(VLOOKUP(DB331,DB$88:DC$97,2, FALSE),0)</f>
        <v>0</v>
      </c>
      <c r="DF331" s="363" t="s">
        <v>585</v>
      </c>
      <c r="DY331"/>
      <c r="DZ331"/>
      <c r="EA331"/>
      <c r="EB331" s="360" t="str">
        <f t="shared" si="55"/>
        <v>Hydrogen Peroxide</v>
      </c>
      <c r="EC331" s="383">
        <f t="shared" si="56"/>
        <v>1459.4</v>
      </c>
      <c r="ED331" s="374" t="s">
        <v>584</v>
      </c>
      <c r="EE331" s="384">
        <f t="shared" ref="EE331:EE339" si="63">EE$329*IFERROR(VLOOKUP(EB331,EB$89:EC$98,2, FALSE),0)</f>
        <v>1100</v>
      </c>
      <c r="EF331" s="363" t="s">
        <v>585</v>
      </c>
    </row>
    <row r="332" spans="2:136">
      <c r="B332"/>
      <c r="C332"/>
      <c r="D332"/>
      <c r="E332"/>
      <c r="F332"/>
      <c r="G332"/>
      <c r="H332"/>
      <c r="I332"/>
      <c r="J332"/>
      <c r="K332"/>
      <c r="L332"/>
      <c r="BA332"/>
      <c r="BB332" s="360" t="str">
        <f t="shared" si="57"/>
        <v>Sulfuric Acid</v>
      </c>
      <c r="BC332" s="383">
        <f t="shared" si="52"/>
        <v>83.358565256891183</v>
      </c>
      <c r="BD332" s="374" t="s">
        <v>584</v>
      </c>
      <c r="BE332" s="384">
        <f t="shared" si="58"/>
        <v>4400</v>
      </c>
      <c r="BF332" s="363" t="s">
        <v>585</v>
      </c>
      <c r="BG332" s="115"/>
      <c r="BH332"/>
      <c r="BI332"/>
      <c r="BJ332"/>
      <c r="BK332"/>
      <c r="CA332"/>
      <c r="CB332" s="360" t="str">
        <f t="shared" si="59"/>
        <v>Sodium Hydroxide</v>
      </c>
      <c r="CC332" s="383">
        <f t="shared" si="53"/>
        <v>450</v>
      </c>
      <c r="CD332" s="374" t="s">
        <v>584</v>
      </c>
      <c r="CE332" s="384">
        <f t="shared" si="60"/>
        <v>10500</v>
      </c>
      <c r="CF332" s="363" t="s">
        <v>585</v>
      </c>
      <c r="DA332"/>
      <c r="DB332" s="360" t="str">
        <f t="shared" si="61"/>
        <v>Lithium Carbonate</v>
      </c>
      <c r="DC332" s="383">
        <f t="shared" si="54"/>
        <v>17140</v>
      </c>
      <c r="DD332" s="374" t="s">
        <v>584</v>
      </c>
      <c r="DE332" s="384">
        <f t="shared" si="62"/>
        <v>30</v>
      </c>
      <c r="DF332" s="363" t="s">
        <v>585</v>
      </c>
      <c r="DY332"/>
      <c r="DZ332"/>
      <c r="EA332"/>
      <c r="EB332" s="360" t="str">
        <f t="shared" si="55"/>
        <v>Sodium Hydroxide</v>
      </c>
      <c r="EC332" s="383">
        <f t="shared" si="56"/>
        <v>450</v>
      </c>
      <c r="ED332" s="374" t="s">
        <v>584</v>
      </c>
      <c r="EE332" s="384">
        <f t="shared" si="63"/>
        <v>10500</v>
      </c>
      <c r="EF332" s="363" t="s">
        <v>585</v>
      </c>
    </row>
    <row r="333" spans="2:136">
      <c r="B333"/>
      <c r="C333"/>
      <c r="D333"/>
      <c r="E333"/>
      <c r="F333"/>
      <c r="G333"/>
      <c r="H333"/>
      <c r="I333"/>
      <c r="J333"/>
      <c r="K333"/>
      <c r="L333"/>
      <c r="BA333"/>
      <c r="BB333" s="360" t="str">
        <f t="shared" si="57"/>
        <v>Lime</v>
      </c>
      <c r="BC333" s="383">
        <f t="shared" si="52"/>
        <v>131.66</v>
      </c>
      <c r="BD333" s="374" t="s">
        <v>584</v>
      </c>
      <c r="BE333" s="384">
        <f t="shared" si="58"/>
        <v>20</v>
      </c>
      <c r="BF333" s="363" t="s">
        <v>585</v>
      </c>
      <c r="BH333"/>
      <c r="BI333"/>
      <c r="BJ333"/>
      <c r="BK333"/>
      <c r="CA333"/>
      <c r="CB333" s="360" t="str">
        <f t="shared" si="59"/>
        <v>Soda Ash</v>
      </c>
      <c r="CC333" s="383">
        <f t="shared" si="53"/>
        <v>143.19999999999999</v>
      </c>
      <c r="CD333" s="374" t="s">
        <v>584</v>
      </c>
      <c r="CE333" s="384">
        <f t="shared" si="60"/>
        <v>3400.0000000000005</v>
      </c>
      <c r="CF333" s="363" t="s">
        <v>585</v>
      </c>
      <c r="DA333"/>
      <c r="DB333" s="360" t="str">
        <f t="shared" si="61"/>
        <v>Carbon Dioxide</v>
      </c>
      <c r="DC333" s="383">
        <f t="shared" si="54"/>
        <v>270.06172839506172</v>
      </c>
      <c r="DD333" s="374" t="s">
        <v>584</v>
      </c>
      <c r="DE333" s="384">
        <f t="shared" si="62"/>
        <v>22000</v>
      </c>
      <c r="DF333" s="363" t="s">
        <v>585</v>
      </c>
      <c r="DY333"/>
      <c r="DZ333"/>
      <c r="EA333"/>
      <c r="EB333" s="360" t="str">
        <f t="shared" si="55"/>
        <v>Ammonium Hydroxide</v>
      </c>
      <c r="EC333" s="383">
        <f t="shared" si="56"/>
        <v>529.99404748781944</v>
      </c>
      <c r="ED333" s="374" t="s">
        <v>584</v>
      </c>
      <c r="EE333" s="384">
        <f t="shared" si="63"/>
        <v>10500</v>
      </c>
      <c r="EF333" s="363" t="s">
        <v>585</v>
      </c>
    </row>
    <row r="334" spans="2:136">
      <c r="B334"/>
      <c r="C334"/>
      <c r="D334"/>
      <c r="E334"/>
      <c r="F334"/>
      <c r="G334"/>
      <c r="H334"/>
      <c r="I334"/>
      <c r="J334"/>
      <c r="K334"/>
      <c r="L334"/>
      <c r="BA334"/>
      <c r="BB334" s="360" t="str">
        <f t="shared" si="57"/>
        <v>Hydrochloric Acid</v>
      </c>
      <c r="BC334" s="383">
        <f t="shared" si="52"/>
        <v>565.50992912642914</v>
      </c>
      <c r="BD334" s="374" t="s">
        <v>584</v>
      </c>
      <c r="BE334" s="384">
        <f t="shared" si="58"/>
        <v>2100</v>
      </c>
      <c r="BF334" s="363" t="s">
        <v>585</v>
      </c>
      <c r="BH334"/>
      <c r="BI334"/>
      <c r="BJ334"/>
      <c r="BK334"/>
      <c r="CA334"/>
      <c r="CB334" s="360" t="str">
        <f t="shared" si="59"/>
        <v>Lime</v>
      </c>
      <c r="CC334" s="383">
        <f t="shared" si="53"/>
        <v>131.66</v>
      </c>
      <c r="CD334" s="374" t="s">
        <v>584</v>
      </c>
      <c r="CE334" s="384">
        <f t="shared" si="60"/>
        <v>10</v>
      </c>
      <c r="CF334" s="363" t="s">
        <v>585</v>
      </c>
      <c r="DA334"/>
      <c r="DB334" s="360" t="str">
        <f t="shared" si="61"/>
        <v>Select Material</v>
      </c>
      <c r="DC334" s="383">
        <f t="shared" si="54"/>
        <v>0</v>
      </c>
      <c r="DD334" s="374" t="s">
        <v>584</v>
      </c>
      <c r="DE334" s="384">
        <f t="shared" si="62"/>
        <v>0</v>
      </c>
      <c r="DF334" s="363" t="s">
        <v>585</v>
      </c>
      <c r="DY334"/>
      <c r="DZ334"/>
      <c r="EA334"/>
      <c r="EB334" s="360" t="str">
        <f t="shared" si="55"/>
        <v>Select Material</v>
      </c>
      <c r="EC334" s="383">
        <f t="shared" si="56"/>
        <v>0</v>
      </c>
      <c r="ED334" s="374" t="s">
        <v>584</v>
      </c>
      <c r="EE334" s="384">
        <f t="shared" si="63"/>
        <v>0</v>
      </c>
      <c r="EF334" s="363" t="s">
        <v>585</v>
      </c>
    </row>
    <row r="335" spans="2:136">
      <c r="B335"/>
      <c r="C335"/>
      <c r="D335"/>
      <c r="E335"/>
      <c r="F335"/>
      <c r="G335"/>
      <c r="H335"/>
      <c r="I335"/>
      <c r="J335"/>
      <c r="K335"/>
      <c r="L335"/>
      <c r="BA335"/>
      <c r="BB335" s="360" t="str">
        <f t="shared" si="57"/>
        <v>Hydrogen Peroxide</v>
      </c>
      <c r="BC335" s="383">
        <f t="shared" si="52"/>
        <v>1459.4</v>
      </c>
      <c r="BD335" s="374" t="s">
        <v>584</v>
      </c>
      <c r="BE335" s="384">
        <f t="shared" si="58"/>
        <v>600</v>
      </c>
      <c r="BF335" s="363" t="s">
        <v>585</v>
      </c>
      <c r="BH335"/>
      <c r="BI335"/>
      <c r="BJ335"/>
      <c r="BK335"/>
      <c r="CA335"/>
      <c r="CB335" s="360" t="str">
        <f t="shared" si="59"/>
        <v>Ammonium Hydroxide</v>
      </c>
      <c r="CC335" s="383">
        <f t="shared" si="53"/>
        <v>529.99404748781944</v>
      </c>
      <c r="CD335" s="374" t="s">
        <v>584</v>
      </c>
      <c r="CE335" s="384">
        <f t="shared" si="60"/>
        <v>3100</v>
      </c>
      <c r="CF335" s="363" t="s">
        <v>585</v>
      </c>
      <c r="DA335"/>
      <c r="DB335" s="360" t="str">
        <f t="shared" si="61"/>
        <v>Select Material</v>
      </c>
      <c r="DC335" s="383">
        <f t="shared" si="54"/>
        <v>0</v>
      </c>
      <c r="DD335" s="374" t="s">
        <v>584</v>
      </c>
      <c r="DE335" s="384">
        <f t="shared" si="62"/>
        <v>0</v>
      </c>
      <c r="DF335" s="363" t="s">
        <v>585</v>
      </c>
      <c r="DY335"/>
      <c r="DZ335"/>
      <c r="EA335"/>
      <c r="EB335" s="360" t="str">
        <f t="shared" si="55"/>
        <v>Hydrochloric Acid</v>
      </c>
      <c r="EC335" s="383">
        <f t="shared" si="56"/>
        <v>565.50992912642914</v>
      </c>
      <c r="ED335" s="374" t="s">
        <v>584</v>
      </c>
      <c r="EE335" s="384">
        <f t="shared" si="63"/>
        <v>100</v>
      </c>
      <c r="EF335" s="363" t="s">
        <v>585</v>
      </c>
    </row>
    <row r="336" spans="2:136">
      <c r="B336"/>
      <c r="C336"/>
      <c r="D336"/>
      <c r="E336"/>
      <c r="F336"/>
      <c r="G336"/>
      <c r="H336"/>
      <c r="I336"/>
      <c r="J336"/>
      <c r="K336"/>
      <c r="L336"/>
      <c r="BA336"/>
      <c r="BB336" s="360" t="str">
        <f t="shared" si="57"/>
        <v>Select Material</v>
      </c>
      <c r="BC336" s="383">
        <f t="shared" si="52"/>
        <v>0</v>
      </c>
      <c r="BD336" s="374" t="s">
        <v>584</v>
      </c>
      <c r="BE336" s="384">
        <f t="shared" si="58"/>
        <v>0</v>
      </c>
      <c r="BF336" s="363" t="s">
        <v>585</v>
      </c>
      <c r="BH336"/>
      <c r="BI336"/>
      <c r="BJ336"/>
      <c r="BK336"/>
      <c r="CA336"/>
      <c r="CB336" s="360" t="str">
        <f t="shared" si="59"/>
        <v>Hydrochloric Acid</v>
      </c>
      <c r="CC336" s="383">
        <f t="shared" si="53"/>
        <v>565.50992912642914</v>
      </c>
      <c r="CD336" s="374" t="s">
        <v>584</v>
      </c>
      <c r="CE336" s="384">
        <f t="shared" si="60"/>
        <v>120</v>
      </c>
      <c r="CF336" s="363" t="s">
        <v>585</v>
      </c>
      <c r="DA336"/>
      <c r="DB336" s="360" t="str">
        <f t="shared" si="61"/>
        <v>Select Material</v>
      </c>
      <c r="DC336" s="383">
        <f t="shared" si="54"/>
        <v>0</v>
      </c>
      <c r="DD336" s="374" t="s">
        <v>584</v>
      </c>
      <c r="DE336" s="384">
        <f t="shared" si="62"/>
        <v>0</v>
      </c>
      <c r="DF336" s="363" t="s">
        <v>585</v>
      </c>
      <c r="DY336"/>
      <c r="DZ336"/>
      <c r="EA336"/>
      <c r="EB336" s="360" t="str">
        <f t="shared" si="55"/>
        <v>Select Material</v>
      </c>
      <c r="EC336" s="383">
        <f t="shared" si="56"/>
        <v>0</v>
      </c>
      <c r="ED336" s="374" t="s">
        <v>584</v>
      </c>
      <c r="EE336" s="384">
        <f t="shared" si="63"/>
        <v>0</v>
      </c>
      <c r="EF336" s="363" t="s">
        <v>585</v>
      </c>
    </row>
    <row r="337" spans="2:136">
      <c r="B337"/>
      <c r="C337"/>
      <c r="D337"/>
      <c r="E337"/>
      <c r="F337"/>
      <c r="G337"/>
      <c r="H337"/>
      <c r="I337"/>
      <c r="J337"/>
      <c r="K337"/>
      <c r="L337"/>
      <c r="BA337"/>
      <c r="BB337" s="360" t="str">
        <f t="shared" si="57"/>
        <v>Select Material</v>
      </c>
      <c r="BC337" s="383">
        <f t="shared" si="52"/>
        <v>0</v>
      </c>
      <c r="BD337" s="374" t="s">
        <v>584</v>
      </c>
      <c r="BE337" s="384">
        <f t="shared" si="58"/>
        <v>0</v>
      </c>
      <c r="BF337" s="363" t="s">
        <v>585</v>
      </c>
      <c r="BH337"/>
      <c r="BI337"/>
      <c r="BJ337"/>
      <c r="BK337"/>
      <c r="CA337"/>
      <c r="CB337" s="360" t="str">
        <f t="shared" si="59"/>
        <v>Select Material</v>
      </c>
      <c r="CC337" s="383">
        <f t="shared" si="53"/>
        <v>0</v>
      </c>
      <c r="CD337" s="374" t="s">
        <v>584</v>
      </c>
      <c r="CE337" s="384">
        <f t="shared" si="60"/>
        <v>0</v>
      </c>
      <c r="CF337" s="363" t="s">
        <v>585</v>
      </c>
      <c r="DA337"/>
      <c r="DB337" s="360" t="str">
        <f t="shared" si="61"/>
        <v>Select Material</v>
      </c>
      <c r="DC337" s="383">
        <f t="shared" si="54"/>
        <v>0</v>
      </c>
      <c r="DD337" s="374" t="s">
        <v>584</v>
      </c>
      <c r="DE337" s="384">
        <f t="shared" si="62"/>
        <v>0</v>
      </c>
      <c r="DF337" s="363" t="s">
        <v>585</v>
      </c>
      <c r="DY337"/>
      <c r="DZ337"/>
      <c r="EA337"/>
      <c r="EB337" s="360" t="str">
        <f t="shared" si="55"/>
        <v>Select Material</v>
      </c>
      <c r="EC337" s="383">
        <f t="shared" si="56"/>
        <v>0</v>
      </c>
      <c r="ED337" s="374" t="s">
        <v>584</v>
      </c>
      <c r="EE337" s="384">
        <f t="shared" si="63"/>
        <v>0</v>
      </c>
      <c r="EF337" s="363" t="s">
        <v>585</v>
      </c>
    </row>
    <row r="338" spans="2:136">
      <c r="B338"/>
      <c r="C338"/>
      <c r="D338"/>
      <c r="E338"/>
      <c r="F338"/>
      <c r="G338"/>
      <c r="H338"/>
      <c r="I338"/>
      <c r="J338"/>
      <c r="K338"/>
      <c r="L338"/>
      <c r="BA338"/>
      <c r="BB338" s="360" t="str">
        <f t="shared" si="57"/>
        <v>Select Material</v>
      </c>
      <c r="BC338" s="383">
        <f t="shared" si="52"/>
        <v>0</v>
      </c>
      <c r="BD338" s="374" t="s">
        <v>584</v>
      </c>
      <c r="BE338" s="384">
        <f t="shared" si="58"/>
        <v>0</v>
      </c>
      <c r="BF338" s="363" t="s">
        <v>585</v>
      </c>
      <c r="BH338"/>
      <c r="BI338"/>
      <c r="BJ338"/>
      <c r="BK338"/>
      <c r="CA338"/>
      <c r="CB338" s="360" t="str">
        <f t="shared" si="59"/>
        <v>Select Material</v>
      </c>
      <c r="CC338" s="383">
        <f t="shared" si="53"/>
        <v>0</v>
      </c>
      <c r="CD338" s="374" t="s">
        <v>584</v>
      </c>
      <c r="CE338" s="384">
        <f t="shared" si="60"/>
        <v>0</v>
      </c>
      <c r="CF338" s="363" t="s">
        <v>585</v>
      </c>
      <c r="DA338"/>
      <c r="DB338" s="360" t="str">
        <f t="shared" si="61"/>
        <v>Select Material</v>
      </c>
      <c r="DC338" s="383">
        <f t="shared" si="54"/>
        <v>0</v>
      </c>
      <c r="DD338" s="374" t="s">
        <v>584</v>
      </c>
      <c r="DE338" s="384">
        <f t="shared" si="62"/>
        <v>0</v>
      </c>
      <c r="DF338" s="363" t="s">
        <v>585</v>
      </c>
      <c r="DY338"/>
      <c r="DZ338"/>
      <c r="EA338"/>
      <c r="EB338" s="360" t="str">
        <f t="shared" si="55"/>
        <v>Select Material</v>
      </c>
      <c r="EC338" s="383">
        <f t="shared" si="56"/>
        <v>0</v>
      </c>
      <c r="ED338" s="374" t="s">
        <v>584</v>
      </c>
      <c r="EE338" s="384">
        <f t="shared" si="63"/>
        <v>0</v>
      </c>
      <c r="EF338" s="363" t="s">
        <v>585</v>
      </c>
    </row>
    <row r="339" spans="2:136">
      <c r="BA339"/>
      <c r="BB339" s="360" t="str">
        <f t="shared" si="57"/>
        <v>Select Material</v>
      </c>
      <c r="BC339" s="383">
        <f t="shared" si="52"/>
        <v>0</v>
      </c>
      <c r="BD339" s="374" t="s">
        <v>584</v>
      </c>
      <c r="BE339" s="384">
        <f t="shared" si="58"/>
        <v>0</v>
      </c>
      <c r="BF339" s="363" t="s">
        <v>585</v>
      </c>
      <c r="BH339"/>
      <c r="BI339"/>
      <c r="BJ339"/>
      <c r="BK339"/>
      <c r="CA339"/>
      <c r="CB339" s="360" t="str">
        <f t="shared" si="59"/>
        <v>Select Material</v>
      </c>
      <c r="CC339" s="383">
        <f t="shared" si="53"/>
        <v>0</v>
      </c>
      <c r="CD339" s="374" t="s">
        <v>584</v>
      </c>
      <c r="CE339" s="384">
        <f t="shared" si="60"/>
        <v>0</v>
      </c>
      <c r="CF339" s="363" t="s">
        <v>585</v>
      </c>
      <c r="DA339"/>
      <c r="DB339" s="360" t="str">
        <f t="shared" si="61"/>
        <v>Select Material</v>
      </c>
      <c r="DC339" s="383">
        <f t="shared" si="54"/>
        <v>0</v>
      </c>
      <c r="DD339" s="374" t="s">
        <v>584</v>
      </c>
      <c r="DE339" s="384">
        <f t="shared" si="62"/>
        <v>0</v>
      </c>
      <c r="DF339" s="363" t="s">
        <v>585</v>
      </c>
      <c r="DY339"/>
      <c r="DZ339"/>
      <c r="EA339"/>
      <c r="EB339" s="360" t="str">
        <f>EB98</f>
        <v>Select Material</v>
      </c>
      <c r="EC339" s="383">
        <f t="shared" si="56"/>
        <v>0</v>
      </c>
      <c r="ED339" s="374" t="s">
        <v>584</v>
      </c>
      <c r="EE339" s="384">
        <f t="shared" si="63"/>
        <v>0</v>
      </c>
      <c r="EF339" s="363" t="s">
        <v>585</v>
      </c>
    </row>
    <row r="340" spans="2:136">
      <c r="BB340" s="360">
        <f>BB99</f>
        <v>0</v>
      </c>
      <c r="BC340" s="383">
        <f>Materials!G111*1000</f>
        <v>0</v>
      </c>
      <c r="BD340" s="374" t="s">
        <v>584</v>
      </c>
      <c r="BE340" s="385">
        <f>BE$329*BC99</f>
        <v>0</v>
      </c>
      <c r="BF340" s="363" t="s">
        <v>585</v>
      </c>
      <c r="BH340"/>
      <c r="BI340"/>
      <c r="BJ340"/>
      <c r="BK340"/>
      <c r="CB340" s="360">
        <f>CB99</f>
        <v>0</v>
      </c>
      <c r="CC340" s="383">
        <f>Materials!I111*1000</f>
        <v>0</v>
      </c>
      <c r="CD340" s="374" t="s">
        <v>584</v>
      </c>
      <c r="CE340" s="385">
        <f>CE$329*CC99</f>
        <v>0</v>
      </c>
      <c r="CF340" s="363" t="s">
        <v>585</v>
      </c>
      <c r="DA340"/>
      <c r="DB340" s="360">
        <f>DB99</f>
        <v>0</v>
      </c>
      <c r="DC340" s="383">
        <f>Materials!K111*1000</f>
        <v>0</v>
      </c>
      <c r="DD340" s="374" t="s">
        <v>584</v>
      </c>
      <c r="DE340" s="1251">
        <f>DE$329*DC99</f>
        <v>0</v>
      </c>
      <c r="DF340" s="363" t="s">
        <v>585</v>
      </c>
      <c r="EB340" s="360">
        <f>EB100</f>
        <v>0</v>
      </c>
      <c r="EC340" s="383">
        <f>Materials!M111*1000</f>
        <v>0</v>
      </c>
      <c r="ED340" s="374" t="s">
        <v>584</v>
      </c>
      <c r="EE340" s="1251">
        <f>EE$329*EC100</f>
        <v>0</v>
      </c>
      <c r="EF340" s="363" t="s">
        <v>585</v>
      </c>
    </row>
    <row r="341" spans="2:136">
      <c r="BB341" s="360">
        <f>BB100</f>
        <v>0</v>
      </c>
      <c r="BC341" s="383">
        <f>Materials!H111*1000</f>
        <v>0</v>
      </c>
      <c r="BD341" s="374" t="s">
        <v>584</v>
      </c>
      <c r="BE341" s="385">
        <f>BE$329*BC100</f>
        <v>0</v>
      </c>
      <c r="BF341" s="363" t="s">
        <v>585</v>
      </c>
      <c r="BH341"/>
      <c r="BI341"/>
      <c r="BJ341"/>
      <c r="BK341"/>
      <c r="CB341" s="360">
        <f>CB100</f>
        <v>0</v>
      </c>
      <c r="CC341" s="383">
        <f>Materials!J111*1000</f>
        <v>0</v>
      </c>
      <c r="CD341" s="374" t="s">
        <v>584</v>
      </c>
      <c r="CE341" s="385">
        <f>CE$329*CC100</f>
        <v>0</v>
      </c>
      <c r="CF341" s="363" t="s">
        <v>585</v>
      </c>
      <c r="DA341"/>
      <c r="DB341" s="360">
        <f>DB100</f>
        <v>0</v>
      </c>
      <c r="DC341" s="383">
        <f>Materials!L111*1000</f>
        <v>0</v>
      </c>
      <c r="DD341" s="374" t="s">
        <v>584</v>
      </c>
      <c r="DE341" s="1251">
        <f>DE$329*DC100</f>
        <v>0</v>
      </c>
      <c r="DF341" s="363" t="s">
        <v>585</v>
      </c>
      <c r="EB341" s="360">
        <f>EB101</f>
        <v>0</v>
      </c>
      <c r="EC341" s="383">
        <f>Materials!N111*1000</f>
        <v>0</v>
      </c>
      <c r="ED341" s="374" t="s">
        <v>584</v>
      </c>
      <c r="EE341" s="1251">
        <f>EE$329*EC101</f>
        <v>0</v>
      </c>
      <c r="EF341" s="363" t="s">
        <v>585</v>
      </c>
    </row>
    <row r="342" spans="2:136">
      <c r="BB342" s="360"/>
      <c r="BC342" s="376"/>
      <c r="BD342" s="374"/>
      <c r="BE342" s="1173"/>
      <c r="BF342" s="363"/>
      <c r="BH342"/>
      <c r="BI342"/>
      <c r="BJ342"/>
      <c r="BK342"/>
      <c r="CB342" s="360"/>
      <c r="CC342" s="376"/>
      <c r="CD342" s="374"/>
      <c r="CE342" s="1173"/>
      <c r="CF342" s="363"/>
      <c r="DA342"/>
      <c r="DB342" s="360"/>
      <c r="DC342" s="376"/>
      <c r="DD342" s="374"/>
      <c r="DE342" s="1173"/>
      <c r="DF342" s="363"/>
      <c r="EB342" s="360"/>
      <c r="EC342" s="376"/>
      <c r="ED342" s="374"/>
      <c r="EE342" s="1173"/>
      <c r="EF342" s="363"/>
    </row>
    <row r="343" spans="2:136">
      <c r="BB343" s="360"/>
      <c r="BC343" s="376"/>
      <c r="BD343" s="374"/>
      <c r="BE343" s="1173"/>
      <c r="BF343" s="363"/>
      <c r="BH343"/>
      <c r="BI343"/>
      <c r="BJ343"/>
      <c r="BK343"/>
      <c r="CB343" s="360"/>
      <c r="CC343" s="376"/>
      <c r="CD343" s="374"/>
      <c r="CE343" s="1173"/>
      <c r="CF343" s="363"/>
      <c r="DB343" s="360"/>
      <c r="DC343" s="376"/>
      <c r="DD343" s="374"/>
      <c r="DE343" s="1173"/>
      <c r="DF343" s="363"/>
      <c r="EB343" s="360"/>
      <c r="EC343" s="376"/>
      <c r="ED343" s="374"/>
      <c r="EE343" s="1173"/>
      <c r="EF343" s="363"/>
    </row>
    <row r="344" spans="2:136">
      <c r="BB344" s="370"/>
      <c r="BC344" s="362"/>
      <c r="BD344" s="362"/>
      <c r="BE344" s="362"/>
      <c r="BF344" s="363"/>
      <c r="BH344"/>
      <c r="BI344"/>
      <c r="BJ344"/>
      <c r="BK344"/>
      <c r="CB344" s="370"/>
      <c r="CC344" s="362"/>
      <c r="CD344" s="362"/>
      <c r="CE344" s="362"/>
      <c r="CF344" s="363"/>
      <c r="DB344" s="370"/>
      <c r="DC344" s="362"/>
      <c r="DD344" s="362"/>
      <c r="DE344" s="362"/>
      <c r="DF344" s="363"/>
      <c r="EB344" s="370"/>
      <c r="EC344" s="362"/>
      <c r="ED344" s="362"/>
      <c r="EE344" s="362"/>
      <c r="EF344" s="363"/>
    </row>
    <row r="345" spans="2:136">
      <c r="BB345" s="360"/>
      <c r="BC345" s="368"/>
      <c r="BD345" s="362"/>
      <c r="BE345" s="368"/>
      <c r="BF345" s="363"/>
      <c r="BH345"/>
      <c r="BI345"/>
      <c r="BJ345"/>
      <c r="BK345"/>
      <c r="CB345" s="360"/>
      <c r="CC345" s="368"/>
      <c r="CD345" s="362"/>
      <c r="CE345" s="368"/>
      <c r="CF345" s="363"/>
      <c r="DB345" s="360"/>
      <c r="DC345" s="368"/>
      <c r="DD345" s="362"/>
      <c r="DE345" s="368"/>
      <c r="DF345" s="363"/>
      <c r="EB345" s="360"/>
      <c r="EC345" s="368"/>
      <c r="ED345" s="362"/>
      <c r="EE345" s="368"/>
      <c r="EF345" s="363"/>
    </row>
    <row r="346" spans="2:136" ht="14.5" thickBot="1">
      <c r="BB346" s="377"/>
      <c r="BC346" s="378"/>
      <c r="BD346" s="378"/>
      <c r="BE346" s="378"/>
      <c r="BF346" s="379"/>
      <c r="BH346"/>
      <c r="BI346"/>
      <c r="BJ346"/>
      <c r="BK346"/>
      <c r="CB346" s="380"/>
      <c r="CC346" s="381"/>
      <c r="CD346" s="381"/>
      <c r="CE346" s="381"/>
      <c r="CF346" s="382"/>
      <c r="DB346" s="380"/>
      <c r="DC346" s="381"/>
      <c r="DD346" s="381"/>
      <c r="DE346" s="381"/>
      <c r="DF346" s="382"/>
      <c r="EB346" s="380"/>
      <c r="EC346" s="381"/>
      <c r="ED346" s="381"/>
      <c r="EE346" s="381"/>
      <c r="EF346" s="382"/>
    </row>
    <row r="347" spans="2:136">
      <c r="BB347" s="370" t="s">
        <v>474</v>
      </c>
      <c r="BC347" s="368" t="s">
        <v>498</v>
      </c>
      <c r="BD347" s="362"/>
      <c r="BE347" s="368" t="s">
        <v>404</v>
      </c>
      <c r="BF347" s="363"/>
      <c r="BH347"/>
      <c r="BI347"/>
      <c r="BJ347"/>
      <c r="BK347"/>
      <c r="CB347" s="370" t="s">
        <v>474</v>
      </c>
      <c r="CC347" s="368" t="s">
        <v>498</v>
      </c>
      <c r="CD347" s="362"/>
      <c r="CE347" s="368" t="s">
        <v>404</v>
      </c>
      <c r="CF347" s="363"/>
      <c r="DB347" s="370" t="s">
        <v>474</v>
      </c>
      <c r="DC347" s="368" t="s">
        <v>498</v>
      </c>
      <c r="DD347" s="362"/>
      <c r="DE347" s="368" t="s">
        <v>404</v>
      </c>
      <c r="DF347" s="363"/>
      <c r="EB347" s="370" t="s">
        <v>474</v>
      </c>
      <c r="EC347" s="368" t="s">
        <v>498</v>
      </c>
      <c r="ED347" s="362"/>
      <c r="EE347" s="368" t="s">
        <v>404</v>
      </c>
      <c r="EF347" s="363"/>
    </row>
    <row r="348" spans="2:136">
      <c r="BB348" s="360" t="str">
        <f>BB127</f>
        <v>Copper metal</v>
      </c>
      <c r="BC348" s="386">
        <f>IFERROR(VLOOKUP(BB348,$B$33:$C$51,2,FALSE)*1000,0)</f>
        <v>7366.5172679999987</v>
      </c>
      <c r="BD348" s="374" t="s">
        <v>584</v>
      </c>
      <c r="BE348" s="1645">
        <f>BC127*BE$329</f>
        <v>50</v>
      </c>
      <c r="BF348" s="363" t="s">
        <v>585</v>
      </c>
      <c r="BH348"/>
      <c r="BI348"/>
      <c r="BJ348"/>
      <c r="BK348"/>
      <c r="CB348" s="360" t="str">
        <f>CB126</f>
        <v>Lithium Carbonate (crude)</v>
      </c>
      <c r="CC348" s="386">
        <f t="shared" ref="CC348:CC356" si="64">IFERROR(VLOOKUP(CB348,$B$33:$C$50,2,FALSE)*1000,0)</f>
        <v>8570</v>
      </c>
      <c r="CD348" s="374" t="s">
        <v>584</v>
      </c>
      <c r="CE348" s="1645">
        <f>CC126*CE$329</f>
        <v>0</v>
      </c>
      <c r="CF348" s="363" t="s">
        <v>585</v>
      </c>
      <c r="DB348" s="360" t="str">
        <f>DB126</f>
        <v>Copper</v>
      </c>
      <c r="DC348" s="386">
        <f t="shared" ref="DC348:DC356" si="65">IFERROR(VLOOKUP(DB348,$B$33:$C$50,2,FALSE)*1000,0)</f>
        <v>7111.6191035999991</v>
      </c>
      <c r="DD348" s="374" t="s">
        <v>584</v>
      </c>
      <c r="DE348" s="1645">
        <f>DC126*DE$329</f>
        <v>50</v>
      </c>
      <c r="DF348" s="363" t="s">
        <v>585</v>
      </c>
      <c r="EB348" s="360" t="str">
        <f>EB127</f>
        <v>Select Output</v>
      </c>
      <c r="EC348" s="386">
        <f t="shared" ref="EC348:EC356" si="66">IFERROR(VLOOKUP(EB348,$B$33:$C$50,2,FALSE)*1000,0)</f>
        <v>0</v>
      </c>
      <c r="ED348" s="374" t="s">
        <v>584</v>
      </c>
      <c r="EE348" s="1173">
        <f>EC127*(EE$329+EE$342+EE$343)</f>
        <v>0</v>
      </c>
      <c r="EF348" s="363" t="s">
        <v>585</v>
      </c>
    </row>
    <row r="349" spans="2:136">
      <c r="BB349" s="360" t="str">
        <f>BB128</f>
        <v>Co2+ in product</v>
      </c>
      <c r="BC349" s="386">
        <f t="shared" ref="BC349:BC354" si="67">IFERROR(VLOOKUP(BB349,$B$33:$C$50,2,FALSE)*1000,0)</f>
        <v>50353.520799999998</v>
      </c>
      <c r="BD349" s="374" t="s">
        <v>584</v>
      </c>
      <c r="BE349" s="1645">
        <f t="shared" ref="BE349:BE354" si="68">BC128*BE$329</f>
        <v>1220</v>
      </c>
      <c r="BF349" s="363" t="s">
        <v>585</v>
      </c>
      <c r="BH349"/>
      <c r="BI349"/>
      <c r="BJ349"/>
      <c r="BK349"/>
      <c r="CB349" s="360" t="str">
        <f t="shared" ref="CB349:CB356" si="69">CB127</f>
        <v>Co2+ in product</v>
      </c>
      <c r="CC349" s="386">
        <f t="shared" si="64"/>
        <v>50353.520799999998</v>
      </c>
      <c r="CD349" s="374" t="s">
        <v>584</v>
      </c>
      <c r="CE349" s="1645">
        <f t="shared" ref="CE349:CE356" si="70">CC127*CE$329</f>
        <v>1260</v>
      </c>
      <c r="CF349" s="363" t="s">
        <v>585</v>
      </c>
      <c r="DB349" s="360" t="str">
        <f t="shared" ref="DB349:DB356" si="71">DB127</f>
        <v>Select Output</v>
      </c>
      <c r="DC349" s="386">
        <f t="shared" si="65"/>
        <v>0</v>
      </c>
      <c r="DD349" s="374" t="s">
        <v>584</v>
      </c>
      <c r="DE349" s="1645">
        <f t="shared" ref="DE349:DE356" si="72">DC127*DE$329</f>
        <v>0</v>
      </c>
      <c r="DF349" s="363" t="s">
        <v>585</v>
      </c>
      <c r="EB349" s="360" t="str">
        <f t="shared" ref="EB349:EB356" si="73">EB128</f>
        <v>NMC(622)</v>
      </c>
      <c r="EC349" s="386">
        <f t="shared" ca="1" si="66"/>
        <v>25000</v>
      </c>
      <c r="ED349" s="374" t="s">
        <v>584</v>
      </c>
      <c r="EE349" s="1173">
        <f t="shared" ref="EE349:EE356" si="74">EC128*(EE$329+EE$342+EE$343)</f>
        <v>8000</v>
      </c>
      <c r="EF349" s="363" t="s">
        <v>585</v>
      </c>
    </row>
    <row r="350" spans="2:136">
      <c r="BB350" s="360" t="str">
        <f>BB129</f>
        <v>Ni2+ in product</v>
      </c>
      <c r="BC350" s="386">
        <f t="shared" si="67"/>
        <v>16853</v>
      </c>
      <c r="BD350" s="374" t="s">
        <v>584</v>
      </c>
      <c r="BE350" s="1645">
        <f t="shared" si="68"/>
        <v>1220</v>
      </c>
      <c r="BF350" s="363" t="s">
        <v>585</v>
      </c>
      <c r="BH350"/>
      <c r="BI350"/>
      <c r="BJ350"/>
      <c r="BK350"/>
      <c r="CB350" s="360" t="str">
        <f t="shared" si="69"/>
        <v>Ni2+ in product</v>
      </c>
      <c r="CC350" s="386">
        <f t="shared" si="64"/>
        <v>16853</v>
      </c>
      <c r="CD350" s="374" t="s">
        <v>584</v>
      </c>
      <c r="CE350" s="1645">
        <f t="shared" si="70"/>
        <v>1260</v>
      </c>
      <c r="CF350" s="363" t="s">
        <v>585</v>
      </c>
      <c r="DB350" s="360" t="str">
        <f t="shared" si="71"/>
        <v>Aluminum</v>
      </c>
      <c r="DC350" s="386">
        <f t="shared" si="65"/>
        <v>1117.4777856000001</v>
      </c>
      <c r="DD350" s="374" t="s">
        <v>584</v>
      </c>
      <c r="DE350" s="1645">
        <f t="shared" si="72"/>
        <v>30</v>
      </c>
      <c r="DF350" s="363" t="s">
        <v>585</v>
      </c>
      <c r="EB350" s="360" t="str">
        <f t="shared" si="73"/>
        <v>Co2+ in product</v>
      </c>
      <c r="EC350" s="386">
        <f t="shared" si="66"/>
        <v>50353.520799999998</v>
      </c>
      <c r="ED350" s="374" t="s">
        <v>584</v>
      </c>
      <c r="EE350" s="1173">
        <f t="shared" si="74"/>
        <v>0</v>
      </c>
      <c r="EF350" s="363" t="s">
        <v>585</v>
      </c>
    </row>
    <row r="351" spans="2:136">
      <c r="BB351" s="360" t="str">
        <f>BB130</f>
        <v>Select Output</v>
      </c>
      <c r="BC351" s="386">
        <f t="shared" si="67"/>
        <v>0</v>
      </c>
      <c r="BD351" s="374" t="s">
        <v>584</v>
      </c>
      <c r="BE351" s="1645">
        <f t="shared" si="68"/>
        <v>0</v>
      </c>
      <c r="BF351" s="363" t="s">
        <v>585</v>
      </c>
      <c r="BH351"/>
      <c r="BI351"/>
      <c r="BJ351"/>
      <c r="BK351"/>
      <c r="CB351" s="360" t="str">
        <f t="shared" si="69"/>
        <v>Mn2+ in product</v>
      </c>
      <c r="CC351" s="386">
        <f t="shared" si="64"/>
        <v>3149.2555775999999</v>
      </c>
      <c r="CD351" s="374" t="s">
        <v>584</v>
      </c>
      <c r="CE351" s="1645">
        <f t="shared" si="70"/>
        <v>1180</v>
      </c>
      <c r="CF351" s="363" t="s">
        <v>585</v>
      </c>
      <c r="DB351" s="360" t="str">
        <f t="shared" si="71"/>
        <v>NMC(622)</v>
      </c>
      <c r="DC351" s="386">
        <f t="shared" ca="1" si="65"/>
        <v>25000</v>
      </c>
      <c r="DD351" s="374" t="s">
        <v>584</v>
      </c>
      <c r="DE351" s="1645">
        <f t="shared" si="72"/>
        <v>5699.9999999999991</v>
      </c>
      <c r="DF351" s="363" t="s">
        <v>585</v>
      </c>
      <c r="EB351" s="360" t="str">
        <f t="shared" si="73"/>
        <v>Ni2+ in product</v>
      </c>
      <c r="EC351" s="386">
        <f t="shared" si="66"/>
        <v>16853</v>
      </c>
      <c r="ED351" s="374" t="s">
        <v>584</v>
      </c>
      <c r="EE351" s="1173">
        <f t="shared" si="74"/>
        <v>0</v>
      </c>
      <c r="EF351" s="363" t="s">
        <v>585</v>
      </c>
    </row>
    <row r="352" spans="2:136" ht="15" customHeight="1">
      <c r="BB352" s="360"/>
      <c r="BC352" s="386">
        <f t="shared" si="67"/>
        <v>0</v>
      </c>
      <c r="BD352" s="374" t="s">
        <v>584</v>
      </c>
      <c r="BE352" s="1645">
        <f t="shared" si="68"/>
        <v>0</v>
      </c>
      <c r="BF352" s="363" t="s">
        <v>585</v>
      </c>
      <c r="BH352"/>
      <c r="BI352"/>
      <c r="BJ352"/>
      <c r="BK352"/>
      <c r="CB352" s="360" t="str">
        <f t="shared" si="69"/>
        <v>Graphite</v>
      </c>
      <c r="CC352" s="386">
        <f t="shared" si="64"/>
        <v>200</v>
      </c>
      <c r="CD352" s="374" t="s">
        <v>584</v>
      </c>
      <c r="CE352" s="1645">
        <f t="shared" si="70"/>
        <v>3090</v>
      </c>
      <c r="CF352" s="363" t="s">
        <v>585</v>
      </c>
      <c r="DB352" s="360" t="str">
        <f t="shared" si="71"/>
        <v>Select Output</v>
      </c>
      <c r="DC352" s="386">
        <f t="shared" si="65"/>
        <v>0</v>
      </c>
      <c r="DD352" s="374" t="s">
        <v>584</v>
      </c>
      <c r="DE352" s="1645">
        <f t="shared" si="72"/>
        <v>0</v>
      </c>
      <c r="DF352" s="363" t="s">
        <v>585</v>
      </c>
      <c r="EB352" s="360" t="str">
        <f t="shared" si="73"/>
        <v>Mn2+ in product</v>
      </c>
      <c r="EC352" s="386">
        <f t="shared" si="66"/>
        <v>3149.2555775999999</v>
      </c>
      <c r="ED352" s="374" t="s">
        <v>584</v>
      </c>
      <c r="EE352" s="1173">
        <f t="shared" si="74"/>
        <v>0</v>
      </c>
      <c r="EF352" s="363" t="s">
        <v>585</v>
      </c>
    </row>
    <row r="353" spans="54:136">
      <c r="BB353" s="360"/>
      <c r="BC353" s="386">
        <f t="shared" si="67"/>
        <v>0</v>
      </c>
      <c r="BD353" s="374" t="s">
        <v>584</v>
      </c>
      <c r="BE353" s="1645">
        <f t="shared" si="68"/>
        <v>0</v>
      </c>
      <c r="BF353" s="363" t="s">
        <v>585</v>
      </c>
      <c r="BH353"/>
      <c r="BI353"/>
      <c r="BJ353"/>
      <c r="BK353"/>
      <c r="CB353" s="360" t="str">
        <f>CB131</f>
        <v>Select Output</v>
      </c>
      <c r="CC353" s="386">
        <f t="shared" si="64"/>
        <v>0</v>
      </c>
      <c r="CD353" s="374" t="s">
        <v>584</v>
      </c>
      <c r="CE353" s="1645">
        <f t="shared" si="70"/>
        <v>0</v>
      </c>
      <c r="CF353" s="363" t="s">
        <v>585</v>
      </c>
      <c r="DB353" s="360" t="str">
        <f>DB131</f>
        <v>Graphite</v>
      </c>
      <c r="DC353" s="386">
        <f t="shared" si="65"/>
        <v>200</v>
      </c>
      <c r="DD353" s="374" t="s">
        <v>584</v>
      </c>
      <c r="DE353" s="1645">
        <f t="shared" si="72"/>
        <v>3090</v>
      </c>
      <c r="DF353" s="363" t="s">
        <v>585</v>
      </c>
      <c r="EB353" s="360" t="str">
        <f t="shared" si="73"/>
        <v>Graphite</v>
      </c>
      <c r="EC353" s="386">
        <f t="shared" si="66"/>
        <v>200</v>
      </c>
      <c r="ED353" s="374" t="s">
        <v>584</v>
      </c>
      <c r="EE353" s="1173">
        <f t="shared" si="74"/>
        <v>3090</v>
      </c>
      <c r="EF353" s="363" t="s">
        <v>585</v>
      </c>
    </row>
    <row r="354" spans="54:136">
      <c r="BB354" s="360"/>
      <c r="BC354" s="386">
        <f t="shared" si="67"/>
        <v>0</v>
      </c>
      <c r="BD354" s="374" t="s">
        <v>584</v>
      </c>
      <c r="BE354" s="1645">
        <f t="shared" si="68"/>
        <v>0</v>
      </c>
      <c r="BF354" s="363" t="s">
        <v>585</v>
      </c>
      <c r="BH354"/>
      <c r="BI354"/>
      <c r="BJ354"/>
      <c r="BK354"/>
      <c r="CB354" s="360" t="str">
        <f t="shared" si="69"/>
        <v>Select Output</v>
      </c>
      <c r="CC354" s="386">
        <f t="shared" si="64"/>
        <v>0</v>
      </c>
      <c r="CD354" s="374" t="s">
        <v>584</v>
      </c>
      <c r="CE354" s="1645">
        <f t="shared" si="70"/>
        <v>0</v>
      </c>
      <c r="CF354" s="363" t="s">
        <v>585</v>
      </c>
      <c r="DB354" s="360" t="str">
        <f t="shared" si="71"/>
        <v>Select Output</v>
      </c>
      <c r="DC354" s="386">
        <f t="shared" si="65"/>
        <v>0</v>
      </c>
      <c r="DD354" s="374" t="s">
        <v>584</v>
      </c>
      <c r="DE354" s="1645">
        <f t="shared" si="72"/>
        <v>0</v>
      </c>
      <c r="DF354" s="363" t="s">
        <v>585</v>
      </c>
      <c r="EB354" s="360" t="str">
        <f t="shared" si="73"/>
        <v>Aluminum</v>
      </c>
      <c r="EC354" s="386">
        <f t="shared" si="66"/>
        <v>1117.4777856000001</v>
      </c>
      <c r="ED354" s="374" t="s">
        <v>584</v>
      </c>
      <c r="EE354" s="1173">
        <f t="shared" si="74"/>
        <v>30</v>
      </c>
      <c r="EF354" s="363" t="s">
        <v>585</v>
      </c>
    </row>
    <row r="355" spans="54:136">
      <c r="BB355" s="360"/>
      <c r="BC355" s="362"/>
      <c r="BD355" s="372"/>
      <c r="BE355" s="362"/>
      <c r="BF355" s="363"/>
      <c r="BH355"/>
      <c r="BI355"/>
      <c r="BJ355"/>
      <c r="BK355"/>
      <c r="CB355" s="360" t="str">
        <f t="shared" si="69"/>
        <v>Select Output</v>
      </c>
      <c r="CC355" s="386">
        <f t="shared" si="64"/>
        <v>0</v>
      </c>
      <c r="CD355" s="374" t="s">
        <v>584</v>
      </c>
      <c r="CE355" s="1645">
        <f t="shared" si="70"/>
        <v>0</v>
      </c>
      <c r="CF355" s="363" t="s">
        <v>585</v>
      </c>
      <c r="DB355" s="360" t="str">
        <f t="shared" si="71"/>
        <v>Select Output</v>
      </c>
      <c r="DC355" s="386">
        <f t="shared" si="65"/>
        <v>0</v>
      </c>
      <c r="DD355" s="374" t="s">
        <v>584</v>
      </c>
      <c r="DE355" s="1645">
        <f t="shared" si="72"/>
        <v>0</v>
      </c>
      <c r="DF355" s="363" t="s">
        <v>585</v>
      </c>
      <c r="EB355" s="360" t="str">
        <f t="shared" si="73"/>
        <v>Copper</v>
      </c>
      <c r="EC355" s="386">
        <f t="shared" si="66"/>
        <v>7111.6191035999991</v>
      </c>
      <c r="ED355" s="374" t="s">
        <v>584</v>
      </c>
      <c r="EE355" s="1173">
        <f t="shared" si="74"/>
        <v>50</v>
      </c>
      <c r="EF355" s="363" t="s">
        <v>585</v>
      </c>
    </row>
    <row r="356" spans="54:136">
      <c r="BB356" s="360"/>
      <c r="BC356" s="362"/>
      <c r="BD356" s="371"/>
      <c r="BE356" s="362"/>
      <c r="BF356" s="363"/>
      <c r="BH356"/>
      <c r="BI356"/>
      <c r="BJ356"/>
      <c r="BK356"/>
      <c r="CB356" s="360" t="str">
        <f t="shared" si="69"/>
        <v>Select Output</v>
      </c>
      <c r="CC356" s="386">
        <f t="shared" si="64"/>
        <v>0</v>
      </c>
      <c r="CD356" s="374" t="s">
        <v>584</v>
      </c>
      <c r="CE356" s="1645">
        <f t="shared" si="70"/>
        <v>0</v>
      </c>
      <c r="CF356" s="363" t="s">
        <v>585</v>
      </c>
      <c r="DB356" s="360" t="str">
        <f t="shared" si="71"/>
        <v>Select Output</v>
      </c>
      <c r="DC356" s="386">
        <f t="shared" si="65"/>
        <v>0</v>
      </c>
      <c r="DD356" s="374" t="s">
        <v>584</v>
      </c>
      <c r="DE356" s="1645">
        <f t="shared" si="72"/>
        <v>0</v>
      </c>
      <c r="DF356" s="363" t="s">
        <v>585</v>
      </c>
      <c r="EB356" s="360" t="str">
        <f t="shared" si="73"/>
        <v>Select Output</v>
      </c>
      <c r="EC356" s="386">
        <f t="shared" si="66"/>
        <v>0</v>
      </c>
      <c r="ED356" s="374" t="s">
        <v>584</v>
      </c>
      <c r="EE356" s="1173">
        <f t="shared" si="74"/>
        <v>0</v>
      </c>
      <c r="EF356" s="363" t="s">
        <v>585</v>
      </c>
    </row>
    <row r="357" spans="54:136">
      <c r="BB357" s="360"/>
      <c r="BC357" s="362"/>
      <c r="BD357" s="372"/>
      <c r="BE357" s="362"/>
      <c r="BF357" s="363"/>
      <c r="BH357"/>
      <c r="BI357"/>
      <c r="BJ357"/>
      <c r="BK357"/>
      <c r="CB357" s="360"/>
      <c r="CC357" s="362"/>
      <c r="CD357" s="372"/>
      <c r="CE357" s="362"/>
      <c r="CF357" s="363"/>
      <c r="DB357" s="360"/>
      <c r="DC357" s="362"/>
      <c r="DD357" s="374"/>
      <c r="DE357" s="362"/>
      <c r="DF357" s="363"/>
      <c r="EB357" s="360"/>
      <c r="EC357" s="386"/>
      <c r="ED357" s="374"/>
      <c r="EE357" s="1173"/>
      <c r="EF357" s="363"/>
    </row>
    <row r="358" spans="54:136">
      <c r="BB358" s="360"/>
      <c r="BC358" s="362"/>
      <c r="BD358" s="362"/>
      <c r="BE358" s="362"/>
      <c r="BF358" s="363"/>
      <c r="BH358"/>
      <c r="BI358"/>
      <c r="BJ358"/>
      <c r="BK358"/>
      <c r="CB358" s="360"/>
      <c r="CC358" s="362"/>
      <c r="CD358" s="362"/>
      <c r="CE358" s="362"/>
      <c r="CF358" s="363"/>
      <c r="DB358" s="360"/>
      <c r="DC358" s="362"/>
      <c r="DD358" s="362"/>
      <c r="DE358" s="362"/>
      <c r="DF358" s="363"/>
      <c r="EB358" s="360"/>
      <c r="EC358" s="386"/>
      <c r="ED358" s="374"/>
      <c r="EE358" s="1173"/>
      <c r="EF358" s="363"/>
    </row>
    <row r="359" spans="54:136">
      <c r="BB359" s="360"/>
      <c r="BC359" s="362"/>
      <c r="BD359" s="362"/>
      <c r="BE359" s="362"/>
      <c r="BF359" s="363"/>
      <c r="BH359"/>
      <c r="BI359"/>
      <c r="BJ359"/>
      <c r="BK359"/>
      <c r="CB359" s="360"/>
      <c r="CC359" s="362"/>
      <c r="CD359" s="362"/>
      <c r="CE359" s="362"/>
      <c r="CF359" s="363"/>
      <c r="DB359" s="360"/>
      <c r="DC359" s="362"/>
      <c r="DD359" s="362"/>
      <c r="DE359" s="362"/>
      <c r="DF359" s="363"/>
      <c r="EB359" s="360"/>
      <c r="EC359" s="362"/>
      <c r="ED359" s="362"/>
      <c r="EE359" s="362"/>
      <c r="EF359" s="363"/>
    </row>
    <row r="360" spans="54:136">
      <c r="BB360" s="360"/>
      <c r="BC360" s="362"/>
      <c r="BD360" s="362"/>
      <c r="BE360" s="362"/>
      <c r="BF360" s="363"/>
      <c r="BH360"/>
      <c r="BI360"/>
      <c r="BJ360"/>
      <c r="BK360"/>
      <c r="CB360" s="360"/>
      <c r="CC360" s="362"/>
      <c r="CD360" s="362"/>
      <c r="CE360" s="362"/>
      <c r="CF360" s="363"/>
      <c r="DB360" s="360"/>
      <c r="DC360" s="362"/>
      <c r="DD360" s="362"/>
      <c r="DE360" s="362"/>
      <c r="DF360" s="363"/>
      <c r="EB360" s="360"/>
      <c r="EC360" s="362"/>
      <c r="ED360" s="362"/>
      <c r="EE360" s="362"/>
      <c r="EF360" s="363"/>
    </row>
    <row r="361" spans="54:136">
      <c r="BB361" s="360"/>
      <c r="BC361" s="362"/>
      <c r="BD361" s="362"/>
      <c r="BE361" s="362"/>
      <c r="BF361" s="363"/>
      <c r="BH361"/>
      <c r="BI361"/>
      <c r="BJ361"/>
      <c r="BK361"/>
      <c r="CB361" s="360"/>
      <c r="CC361" s="362"/>
      <c r="CD361" s="362"/>
      <c r="CE361" s="362"/>
      <c r="CF361" s="363"/>
      <c r="DB361" s="360"/>
      <c r="DC361" s="362"/>
      <c r="DD361" s="362"/>
      <c r="DE361" s="362"/>
      <c r="DF361" s="363"/>
      <c r="EB361" s="360"/>
      <c r="EC361" s="362"/>
      <c r="ED361" s="362"/>
      <c r="EE361" s="362"/>
      <c r="EF361" s="363"/>
    </row>
    <row r="362" spans="54:136">
      <c r="BB362" s="360"/>
      <c r="BC362" s="362"/>
      <c r="BD362" s="362"/>
      <c r="BE362" s="362"/>
      <c r="BF362" s="363"/>
      <c r="BH362"/>
      <c r="BI362"/>
      <c r="BJ362"/>
      <c r="BK362"/>
      <c r="CB362" s="360"/>
      <c r="CC362" s="362"/>
      <c r="CD362" s="362"/>
      <c r="CE362" s="362"/>
      <c r="CF362" s="363"/>
      <c r="DB362" s="360"/>
      <c r="DC362" s="362"/>
      <c r="DD362" s="362"/>
      <c r="DE362" s="362"/>
      <c r="DF362" s="363"/>
      <c r="EB362" s="360"/>
      <c r="EC362" s="362"/>
      <c r="ED362" s="362"/>
      <c r="EE362" s="362"/>
      <c r="EF362" s="363"/>
    </row>
    <row r="363" spans="54:136">
      <c r="BB363" s="360"/>
      <c r="BC363" s="362"/>
      <c r="BD363" s="362"/>
      <c r="BE363" s="362"/>
      <c r="BF363" s="363"/>
      <c r="BH363"/>
      <c r="BI363"/>
      <c r="BJ363"/>
      <c r="BK363"/>
      <c r="CB363" s="360"/>
      <c r="CC363" s="362"/>
      <c r="CD363" s="362"/>
      <c r="CE363" s="362"/>
      <c r="CF363" s="363"/>
      <c r="DB363" s="360"/>
      <c r="DC363" s="362"/>
      <c r="DD363" s="362"/>
      <c r="DE363" s="362"/>
      <c r="DF363" s="363"/>
      <c r="EB363" s="360"/>
      <c r="EC363" s="362"/>
      <c r="ED363" s="362"/>
      <c r="EE363" s="362"/>
      <c r="EF363" s="363"/>
    </row>
    <row r="364" spans="54:136">
      <c r="BB364" s="360"/>
      <c r="BC364" s="362"/>
      <c r="BD364" s="362"/>
      <c r="BE364" s="362"/>
      <c r="BF364" s="363"/>
      <c r="BH364"/>
      <c r="BI364"/>
      <c r="BJ364"/>
      <c r="BK364"/>
      <c r="CB364" s="360"/>
      <c r="CC364" s="362"/>
      <c r="CD364" s="362"/>
      <c r="CE364" s="362"/>
      <c r="CF364" s="363"/>
      <c r="DB364" s="360"/>
      <c r="DC364" s="362"/>
      <c r="DD364" s="362"/>
      <c r="DE364" s="362"/>
      <c r="DF364" s="363"/>
      <c r="EB364" s="360"/>
      <c r="EC364" s="362"/>
      <c r="ED364" s="362"/>
      <c r="EE364" s="362"/>
      <c r="EF364" s="363"/>
    </row>
    <row r="365" spans="54:136">
      <c r="BB365" s="360"/>
      <c r="BC365" s="362"/>
      <c r="BD365" s="362"/>
      <c r="BE365" s="362"/>
      <c r="BF365" s="363"/>
      <c r="BH365"/>
      <c r="BI365"/>
      <c r="BJ365"/>
      <c r="BK365"/>
      <c r="CB365" s="360"/>
      <c r="CC365" s="362"/>
      <c r="CD365" s="362"/>
      <c r="CE365" s="362"/>
      <c r="CF365" s="363"/>
      <c r="DB365" s="360"/>
      <c r="DC365" s="362"/>
      <c r="DD365" s="362"/>
      <c r="DE365" s="362"/>
      <c r="DF365" s="363"/>
      <c r="EB365" s="360"/>
      <c r="EC365" s="362"/>
      <c r="ED365" s="362"/>
      <c r="EE365" s="362"/>
      <c r="EF365" s="363"/>
    </row>
    <row r="366" spans="54:136">
      <c r="BB366" s="360" t="s">
        <v>500</v>
      </c>
      <c r="BC366" s="362"/>
      <c r="BD366" s="388" t="s">
        <v>501</v>
      </c>
      <c r="BE366" s="368"/>
      <c r="BF366" s="363" t="s">
        <v>499</v>
      </c>
      <c r="BH366"/>
      <c r="BI366"/>
      <c r="BJ366"/>
      <c r="BK366"/>
      <c r="CB366" s="360" t="s">
        <v>500</v>
      </c>
      <c r="CC366" s="362"/>
      <c r="CD366" s="388" t="s">
        <v>501</v>
      </c>
      <c r="CE366" s="368"/>
      <c r="CF366" s="363" t="s">
        <v>499</v>
      </c>
      <c r="DB366" s="360" t="s">
        <v>500</v>
      </c>
      <c r="DC366" s="362"/>
      <c r="DD366" s="388" t="s">
        <v>501</v>
      </c>
      <c r="DE366" s="368"/>
      <c r="DF366" s="363" t="s">
        <v>499</v>
      </c>
      <c r="EB366" s="360" t="s">
        <v>500</v>
      </c>
      <c r="EC366" s="362"/>
      <c r="ED366" s="388" t="s">
        <v>501</v>
      </c>
      <c r="EE366" s="368"/>
      <c r="EF366" s="363" t="s">
        <v>499</v>
      </c>
    </row>
    <row r="367" spans="54:136" ht="14.5" thickBot="1">
      <c r="BB367" s="377"/>
      <c r="BC367" s="378"/>
      <c r="BD367" s="378"/>
      <c r="BE367" s="378"/>
      <c r="BF367" s="379"/>
      <c r="BH367"/>
      <c r="BI367"/>
      <c r="BJ367"/>
      <c r="BK367"/>
      <c r="CB367" s="380"/>
      <c r="CC367" s="381"/>
      <c r="CD367" s="381"/>
      <c r="CE367" s="381"/>
      <c r="CF367" s="382"/>
      <c r="DB367" s="380"/>
      <c r="DC367" s="381"/>
      <c r="DD367" s="381"/>
      <c r="DE367" s="381"/>
      <c r="DF367" s="382"/>
      <c r="EB367" s="380"/>
      <c r="EC367" s="381"/>
      <c r="ED367" s="381"/>
      <c r="EE367" s="381"/>
      <c r="EF367" s="382"/>
    </row>
    <row r="368" spans="54:136">
      <c r="BB368" s="370" t="s">
        <v>471</v>
      </c>
      <c r="BC368" s="362"/>
      <c r="BD368" s="371"/>
      <c r="BE368" s="362"/>
      <c r="BF368" s="363"/>
      <c r="BH368"/>
      <c r="BI368"/>
      <c r="BJ368"/>
      <c r="BK368"/>
      <c r="CB368" s="370" t="s">
        <v>471</v>
      </c>
      <c r="CC368" s="362"/>
      <c r="CD368" s="371"/>
      <c r="CE368" s="362"/>
      <c r="CF368" s="363"/>
      <c r="DB368" s="370" t="s">
        <v>471</v>
      </c>
      <c r="DC368" s="362"/>
      <c r="DD368" s="371"/>
      <c r="DE368" s="362"/>
      <c r="DF368" s="363"/>
      <c r="EB368" s="370" t="s">
        <v>471</v>
      </c>
      <c r="EC368" s="362"/>
      <c r="ED368" s="371"/>
      <c r="EE368" s="362"/>
      <c r="EF368" s="363"/>
    </row>
    <row r="369" spans="54:136">
      <c r="BB369" s="360" t="s">
        <v>562</v>
      </c>
      <c r="BC369" s="362">
        <f>BC524+BC624+BC724+BC824+BC924+BC1024+BC1124+BC1224+BC1324+BC1424+BC1524+BC1624+BC1724+BC1824+BC1924+BC2024+BC2124+BC2224+BC2324+BC2424+BC2524+BC2624+BC2724+BC2824+BC2924+BC3024+BC3124+BC3224+BC3324+BC3424</f>
        <v>1437.9218543542256</v>
      </c>
      <c r="BD369" s="389" t="s">
        <v>454</v>
      </c>
      <c r="BE369" s="362"/>
      <c r="BF369" s="363"/>
      <c r="BH369"/>
      <c r="BI369"/>
      <c r="BJ369"/>
      <c r="BK369"/>
      <c r="CB369" s="360" t="s">
        <v>562</v>
      </c>
      <c r="CC369" s="362">
        <f>CC524+CC624+CC724+CC824+CC924+CC1024+CC1124+CC1224+CC1324+CC1424+CC1524+CC1624+CC1724+CC1824+CC1924+CC2024+CC2124+CC2224+CC2324+CC2424+CC2524+CC2624+CC2724+CC2824+CC2924+CC3024+CC3124+CC3224+CC3324+CC3424</f>
        <v>1057.9422744654635</v>
      </c>
      <c r="CD369" s="389" t="s">
        <v>454</v>
      </c>
      <c r="CE369" s="362"/>
      <c r="CF369" s="363"/>
      <c r="DB369" s="360" t="s">
        <v>562</v>
      </c>
      <c r="DC369" s="362">
        <f>DC524+DC624+DC724+DC824+DC924+DC1024+DC1124+DC1224+DC1324+DC1424+DC1524+DC1624+DC1724+DC1824+DC1924+DC2024+DC2124+DC2224+DC2324+DC2424+DC2524+DC2624+DC2724+DC2824+DC2924+DC3024+DC3124+DC3224+DC3324+DC3424</f>
        <v>773.4924725229198</v>
      </c>
      <c r="DD369" s="389" t="s">
        <v>454</v>
      </c>
      <c r="DE369" s="362"/>
      <c r="DF369" s="363"/>
      <c r="EB369" s="360" t="s">
        <v>479</v>
      </c>
      <c r="EC369" s="362"/>
      <c r="ED369" s="372" t="s">
        <v>454</v>
      </c>
      <c r="EE369" s="362"/>
      <c r="EF369" s="363"/>
    </row>
    <row r="370" spans="54:136">
      <c r="BB370" s="360" t="s">
        <v>563</v>
      </c>
      <c r="BC370" s="362">
        <f>BC369/BC314/1000*3.6</f>
        <v>5.5906401697292294</v>
      </c>
      <c r="BD370" s="389" t="s">
        <v>564</v>
      </c>
      <c r="BE370" s="362"/>
      <c r="BF370" s="363"/>
      <c r="BH370"/>
      <c r="BI370"/>
      <c r="BJ370"/>
      <c r="BK370"/>
      <c r="CB370" s="360" t="s">
        <v>563</v>
      </c>
      <c r="CC370" s="387">
        <f>CC369/CC314/1000*3.6</f>
        <v>4.170408445942857</v>
      </c>
      <c r="CD370" s="389" t="s">
        <v>564</v>
      </c>
      <c r="CE370" s="362"/>
      <c r="CF370" s="363"/>
      <c r="DB370" s="360" t="s">
        <v>563</v>
      </c>
      <c r="DC370" s="387">
        <f>DC369/DC314/1000*3.6</f>
        <v>3.0073387331691119</v>
      </c>
      <c r="DD370" s="389" t="s">
        <v>564</v>
      </c>
      <c r="DE370" s="362"/>
      <c r="DF370" s="363"/>
      <c r="EB370" s="360" t="s">
        <v>480</v>
      </c>
      <c r="EC370" s="362"/>
      <c r="ED370" s="371"/>
      <c r="EE370" s="362"/>
      <c r="EF370" s="363"/>
    </row>
    <row r="371" spans="54:136">
      <c r="BB371" s="360"/>
      <c r="BC371" s="362"/>
      <c r="BD371" s="389"/>
      <c r="BE371" s="362"/>
      <c r="BF371" s="363"/>
      <c r="BH371"/>
      <c r="BI371"/>
      <c r="BJ371"/>
      <c r="BK371"/>
      <c r="CB371" s="360"/>
      <c r="CC371" s="362"/>
      <c r="CD371" s="389"/>
      <c r="CE371" s="362"/>
      <c r="CF371" s="363"/>
      <c r="DB371" s="360"/>
      <c r="DC371" s="362"/>
      <c r="DD371" s="389"/>
      <c r="DE371" s="362"/>
      <c r="DF371" s="363"/>
      <c r="EB371" s="360"/>
      <c r="EC371" s="362"/>
      <c r="ED371" s="372"/>
      <c r="EE371" s="362"/>
      <c r="EF371" s="363"/>
    </row>
    <row r="372" spans="54:136">
      <c r="BB372" s="360" t="s">
        <v>565</v>
      </c>
      <c r="BC372" s="362">
        <f>BC527+BC627+BC727+BC827+BC927+BC1027+BC1127+BC1227+BC1327+BC1427+BC1527+BC1627+BC1727+BC1827+BC1927+BC2027+BC2127+BC2227+BC2327+BC2427+BC2527+BC2627+BC2727+BC2827+BC2927+BC3027+BC3127+BC3227+BC3327+BC3427</f>
        <v>0</v>
      </c>
      <c r="BD372" s="364" t="s">
        <v>564</v>
      </c>
      <c r="BE372" s="362"/>
      <c r="BF372" s="363"/>
      <c r="CB372" s="360" t="s">
        <v>565</v>
      </c>
      <c r="CC372" s="362">
        <f>CC527+CC627+CC727+CC827+CC927+CC1027+CC1127+CC1227+CC1327+CC1427+CC1527+CC1627+CC1727+CC1827+CC1927+CC2027+CC2127+CC2227+CC2327+CC2427+CC2527+CC2627+CC2727+CC2827+CC2927+CC3027+CC3127+CC3227+CC3327+CC3427</f>
        <v>0</v>
      </c>
      <c r="CD372" s="364" t="s">
        <v>564</v>
      </c>
      <c r="CE372" s="362"/>
      <c r="CF372" s="363"/>
      <c r="DB372" s="360" t="s">
        <v>565</v>
      </c>
      <c r="DC372" s="362">
        <f>DC527+DC627+DC727+DC827+DC927+DC1027+DC1127+DC1227+DC1327+DC1427+DC1527+DC1627+DC1727+DC1827+DC1927+DC2027+DC2127+DC2227+DC2327+DC2427+DC2527+DC2627+DC2727+DC2827+DC2927+DC3027+DC3127+DC3227+DC3327+DC3427</f>
        <v>0</v>
      </c>
      <c r="DD372" s="364" t="s">
        <v>564</v>
      </c>
      <c r="DE372" s="362"/>
      <c r="DF372" s="363"/>
      <c r="EB372" s="360"/>
      <c r="EC372" s="362"/>
      <c r="ED372" s="362"/>
      <c r="EE372" s="362"/>
      <c r="EF372" s="363"/>
    </row>
    <row r="373" spans="54:136">
      <c r="BB373" s="360"/>
      <c r="BC373" s="362"/>
      <c r="BD373" s="364"/>
      <c r="BE373" s="362"/>
      <c r="BF373" s="363"/>
      <c r="CB373" s="360"/>
      <c r="CC373" s="362"/>
      <c r="CD373" s="364"/>
      <c r="CE373" s="362"/>
      <c r="CF373" s="363"/>
      <c r="DB373" s="360"/>
      <c r="DC373" s="362"/>
      <c r="DD373" s="364"/>
      <c r="DE373" s="362"/>
      <c r="DF373" s="363"/>
      <c r="EB373" s="360" t="s">
        <v>346</v>
      </c>
      <c r="EC373" s="362"/>
      <c r="ED373" s="362"/>
      <c r="EE373" s="362"/>
      <c r="EF373" s="363"/>
    </row>
    <row r="374" spans="54:136">
      <c r="BB374" s="360" t="s">
        <v>566</v>
      </c>
      <c r="BC374" s="362">
        <f>BC529+BC629+BC729+BC829+BC929+BC1029+BC1129+BC1229+BC1329+BC1429+BC1529+BC1629+BC1729+BC1829+BC1929+BC2029+BC2129+BC2229+BC2329+BC2429+BC2529+BC2629+BC2729+BC2829+BC2929+BC3029+BC3129+BC3229+BC3329+BC3429</f>
        <v>0</v>
      </c>
      <c r="BD374" s="364" t="s">
        <v>564</v>
      </c>
      <c r="BE374" s="362"/>
      <c r="BF374" s="363"/>
      <c r="CB374" s="360" t="s">
        <v>566</v>
      </c>
      <c r="CC374" s="362">
        <f>CC529+CC629+CC729+CC829+CC929+CC1029+CC1129+CC1229+CC1329+CC1429+CC1529+CC1629+CC1729+CC1829+CC1929+CC2029+CC2129+CC2229+CC2329+CC2429+CC2529+CC2629+CC2729+CC2829+CC2929+CC3029+CC3129+CC3229+CC3329+CC3429</f>
        <v>0</v>
      </c>
      <c r="CD374" s="364" t="s">
        <v>564</v>
      </c>
      <c r="CE374" s="362"/>
      <c r="CF374" s="363"/>
      <c r="DB374" s="360" t="s">
        <v>566</v>
      </c>
      <c r="DC374" s="362">
        <f>DC529+DC629+DC729+DC829+DC929+DC1029+DC1129+DC1229+DC1329+DC1429+DC1529+DC1629+DC1729+DC1829+DC1929+DC2029+DC2129+DC2229+DC2329+DC2429+DC2529+DC2629+DC2729+DC2829+DC2929+DC3029+DC3129+DC3229+DC3329+DC3429</f>
        <v>0</v>
      </c>
      <c r="DD374" s="364" t="s">
        <v>564</v>
      </c>
      <c r="DE374" s="362"/>
      <c r="DF374" s="363"/>
      <c r="EB374" s="360" t="s">
        <v>173</v>
      </c>
      <c r="EC374" s="362"/>
      <c r="ED374" s="362"/>
      <c r="EE374" s="362"/>
      <c r="EF374" s="363"/>
    </row>
    <row r="375" spans="54:136">
      <c r="BB375" s="360"/>
      <c r="BC375" s="362"/>
      <c r="BD375" s="364"/>
      <c r="BE375" s="362"/>
      <c r="BF375" s="363"/>
      <c r="CB375" s="360"/>
      <c r="CC375" s="362"/>
      <c r="CD375" s="364"/>
      <c r="CE375" s="362"/>
      <c r="CF375" s="363"/>
      <c r="DB375" s="360"/>
      <c r="DC375" s="362"/>
      <c r="DD375" s="364"/>
      <c r="DE375" s="362"/>
      <c r="DF375" s="363"/>
      <c r="EB375" s="360" t="s">
        <v>174</v>
      </c>
      <c r="EC375" s="362"/>
      <c r="ED375" s="362"/>
      <c r="EE375" s="362"/>
      <c r="EF375" s="363"/>
    </row>
    <row r="376" spans="54:136">
      <c r="BB376" s="360" t="s">
        <v>567</v>
      </c>
      <c r="BC376" s="362">
        <f>BC531+BC631+BC731+BC831+BC931+BC1031+BC1131+BC1231+BC1331+BC1431+BC1531+BC1631+BC1731+BC1831+BC1931+BC2031+BC2131+BC2231+BC2331+BC2431+BC2531+BC2631+BC2731+BC2831+BC2931+BC3031+BC3131+BC3231+BC3331+BC3431</f>
        <v>0</v>
      </c>
      <c r="BD376" s="364" t="s">
        <v>564</v>
      </c>
      <c r="BE376" s="362"/>
      <c r="BF376" s="363"/>
      <c r="CB376" s="360" t="s">
        <v>567</v>
      </c>
      <c r="CC376" s="362">
        <f>CC531+CC631+CC731+CC831+CC931+CC1031+CC1131+CC1231+CC1331+CC1431+CC1531+CC1631+CC1731+CC1831+CC1931+CC2031+CC2131+CC2231+CC2331+CC2431+CC2531+CC2631+CC2731+CC2831+CC2931+CC3031+CC3131+CC3231+CC3331+CC3431</f>
        <v>0</v>
      </c>
      <c r="CD376" s="364" t="s">
        <v>564</v>
      </c>
      <c r="CE376" s="362"/>
      <c r="CF376" s="363"/>
      <c r="DB376" s="360" t="s">
        <v>567</v>
      </c>
      <c r="DC376" s="362">
        <f>DC531+DC631+DC731+DC831+DC931+DC1031+DC1131+DC1231+DC1331+DC1431+DC1531+DC1631+DC1731+DC1831+DC1931+DC2031+DC2131+DC2231+DC2331+DC2431+DC2531+DC2631+DC2731+DC2831+DC2931+DC3031+DC3131+DC3231+DC3331+DC3431</f>
        <v>0</v>
      </c>
      <c r="DD376" s="364" t="s">
        <v>564</v>
      </c>
      <c r="DE376" s="362"/>
      <c r="DF376" s="363"/>
      <c r="EB376" s="360" t="s">
        <v>175</v>
      </c>
      <c r="EC376" s="362"/>
      <c r="ED376" s="362"/>
      <c r="EE376" s="362"/>
      <c r="EF376" s="363"/>
    </row>
    <row r="377" spans="54:136">
      <c r="BB377" s="360"/>
      <c r="BC377" s="362"/>
      <c r="BD377" s="364"/>
      <c r="BE377" s="362"/>
      <c r="BF377" s="363"/>
      <c r="CB377" s="360"/>
      <c r="CC377" s="362"/>
      <c r="CD377" s="364"/>
      <c r="CE377" s="362"/>
      <c r="CF377" s="363"/>
      <c r="DB377" s="360"/>
      <c r="DC377" s="362"/>
      <c r="DD377" s="364"/>
      <c r="DE377" s="362"/>
      <c r="DF377" s="363"/>
      <c r="EB377" s="360" t="s">
        <v>176</v>
      </c>
      <c r="EC377" s="362"/>
      <c r="ED377" s="362"/>
      <c r="EE377" s="362"/>
      <c r="EF377" s="363"/>
    </row>
    <row r="378" spans="54:136">
      <c r="BB378" s="360" t="s">
        <v>568</v>
      </c>
      <c r="BC378" s="362">
        <f>BC533+BC633+BC733+BC833+BC933+BC1033+BC1133+BC1233+BC1333+BC1433+BC1533+BC1633+BC1733+BC1833+BC1933+BC2033+BC2133+BC2233+BC2333+BC2433+BC2533+BC2633+BC2733+BC2833+BC2933+BC3033+BC3133+BC3233+BC3333+BC3433</f>
        <v>0</v>
      </c>
      <c r="BD378" s="364" t="s">
        <v>564</v>
      </c>
      <c r="BE378" s="362">
        <f>BE533+BE633+BE733+BE833+BE933+BE1033+BE1133+BE1233+BE1333+BE1433+BE1533+BE1633+BE1733+BE1833+BE1933+BE2033+BE2133+BE2233+BE2333+BE2433+BE2533+BE2633+BE2733+BE2833+BE2933+BE3033+BE3133+BE3233+BE3333+BE3433</f>
        <v>0</v>
      </c>
      <c r="BF378" s="363" t="s">
        <v>569</v>
      </c>
      <c r="CB378" s="360" t="s">
        <v>568</v>
      </c>
      <c r="CC378" s="362">
        <f>CC533+CC633+CC733+CC833+CC933+CC1033+CC1133+CC1233+CC1333+CC1433+CC1533+CC1633+CC1733+CC1833+CC1933+CC2033+CC2133+CC2233+CC2333+CC2433+CC2533+CC2633+CC2733+CC2833+CC2933+CC3033+CC3133+CC3233+CC3333+CC3433</f>
        <v>0</v>
      </c>
      <c r="CD378" s="364" t="s">
        <v>564</v>
      </c>
      <c r="CE378" s="362">
        <f>CE533+CE633+CE733+CE833+CE933+CE1033+CE1133+CE1233+CE1333+CE1433+CE1533+CE1633+CE1733+CE1833+CE1933+CE2033+CE2133+CE2233+CE2333+CE2433+CE2533+CE2633+CE2733+CE2833+CE2933+CE3033+CE3133+CE3233+CE3333+CE3433</f>
        <v>0</v>
      </c>
      <c r="CF378" s="363" t="s">
        <v>569</v>
      </c>
      <c r="DB378" s="360" t="s">
        <v>568</v>
      </c>
      <c r="DC378" s="362">
        <f>DC533+DC633+DC733+DC833+DC933+DC1033+DC1133+DC1233+DC1333+DC1433+DC1533+DC1633+DC1733+DC1833+DC1933+DC2033+DC2133+DC2233+DC2333+DC2433+DC2533+DC2633+DC2733+DC2833+DC2933+DC3033+DC3133+DC3233+DC3333+DC3433</f>
        <v>0</v>
      </c>
      <c r="DD378" s="364" t="s">
        <v>564</v>
      </c>
      <c r="DE378" s="362">
        <f>DE533+DE633+DE733+DE833+DE933+DE1033+DE1133+DE1233+DE1333+DE1433+DE1533+DE1633+DE1733+DE1833+DE1933+DE2033+DE2133+DE2233+DE2333+DE2433+DE2533+DE2633+DE2733+DE2833+DE2933+DE3033+DE3133+DE3233+DE3333+DE3433</f>
        <v>0</v>
      </c>
      <c r="DF378" s="363" t="s">
        <v>569</v>
      </c>
      <c r="EB378" s="360" t="s">
        <v>177</v>
      </c>
      <c r="EC378" s="362"/>
      <c r="ED378" s="362"/>
      <c r="EE378" s="362"/>
      <c r="EF378" s="363"/>
    </row>
    <row r="379" spans="54:136">
      <c r="BB379" s="360"/>
      <c r="BC379" s="362"/>
      <c r="BD379" s="390"/>
      <c r="BE379" s="391"/>
      <c r="BF379" s="363"/>
      <c r="CB379" s="360"/>
      <c r="CC379" s="362"/>
      <c r="CD379" s="390"/>
      <c r="CE379" s="391"/>
      <c r="CF379" s="363"/>
      <c r="DB379" s="360"/>
      <c r="DC379" s="362"/>
      <c r="DD379" s="390"/>
      <c r="DE379" s="391"/>
      <c r="DF379" s="363"/>
      <c r="EB379" s="370"/>
      <c r="EC379" s="362"/>
      <c r="ED379" s="362"/>
      <c r="EE379" s="362"/>
      <c r="EF379" s="363"/>
    </row>
    <row r="380" spans="54:136">
      <c r="BB380" s="360" t="s">
        <v>570</v>
      </c>
      <c r="BC380" s="362">
        <f>BC535+BC635+BC735+BC835+BC935+BC1035+BC1135+BC1235+BC1335+BC1435+BC1535+BC1635+BC1735+BC1835+BC1935+BC2035+BC2135+BC2235+BC2335+BC2435+BC2535+BC2635+BC2735+BC2835+BC2935+BC3035+BC3135+BC3235+BC3335+BC3435</f>
        <v>0</v>
      </c>
      <c r="BD380" s="364" t="s">
        <v>564</v>
      </c>
      <c r="BE380" s="362">
        <f>BE535+BE635+BE735+BE835+BE935+BE1035+BE1135+BE1235+BE1335+BE1435+BE1535+BE1635+BE1735+BE1835+BE1935+BE2035+BE2135+BE2235+BE2335+BE2435+BE2535+BE2635+BE2735+BE2835+BE2935+BE3035+BE3135+BE3235+BE3335+BE3435</f>
        <v>0</v>
      </c>
      <c r="BF380" s="363" t="s">
        <v>569</v>
      </c>
      <c r="CB380" s="360" t="s">
        <v>570</v>
      </c>
      <c r="CC380" s="362">
        <f>CC535+CC635+CC735+CC835+CC935+CC1035+CC1135+CC1235+CC1335+CC1435+CC1535+CC1635+CC1735+CC1835+CC1935+CC2035+CC2135+CC2235+CC2335+CC2435+CC2535+CC2635+CC2735+CC2835+CC2935+CC3035+CC3135+CC3235+CC3335+CC3435</f>
        <v>0</v>
      </c>
      <c r="CD380" s="364" t="s">
        <v>564</v>
      </c>
      <c r="CE380" s="362">
        <f>CE535+CE635+CE735+CE835+CE935+CE1035+CE1135+CE1235+CE1335+CE1435+CE1535+CE1635+CE1735+CE1835+CE1935+CE2035+CE2135+CE2235+CE2335+CE2435+CE2535+CE2635+CE2735+CE2835+CE2935+CE3035+CE3135+CE3235+CE3335+CE3435</f>
        <v>0</v>
      </c>
      <c r="CF380" s="363" t="s">
        <v>569</v>
      </c>
      <c r="DB380" s="360" t="s">
        <v>570</v>
      </c>
      <c r="DC380" s="362">
        <f>DC535+DC635+DC735+DC835+DC935+DC1035+DC1135+DC1235+DC1335+DC1435+DC1535+DC1635+DC1735+DC1835+DC1935+DC2035+DC2135+DC2235+DC2335+DC2435+DC2535+DC2635+DC2735+DC2835+DC2935+DC3035+DC3135+DC3235+DC3335+DC3435</f>
        <v>0</v>
      </c>
      <c r="DD380" s="364" t="s">
        <v>564</v>
      </c>
      <c r="DE380" s="362">
        <f>DE535+DE635+DE735+DE835+DE935+DE1035+DE1135+DE1235+DE1335+DE1435+DE1535+DE1635+DE1735+DE1835+DE1935+DE2035+DE2135+DE2235+DE2335+DE2435+DE2535+DE2635+DE2735+DE2835+DE2935+DE3035+DE3135+DE3235+DE3335+DE3435</f>
        <v>0</v>
      </c>
      <c r="DF380" s="363" t="s">
        <v>569</v>
      </c>
      <c r="EB380" s="360"/>
      <c r="EC380" s="362"/>
      <c r="ED380" s="376"/>
      <c r="EE380" s="362"/>
      <c r="EF380" s="363"/>
    </row>
    <row r="381" spans="54:136">
      <c r="BB381" s="360"/>
      <c r="BC381" s="362"/>
      <c r="BD381" s="392"/>
      <c r="BE381" s="367"/>
      <c r="BF381" s="363"/>
      <c r="CB381" s="360"/>
      <c r="CC381" s="362"/>
      <c r="CD381" s="392"/>
      <c r="CE381" s="367"/>
      <c r="CF381" s="363"/>
      <c r="DB381" s="360"/>
      <c r="DC381" s="362"/>
      <c r="DD381" s="392"/>
      <c r="DE381" s="367"/>
      <c r="DF381" s="363"/>
      <c r="EB381" s="360"/>
      <c r="EC381" s="362"/>
      <c r="ED381" s="390"/>
      <c r="EE381" s="391"/>
      <c r="EF381" s="363"/>
    </row>
    <row r="382" spans="54:136">
      <c r="BB382" s="360" t="s">
        <v>571</v>
      </c>
      <c r="BC382" s="362">
        <f>BC537+BC637+BC737+BC837+BC937+BC1037+BC1137+BC1237+BC1337+BC1437+BC1537+BC1637+BC1737+BC1837+BC1937+BC2037+BC2137+BC2237+BC2337+BC2437+BC2537+BC2637+BC2737+BC2837+BC2937+BC3037+BC3137+BC3237+BC3337+BC3437</f>
        <v>0</v>
      </c>
      <c r="BD382" s="364" t="s">
        <v>564</v>
      </c>
      <c r="BE382" s="362">
        <f>BE537+BE637+BE737+BE837+BE937+BE1037+BE1137+BE1237+BE1337+BE1437+BE1537+BE1637+BE1737+BE1837+BE1937+BE2037+BE2137+BE2237+BE2337+BE2437+BE2537+BE2637+BE2737+BE2837+BE2937+BE3037+BE3137+BE3237+BE3337+BE3437</f>
        <v>0</v>
      </c>
      <c r="BF382" s="363" t="s">
        <v>569</v>
      </c>
      <c r="CB382" s="360" t="s">
        <v>571</v>
      </c>
      <c r="CC382" s="362">
        <f>CC537+CC637+CC737+CC837+CC937+CC1037+CC1137+CC1237+CC1337+CC1437+CC1537+CC1637+CC1737+CC1837+CC1937+CC2037+CC2137+CC2237+CC2337+CC2437+CC2537+CC2637+CC2737+CC2837+CC2937+CC3037+CC3137+CC3237+CC3337+CC3437</f>
        <v>0</v>
      </c>
      <c r="CD382" s="364" t="s">
        <v>564</v>
      </c>
      <c r="CE382" s="362">
        <f>CE537+CE637+CE737+CE837+CE937+CE1037+CE1137+CE1237+CE1337+CE1437+CE1537+CE1637+CE1737+CE1837+CE1937+CE2037+CE2137+CE2237+CE2337+CE2437+CE2537+CE2637+CE2737+CE2837+CE2937+CE3037+CE3137+CE3237+CE3337+CE3437</f>
        <v>0</v>
      </c>
      <c r="CF382" s="363" t="s">
        <v>569</v>
      </c>
      <c r="DB382" s="360" t="s">
        <v>571</v>
      </c>
      <c r="DC382" s="362">
        <f>DC537+DC637+DC737+DC837+DC937+DC1037+DC1137+DC1237+DC1337+DC1437+DC1537+DC1637+DC1737+DC1837+DC1937+DC2037+DC2137+DC2237+DC2337+DC2437+DC2537+DC2637+DC2737+DC2837+DC2937+DC3037+DC3137+DC3237+DC3337+DC3437</f>
        <v>0</v>
      </c>
      <c r="DD382" s="364" t="s">
        <v>564</v>
      </c>
      <c r="DE382" s="362">
        <f>DE537+DE637+DE737+DE837+DE937+DE1037+DE1137+DE1237+DE1337+DE1437+DE1537+DE1637+DE1737+DE1837+DE1937+DE2037+DE2137+DE2237+DE2337+DE2437+DE2537+DE2637+DE2737+DE2837+DE2937+DE3037+DE3137+DE3237+DE3337+DE3437</f>
        <v>0</v>
      </c>
      <c r="DF382" s="363" t="s">
        <v>569</v>
      </c>
      <c r="EB382" s="360"/>
      <c r="EC382" s="362"/>
      <c r="ED382" s="390"/>
      <c r="EE382" s="391"/>
      <c r="EF382" s="363"/>
    </row>
    <row r="383" spans="54:136">
      <c r="BB383" s="360"/>
      <c r="BC383" s="362"/>
      <c r="BD383" s="392"/>
      <c r="BE383" s="367"/>
      <c r="BF383" s="363"/>
      <c r="CB383" s="360"/>
      <c r="CC383" s="362"/>
      <c r="CD383" s="392"/>
      <c r="CE383" s="367"/>
      <c r="CF383" s="363"/>
      <c r="DB383" s="360"/>
      <c r="DC383" s="362"/>
      <c r="DD383" s="392"/>
      <c r="DE383" s="367"/>
      <c r="DF383" s="363"/>
      <c r="EB383" s="360"/>
      <c r="EC383" s="362"/>
      <c r="ED383" s="392"/>
      <c r="EE383" s="367"/>
      <c r="EF383" s="363"/>
    </row>
    <row r="384" spans="54:136">
      <c r="BB384" s="360"/>
      <c r="BC384" s="362"/>
      <c r="BD384" s="364"/>
      <c r="BE384" s="367"/>
      <c r="BF384" s="363"/>
      <c r="CB384" s="360"/>
      <c r="CC384" s="362"/>
      <c r="CD384" s="364"/>
      <c r="CE384" s="367"/>
      <c r="CF384" s="363"/>
      <c r="DB384" s="360"/>
      <c r="DC384" s="362"/>
      <c r="DD384" s="364"/>
      <c r="DE384" s="367"/>
      <c r="DF384" s="363"/>
      <c r="EB384" s="360"/>
      <c r="EC384" s="362"/>
      <c r="ED384" s="392"/>
      <c r="EE384" s="367"/>
      <c r="EF384" s="363"/>
    </row>
    <row r="385" spans="54:136">
      <c r="BB385" s="360"/>
      <c r="BC385" s="362"/>
      <c r="BD385" s="392"/>
      <c r="BE385" s="367"/>
      <c r="BF385" s="363"/>
      <c r="CB385" s="360"/>
      <c r="CC385" s="362"/>
      <c r="CD385" s="392"/>
      <c r="CE385" s="367"/>
      <c r="CF385" s="363"/>
      <c r="DB385" s="360"/>
      <c r="DC385" s="362"/>
      <c r="DD385" s="392"/>
      <c r="DE385" s="367"/>
      <c r="DF385" s="363"/>
      <c r="EB385" s="360"/>
      <c r="EC385" s="362"/>
      <c r="ED385" s="392"/>
      <c r="EE385" s="367"/>
      <c r="EF385" s="363"/>
    </row>
    <row r="386" spans="54:136">
      <c r="BB386" s="360"/>
      <c r="BC386" s="362"/>
      <c r="BD386" s="392"/>
      <c r="BE386" s="367"/>
      <c r="BF386" s="363"/>
      <c r="CB386" s="360"/>
      <c r="CC386" s="362"/>
      <c r="CD386" s="392"/>
      <c r="CE386" s="367"/>
      <c r="CF386" s="363"/>
      <c r="DB386" s="360"/>
      <c r="DC386" s="362"/>
      <c r="DD386" s="392"/>
      <c r="DE386" s="367"/>
      <c r="DF386" s="363"/>
      <c r="EB386" s="360"/>
      <c r="EC386" s="362"/>
      <c r="ED386" s="392"/>
      <c r="EE386" s="367"/>
      <c r="EF386" s="363"/>
    </row>
    <row r="387" spans="54:136" ht="14.5" thickBot="1">
      <c r="BB387" s="377"/>
      <c r="BC387" s="378"/>
      <c r="BD387" s="393"/>
      <c r="BE387" s="394"/>
      <c r="BF387" s="379"/>
      <c r="CB387" s="380"/>
      <c r="CC387" s="381"/>
      <c r="CD387" s="395"/>
      <c r="CE387" s="396"/>
      <c r="CF387" s="382"/>
      <c r="DB387" s="380"/>
      <c r="DC387" s="381"/>
      <c r="DD387" s="395"/>
      <c r="DE387" s="396"/>
      <c r="DF387" s="382"/>
      <c r="EB387" s="380"/>
      <c r="EC387" s="381"/>
      <c r="ED387" s="395"/>
      <c r="EE387" s="396"/>
      <c r="EF387" s="382"/>
    </row>
    <row r="388" spans="54:136">
      <c r="BB388" s="370" t="s">
        <v>475</v>
      </c>
      <c r="BC388" s="362"/>
      <c r="BD388" s="392"/>
      <c r="BE388" s="367"/>
      <c r="BF388" s="363"/>
      <c r="CB388" s="370" t="s">
        <v>475</v>
      </c>
      <c r="CC388" s="362"/>
      <c r="CD388" s="392"/>
      <c r="CE388" s="367"/>
      <c r="CF388" s="363"/>
      <c r="DB388" s="370" t="s">
        <v>475</v>
      </c>
      <c r="DC388" s="362"/>
      <c r="DD388" s="392"/>
      <c r="DE388" s="367"/>
      <c r="DF388" s="363"/>
      <c r="EB388" s="370" t="s">
        <v>475</v>
      </c>
      <c r="EC388" s="362"/>
      <c r="ED388" s="392"/>
      <c r="EE388" s="367"/>
      <c r="EF388" s="363"/>
    </row>
    <row r="389" spans="54:136">
      <c r="BB389" s="360"/>
      <c r="BC389" s="362"/>
      <c r="BD389" s="392"/>
      <c r="BE389" s="367"/>
      <c r="BF389" s="363"/>
      <c r="CB389" s="360"/>
      <c r="CC389" s="362"/>
      <c r="CD389" s="392"/>
      <c r="CE389" s="367"/>
      <c r="CF389" s="363"/>
      <c r="DB389" s="360"/>
      <c r="DC389" s="362"/>
      <c r="DD389" s="392"/>
      <c r="DE389" s="367"/>
      <c r="DF389" s="363"/>
      <c r="EB389" s="360"/>
      <c r="EC389" s="362"/>
      <c r="ED389" s="392"/>
      <c r="EE389" s="367"/>
      <c r="EF389" s="363"/>
    </row>
    <row r="390" spans="54:136">
      <c r="BB390" s="370"/>
      <c r="BC390" s="362"/>
      <c r="BD390" s="392"/>
      <c r="BE390" s="367"/>
      <c r="BF390" s="363"/>
      <c r="CB390" s="370"/>
      <c r="CC390" s="362"/>
      <c r="CD390" s="392"/>
      <c r="CE390" s="367"/>
      <c r="CF390" s="363"/>
      <c r="DB390" s="370"/>
      <c r="DC390" s="362"/>
      <c r="DD390" s="392"/>
      <c r="DE390" s="367"/>
      <c r="DF390" s="363"/>
      <c r="EB390" s="370"/>
      <c r="EC390" s="362"/>
      <c r="ED390" s="392"/>
      <c r="EE390" s="367"/>
      <c r="EF390" s="363"/>
    </row>
    <row r="391" spans="54:136">
      <c r="BB391" s="360"/>
      <c r="BC391" s="362"/>
      <c r="BD391" s="392"/>
      <c r="BE391" s="367"/>
      <c r="BF391" s="363"/>
      <c r="CB391" s="360"/>
      <c r="CC391" s="362"/>
      <c r="CD391" s="392"/>
      <c r="CE391" s="367"/>
      <c r="CF391" s="363"/>
      <c r="DB391" s="360"/>
      <c r="DC391" s="362"/>
      <c r="DD391" s="392"/>
      <c r="DE391" s="367"/>
      <c r="DF391" s="363"/>
      <c r="EB391" s="360"/>
      <c r="EC391" s="362"/>
      <c r="ED391" s="392"/>
      <c r="EE391" s="367"/>
      <c r="EF391" s="363"/>
    </row>
    <row r="392" spans="54:136">
      <c r="BB392" s="370"/>
      <c r="BC392" s="362"/>
      <c r="BD392" s="392"/>
      <c r="BE392" s="367"/>
      <c r="BF392" s="363"/>
      <c r="CB392" s="370"/>
      <c r="CC392" s="362"/>
      <c r="CD392" s="392"/>
      <c r="CE392" s="367"/>
      <c r="CF392" s="363"/>
      <c r="DB392" s="370"/>
      <c r="DC392" s="362"/>
      <c r="DD392" s="392"/>
      <c r="DE392" s="367"/>
      <c r="DF392" s="363"/>
      <c r="EB392" s="370"/>
      <c r="EC392" s="362"/>
      <c r="ED392" s="392"/>
      <c r="EE392" s="367"/>
      <c r="EF392" s="363"/>
    </row>
    <row r="393" spans="54:136">
      <c r="BB393" s="360"/>
      <c r="BC393" s="362"/>
      <c r="BD393" s="392"/>
      <c r="BE393" s="367"/>
      <c r="BF393" s="363"/>
      <c r="CB393" s="360"/>
      <c r="CC393" s="362"/>
      <c r="CD393" s="392"/>
      <c r="CE393" s="367"/>
      <c r="CF393" s="363"/>
      <c r="DB393" s="360"/>
      <c r="DC393" s="362"/>
      <c r="DD393" s="392"/>
      <c r="DE393" s="367"/>
      <c r="DF393" s="363"/>
      <c r="EB393" s="360"/>
      <c r="EC393" s="362"/>
      <c r="ED393" s="392"/>
      <c r="EE393" s="367"/>
      <c r="EF393" s="363"/>
    </row>
    <row r="394" spans="54:136">
      <c r="BB394" s="360"/>
      <c r="BC394" s="362"/>
      <c r="BD394" s="392"/>
      <c r="BE394" s="367"/>
      <c r="BF394" s="363"/>
      <c r="CB394" s="360"/>
      <c r="CC394" s="362"/>
      <c r="CD394" s="392"/>
      <c r="CE394" s="367"/>
      <c r="CF394" s="363"/>
      <c r="DB394" s="360"/>
      <c r="DC394" s="362"/>
      <c r="DD394" s="392"/>
      <c r="DE394" s="367"/>
      <c r="DF394" s="363"/>
      <c r="EB394" s="360"/>
      <c r="EC394" s="362"/>
      <c r="ED394" s="392"/>
      <c r="EE394" s="367"/>
      <c r="EF394" s="363"/>
    </row>
    <row r="395" spans="54:136">
      <c r="BB395" s="360"/>
      <c r="BC395" s="362"/>
      <c r="BD395" s="392"/>
      <c r="BE395" s="367"/>
      <c r="BF395" s="363"/>
      <c r="CB395" s="360"/>
      <c r="CC395" s="362"/>
      <c r="CD395" s="392"/>
      <c r="CE395" s="367"/>
      <c r="CF395" s="363"/>
      <c r="DB395" s="360"/>
      <c r="DC395" s="362"/>
      <c r="DD395" s="392"/>
      <c r="DE395" s="367"/>
      <c r="DF395" s="363"/>
      <c r="EB395" s="360"/>
      <c r="EC395" s="362"/>
      <c r="ED395" s="392"/>
      <c r="EE395" s="367"/>
      <c r="EF395" s="363"/>
    </row>
    <row r="396" spans="54:136">
      <c r="BB396" s="360"/>
      <c r="BC396" s="362"/>
      <c r="BD396" s="376"/>
      <c r="BE396" s="362"/>
      <c r="BF396" s="363"/>
      <c r="CB396" s="360"/>
      <c r="CC396" s="362"/>
      <c r="CD396" s="376"/>
      <c r="CE396" s="362"/>
      <c r="CF396" s="363"/>
      <c r="DB396" s="360"/>
      <c r="DC396" s="362"/>
      <c r="DD396" s="376"/>
      <c r="DE396" s="362"/>
      <c r="DF396" s="363"/>
      <c r="EB396" s="360"/>
      <c r="EC396" s="362"/>
      <c r="ED396" s="376"/>
      <c r="EE396" s="362"/>
      <c r="EF396" s="363"/>
    </row>
    <row r="397" spans="54:136" ht="14.5" thickBot="1">
      <c r="BB397" s="377"/>
      <c r="BC397" s="378"/>
      <c r="BD397" s="393"/>
      <c r="BE397" s="394"/>
      <c r="BF397" s="379"/>
      <c r="CB397" s="380"/>
      <c r="CC397" s="381"/>
      <c r="CD397" s="395"/>
      <c r="CE397" s="396"/>
      <c r="CF397" s="382"/>
      <c r="DB397" s="380"/>
      <c r="DC397" s="381"/>
      <c r="DD397" s="395"/>
      <c r="DE397" s="396"/>
      <c r="DF397" s="382"/>
      <c r="EB397" s="380"/>
      <c r="EC397" s="381"/>
      <c r="ED397" s="395"/>
      <c r="EE397" s="396"/>
      <c r="EF397" s="382"/>
    </row>
    <row r="398" spans="54:136">
      <c r="BB398" s="370" t="s">
        <v>461</v>
      </c>
      <c r="BC398" s="362"/>
      <c r="BD398" s="376"/>
      <c r="BE398" s="362"/>
      <c r="BF398" s="363"/>
      <c r="CB398" s="370" t="s">
        <v>461</v>
      </c>
      <c r="CC398" s="362"/>
      <c r="CD398" s="376"/>
      <c r="CE398" s="362"/>
      <c r="CF398" s="363"/>
      <c r="DB398" s="370" t="s">
        <v>461</v>
      </c>
      <c r="DC398" s="362"/>
      <c r="DD398" s="376"/>
      <c r="DE398" s="362"/>
      <c r="DF398" s="363"/>
      <c r="EB398" s="370" t="s">
        <v>461</v>
      </c>
      <c r="EC398" s="362"/>
      <c r="ED398" s="376"/>
      <c r="EE398" s="362"/>
      <c r="EF398" s="363"/>
    </row>
    <row r="399" spans="54:136">
      <c r="BB399" s="360" t="str">
        <f t="shared" ref="BB399:BB428" si="75">IF(BB54="Select Equipment", " ", BB54)</f>
        <v>Hopper</v>
      </c>
      <c r="BC399" s="362">
        <f>BC580</f>
        <v>6</v>
      </c>
      <c r="BD399" s="392" t="s">
        <v>515</v>
      </c>
      <c r="BE399" s="397"/>
      <c r="BF399" s="363"/>
      <c r="CB399" s="360" t="str">
        <f t="shared" ref="CB399:CB428" si="76">IF(CB54="Select Equipment", " ", CB54)</f>
        <v>Conveyor</v>
      </c>
      <c r="CC399" s="362">
        <f>CC580</f>
        <v>2</v>
      </c>
      <c r="CD399" s="392" t="s">
        <v>572</v>
      </c>
      <c r="CE399" s="397"/>
      <c r="CF399" s="363"/>
      <c r="DB399" s="360" t="str">
        <f t="shared" ref="DB399:DB428" si="77">IF(DB54="Select Equipment", " ", DB54)</f>
        <v>Conveyor</v>
      </c>
      <c r="DC399" s="362">
        <f>DC580</f>
        <v>2</v>
      </c>
      <c r="DD399" s="392" t="s">
        <v>572</v>
      </c>
      <c r="DE399" s="397"/>
      <c r="DF399" s="363"/>
      <c r="EB399" s="360" t="str">
        <f t="shared" ref="EB399:EB428" si="78">IF(EB56="Select Equipment", " ", EB56)</f>
        <v>Conveyor</v>
      </c>
      <c r="EC399" s="362">
        <f>EC580</f>
        <v>2</v>
      </c>
      <c r="ED399" s="392" t="s">
        <v>572</v>
      </c>
      <c r="EE399" s="367"/>
      <c r="EF399" s="363"/>
    </row>
    <row r="400" spans="54:136">
      <c r="BB400" s="360" t="str">
        <f t="shared" si="75"/>
        <v>Conveyor</v>
      </c>
      <c r="BC400" s="362">
        <f>BC680</f>
        <v>2</v>
      </c>
      <c r="BD400" s="392" t="s">
        <v>515</v>
      </c>
      <c r="BE400" s="388"/>
      <c r="BF400" s="363"/>
      <c r="CB400" s="360" t="str">
        <f t="shared" si="76"/>
        <v>Leaching tank</v>
      </c>
      <c r="CC400" s="362">
        <f>CC680</f>
        <v>12</v>
      </c>
      <c r="CD400" s="392" t="s">
        <v>572</v>
      </c>
      <c r="CE400" s="388"/>
      <c r="CF400" s="363"/>
      <c r="DB400" s="360" t="str">
        <f t="shared" si="77"/>
        <v>Froth flotation cell</v>
      </c>
      <c r="DC400" s="362">
        <f>DC680</f>
        <v>6</v>
      </c>
      <c r="DD400" s="392" t="s">
        <v>572</v>
      </c>
      <c r="DE400" s="388"/>
      <c r="DF400" s="363"/>
      <c r="EB400" s="360" t="str">
        <f t="shared" si="78"/>
        <v>Leaching tank</v>
      </c>
      <c r="EC400" s="362">
        <f>EC680</f>
        <v>12</v>
      </c>
      <c r="ED400" s="392" t="s">
        <v>572</v>
      </c>
      <c r="EE400" s="362"/>
      <c r="EF400" s="363"/>
    </row>
    <row r="401" spans="53:137">
      <c r="BB401" s="360" t="str">
        <f t="shared" si="75"/>
        <v>Smelter</v>
      </c>
      <c r="BC401" s="362">
        <f>BC780</f>
        <v>24</v>
      </c>
      <c r="BD401" s="392" t="s">
        <v>515</v>
      </c>
      <c r="BE401" s="397"/>
      <c r="BF401" s="363"/>
      <c r="CB401" s="360" t="str">
        <f t="shared" si="76"/>
        <v>Mixing tank</v>
      </c>
      <c r="CC401" s="362">
        <f>CC780</f>
        <v>6</v>
      </c>
      <c r="CD401" s="392" t="s">
        <v>572</v>
      </c>
      <c r="CE401" s="397"/>
      <c r="CF401" s="363"/>
      <c r="DB401" s="360" t="str">
        <f t="shared" si="77"/>
        <v>Filter press</v>
      </c>
      <c r="DC401" s="362">
        <f>DC780</f>
        <v>6</v>
      </c>
      <c r="DD401" s="392" t="s">
        <v>572</v>
      </c>
      <c r="DE401" s="397"/>
      <c r="DF401" s="363"/>
      <c r="EB401" s="360" t="str">
        <f t="shared" si="78"/>
        <v>Mixing tank</v>
      </c>
      <c r="EC401" s="362">
        <f>EC780</f>
        <v>6</v>
      </c>
      <c r="ED401" s="392" t="s">
        <v>572</v>
      </c>
      <c r="EE401" s="367"/>
      <c r="EF401" s="363"/>
    </row>
    <row r="402" spans="53:137">
      <c r="BB402" s="360" t="str">
        <f t="shared" si="75"/>
        <v>Gas treatment</v>
      </c>
      <c r="BC402" s="362">
        <f>BC880</f>
        <v>12</v>
      </c>
      <c r="BD402" s="392" t="s">
        <v>515</v>
      </c>
      <c r="BE402" s="397"/>
      <c r="BF402" s="363"/>
      <c r="CB402" s="360" t="str">
        <f t="shared" si="76"/>
        <v>Filter press</v>
      </c>
      <c r="CC402" s="362">
        <f>CC880</f>
        <v>6</v>
      </c>
      <c r="CD402" s="392" t="s">
        <v>572</v>
      </c>
      <c r="CE402" s="397"/>
      <c r="CF402" s="363"/>
      <c r="DB402" s="360" t="str">
        <f t="shared" si="77"/>
        <v>Froth flotation cell</v>
      </c>
      <c r="DC402" s="362">
        <f>DC880</f>
        <v>6</v>
      </c>
      <c r="DD402" s="392" t="s">
        <v>572</v>
      </c>
      <c r="DE402" s="397"/>
      <c r="DF402" s="363"/>
      <c r="EB402" s="360" t="str">
        <f t="shared" si="78"/>
        <v>Filter press</v>
      </c>
      <c r="EC402" s="362">
        <f>EC880</f>
        <v>6</v>
      </c>
      <c r="ED402" s="392" t="s">
        <v>572</v>
      </c>
      <c r="EE402" s="367"/>
      <c r="EF402" s="363"/>
    </row>
    <row r="403" spans="53:137">
      <c r="BB403" s="360" t="str">
        <f t="shared" si="75"/>
        <v>Conveyor</v>
      </c>
      <c r="BC403" s="362">
        <f>BC980</f>
        <v>2</v>
      </c>
      <c r="BD403" s="392" t="s">
        <v>515</v>
      </c>
      <c r="BE403" s="397"/>
      <c r="BF403" s="398"/>
      <c r="CB403" s="360" t="str">
        <f t="shared" si="76"/>
        <v>Solvent extraction unit</v>
      </c>
      <c r="CC403" s="362">
        <f>CC980</f>
        <v>12</v>
      </c>
      <c r="CD403" s="392" t="s">
        <v>572</v>
      </c>
      <c r="CE403" s="397"/>
      <c r="CF403" s="398"/>
      <c r="DB403" s="360" t="str">
        <f t="shared" si="77"/>
        <v>Filter press</v>
      </c>
      <c r="DC403" s="362">
        <f>DC980</f>
        <v>6</v>
      </c>
      <c r="DD403" s="392" t="s">
        <v>572</v>
      </c>
      <c r="DE403" s="397"/>
      <c r="DF403" s="398"/>
      <c r="EB403" s="360" t="str">
        <f t="shared" si="78"/>
        <v>Solvent extraction unit</v>
      </c>
      <c r="EC403" s="362">
        <f>EC980</f>
        <v>12</v>
      </c>
      <c r="ED403" s="392" t="s">
        <v>572</v>
      </c>
      <c r="EE403" s="367"/>
      <c r="EF403" s="398"/>
    </row>
    <row r="404" spans="53:137">
      <c r="BB404" s="360" t="str">
        <f t="shared" si="75"/>
        <v>Granulator</v>
      </c>
      <c r="BC404" s="362">
        <f>BC1080</f>
        <v>6</v>
      </c>
      <c r="BD404" s="392" t="s">
        <v>515</v>
      </c>
      <c r="BE404" s="397"/>
      <c r="BF404" s="363"/>
      <c r="CB404" s="360" t="str">
        <f t="shared" si="76"/>
        <v>Solvent extraction unit</v>
      </c>
      <c r="CC404" s="362">
        <f>CC1080</f>
        <v>12</v>
      </c>
      <c r="CD404" s="392" t="s">
        <v>572</v>
      </c>
      <c r="CE404" s="397"/>
      <c r="CF404" s="363"/>
      <c r="DB404" s="360" t="str">
        <f t="shared" si="77"/>
        <v>Dryer</v>
      </c>
      <c r="DC404" s="362">
        <f>DC1080</f>
        <v>6</v>
      </c>
      <c r="DD404" s="392" t="s">
        <v>572</v>
      </c>
      <c r="DE404" s="397"/>
      <c r="DF404" s="363"/>
      <c r="EB404" s="360" t="str">
        <f t="shared" si="78"/>
        <v>Solvent extraction unit</v>
      </c>
      <c r="EC404" s="362">
        <f>EC1080</f>
        <v>12</v>
      </c>
      <c r="ED404" s="392" t="s">
        <v>572</v>
      </c>
      <c r="EE404" s="367"/>
      <c r="EF404" s="363"/>
    </row>
    <row r="405" spans="53:137">
      <c r="BB405" s="360" t="str">
        <f t="shared" si="75"/>
        <v>Leaching tank</v>
      </c>
      <c r="BC405" s="362">
        <f>BC1180</f>
        <v>12</v>
      </c>
      <c r="BD405" s="392" t="s">
        <v>515</v>
      </c>
      <c r="BE405" s="397"/>
      <c r="BF405" s="363"/>
      <c r="CB405" s="360" t="str">
        <f t="shared" si="76"/>
        <v>Solvent extraction unit</v>
      </c>
      <c r="CC405" s="362">
        <f>CC1180</f>
        <v>12</v>
      </c>
      <c r="CD405" s="392" t="s">
        <v>572</v>
      </c>
      <c r="CE405" s="397"/>
      <c r="CF405" s="363"/>
      <c r="DB405" s="360" t="str">
        <f t="shared" si="77"/>
        <v>Ball mill</v>
      </c>
      <c r="DC405" s="362">
        <f>DC1180</f>
        <v>6</v>
      </c>
      <c r="DD405" s="392" t="s">
        <v>572</v>
      </c>
      <c r="DE405" s="397"/>
      <c r="DF405" s="363"/>
      <c r="EB405" s="360" t="str">
        <f t="shared" si="78"/>
        <v>Solvent extraction unit</v>
      </c>
      <c r="EC405" s="362">
        <f>EC1180</f>
        <v>12</v>
      </c>
      <c r="ED405" s="392" t="s">
        <v>572</v>
      </c>
      <c r="EE405" s="367"/>
      <c r="EF405" s="363"/>
    </row>
    <row r="406" spans="53:137">
      <c r="BB406" s="360" t="str">
        <f t="shared" si="75"/>
        <v>Solvent extraction unit</v>
      </c>
      <c r="BC406" s="362">
        <f>BC1280</f>
        <v>12</v>
      </c>
      <c r="BD406" s="392" t="s">
        <v>515</v>
      </c>
      <c r="BE406" s="397"/>
      <c r="BF406" s="363"/>
      <c r="CB406" s="360" t="str">
        <f t="shared" si="76"/>
        <v>Evaporator</v>
      </c>
      <c r="CC406" s="362">
        <f>CC1280</f>
        <v>6</v>
      </c>
      <c r="CD406" s="392" t="s">
        <v>572</v>
      </c>
      <c r="CE406" s="397"/>
      <c r="CF406" s="363"/>
      <c r="DB406" s="360" t="str">
        <f t="shared" si="77"/>
        <v>Furnace+saggar handling system</v>
      </c>
      <c r="DC406" s="362">
        <f>DC1280</f>
        <v>24</v>
      </c>
      <c r="DD406" s="392" t="s">
        <v>572</v>
      </c>
      <c r="DE406" s="397"/>
      <c r="DF406" s="363"/>
      <c r="EB406" s="360" t="str">
        <f t="shared" si="78"/>
        <v>Evaporator</v>
      </c>
      <c r="EC406" s="362">
        <f>EC1280</f>
        <v>6</v>
      </c>
      <c r="ED406" s="392" t="s">
        <v>572</v>
      </c>
      <c r="EE406" s="367"/>
      <c r="EF406" s="363"/>
    </row>
    <row r="407" spans="53:137">
      <c r="BB407" s="360" t="str">
        <f t="shared" si="75"/>
        <v>Electrowinning cell</v>
      </c>
      <c r="BC407" s="362">
        <f>BC1380</f>
        <v>0</v>
      </c>
      <c r="BD407" s="392" t="s">
        <v>515</v>
      </c>
      <c r="BE407" s="397"/>
      <c r="BF407" s="363"/>
      <c r="CB407" s="360" t="str">
        <f t="shared" si="76"/>
        <v>Precipitation tank</v>
      </c>
      <c r="CC407" s="362">
        <f>CC1380</f>
        <v>12</v>
      </c>
      <c r="CD407" s="392" t="s">
        <v>572</v>
      </c>
      <c r="CE407" s="397"/>
      <c r="CF407" s="363"/>
      <c r="DB407" s="360" t="str">
        <f t="shared" si="77"/>
        <v>Water treatment</v>
      </c>
      <c r="DC407" s="362">
        <f>DC1380</f>
        <v>12</v>
      </c>
      <c r="DD407" s="392" t="s">
        <v>572</v>
      </c>
      <c r="DE407" s="397"/>
      <c r="DF407" s="363"/>
      <c r="EB407" s="360" t="str">
        <f t="shared" si="78"/>
        <v>Precipitation tank</v>
      </c>
      <c r="EC407" s="362">
        <f>EC1380</f>
        <v>12</v>
      </c>
      <c r="ED407" s="392" t="s">
        <v>572</v>
      </c>
      <c r="EE407" s="367"/>
      <c r="EF407" s="363"/>
    </row>
    <row r="408" spans="53:137">
      <c r="BB408" s="360" t="str">
        <f t="shared" si="75"/>
        <v>Solvent extraction unit</v>
      </c>
      <c r="BC408" s="362">
        <f>BC1480</f>
        <v>12</v>
      </c>
      <c r="BD408" s="392" t="s">
        <v>515</v>
      </c>
      <c r="BE408" s="388"/>
      <c r="BF408" s="363"/>
      <c r="BG408" s="399"/>
      <c r="BK408" s="400"/>
      <c r="BL408" s="400"/>
      <c r="CB408" s="360" t="str">
        <f t="shared" si="76"/>
        <v>Centrifuge</v>
      </c>
      <c r="CC408" s="362">
        <f>CC1480</f>
        <v>0</v>
      </c>
      <c r="CD408" s="392" t="s">
        <v>572</v>
      </c>
      <c r="CE408" s="388"/>
      <c r="CF408" s="363"/>
      <c r="CG408" s="399"/>
      <c r="DB408" s="360" t="str">
        <f t="shared" si="77"/>
        <v>Wheel loader</v>
      </c>
      <c r="DC408" s="362">
        <f>DC1480</f>
        <v>20</v>
      </c>
      <c r="DD408" s="392" t="s">
        <v>572</v>
      </c>
      <c r="DE408" s="388"/>
      <c r="DF408" s="363"/>
      <c r="DG408" s="399"/>
      <c r="EB408" s="360" t="str">
        <f t="shared" si="78"/>
        <v>Centrifuge</v>
      </c>
      <c r="EC408" s="362">
        <f>EC1480</f>
        <v>0</v>
      </c>
      <c r="ED408" s="392" t="s">
        <v>572</v>
      </c>
      <c r="EE408" s="362"/>
      <c r="EF408" s="363"/>
      <c r="EG408" s="399"/>
    </row>
    <row r="409" spans="53:137">
      <c r="BA409" s="114"/>
      <c r="BB409" s="360" t="str">
        <f t="shared" si="75"/>
        <v>Solvent extraction unit</v>
      </c>
      <c r="BC409" s="362">
        <f>BC1580</f>
        <v>12</v>
      </c>
      <c r="BD409" s="392" t="s">
        <v>515</v>
      </c>
      <c r="BE409" s="397"/>
      <c r="BF409" s="363"/>
      <c r="BG409" s="401"/>
      <c r="BK409" s="402"/>
      <c r="BL409" s="402"/>
      <c r="CA409" s="114"/>
      <c r="CB409" s="360" t="str">
        <f t="shared" si="76"/>
        <v>Dryer</v>
      </c>
      <c r="CC409" s="362">
        <f>CC1580</f>
        <v>6</v>
      </c>
      <c r="CD409" s="392" t="s">
        <v>572</v>
      </c>
      <c r="CE409" s="397"/>
      <c r="CF409" s="363"/>
      <c r="CG409" s="401"/>
      <c r="DA409" s="114"/>
      <c r="DB409" s="360" t="str">
        <f t="shared" si="77"/>
        <v xml:space="preserve"> </v>
      </c>
      <c r="DC409" s="362">
        <f>DC1580</f>
        <v>0</v>
      </c>
      <c r="DD409" s="392" t="s">
        <v>572</v>
      </c>
      <c r="DE409" s="397"/>
      <c r="DF409" s="363"/>
      <c r="DG409" s="401"/>
      <c r="EA409" s="114"/>
      <c r="EB409" s="360" t="str">
        <f t="shared" si="78"/>
        <v>Dryer</v>
      </c>
      <c r="EC409" s="362">
        <f>EC1580</f>
        <v>6</v>
      </c>
      <c r="ED409" s="392" t="s">
        <v>572</v>
      </c>
      <c r="EE409" s="367"/>
      <c r="EF409" s="363"/>
      <c r="EG409" s="401"/>
    </row>
    <row r="410" spans="53:137">
      <c r="BA410" s="114"/>
      <c r="BB410" s="360" t="str">
        <f t="shared" si="75"/>
        <v>Wheel loader</v>
      </c>
      <c r="BC410" s="362">
        <f>BC1680</f>
        <v>20</v>
      </c>
      <c r="BD410" s="392" t="s">
        <v>515</v>
      </c>
      <c r="BE410" s="397"/>
      <c r="BF410" s="363"/>
      <c r="BG410" s="403"/>
      <c r="CA410" s="114"/>
      <c r="CB410" s="360" t="str">
        <f t="shared" si="76"/>
        <v>Water treatment</v>
      </c>
      <c r="CC410" s="362">
        <f>CC1680</f>
        <v>12</v>
      </c>
      <c r="CD410" s="392" t="s">
        <v>572</v>
      </c>
      <c r="CE410" s="397"/>
      <c r="CF410" s="363"/>
      <c r="CG410" s="403"/>
      <c r="DA410" s="114"/>
      <c r="DB410" s="360" t="str">
        <f t="shared" si="77"/>
        <v xml:space="preserve"> </v>
      </c>
      <c r="DC410" s="362">
        <f>DC1680</f>
        <v>0</v>
      </c>
      <c r="DD410" s="392" t="s">
        <v>572</v>
      </c>
      <c r="DE410" s="397"/>
      <c r="DF410" s="363"/>
      <c r="DG410" s="403"/>
      <c r="EA410" s="114"/>
      <c r="EB410" s="360" t="str">
        <f t="shared" si="78"/>
        <v>Water treatment</v>
      </c>
      <c r="EC410" s="362">
        <f>EC1680</f>
        <v>12</v>
      </c>
      <c r="ED410" s="392" t="s">
        <v>572</v>
      </c>
      <c r="EE410" s="367"/>
      <c r="EF410" s="363"/>
      <c r="EG410" s="403"/>
    </row>
    <row r="411" spans="53:137">
      <c r="BA411" s="114"/>
      <c r="BB411" s="360" t="str">
        <f t="shared" si="75"/>
        <v>Water treatment</v>
      </c>
      <c r="BC411" s="362">
        <f>BC1780</f>
        <v>12</v>
      </c>
      <c r="BD411" s="392" t="s">
        <v>515</v>
      </c>
      <c r="BE411" s="397"/>
      <c r="BF411" s="363"/>
      <c r="BG411" s="404"/>
      <c r="CA411" s="114"/>
      <c r="CB411" s="360" t="str">
        <f t="shared" si="76"/>
        <v>Wheel loader</v>
      </c>
      <c r="CC411" s="362">
        <f>CC1780</f>
        <v>20</v>
      </c>
      <c r="CD411" s="392" t="s">
        <v>572</v>
      </c>
      <c r="CE411" s="397"/>
      <c r="CF411" s="363"/>
      <c r="CG411" s="404"/>
      <c r="DA411" s="114"/>
      <c r="DB411" s="360" t="str">
        <f t="shared" si="77"/>
        <v xml:space="preserve"> </v>
      </c>
      <c r="DC411" s="362">
        <f>DC1780</f>
        <v>0</v>
      </c>
      <c r="DD411" s="392" t="s">
        <v>572</v>
      </c>
      <c r="DE411" s="397"/>
      <c r="DF411" s="363"/>
      <c r="DG411" s="404"/>
      <c r="EA411" s="114"/>
      <c r="EB411" s="360" t="str">
        <f t="shared" si="78"/>
        <v>Wheel loader</v>
      </c>
      <c r="EC411" s="362">
        <f>EC1780</f>
        <v>20</v>
      </c>
      <c r="ED411" s="392" t="s">
        <v>572</v>
      </c>
      <c r="EE411" s="367"/>
      <c r="EF411" s="363"/>
      <c r="EG411" s="404"/>
    </row>
    <row r="412" spans="53:137">
      <c r="BA412" s="114"/>
      <c r="BB412" s="360" t="str">
        <f t="shared" si="75"/>
        <v xml:space="preserve"> </v>
      </c>
      <c r="BC412" s="362">
        <f>BC1880</f>
        <v>0</v>
      </c>
      <c r="BD412" s="392" t="s">
        <v>515</v>
      </c>
      <c r="BE412" s="397"/>
      <c r="BF412" s="363"/>
      <c r="BG412" s="405"/>
      <c r="CA412" s="114"/>
      <c r="CB412" s="360" t="str">
        <f t="shared" si="76"/>
        <v xml:space="preserve"> </v>
      </c>
      <c r="CC412" s="362">
        <f>CC1880</f>
        <v>0</v>
      </c>
      <c r="CD412" s="392" t="s">
        <v>572</v>
      </c>
      <c r="CE412" s="397"/>
      <c r="CF412" s="363"/>
      <c r="CG412" s="405"/>
      <c r="DA412" s="114"/>
      <c r="DB412" s="360" t="str">
        <f t="shared" si="77"/>
        <v xml:space="preserve"> </v>
      </c>
      <c r="DC412" s="362">
        <f>DC1880</f>
        <v>0</v>
      </c>
      <c r="DD412" s="392" t="s">
        <v>572</v>
      </c>
      <c r="DE412" s="397"/>
      <c r="DF412" s="363"/>
      <c r="DG412" s="405"/>
      <c r="EA412" s="114"/>
      <c r="EB412" s="360" t="str">
        <f t="shared" si="78"/>
        <v xml:space="preserve"> </v>
      </c>
      <c r="EC412" s="362">
        <f>EC1880</f>
        <v>0</v>
      </c>
      <c r="ED412" s="392" t="s">
        <v>572</v>
      </c>
      <c r="EE412" s="367"/>
      <c r="EF412" s="363"/>
      <c r="EG412" s="405"/>
    </row>
    <row r="413" spans="53:137">
      <c r="BA413" s="114"/>
      <c r="BB413" s="360" t="str">
        <f t="shared" si="75"/>
        <v xml:space="preserve"> </v>
      </c>
      <c r="BC413" s="362">
        <f>BC1980</f>
        <v>0</v>
      </c>
      <c r="BD413" s="392" t="s">
        <v>515</v>
      </c>
      <c r="BE413" s="397"/>
      <c r="BF413" s="363"/>
      <c r="BG413" s="406"/>
      <c r="CA413" s="114"/>
      <c r="CB413" s="360" t="str">
        <f t="shared" si="76"/>
        <v xml:space="preserve"> </v>
      </c>
      <c r="CC413" s="362">
        <f>CC1980</f>
        <v>0</v>
      </c>
      <c r="CD413" s="392" t="s">
        <v>572</v>
      </c>
      <c r="CE413" s="397"/>
      <c r="CF413" s="363"/>
      <c r="CG413" s="406"/>
      <c r="DA413" s="114"/>
      <c r="DB413" s="360" t="str">
        <f t="shared" si="77"/>
        <v xml:space="preserve"> </v>
      </c>
      <c r="DC413" s="362">
        <f>DC1980</f>
        <v>0</v>
      </c>
      <c r="DD413" s="392" t="s">
        <v>572</v>
      </c>
      <c r="DE413" s="397"/>
      <c r="DF413" s="363"/>
      <c r="DG413" s="406"/>
      <c r="EA413" s="114"/>
      <c r="EB413" s="360" t="str">
        <f t="shared" si="78"/>
        <v xml:space="preserve"> </v>
      </c>
      <c r="EC413" s="362">
        <f>EC1980</f>
        <v>0</v>
      </c>
      <c r="ED413" s="392" t="s">
        <v>572</v>
      </c>
      <c r="EE413" s="367"/>
      <c r="EF413" s="363"/>
      <c r="EG413" s="406"/>
    </row>
    <row r="414" spans="53:137">
      <c r="BA414" s="114"/>
      <c r="BB414" s="360" t="str">
        <f t="shared" si="75"/>
        <v xml:space="preserve"> </v>
      </c>
      <c r="BC414" s="362">
        <f>BC2080</f>
        <v>0</v>
      </c>
      <c r="BD414" s="392" t="s">
        <v>515</v>
      </c>
      <c r="BE414" s="397"/>
      <c r="BF414" s="363"/>
      <c r="BG414" s="266"/>
      <c r="CA414" s="114"/>
      <c r="CB414" s="360" t="str">
        <f t="shared" si="76"/>
        <v xml:space="preserve"> </v>
      </c>
      <c r="CC414" s="362">
        <f>CC2080</f>
        <v>0</v>
      </c>
      <c r="CD414" s="392" t="s">
        <v>572</v>
      </c>
      <c r="CE414" s="397"/>
      <c r="CF414" s="363"/>
      <c r="CG414" s="266"/>
      <c r="DA414" s="114"/>
      <c r="DB414" s="360" t="str">
        <f t="shared" si="77"/>
        <v xml:space="preserve"> </v>
      </c>
      <c r="DC414" s="362">
        <f>DC2080</f>
        <v>0</v>
      </c>
      <c r="DD414" s="392" t="s">
        <v>572</v>
      </c>
      <c r="DE414" s="397"/>
      <c r="DF414" s="363"/>
      <c r="DG414" s="266"/>
      <c r="EA414" s="114"/>
      <c r="EB414" s="360" t="str">
        <f t="shared" si="78"/>
        <v xml:space="preserve"> </v>
      </c>
      <c r="EC414" s="362">
        <f>EC2080</f>
        <v>0</v>
      </c>
      <c r="ED414" s="392" t="s">
        <v>572</v>
      </c>
      <c r="EE414" s="367"/>
      <c r="EF414" s="363"/>
      <c r="EG414" s="266"/>
    </row>
    <row r="415" spans="53:137">
      <c r="BA415" s="114"/>
      <c r="BB415" s="360" t="str">
        <f t="shared" si="75"/>
        <v xml:space="preserve"> </v>
      </c>
      <c r="BC415" s="362">
        <f>BC2180</f>
        <v>0</v>
      </c>
      <c r="BD415" s="392" t="s">
        <v>515</v>
      </c>
      <c r="BE415" s="397"/>
      <c r="BF415" s="363"/>
      <c r="BG415" s="266"/>
      <c r="CA415" s="114"/>
      <c r="CB415" s="360" t="str">
        <f t="shared" si="76"/>
        <v xml:space="preserve"> </v>
      </c>
      <c r="CC415" s="362">
        <f>CC2180</f>
        <v>0</v>
      </c>
      <c r="CD415" s="392" t="s">
        <v>572</v>
      </c>
      <c r="CE415" s="397"/>
      <c r="CF415" s="363"/>
      <c r="CG415" s="266"/>
      <c r="DA415" s="114"/>
      <c r="DB415" s="360" t="str">
        <f t="shared" si="77"/>
        <v xml:space="preserve"> </v>
      </c>
      <c r="DC415" s="362">
        <f>DC2180</f>
        <v>0</v>
      </c>
      <c r="DD415" s="392" t="s">
        <v>572</v>
      </c>
      <c r="DE415" s="397"/>
      <c r="DF415" s="363"/>
      <c r="DG415" s="266"/>
      <c r="EA415" s="114"/>
      <c r="EB415" s="360" t="str">
        <f t="shared" si="78"/>
        <v xml:space="preserve"> </v>
      </c>
      <c r="EC415" s="362">
        <f>EC2180</f>
        <v>0</v>
      </c>
      <c r="ED415" s="392" t="s">
        <v>572</v>
      </c>
      <c r="EE415" s="367"/>
      <c r="EF415" s="363"/>
      <c r="EG415" s="266"/>
    </row>
    <row r="416" spans="53:137">
      <c r="BA416" s="114"/>
      <c r="BB416" s="360" t="str">
        <f t="shared" si="75"/>
        <v xml:space="preserve"> </v>
      </c>
      <c r="BC416" s="362">
        <f>BC2280</f>
        <v>0</v>
      </c>
      <c r="BD416" s="392" t="s">
        <v>515</v>
      </c>
      <c r="BE416" s="397"/>
      <c r="BF416" s="363"/>
      <c r="BG416" s="407"/>
      <c r="CA416" s="114"/>
      <c r="CB416" s="360" t="str">
        <f t="shared" si="76"/>
        <v xml:space="preserve"> </v>
      </c>
      <c r="CC416" s="362">
        <f>CC2280</f>
        <v>0</v>
      </c>
      <c r="CD416" s="392" t="s">
        <v>572</v>
      </c>
      <c r="CE416" s="397"/>
      <c r="CF416" s="363"/>
      <c r="CG416" s="407"/>
      <c r="DA416" s="114"/>
      <c r="DB416" s="360" t="str">
        <f t="shared" si="77"/>
        <v xml:space="preserve"> </v>
      </c>
      <c r="DC416" s="362">
        <f>DC2280</f>
        <v>0</v>
      </c>
      <c r="DD416" s="392" t="s">
        <v>572</v>
      </c>
      <c r="DE416" s="397"/>
      <c r="DF416" s="363"/>
      <c r="DG416" s="407"/>
      <c r="EA416" s="114"/>
      <c r="EB416" s="360" t="str">
        <f t="shared" si="78"/>
        <v xml:space="preserve"> </v>
      </c>
      <c r="EC416" s="362">
        <f>EC2280</f>
        <v>0</v>
      </c>
      <c r="ED416" s="392" t="s">
        <v>572</v>
      </c>
      <c r="EE416" s="367"/>
      <c r="EF416" s="363"/>
      <c r="EG416" s="407"/>
    </row>
    <row r="417" spans="53:138">
      <c r="BA417" s="114"/>
      <c r="BB417" s="360" t="str">
        <f t="shared" si="75"/>
        <v xml:space="preserve"> </v>
      </c>
      <c r="BC417" s="362">
        <f>BC2380</f>
        <v>0</v>
      </c>
      <c r="BD417" s="392" t="s">
        <v>515</v>
      </c>
      <c r="BE417" s="397"/>
      <c r="BF417" s="363"/>
      <c r="BG417" s="266"/>
      <c r="CA417" s="114"/>
      <c r="CB417" s="360" t="str">
        <f t="shared" si="76"/>
        <v xml:space="preserve"> </v>
      </c>
      <c r="CC417" s="362">
        <f>CC2380</f>
        <v>0</v>
      </c>
      <c r="CD417" s="392" t="s">
        <v>572</v>
      </c>
      <c r="CE417" s="397"/>
      <c r="CF417" s="363"/>
      <c r="CG417" s="266"/>
      <c r="DA417" s="114"/>
      <c r="DB417" s="360" t="str">
        <f t="shared" si="77"/>
        <v xml:space="preserve"> </v>
      </c>
      <c r="DC417" s="362">
        <f>DC2380</f>
        <v>0</v>
      </c>
      <c r="DD417" s="392" t="s">
        <v>572</v>
      </c>
      <c r="DE417" s="397"/>
      <c r="DF417" s="363"/>
      <c r="DG417" s="266"/>
      <c r="EA417" s="114"/>
      <c r="EB417" s="360" t="str">
        <f t="shared" si="78"/>
        <v xml:space="preserve"> </v>
      </c>
      <c r="EC417" s="362">
        <f>EC2380</f>
        <v>0</v>
      </c>
      <c r="ED417" s="392" t="s">
        <v>572</v>
      </c>
      <c r="EE417" s="367"/>
      <c r="EF417" s="363"/>
      <c r="EG417" s="266"/>
    </row>
    <row r="418" spans="53:138">
      <c r="BA418" s="114"/>
      <c r="BB418" s="360" t="str">
        <f t="shared" si="75"/>
        <v xml:space="preserve"> </v>
      </c>
      <c r="BC418" s="362">
        <f>BC2480</f>
        <v>0</v>
      </c>
      <c r="BD418" s="392" t="s">
        <v>515</v>
      </c>
      <c r="BE418" s="397"/>
      <c r="BF418" s="363"/>
      <c r="BG418" s="408"/>
      <c r="CA418" s="114"/>
      <c r="CB418" s="360" t="str">
        <f t="shared" si="76"/>
        <v xml:space="preserve"> </v>
      </c>
      <c r="CC418" s="362">
        <f>CC2480</f>
        <v>0</v>
      </c>
      <c r="CD418" s="392" t="s">
        <v>572</v>
      </c>
      <c r="CE418" s="397"/>
      <c r="CF418" s="363"/>
      <c r="CG418" s="408"/>
      <c r="DA418" s="114"/>
      <c r="DB418" s="360" t="str">
        <f t="shared" si="77"/>
        <v xml:space="preserve"> </v>
      </c>
      <c r="DC418" s="362">
        <f>DC2480</f>
        <v>0</v>
      </c>
      <c r="DD418" s="392" t="s">
        <v>572</v>
      </c>
      <c r="DE418" s="397"/>
      <c r="DF418" s="363"/>
      <c r="DG418" s="408"/>
      <c r="EA418" s="114"/>
      <c r="EB418" s="360" t="str">
        <f t="shared" si="78"/>
        <v xml:space="preserve"> </v>
      </c>
      <c r="EC418" s="362">
        <f>EC2480</f>
        <v>0</v>
      </c>
      <c r="ED418" s="392" t="s">
        <v>572</v>
      </c>
      <c r="EE418" s="367"/>
      <c r="EF418" s="363"/>
      <c r="EG418" s="408"/>
    </row>
    <row r="419" spans="53:138">
      <c r="BA419" s="114"/>
      <c r="BB419" s="360" t="str">
        <f t="shared" si="75"/>
        <v xml:space="preserve"> </v>
      </c>
      <c r="BC419" s="362">
        <f>BC2580</f>
        <v>0</v>
      </c>
      <c r="BD419" s="392" t="s">
        <v>515</v>
      </c>
      <c r="BE419" s="397"/>
      <c r="BF419" s="363"/>
      <c r="BG419" s="180"/>
      <c r="CA419" s="114"/>
      <c r="CB419" s="360" t="str">
        <f t="shared" si="76"/>
        <v xml:space="preserve"> </v>
      </c>
      <c r="CC419" s="362">
        <f>CC2580</f>
        <v>0</v>
      </c>
      <c r="CD419" s="392" t="s">
        <v>572</v>
      </c>
      <c r="CE419" s="397"/>
      <c r="CF419" s="363"/>
      <c r="CG419" s="180"/>
      <c r="DA419" s="114"/>
      <c r="DB419" s="360" t="str">
        <f t="shared" si="77"/>
        <v xml:space="preserve"> </v>
      </c>
      <c r="DC419" s="362">
        <f>DC2580</f>
        <v>0</v>
      </c>
      <c r="DD419" s="392" t="s">
        <v>572</v>
      </c>
      <c r="DE419" s="397"/>
      <c r="DF419" s="363"/>
      <c r="DG419" s="180"/>
      <c r="EA419" s="114"/>
      <c r="EB419" s="360" t="str">
        <f t="shared" si="78"/>
        <v xml:space="preserve"> </v>
      </c>
      <c r="EC419" s="362">
        <f>EC2580</f>
        <v>0</v>
      </c>
      <c r="ED419" s="392" t="s">
        <v>572</v>
      </c>
      <c r="EE419" s="367"/>
      <c r="EF419" s="363"/>
      <c r="EG419" s="180"/>
    </row>
    <row r="420" spans="53:138">
      <c r="BA420" s="114"/>
      <c r="BB420" s="360" t="str">
        <f t="shared" si="75"/>
        <v xml:space="preserve"> </v>
      </c>
      <c r="BC420" s="362">
        <f>BC2680</f>
        <v>0</v>
      </c>
      <c r="BD420" s="392" t="s">
        <v>515</v>
      </c>
      <c r="BE420" s="397"/>
      <c r="BF420" s="363"/>
      <c r="BG420" s="409"/>
      <c r="CA420" s="114"/>
      <c r="CB420" s="360" t="str">
        <f t="shared" si="76"/>
        <v xml:space="preserve"> </v>
      </c>
      <c r="CC420" s="362">
        <f>CC2680</f>
        <v>0</v>
      </c>
      <c r="CD420" s="392" t="s">
        <v>572</v>
      </c>
      <c r="CE420" s="397"/>
      <c r="CF420" s="363"/>
      <c r="CG420" s="409"/>
      <c r="DA420" s="114"/>
      <c r="DB420" s="360" t="str">
        <f t="shared" si="77"/>
        <v xml:space="preserve"> </v>
      </c>
      <c r="DC420" s="362">
        <f>DC2680</f>
        <v>0</v>
      </c>
      <c r="DD420" s="392" t="s">
        <v>572</v>
      </c>
      <c r="DE420" s="397"/>
      <c r="DF420" s="363"/>
      <c r="DG420" s="409"/>
      <c r="EA420" s="114"/>
      <c r="EB420" s="360" t="str">
        <f t="shared" si="78"/>
        <v xml:space="preserve"> </v>
      </c>
      <c r="EC420" s="362">
        <f>EC2680</f>
        <v>0</v>
      </c>
      <c r="ED420" s="392" t="s">
        <v>572</v>
      </c>
      <c r="EE420" s="367"/>
      <c r="EF420" s="363"/>
      <c r="EG420" s="409"/>
    </row>
    <row r="421" spans="53:138">
      <c r="BA421" s="114"/>
      <c r="BB421" s="360" t="str">
        <f t="shared" si="75"/>
        <v xml:space="preserve"> </v>
      </c>
      <c r="BC421" s="362">
        <f>BC2780</f>
        <v>0</v>
      </c>
      <c r="BD421" s="392" t="s">
        <v>515</v>
      </c>
      <c r="BE421" s="397"/>
      <c r="BF421" s="363"/>
      <c r="BG421" s="409"/>
      <c r="CA421" s="114"/>
      <c r="CB421" s="360" t="str">
        <f t="shared" si="76"/>
        <v xml:space="preserve"> </v>
      </c>
      <c r="CC421" s="362">
        <f>CC2780</f>
        <v>0</v>
      </c>
      <c r="CD421" s="392" t="s">
        <v>572</v>
      </c>
      <c r="CE421" s="397"/>
      <c r="CF421" s="363"/>
      <c r="CG421" s="409"/>
      <c r="DA421" s="114"/>
      <c r="DB421" s="360" t="str">
        <f t="shared" si="77"/>
        <v xml:space="preserve"> </v>
      </c>
      <c r="DC421" s="362">
        <f>DC2780</f>
        <v>0</v>
      </c>
      <c r="DD421" s="392" t="s">
        <v>572</v>
      </c>
      <c r="DE421" s="397"/>
      <c r="DF421" s="363"/>
      <c r="DG421" s="409"/>
      <c r="EA421" s="114"/>
      <c r="EB421" s="360" t="str">
        <f t="shared" si="78"/>
        <v xml:space="preserve"> </v>
      </c>
      <c r="EC421" s="362">
        <f>EC2780</f>
        <v>0</v>
      </c>
      <c r="ED421" s="392" t="s">
        <v>572</v>
      </c>
      <c r="EE421" s="367"/>
      <c r="EF421" s="363"/>
      <c r="EG421" s="409"/>
    </row>
    <row r="422" spans="53:138" ht="15" customHeight="1">
      <c r="BA422" s="114"/>
      <c r="BB422" s="360" t="str">
        <f t="shared" si="75"/>
        <v xml:space="preserve"> </v>
      </c>
      <c r="BC422" s="362">
        <f>BC2880</f>
        <v>0</v>
      </c>
      <c r="BD422" s="392" t="s">
        <v>515</v>
      </c>
      <c r="BE422" s="397"/>
      <c r="BF422" s="363"/>
      <c r="BN422" s="110"/>
      <c r="BR422" s="410"/>
      <c r="BS422" s="410"/>
      <c r="BT422" s="410"/>
      <c r="BU422" s="410"/>
      <c r="BV422" s="410"/>
      <c r="BW422" s="410"/>
      <c r="BX422" s="410"/>
      <c r="BY422" s="410"/>
      <c r="BZ422" s="410"/>
      <c r="CA422" s="114"/>
      <c r="CB422" s="360" t="str">
        <f t="shared" si="76"/>
        <v xml:space="preserve"> </v>
      </c>
      <c r="CC422" s="362">
        <f>CC2880</f>
        <v>0</v>
      </c>
      <c r="CD422" s="392" t="s">
        <v>572</v>
      </c>
      <c r="CE422" s="397"/>
      <c r="CF422" s="363"/>
      <c r="DA422" s="114"/>
      <c r="DB422" s="360" t="str">
        <f t="shared" si="77"/>
        <v xml:space="preserve"> </v>
      </c>
      <c r="DC422" s="362">
        <f>DC2880</f>
        <v>0</v>
      </c>
      <c r="DD422" s="392" t="s">
        <v>572</v>
      </c>
      <c r="DE422" s="397"/>
      <c r="DF422" s="363"/>
      <c r="EA422" s="114"/>
      <c r="EB422" s="360" t="str">
        <f t="shared" si="78"/>
        <v xml:space="preserve"> </v>
      </c>
      <c r="EC422" s="362">
        <f>EC2880</f>
        <v>0</v>
      </c>
      <c r="ED422" s="392" t="s">
        <v>572</v>
      </c>
      <c r="EE422" s="367"/>
      <c r="EF422" s="363"/>
    </row>
    <row r="423" spans="53:138" ht="18" customHeight="1">
      <c r="BA423" s="114"/>
      <c r="BB423" s="360" t="str">
        <f t="shared" si="75"/>
        <v xml:space="preserve"> </v>
      </c>
      <c r="BC423" s="362">
        <f>BC2980</f>
        <v>0</v>
      </c>
      <c r="BD423" s="392" t="s">
        <v>515</v>
      </c>
      <c r="BE423" s="397"/>
      <c r="BF423" s="363"/>
      <c r="BI423" s="411"/>
      <c r="BM423" s="218"/>
      <c r="BN423" s="411"/>
      <c r="BO423" s="411"/>
      <c r="BR423" s="410"/>
      <c r="BS423" s="410"/>
      <c r="BT423" s="410"/>
      <c r="BU423" s="410"/>
      <c r="BV423" s="410"/>
      <c r="BW423" s="410"/>
      <c r="BX423" s="410"/>
      <c r="BY423" s="410"/>
      <c r="BZ423" s="410"/>
      <c r="CA423" s="114"/>
      <c r="CB423" s="360" t="str">
        <f t="shared" si="76"/>
        <v xml:space="preserve"> </v>
      </c>
      <c r="CC423" s="362">
        <f>CC2980</f>
        <v>0</v>
      </c>
      <c r="CD423" s="392" t="s">
        <v>572</v>
      </c>
      <c r="CE423" s="397"/>
      <c r="CF423" s="363"/>
      <c r="CI423" s="411"/>
      <c r="DA423" s="114"/>
      <c r="DB423" s="360" t="str">
        <f t="shared" si="77"/>
        <v xml:space="preserve"> </v>
      </c>
      <c r="DC423" s="362">
        <f>DC2980</f>
        <v>0</v>
      </c>
      <c r="DD423" s="392" t="s">
        <v>572</v>
      </c>
      <c r="DE423" s="397"/>
      <c r="DF423" s="363"/>
      <c r="EA423" s="114"/>
      <c r="EB423" s="360" t="str">
        <f t="shared" si="78"/>
        <v xml:space="preserve"> </v>
      </c>
      <c r="EC423" s="362">
        <f>EC2980</f>
        <v>0</v>
      </c>
      <c r="ED423" s="392" t="s">
        <v>572</v>
      </c>
      <c r="EE423" s="367"/>
      <c r="EF423" s="363"/>
    </row>
    <row r="424" spans="53:138" ht="15" customHeight="1">
      <c r="BA424" s="114"/>
      <c r="BB424" s="360" t="str">
        <f t="shared" si="75"/>
        <v xml:space="preserve"> </v>
      </c>
      <c r="BC424" s="362">
        <f>BC3080</f>
        <v>0</v>
      </c>
      <c r="BD424" s="392" t="s">
        <v>515</v>
      </c>
      <c r="BE424" s="397"/>
      <c r="BF424" s="363"/>
      <c r="BI424" s="411"/>
      <c r="BN424" s="411"/>
      <c r="BO424" s="411"/>
      <c r="BR424" s="410"/>
      <c r="BS424" s="410"/>
      <c r="BT424" s="410"/>
      <c r="BU424" s="410"/>
      <c r="BV424" s="410"/>
      <c r="BW424" s="410"/>
      <c r="BX424" s="410"/>
      <c r="BY424" s="410"/>
      <c r="BZ424" s="410"/>
      <c r="CA424" s="114"/>
      <c r="CB424" s="360" t="str">
        <f t="shared" si="76"/>
        <v xml:space="preserve"> </v>
      </c>
      <c r="CC424" s="362">
        <f>CC3080</f>
        <v>0</v>
      </c>
      <c r="CD424" s="392" t="s">
        <v>572</v>
      </c>
      <c r="CE424" s="397"/>
      <c r="CF424" s="363"/>
      <c r="CI424" s="411"/>
      <c r="DA424" s="114"/>
      <c r="DB424" s="360" t="str">
        <f t="shared" si="77"/>
        <v xml:space="preserve"> </v>
      </c>
      <c r="DC424" s="362">
        <f>DC3080</f>
        <v>0</v>
      </c>
      <c r="DD424" s="392" t="s">
        <v>572</v>
      </c>
      <c r="DE424" s="397"/>
      <c r="DF424" s="363"/>
      <c r="EA424" s="114"/>
      <c r="EB424" s="360" t="str">
        <f t="shared" si="78"/>
        <v xml:space="preserve"> </v>
      </c>
      <c r="EC424" s="362">
        <f>EC3080</f>
        <v>0</v>
      </c>
      <c r="ED424" s="392" t="s">
        <v>572</v>
      </c>
      <c r="EE424" s="367"/>
      <c r="EF424" s="363"/>
    </row>
    <row r="425" spans="53:138">
      <c r="BA425" s="114"/>
      <c r="BB425" s="360" t="str">
        <f t="shared" si="75"/>
        <v xml:space="preserve"> </v>
      </c>
      <c r="BC425" s="362">
        <f>BC3180</f>
        <v>0</v>
      </c>
      <c r="BD425" s="392" t="s">
        <v>515</v>
      </c>
      <c r="BE425" s="397"/>
      <c r="BF425" s="363"/>
      <c r="BI425" s="411"/>
      <c r="BN425" s="411"/>
      <c r="BO425" s="411"/>
      <c r="BR425" s="411"/>
      <c r="BS425" s="411"/>
      <c r="BT425" s="411"/>
      <c r="BU425" s="411"/>
      <c r="BV425" s="411"/>
      <c r="BW425" s="411"/>
      <c r="BX425" s="411"/>
      <c r="BY425" s="411"/>
      <c r="BZ425" s="411"/>
      <c r="CA425" s="114"/>
      <c r="CB425" s="360" t="str">
        <f t="shared" si="76"/>
        <v xml:space="preserve"> </v>
      </c>
      <c r="CC425" s="362">
        <f>CC3180</f>
        <v>0</v>
      </c>
      <c r="CD425" s="392" t="s">
        <v>572</v>
      </c>
      <c r="CE425" s="397"/>
      <c r="CF425" s="363"/>
      <c r="CI425" s="411"/>
      <c r="DA425" s="114"/>
      <c r="DB425" s="360" t="str">
        <f t="shared" si="77"/>
        <v xml:space="preserve"> </v>
      </c>
      <c r="DC425" s="362">
        <f>DC3180</f>
        <v>0</v>
      </c>
      <c r="DD425" s="392" t="s">
        <v>572</v>
      </c>
      <c r="DE425" s="397"/>
      <c r="DF425" s="363"/>
      <c r="EA425" s="114"/>
      <c r="EB425" s="360" t="str">
        <f t="shared" si="78"/>
        <v xml:space="preserve"> </v>
      </c>
      <c r="EC425" s="362">
        <f>EC3180</f>
        <v>0</v>
      </c>
      <c r="ED425" s="392" t="s">
        <v>572</v>
      </c>
      <c r="EE425" s="367"/>
      <c r="EF425" s="363"/>
    </row>
    <row r="426" spans="53:138">
      <c r="BA426" s="114"/>
      <c r="BB426" s="360" t="str">
        <f t="shared" si="75"/>
        <v xml:space="preserve"> </v>
      </c>
      <c r="BC426" s="362">
        <f>BC3280</f>
        <v>0</v>
      </c>
      <c r="BD426" s="392" t="s">
        <v>515</v>
      </c>
      <c r="BE426" s="397"/>
      <c r="BF426" s="363"/>
      <c r="CA426" s="114"/>
      <c r="CB426" s="360" t="str">
        <f t="shared" si="76"/>
        <v xml:space="preserve"> </v>
      </c>
      <c r="CC426" s="362">
        <f>CC3280</f>
        <v>0</v>
      </c>
      <c r="CD426" s="392" t="s">
        <v>572</v>
      </c>
      <c r="CE426" s="397"/>
      <c r="CF426" s="363"/>
      <c r="DA426" s="114"/>
      <c r="DB426" s="360" t="str">
        <f t="shared" si="77"/>
        <v xml:space="preserve"> </v>
      </c>
      <c r="DC426" s="362">
        <f>DC3280</f>
        <v>0</v>
      </c>
      <c r="DD426" s="392" t="s">
        <v>572</v>
      </c>
      <c r="DE426" s="397"/>
      <c r="DF426" s="363"/>
      <c r="EA426" s="114"/>
      <c r="EB426" s="360" t="str">
        <f t="shared" si="78"/>
        <v xml:space="preserve"> </v>
      </c>
      <c r="EC426" s="362">
        <f>EC3280</f>
        <v>0</v>
      </c>
      <c r="ED426" s="392" t="s">
        <v>572</v>
      </c>
      <c r="EE426" s="367"/>
      <c r="EF426" s="363"/>
    </row>
    <row r="427" spans="53:138">
      <c r="BA427" s="114"/>
      <c r="BB427" s="360" t="str">
        <f t="shared" si="75"/>
        <v xml:space="preserve"> </v>
      </c>
      <c r="BC427" s="362">
        <f>BC3380</f>
        <v>0</v>
      </c>
      <c r="BD427" s="392" t="s">
        <v>515</v>
      </c>
      <c r="BE427" s="397"/>
      <c r="BF427" s="363"/>
      <c r="CA427" s="114"/>
      <c r="CB427" s="360" t="str">
        <f t="shared" si="76"/>
        <v xml:space="preserve"> </v>
      </c>
      <c r="CC427" s="362">
        <f>CC3380</f>
        <v>0</v>
      </c>
      <c r="CD427" s="392" t="s">
        <v>572</v>
      </c>
      <c r="CE427" s="397"/>
      <c r="CF427" s="363"/>
      <c r="DA427" s="114"/>
      <c r="DB427" s="360" t="str">
        <f t="shared" si="77"/>
        <v xml:space="preserve"> </v>
      </c>
      <c r="DC427" s="362">
        <f>DC3380</f>
        <v>0</v>
      </c>
      <c r="DD427" s="392" t="s">
        <v>572</v>
      </c>
      <c r="DE427" s="397"/>
      <c r="DF427" s="363"/>
      <c r="EA427" s="114"/>
      <c r="EB427" s="360" t="str">
        <f t="shared" si="78"/>
        <v xml:space="preserve"> </v>
      </c>
      <c r="EC427" s="362">
        <f>EC3380</f>
        <v>0</v>
      </c>
      <c r="ED427" s="392" t="s">
        <v>572</v>
      </c>
      <c r="EE427" s="367"/>
      <c r="EF427" s="363"/>
    </row>
    <row r="428" spans="53:138">
      <c r="BA428" s="114"/>
      <c r="BB428" s="360" t="str">
        <f t="shared" si="75"/>
        <v xml:space="preserve"> </v>
      </c>
      <c r="BC428" s="362">
        <f>BC3480</f>
        <v>0</v>
      </c>
      <c r="BD428" s="392" t="s">
        <v>515</v>
      </c>
      <c r="BE428" s="397"/>
      <c r="BF428" s="363"/>
      <c r="CA428" s="114"/>
      <c r="CB428" s="360" t="str">
        <f t="shared" si="76"/>
        <v xml:space="preserve"> </v>
      </c>
      <c r="CC428" s="362">
        <f>CC3480</f>
        <v>0</v>
      </c>
      <c r="CD428" s="392" t="s">
        <v>572</v>
      </c>
      <c r="CE428" s="397"/>
      <c r="CF428" s="363"/>
      <c r="DA428" s="114"/>
      <c r="DB428" s="360" t="str">
        <f t="shared" si="77"/>
        <v xml:space="preserve"> </v>
      </c>
      <c r="DC428" s="362">
        <f>DC3480</f>
        <v>0</v>
      </c>
      <c r="DD428" s="392" t="s">
        <v>572</v>
      </c>
      <c r="DE428" s="397"/>
      <c r="DF428" s="363"/>
      <c r="EA428" s="114"/>
      <c r="EB428" s="360" t="str">
        <f t="shared" si="78"/>
        <v xml:space="preserve"> </v>
      </c>
      <c r="EC428" s="362">
        <f>EC3480</f>
        <v>0</v>
      </c>
      <c r="ED428" s="392" t="s">
        <v>572</v>
      </c>
      <c r="EE428" s="367"/>
      <c r="EF428" s="363"/>
    </row>
    <row r="429" spans="53:138">
      <c r="BA429" s="114"/>
      <c r="BB429" s="360"/>
      <c r="BC429" s="362"/>
      <c r="BD429" s="392"/>
      <c r="BE429" s="397"/>
      <c r="BF429" s="363"/>
      <c r="CA429" s="114"/>
      <c r="CB429" s="360"/>
      <c r="CC429" s="362"/>
      <c r="CD429" s="392"/>
      <c r="CE429" s="397"/>
      <c r="CF429" s="363"/>
      <c r="DA429" s="114"/>
      <c r="DB429" s="360"/>
      <c r="DC429" s="362"/>
      <c r="DD429" s="392"/>
      <c r="DE429" s="397"/>
      <c r="DF429" s="363"/>
      <c r="EA429" s="114"/>
      <c r="EB429" s="360"/>
      <c r="EC429" s="362"/>
      <c r="ED429" s="392"/>
      <c r="EE429" s="367"/>
      <c r="EF429" s="363"/>
    </row>
    <row r="430" spans="53:138">
      <c r="BA430" s="114"/>
      <c r="BB430" s="360" t="s">
        <v>502</v>
      </c>
      <c r="BC430" s="362"/>
      <c r="BD430" s="392"/>
      <c r="BE430" s="367"/>
      <c r="BF430" s="363"/>
      <c r="CA430" s="114"/>
      <c r="CB430" s="360" t="s">
        <v>502</v>
      </c>
      <c r="CC430" s="362"/>
      <c r="CD430" s="392"/>
      <c r="CE430" s="367"/>
      <c r="CF430" s="363"/>
      <c r="DA430" s="114"/>
      <c r="DB430" s="360" t="s">
        <v>502</v>
      </c>
      <c r="DC430" s="362"/>
      <c r="DD430" s="392"/>
      <c r="DE430" s="367"/>
      <c r="DF430" s="363"/>
      <c r="EA430" s="114"/>
      <c r="EB430" s="360" t="s">
        <v>502</v>
      </c>
      <c r="EC430" s="362"/>
      <c r="ED430" s="392"/>
      <c r="EE430" s="367"/>
      <c r="EF430" s="363"/>
    </row>
    <row r="431" spans="53:138">
      <c r="BA431" s="114"/>
      <c r="BB431" s="360" t="s">
        <v>193</v>
      </c>
      <c r="BC431" s="362">
        <f>MAX(SUM(BC399:BC428),4.8*5*8)</f>
        <v>192</v>
      </c>
      <c r="BD431" s="392" t="s">
        <v>515</v>
      </c>
      <c r="BE431" s="412">
        <f>BC431/24</f>
        <v>8</v>
      </c>
      <c r="BF431" s="413" t="s">
        <v>573</v>
      </c>
      <c r="BH431" s="409"/>
      <c r="CA431" s="114"/>
      <c r="CB431" s="360" t="s">
        <v>193</v>
      </c>
      <c r="CC431" s="362">
        <f>MAX(SUM(CC399:CC428),4.8*5*8)</f>
        <v>192</v>
      </c>
      <c r="CD431" s="392" t="s">
        <v>572</v>
      </c>
      <c r="CE431" s="412">
        <f>CC431/10</f>
        <v>19.2</v>
      </c>
      <c r="CF431" s="413" t="s">
        <v>609</v>
      </c>
      <c r="CH431" s="409"/>
      <c r="DA431" s="114"/>
      <c r="DB431" s="360" t="s">
        <v>193</v>
      </c>
      <c r="DC431" s="362">
        <f>MAX(SUM(DC399:DC428),4.8*5*8)</f>
        <v>192</v>
      </c>
      <c r="DD431" s="392" t="s">
        <v>572</v>
      </c>
      <c r="DE431" s="412">
        <f>DC431/24</f>
        <v>8</v>
      </c>
      <c r="DF431" s="1650" t="s">
        <v>573</v>
      </c>
      <c r="DH431" s="409"/>
      <c r="EA431" s="114"/>
      <c r="EB431" s="360" t="s">
        <v>193</v>
      </c>
      <c r="EC431" s="362">
        <f>MAX(SUM(EC399:EC428),4.8*5*8)</f>
        <v>192</v>
      </c>
      <c r="ED431" s="392" t="s">
        <v>572</v>
      </c>
      <c r="EE431" s="412">
        <f>EC431/24</f>
        <v>8</v>
      </c>
      <c r="EF431" s="413" t="s">
        <v>573</v>
      </c>
      <c r="EH431" s="409"/>
    </row>
    <row r="432" spans="53:138">
      <c r="BA432" s="114"/>
      <c r="BB432" s="360" t="s">
        <v>462</v>
      </c>
      <c r="BC432" s="960">
        <f>'Geographic Par.'!C32</f>
        <v>3</v>
      </c>
      <c r="BD432" s="392" t="s">
        <v>574</v>
      </c>
      <c r="BE432" s="367"/>
      <c r="BF432" s="363"/>
      <c r="CA432" s="114"/>
      <c r="CB432" s="360" t="s">
        <v>462</v>
      </c>
      <c r="CC432" s="960">
        <f>'Geographic Par.'!C32</f>
        <v>3</v>
      </c>
      <c r="CD432" s="392" t="s">
        <v>574</v>
      </c>
      <c r="CE432" s="367"/>
      <c r="CF432" s="363"/>
      <c r="DA432" s="114"/>
      <c r="DB432" s="360" t="s">
        <v>462</v>
      </c>
      <c r="DC432" s="960">
        <f>'Geographic Par.'!C32</f>
        <v>3</v>
      </c>
      <c r="DD432" s="392" t="s">
        <v>574</v>
      </c>
      <c r="DE432" s="367"/>
      <c r="DF432" s="363"/>
      <c r="EA432" s="114"/>
      <c r="EB432" s="360" t="s">
        <v>462</v>
      </c>
      <c r="EC432" s="960">
        <f>'Geographic Par.'!C32</f>
        <v>3</v>
      </c>
      <c r="ED432" s="392" t="s">
        <v>574</v>
      </c>
      <c r="EE432" s="367"/>
      <c r="EF432" s="363"/>
    </row>
    <row r="433" spans="53:136">
      <c r="BA433" s="114"/>
      <c r="BB433" s="370" t="s">
        <v>463</v>
      </c>
      <c r="BC433" s="362">
        <f>BC431*BC432</f>
        <v>576</v>
      </c>
      <c r="BD433" s="376" t="s">
        <v>575</v>
      </c>
      <c r="BE433" s="362"/>
      <c r="BF433" s="363"/>
      <c r="CA433" s="114"/>
      <c r="CB433" s="370" t="s">
        <v>463</v>
      </c>
      <c r="CC433" s="362">
        <f>CC431*CC432</f>
        <v>576</v>
      </c>
      <c r="CD433" s="376" t="s">
        <v>575</v>
      </c>
      <c r="CE433" s="362"/>
      <c r="CF433" s="363"/>
      <c r="DA433" s="114"/>
      <c r="DB433" s="370" t="s">
        <v>463</v>
      </c>
      <c r="DC433" s="362">
        <f>DC431*DC432</f>
        <v>576</v>
      </c>
      <c r="DD433" s="376" t="s">
        <v>575</v>
      </c>
      <c r="DE433" s="362"/>
      <c r="DF433" s="363"/>
      <c r="EA433" s="114"/>
      <c r="EB433" s="370" t="s">
        <v>463</v>
      </c>
      <c r="EC433" s="362">
        <f>EC431*EC432</f>
        <v>576</v>
      </c>
      <c r="ED433" s="376" t="s">
        <v>575</v>
      </c>
      <c r="EE433" s="362"/>
      <c r="EF433" s="363"/>
    </row>
    <row r="434" spans="53:136">
      <c r="BA434" s="114"/>
      <c r="BB434" s="360"/>
      <c r="BC434" s="362"/>
      <c r="BD434" s="392"/>
      <c r="BE434" s="367"/>
      <c r="BF434" s="363"/>
      <c r="CA434" s="114"/>
      <c r="CB434" s="360"/>
      <c r="CC434" s="362"/>
      <c r="CD434" s="392"/>
      <c r="CE434" s="367"/>
      <c r="CF434" s="363"/>
      <c r="DA434" s="114"/>
      <c r="DB434" s="360"/>
      <c r="DC434" s="362"/>
      <c r="DD434" s="392"/>
      <c r="DE434" s="367"/>
      <c r="DF434" s="363"/>
      <c r="EA434" s="114"/>
      <c r="EB434" s="360"/>
      <c r="EC434" s="362"/>
      <c r="ED434" s="392"/>
      <c r="EE434" s="367"/>
      <c r="EF434" s="363"/>
    </row>
    <row r="435" spans="53:136">
      <c r="BA435" s="114"/>
      <c r="BB435" s="360" t="s">
        <v>464</v>
      </c>
      <c r="BC435" s="362">
        <v>1</v>
      </c>
      <c r="BD435" s="392"/>
      <c r="BE435" s="367"/>
      <c r="BF435" s="363"/>
      <c r="CA435" s="114"/>
      <c r="CB435" s="360" t="s">
        <v>464</v>
      </c>
      <c r="CC435" s="362">
        <v>1</v>
      </c>
      <c r="CD435" s="392"/>
      <c r="CE435" s="367"/>
      <c r="CF435" s="363"/>
      <c r="DA435" s="114"/>
      <c r="DB435" s="360" t="s">
        <v>464</v>
      </c>
      <c r="DC435" s="362">
        <v>1</v>
      </c>
      <c r="DD435" s="392"/>
      <c r="DE435" s="367"/>
      <c r="DF435" s="363"/>
      <c r="EA435" s="114"/>
      <c r="EB435" s="360" t="s">
        <v>464</v>
      </c>
      <c r="EC435" s="362">
        <v>1</v>
      </c>
      <c r="ED435" s="392"/>
      <c r="EE435" s="367"/>
      <c r="EF435" s="363"/>
    </row>
    <row r="436" spans="53:136">
      <c r="BA436" s="114"/>
      <c r="BB436" s="360" t="s">
        <v>463</v>
      </c>
      <c r="BC436" s="414">
        <f>BC433*BC311</f>
        <v>207360</v>
      </c>
      <c r="BD436" s="392" t="s">
        <v>458</v>
      </c>
      <c r="BE436" s="367"/>
      <c r="BF436" s="363"/>
      <c r="CA436" s="114"/>
      <c r="CB436" s="360" t="s">
        <v>463</v>
      </c>
      <c r="CC436" s="414">
        <f>CC433*CC311</f>
        <v>210240</v>
      </c>
      <c r="CD436" s="392" t="s">
        <v>458</v>
      </c>
      <c r="CE436" s="367"/>
      <c r="CF436" s="363"/>
      <c r="DA436" s="114"/>
      <c r="DB436" s="360" t="s">
        <v>463</v>
      </c>
      <c r="DC436" s="414">
        <f>DC433*DC311</f>
        <v>207360</v>
      </c>
      <c r="DD436" s="392" t="s">
        <v>458</v>
      </c>
      <c r="DE436" s="367"/>
      <c r="DF436" s="363"/>
      <c r="EA436" s="114"/>
      <c r="EB436" s="360" t="s">
        <v>463</v>
      </c>
      <c r="EC436" s="414">
        <f>EC433*EC311</f>
        <v>184320</v>
      </c>
      <c r="ED436" s="392" t="s">
        <v>458</v>
      </c>
      <c r="EE436" s="367"/>
      <c r="EF436" s="363"/>
    </row>
    <row r="437" spans="53:136">
      <c r="BA437" s="114"/>
      <c r="BB437" s="415"/>
      <c r="BC437" s="416"/>
      <c r="BD437" s="417"/>
      <c r="BE437" s="418"/>
      <c r="BF437" s="419"/>
      <c r="BJ437" s="420"/>
      <c r="CA437" s="114"/>
      <c r="CB437" s="415"/>
      <c r="CC437" s="416"/>
      <c r="CD437" s="417"/>
      <c r="CE437" s="418"/>
      <c r="CF437" s="419"/>
      <c r="DA437" s="114"/>
      <c r="DB437" s="415"/>
      <c r="DC437" s="416"/>
      <c r="DD437" s="417"/>
      <c r="DE437" s="418"/>
      <c r="DF437" s="419"/>
      <c r="EA437" s="114"/>
      <c r="EB437" s="415"/>
      <c r="EC437" s="416"/>
      <c r="ED437" s="417"/>
      <c r="EE437" s="418"/>
      <c r="EF437" s="419"/>
    </row>
    <row r="438" spans="53:136">
      <c r="BA438" s="114"/>
      <c r="BB438" s="370" t="s">
        <v>503</v>
      </c>
      <c r="BC438" s="362"/>
      <c r="BD438" s="392"/>
      <c r="BE438" s="367"/>
      <c r="BF438" s="363"/>
      <c r="BJ438" s="420"/>
      <c r="CA438" s="114"/>
      <c r="CB438" s="370" t="s">
        <v>503</v>
      </c>
      <c r="CC438" s="362"/>
      <c r="CD438" s="392"/>
      <c r="CE438" s="367"/>
      <c r="CF438" s="363"/>
      <c r="DA438" s="114"/>
      <c r="DB438" s="370" t="s">
        <v>503</v>
      </c>
      <c r="DC438" s="362"/>
      <c r="DD438" s="392"/>
      <c r="DE438" s="367"/>
      <c r="DF438" s="363"/>
      <c r="EA438" s="114"/>
      <c r="EB438" s="421" t="s">
        <v>503</v>
      </c>
      <c r="EC438" s="362"/>
      <c r="ED438" s="392"/>
      <c r="EE438" s="367"/>
      <c r="EF438" s="362"/>
    </row>
    <row r="439" spans="53:136">
      <c r="BA439" s="114"/>
      <c r="BB439" s="370"/>
      <c r="BC439" s="362"/>
      <c r="BD439" s="392"/>
      <c r="BE439" s="367"/>
      <c r="BF439" s="363"/>
      <c r="BJ439" s="420"/>
      <c r="CA439" s="114"/>
      <c r="CB439" s="370"/>
      <c r="CC439" s="362"/>
      <c r="CD439" s="392"/>
      <c r="CE439" s="367"/>
      <c r="CF439" s="363"/>
      <c r="DA439" s="114"/>
      <c r="DB439" s="370"/>
      <c r="DC439" s="362"/>
      <c r="DD439" s="392"/>
      <c r="DE439" s="367"/>
      <c r="DF439" s="363"/>
      <c r="EA439" s="114"/>
      <c r="EB439" s="370"/>
      <c r="EC439" s="362"/>
      <c r="ED439" s="392"/>
      <c r="EE439" s="367"/>
      <c r="EF439" s="363"/>
    </row>
    <row r="440" spans="53:136">
      <c r="BA440" s="114"/>
      <c r="BB440" s="370"/>
      <c r="BC440" s="362"/>
      <c r="BD440" s="392"/>
      <c r="BE440" s="367"/>
      <c r="BF440" s="363"/>
      <c r="CA440" s="114"/>
      <c r="CB440" s="360"/>
      <c r="CC440" s="362"/>
      <c r="CD440" s="392"/>
      <c r="CE440" s="367"/>
      <c r="CF440" s="363"/>
      <c r="DA440" s="114"/>
      <c r="DB440" s="360"/>
      <c r="DC440" s="362"/>
      <c r="DD440" s="392"/>
      <c r="DE440" s="367"/>
      <c r="DF440" s="363"/>
      <c r="EA440" s="114"/>
      <c r="EB440" s="360"/>
      <c r="EC440" s="362"/>
      <c r="ED440" s="392"/>
      <c r="EE440" s="367"/>
      <c r="EF440" s="363"/>
    </row>
    <row r="441" spans="53:136">
      <c r="BB441" s="360"/>
      <c r="BC441" s="362"/>
      <c r="BD441" s="422"/>
      <c r="BE441" s="367"/>
      <c r="BF441" s="423"/>
      <c r="CB441" s="360"/>
      <c r="CC441" s="362"/>
      <c r="CD441" s="422"/>
      <c r="CE441" s="367"/>
      <c r="CF441" s="423"/>
      <c r="DB441" s="360"/>
      <c r="DC441" s="362"/>
      <c r="DD441" s="422"/>
      <c r="DE441" s="367"/>
      <c r="DF441" s="423"/>
      <c r="EB441" s="360"/>
      <c r="EC441" s="362"/>
      <c r="ED441" s="392"/>
      <c r="EE441" s="367"/>
      <c r="EF441" s="363"/>
    </row>
    <row r="442" spans="53:136">
      <c r="BB442" s="424"/>
      <c r="BC442" s="362"/>
      <c r="BD442" s="422"/>
      <c r="BE442" s="367"/>
      <c r="BF442" s="423"/>
      <c r="CB442" s="424"/>
      <c r="CC442" s="362"/>
      <c r="CD442" s="422"/>
      <c r="CE442" s="367"/>
      <c r="CF442" s="423"/>
      <c r="DB442" s="424"/>
      <c r="DC442" s="362"/>
      <c r="DD442" s="422"/>
      <c r="DE442" s="367"/>
      <c r="DF442" s="423"/>
      <c r="EB442" s="360"/>
      <c r="EC442" s="362"/>
      <c r="ED442" s="392"/>
      <c r="EE442" s="367"/>
      <c r="EF442" s="363"/>
    </row>
    <row r="443" spans="53:136">
      <c r="BB443" s="360"/>
      <c r="BC443" s="362"/>
      <c r="BD443" s="422"/>
      <c r="BE443" s="367"/>
      <c r="BF443" s="423"/>
      <c r="CB443" s="360"/>
      <c r="CC443" s="362"/>
      <c r="CD443" s="422"/>
      <c r="CE443" s="367"/>
      <c r="CF443" s="423"/>
      <c r="DB443" s="360"/>
      <c r="DC443" s="362"/>
      <c r="DD443" s="422"/>
      <c r="DE443" s="367"/>
      <c r="DF443" s="423"/>
      <c r="EB443" s="360"/>
      <c r="EC443" s="362"/>
      <c r="ED443" s="392"/>
      <c r="EE443" s="367"/>
      <c r="EF443" s="363"/>
    </row>
    <row r="444" spans="53:136">
      <c r="BB444" s="360"/>
      <c r="BC444" s="362"/>
      <c r="BD444" s="422"/>
      <c r="BE444" s="367"/>
      <c r="BF444" s="423"/>
      <c r="CB444" s="360"/>
      <c r="CC444" s="362"/>
      <c r="CD444" s="422"/>
      <c r="CE444" s="367"/>
      <c r="CF444" s="423"/>
      <c r="DB444" s="360"/>
      <c r="DC444" s="362"/>
      <c r="DD444" s="422"/>
      <c r="DE444" s="367"/>
      <c r="DF444" s="423"/>
      <c r="EB444" s="360"/>
      <c r="EC444" s="362"/>
      <c r="ED444" s="392"/>
      <c r="EE444" s="367"/>
      <c r="EF444" s="363"/>
    </row>
    <row r="445" spans="53:136">
      <c r="BB445" s="360"/>
      <c r="BC445" s="362"/>
      <c r="BD445" s="422"/>
      <c r="BE445" s="367"/>
      <c r="BF445" s="423"/>
      <c r="CB445" s="360"/>
      <c r="CC445" s="362"/>
      <c r="CD445" s="422"/>
      <c r="CE445" s="367"/>
      <c r="CF445" s="423"/>
      <c r="DB445" s="360"/>
      <c r="DC445" s="362"/>
      <c r="DD445" s="422"/>
      <c r="DE445" s="367"/>
      <c r="DF445" s="423"/>
      <c r="EB445" s="360"/>
      <c r="EC445" s="362"/>
      <c r="ED445" s="392"/>
      <c r="EE445" s="367"/>
      <c r="EF445" s="363"/>
    </row>
    <row r="446" spans="53:136">
      <c r="BB446" s="360"/>
      <c r="BC446" s="368"/>
      <c r="BD446" s="422"/>
      <c r="BE446" s="367"/>
      <c r="BF446" s="425"/>
      <c r="BM446" s="420"/>
      <c r="CB446" s="360"/>
      <c r="CC446" s="368"/>
      <c r="CD446" s="422"/>
      <c r="CE446" s="367"/>
      <c r="CF446" s="425"/>
      <c r="DB446" s="360"/>
      <c r="DC446" s="368"/>
      <c r="DD446" s="422"/>
      <c r="DE446" s="367"/>
      <c r="DF446" s="425"/>
      <c r="EB446" s="360"/>
      <c r="EC446" s="362"/>
      <c r="ED446" s="392"/>
      <c r="EE446" s="367"/>
      <c r="EF446" s="363"/>
    </row>
    <row r="447" spans="53:136">
      <c r="BB447" s="360"/>
      <c r="BC447" s="362"/>
      <c r="BD447" s="392"/>
      <c r="BE447" s="367"/>
      <c r="BF447" s="363"/>
      <c r="BM447" s="420"/>
      <c r="CB447" s="360"/>
      <c r="CC447" s="362"/>
      <c r="CD447" s="392"/>
      <c r="CE447" s="367"/>
      <c r="CF447" s="363"/>
      <c r="DB447" s="360"/>
      <c r="DC447" s="362"/>
      <c r="DD447" s="392"/>
      <c r="DE447" s="367"/>
      <c r="DF447" s="363"/>
      <c r="EB447" s="360"/>
      <c r="EC447" s="362"/>
      <c r="ED447" s="392"/>
      <c r="EE447" s="367"/>
      <c r="EF447" s="363"/>
    </row>
    <row r="448" spans="53:136">
      <c r="BB448" s="360"/>
      <c r="BC448" s="362"/>
      <c r="BD448" s="392"/>
      <c r="BE448" s="367"/>
      <c r="BF448" s="363"/>
      <c r="BM448" s="420"/>
      <c r="CB448" s="360"/>
      <c r="CC448" s="362"/>
      <c r="CD448" s="392"/>
      <c r="CE448" s="367"/>
      <c r="CF448" s="363"/>
      <c r="DB448" s="360"/>
      <c r="DC448" s="362"/>
      <c r="DD448" s="392"/>
      <c r="DE448" s="367"/>
      <c r="DF448" s="363"/>
      <c r="EB448" s="360"/>
      <c r="EC448" s="362"/>
      <c r="ED448" s="392"/>
      <c r="EE448" s="367"/>
      <c r="EF448" s="363"/>
    </row>
    <row r="449" spans="54:136">
      <c r="BB449" s="360"/>
      <c r="BC449" s="362"/>
      <c r="BD449" s="392"/>
      <c r="BE449" s="367"/>
      <c r="BF449" s="363"/>
      <c r="CB449" s="360"/>
      <c r="CC449" s="362"/>
      <c r="CD449" s="392"/>
      <c r="CE449" s="367"/>
      <c r="CF449" s="363"/>
      <c r="DB449" s="360"/>
      <c r="DC449" s="362"/>
      <c r="DD449" s="392"/>
      <c r="DE449" s="367"/>
      <c r="DF449" s="363"/>
      <c r="EB449" s="360"/>
      <c r="EC449" s="362"/>
      <c r="ED449" s="392"/>
      <c r="EE449" s="367"/>
      <c r="EF449" s="363"/>
    </row>
    <row r="450" spans="54:136">
      <c r="BB450" s="360"/>
      <c r="BC450" s="362"/>
      <c r="BD450" s="392"/>
      <c r="BE450" s="367"/>
      <c r="BF450" s="363"/>
      <c r="BM450" s="420"/>
      <c r="CB450" s="360"/>
      <c r="CC450" s="362"/>
      <c r="CD450" s="392"/>
      <c r="CE450" s="367"/>
      <c r="CF450" s="363"/>
      <c r="DB450" s="360"/>
      <c r="DC450" s="362"/>
      <c r="DD450" s="392"/>
      <c r="DE450" s="367"/>
      <c r="DF450" s="363"/>
      <c r="EB450" s="360"/>
      <c r="EC450" s="362"/>
      <c r="ED450" s="392"/>
      <c r="EE450" s="367"/>
      <c r="EF450" s="363"/>
    </row>
    <row r="451" spans="54:136">
      <c r="BB451" s="360"/>
      <c r="BC451" s="362"/>
      <c r="BD451" s="376"/>
      <c r="BE451" s="367"/>
      <c r="BF451" s="363"/>
      <c r="CB451" s="360"/>
      <c r="CC451" s="362"/>
      <c r="CD451" s="376"/>
      <c r="CE451" s="367"/>
      <c r="CF451" s="363"/>
      <c r="DB451" s="360"/>
      <c r="DC451" s="362"/>
      <c r="DD451" s="376"/>
      <c r="DE451" s="367"/>
      <c r="DF451" s="363"/>
      <c r="EB451" s="360"/>
      <c r="EC451" s="362"/>
      <c r="ED451" s="376"/>
      <c r="EE451" s="367"/>
      <c r="EF451" s="363"/>
    </row>
    <row r="452" spans="54:136" ht="14.5" thickBot="1">
      <c r="BB452" s="377"/>
      <c r="BC452" s="378"/>
      <c r="BD452" s="426"/>
      <c r="BE452" s="394"/>
      <c r="BF452" s="379"/>
      <c r="CB452" s="380"/>
      <c r="CC452" s="381"/>
      <c r="CD452" s="427"/>
      <c r="CE452" s="396"/>
      <c r="CF452" s="382"/>
      <c r="DB452" s="380"/>
      <c r="DC452" s="381"/>
      <c r="DD452" s="427"/>
      <c r="DE452" s="396"/>
      <c r="DF452" s="382"/>
      <c r="EB452" s="380"/>
      <c r="EC452" s="381"/>
      <c r="ED452" s="427"/>
      <c r="EE452" s="396"/>
      <c r="EF452" s="382"/>
    </row>
    <row r="453" spans="54:136">
      <c r="BB453" s="370" t="s">
        <v>472</v>
      </c>
      <c r="BC453" s="362"/>
      <c r="BD453" s="362"/>
      <c r="BE453" s="362" t="s">
        <v>482</v>
      </c>
      <c r="BF453" s="363"/>
      <c r="CB453" s="370" t="s">
        <v>472</v>
      </c>
      <c r="CC453" s="362"/>
      <c r="CD453" s="362"/>
      <c r="CE453" s="362" t="s">
        <v>482</v>
      </c>
      <c r="CF453" s="363"/>
      <c r="DB453" s="370" t="s">
        <v>472</v>
      </c>
      <c r="DC453" s="362"/>
      <c r="DD453" s="362"/>
      <c r="DE453" s="362" t="s">
        <v>482</v>
      </c>
      <c r="DF453" s="363"/>
      <c r="EB453" s="370" t="s">
        <v>472</v>
      </c>
      <c r="EC453" s="362"/>
      <c r="ED453" s="362"/>
      <c r="EE453" s="362" t="s">
        <v>482</v>
      </c>
      <c r="EF453" s="363"/>
    </row>
    <row r="454" spans="54:136" ht="15.5">
      <c r="BB454" s="1604" t="s">
        <v>1795</v>
      </c>
      <c r="BC454" s="1248"/>
      <c r="BD454" s="1605">
        <f>BD455+BD465+BD467+BD469</f>
        <v>75592543.843093336</v>
      </c>
      <c r="BE454" s="1248"/>
      <c r="BF454" s="1606"/>
      <c r="CB454" s="1604" t="s">
        <v>1795</v>
      </c>
      <c r="CC454" s="1248"/>
      <c r="CD454" s="1605">
        <f>CD455+CD465+CD467+CD469</f>
        <v>39743987.41943308</v>
      </c>
      <c r="CE454" s="1248"/>
      <c r="CF454" s="1606"/>
      <c r="DB454" s="1604" t="s">
        <v>1795</v>
      </c>
      <c r="DC454" s="1248"/>
      <c r="DD454" s="1605">
        <f>DD455+DD465+DD467+DD469</f>
        <v>56957381.007111177</v>
      </c>
      <c r="DE454" s="1248"/>
      <c r="DF454" s="1606"/>
      <c r="EB454" s="1604" t="s">
        <v>1795</v>
      </c>
      <c r="EC454" s="1248"/>
      <c r="ED454" s="1605">
        <f>ED455+ED465+ED467+ED469</f>
        <v>43274806.024939805</v>
      </c>
      <c r="EE454" s="1248"/>
      <c r="EF454" s="1606"/>
    </row>
    <row r="455" spans="54:136">
      <c r="BB455" s="360" t="s">
        <v>1811</v>
      </c>
      <c r="BC455" s="362"/>
      <c r="BD455" s="390">
        <f>SUM(BD456:BD463)</f>
        <v>40102145.274850577</v>
      </c>
      <c r="BE455" s="428"/>
      <c r="BF455" s="363"/>
      <c r="CB455" s="360" t="s">
        <v>1811</v>
      </c>
      <c r="CC455" s="362"/>
      <c r="CD455" s="390">
        <f>SUM(CD456:CD463)</f>
        <v>21084343.458585188</v>
      </c>
      <c r="CE455" s="428"/>
      <c r="CF455" s="363"/>
      <c r="DB455" s="360" t="s">
        <v>1811</v>
      </c>
      <c r="DC455" s="362"/>
      <c r="DD455" s="390">
        <f>SUM(DD456:DD463)</f>
        <v>30216117.245151818</v>
      </c>
      <c r="DE455" s="428"/>
      <c r="DF455" s="363"/>
      <c r="EB455" s="360" t="s">
        <v>1811</v>
      </c>
      <c r="EC455" s="362"/>
      <c r="ED455" s="390">
        <f>SUM(ED456:ED463)</f>
        <v>22957456.777156394</v>
      </c>
      <c r="EE455" s="428"/>
      <c r="EF455" s="363"/>
    </row>
    <row r="456" spans="54:136" ht="14.5">
      <c r="BB456" s="360" t="s">
        <v>483</v>
      </c>
      <c r="BC456" s="362"/>
      <c r="BD456" s="392">
        <f>(BE590+BE690+BE790+BE890+BE990+BE1090+BE1190+BE1290+BE1390+BE1490+BE1590+BE1690+BE1790+BE1890+BE1990+BE2090+BE2190+BE2290+BE2390+BE2490+BE2590+BE2690+BE2790+BE2890+BE2990+BE3090+BE3190+BE3290+BE3390+BE3490)*'Geographic Par.'!$C$31</f>
        <v>12531920.398390803</v>
      </c>
      <c r="BE456" s="428"/>
      <c r="BF456" s="900"/>
      <c r="CB456" s="360" t="s">
        <v>483</v>
      </c>
      <c r="CC456" s="362"/>
      <c r="CD456" s="392">
        <f>(CE590+CE690+CE790+CE890+CE990+CE1090+CE1190+CE1290+CE1390+CE1490+CE1590+CE1690+CE1790+CE1890+CE1990+CE2090+CE2190+CE2290+CE2390+CE2490+CE2590+CE2690+CE2790+CE2890+CE2990+CE3090+CE3190+CE3290+CE3390+CE3490)*'Geographic Par.'!$C$31</f>
        <v>6588857.3308078721</v>
      </c>
      <c r="CE456" s="428"/>
      <c r="CF456" s="900"/>
      <c r="DB456" s="360" t="s">
        <v>483</v>
      </c>
      <c r="DC456" s="362"/>
      <c r="DD456" s="392">
        <f>(DE590+DE690+DE790+DE890+DE990+DE1090+DE1190+DE1290+DE1390+DE1490+DE1590+DE1690+DE1790+DE1890+DE1990+DE2090+DE2190+DE2290+DE2390+DE2490+DE2590+DE2690+DE2790+DE2890+DE2990+DE3090+DE3190+DE3290+DE3390+DE3490)*'Geographic Par.'!$C$31</f>
        <v>9442536.6391099431</v>
      </c>
      <c r="DE456" s="428"/>
      <c r="DF456" s="900"/>
      <c r="EB456" s="360" t="s">
        <v>483</v>
      </c>
      <c r="EC456" s="362"/>
      <c r="ED456" s="392">
        <f>(EE590+EE690+EE790+EE890+EE990+EE1090+EE1190+EE1290+EE1390+EE1490+EE1590+EE1690+EE1790+EE1890+EE1990+EE2090+EE2190+EE2290+EE2390+EE2490+EE2590+EE2690+EE2790+EE2890+EE2990+EE3090+EE3190+EE3290+EE3390+EE3490)*'Geographic Par.'!$C$31</f>
        <v>7174205.2428613734</v>
      </c>
      <c r="EE456" s="428"/>
      <c r="EF456" s="900"/>
    </row>
    <row r="457" spans="54:136">
      <c r="BB457" s="1601" t="s">
        <v>1803</v>
      </c>
      <c r="BC457" s="362"/>
      <c r="BD457" s="390">
        <f>BD$456*BE457</f>
        <v>6265960.1991954017</v>
      </c>
      <c r="BE457" s="1619">
        <v>0.5</v>
      </c>
      <c r="BF457" s="363" t="s">
        <v>1802</v>
      </c>
      <c r="CB457" s="1601" t="s">
        <v>1803</v>
      </c>
      <c r="CC457" s="362"/>
      <c r="CD457" s="390">
        <f>CD$456*CE457</f>
        <v>3294428.6654039361</v>
      </c>
      <c r="CE457" s="1619">
        <v>0.5</v>
      </c>
      <c r="CF457" s="363" t="s">
        <v>1802</v>
      </c>
      <c r="DB457" s="1601" t="s">
        <v>1803</v>
      </c>
      <c r="DC457" s="362"/>
      <c r="DD457" s="390">
        <f>DD$456*DE457</f>
        <v>4721268.3195549715</v>
      </c>
      <c r="DE457" s="1619">
        <v>0.5</v>
      </c>
      <c r="DF457" s="363" t="s">
        <v>1802</v>
      </c>
      <c r="EB457" s="1601" t="s">
        <v>1803</v>
      </c>
      <c r="EC457" s="362"/>
      <c r="ED457" s="390">
        <f>ED$456*EE457</f>
        <v>3587102.6214306867</v>
      </c>
      <c r="EE457" s="1619">
        <f>IF($EC$19="Solids",60%,50%)</f>
        <v>0.5</v>
      </c>
      <c r="EF457" s="363" t="s">
        <v>1802</v>
      </c>
    </row>
    <row r="458" spans="54:136">
      <c r="BB458" s="360" t="s">
        <v>1804</v>
      </c>
      <c r="BC458" s="362"/>
      <c r="BD458" s="390">
        <f t="shared" ref="BD458:BD463" si="79">BD$456*BE458</f>
        <v>7519152.2390344823</v>
      </c>
      <c r="BE458" s="1619">
        <v>0.6</v>
      </c>
      <c r="BF458" s="363" t="s">
        <v>1802</v>
      </c>
      <c r="CB458" s="360" t="s">
        <v>1804</v>
      </c>
      <c r="CC458" s="362"/>
      <c r="CD458" s="390">
        <f t="shared" ref="CD458:CD463" si="80">CD$456*CE458</f>
        <v>3953314.3984847232</v>
      </c>
      <c r="CE458" s="1619">
        <v>0.6</v>
      </c>
      <c r="CF458" s="363" t="s">
        <v>1802</v>
      </c>
      <c r="DB458" s="360" t="s">
        <v>1804</v>
      </c>
      <c r="DC458" s="362"/>
      <c r="DD458" s="390">
        <f t="shared" ref="DD458:DD463" si="81">DD$456*DE458</f>
        <v>5665521.9834659658</v>
      </c>
      <c r="DE458" s="1619">
        <v>0.6</v>
      </c>
      <c r="DF458" s="363" t="s">
        <v>1802</v>
      </c>
      <c r="EB458" s="360" t="s">
        <v>1804</v>
      </c>
      <c r="EC458" s="362"/>
      <c r="ED458" s="390">
        <f t="shared" ref="ED458:ED463" si="82">ED$456*EE458</f>
        <v>4304523.1457168236</v>
      </c>
      <c r="EE458" s="1619">
        <f>IF($EC$19="Solids",20%,60%)</f>
        <v>0.6</v>
      </c>
      <c r="EF458" s="363" t="s">
        <v>1802</v>
      </c>
    </row>
    <row r="459" spans="54:136">
      <c r="BB459" s="360" t="s">
        <v>1805</v>
      </c>
      <c r="BC459" s="362"/>
      <c r="BD459" s="390">
        <f t="shared" si="79"/>
        <v>3759576.1195172411</v>
      </c>
      <c r="BE459" s="1619">
        <v>0.3</v>
      </c>
      <c r="BF459" s="363" t="s">
        <v>1802</v>
      </c>
      <c r="CB459" s="360" t="s">
        <v>1805</v>
      </c>
      <c r="CC459" s="362"/>
      <c r="CD459" s="390">
        <f t="shared" si="80"/>
        <v>1976657.1992423616</v>
      </c>
      <c r="CE459" s="1619">
        <v>0.3</v>
      </c>
      <c r="CF459" s="363" t="s">
        <v>1802</v>
      </c>
      <c r="DB459" s="360" t="s">
        <v>1805</v>
      </c>
      <c r="DC459" s="362"/>
      <c r="DD459" s="390">
        <f t="shared" si="81"/>
        <v>2832760.9917329829</v>
      </c>
      <c r="DE459" s="1619">
        <v>0.3</v>
      </c>
      <c r="DF459" s="363" t="s">
        <v>1802</v>
      </c>
      <c r="EB459" s="360" t="s">
        <v>1805</v>
      </c>
      <c r="EC459" s="362"/>
      <c r="ED459" s="390">
        <f t="shared" si="82"/>
        <v>2152261.5728584118</v>
      </c>
      <c r="EE459" s="1619">
        <f>IF($EC$19="Solids",20%,30%)</f>
        <v>0.3</v>
      </c>
      <c r="EF459" s="363" t="s">
        <v>1802</v>
      </c>
    </row>
    <row r="460" spans="54:136">
      <c r="BB460" s="360" t="s">
        <v>1806</v>
      </c>
      <c r="BC460" s="362"/>
      <c r="BD460" s="390">
        <f t="shared" si="79"/>
        <v>2506384.0796781606</v>
      </c>
      <c r="BE460" s="1619">
        <v>0.2</v>
      </c>
      <c r="BF460" s="363" t="s">
        <v>1802</v>
      </c>
      <c r="CB460" s="360" t="s">
        <v>1806</v>
      </c>
      <c r="CC460" s="362"/>
      <c r="CD460" s="390">
        <f t="shared" si="80"/>
        <v>1317771.4661615745</v>
      </c>
      <c r="CE460" s="1619">
        <v>0.2</v>
      </c>
      <c r="CF460" s="363" t="s">
        <v>1802</v>
      </c>
      <c r="DB460" s="360" t="s">
        <v>1806</v>
      </c>
      <c r="DC460" s="362"/>
      <c r="DD460" s="390">
        <f t="shared" si="81"/>
        <v>1888507.3278219886</v>
      </c>
      <c r="DE460" s="1619">
        <v>0.2</v>
      </c>
      <c r="DF460" s="363" t="s">
        <v>1802</v>
      </c>
      <c r="EB460" s="360" t="s">
        <v>1806</v>
      </c>
      <c r="EC460" s="362"/>
      <c r="ED460" s="390">
        <f t="shared" si="82"/>
        <v>1434841.0485722749</v>
      </c>
      <c r="EE460" s="1619">
        <f>IF($EC$19="Solids",15%,20%)</f>
        <v>0.2</v>
      </c>
      <c r="EF460" s="363" t="s">
        <v>1802</v>
      </c>
    </row>
    <row r="461" spans="54:136">
      <c r="BB461" s="360" t="s">
        <v>1807</v>
      </c>
      <c r="BC461" s="362"/>
      <c r="BD461" s="390">
        <f t="shared" si="79"/>
        <v>3759576.1195172411</v>
      </c>
      <c r="BE461" s="1619">
        <v>0.3</v>
      </c>
      <c r="BF461" s="363" t="s">
        <v>1802</v>
      </c>
      <c r="CB461" s="360" t="s">
        <v>1807</v>
      </c>
      <c r="CC461" s="362"/>
      <c r="CD461" s="390">
        <f t="shared" si="80"/>
        <v>1976657.1992423616</v>
      </c>
      <c r="CE461" s="1619">
        <v>0.3</v>
      </c>
      <c r="CF461" s="363" t="s">
        <v>1802</v>
      </c>
      <c r="DB461" s="360" t="s">
        <v>1807</v>
      </c>
      <c r="DC461" s="362"/>
      <c r="DD461" s="390">
        <f t="shared" si="81"/>
        <v>2832760.9917329829</v>
      </c>
      <c r="DE461" s="1619">
        <v>0.3</v>
      </c>
      <c r="DF461" s="363" t="s">
        <v>1802</v>
      </c>
      <c r="EB461" s="360" t="s">
        <v>1807</v>
      </c>
      <c r="EC461" s="362"/>
      <c r="ED461" s="390">
        <f t="shared" si="82"/>
        <v>2152261.5728584118</v>
      </c>
      <c r="EE461" s="1619">
        <f>IF($EC$19="Solids",20%,30%)</f>
        <v>0.3</v>
      </c>
      <c r="EF461" s="363" t="s">
        <v>1802</v>
      </c>
    </row>
    <row r="462" spans="54:136">
      <c r="BB462" s="360" t="s">
        <v>1808</v>
      </c>
      <c r="BC462" s="362"/>
      <c r="BD462" s="390">
        <f t="shared" si="79"/>
        <v>2506384.0796781606</v>
      </c>
      <c r="BE462" s="1619">
        <v>0.2</v>
      </c>
      <c r="BF462" s="363" t="s">
        <v>1802</v>
      </c>
      <c r="CB462" s="360" t="s">
        <v>1808</v>
      </c>
      <c r="CC462" s="362"/>
      <c r="CD462" s="390">
        <f t="shared" si="80"/>
        <v>1317771.4661615745</v>
      </c>
      <c r="CE462" s="1619">
        <v>0.2</v>
      </c>
      <c r="CF462" s="363" t="s">
        <v>1802</v>
      </c>
      <c r="DB462" s="360" t="s">
        <v>1808</v>
      </c>
      <c r="DC462" s="362"/>
      <c r="DD462" s="390">
        <f t="shared" si="81"/>
        <v>1888507.3278219886</v>
      </c>
      <c r="DE462" s="1619">
        <v>0.2</v>
      </c>
      <c r="DF462" s="363" t="s">
        <v>1802</v>
      </c>
      <c r="EB462" s="360" t="s">
        <v>1808</v>
      </c>
      <c r="EC462" s="362"/>
      <c r="ED462" s="390">
        <f t="shared" si="82"/>
        <v>1434841.0485722749</v>
      </c>
      <c r="EE462" s="1619">
        <f>IF($EC$19="Solids",10%,20%)</f>
        <v>0.2</v>
      </c>
      <c r="EF462" s="363" t="s">
        <v>1802</v>
      </c>
    </row>
    <row r="463" spans="54:136">
      <c r="BB463" s="360" t="s">
        <v>1809</v>
      </c>
      <c r="BC463" s="362"/>
      <c r="BD463" s="390">
        <f t="shared" si="79"/>
        <v>1253192.0398390803</v>
      </c>
      <c r="BE463" s="1619">
        <v>0.1</v>
      </c>
      <c r="BF463" s="363" t="s">
        <v>1802</v>
      </c>
      <c r="CB463" s="360" t="s">
        <v>1809</v>
      </c>
      <c r="CC463" s="362"/>
      <c r="CD463" s="390">
        <f t="shared" si="80"/>
        <v>658885.73308078723</v>
      </c>
      <c r="CE463" s="1619">
        <v>0.1</v>
      </c>
      <c r="CF463" s="363" t="s">
        <v>1802</v>
      </c>
      <c r="DB463" s="360" t="s">
        <v>1809</v>
      </c>
      <c r="DC463" s="362"/>
      <c r="DD463" s="390">
        <f t="shared" si="81"/>
        <v>944253.66391099431</v>
      </c>
      <c r="DE463" s="1619">
        <v>0.1</v>
      </c>
      <c r="DF463" s="363" t="s">
        <v>1802</v>
      </c>
      <c r="EB463" s="360" t="s">
        <v>1809</v>
      </c>
      <c r="EC463" s="362"/>
      <c r="ED463" s="390">
        <f t="shared" si="82"/>
        <v>717420.52428613743</v>
      </c>
      <c r="EE463" s="1619">
        <f>IF($EC$19="Solids",5%,10%)</f>
        <v>0.1</v>
      </c>
      <c r="EF463" s="363" t="s">
        <v>1802</v>
      </c>
    </row>
    <row r="464" spans="54:136">
      <c r="BB464" s="360"/>
      <c r="BC464" s="362"/>
      <c r="BD464" s="392"/>
      <c r="BE464" s="428"/>
      <c r="BF464" s="363"/>
      <c r="CB464" s="360"/>
      <c r="CC464" s="362"/>
      <c r="CD464" s="392"/>
      <c r="CE464" s="428"/>
      <c r="CF464" s="363"/>
      <c r="DB464" s="360"/>
      <c r="DC464" s="362"/>
      <c r="DD464" s="392"/>
      <c r="DE464" s="428"/>
      <c r="DF464" s="363"/>
      <c r="EB464" s="360"/>
      <c r="EC464" s="362"/>
      <c r="ED464" s="392"/>
      <c r="EE464" s="428"/>
      <c r="EF464" s="363"/>
    </row>
    <row r="465" spans="54:138">
      <c r="BB465" s="360" t="s">
        <v>1812</v>
      </c>
      <c r="BC465" s="362"/>
      <c r="BD465" s="390">
        <f>BD455*BE465</f>
        <v>16040858.109940231</v>
      </c>
      <c r="BE465" s="1619">
        <v>0.4</v>
      </c>
      <c r="BF465" s="363" t="s">
        <v>1810</v>
      </c>
      <c r="CB465" s="360" t="s">
        <v>1812</v>
      </c>
      <c r="CC465" s="362"/>
      <c r="CD465" s="390">
        <f>CD455*CE465</f>
        <v>8433737.3834340759</v>
      </c>
      <c r="CE465" s="1619">
        <v>0.4</v>
      </c>
      <c r="CF465" s="363" t="s">
        <v>1810</v>
      </c>
      <c r="DB465" s="360" t="s">
        <v>1812</v>
      </c>
      <c r="DC465" s="362"/>
      <c r="DD465" s="390">
        <f>DD455*DE465</f>
        <v>12086446.898060728</v>
      </c>
      <c r="DE465" s="1619">
        <v>0.4</v>
      </c>
      <c r="DF465" s="363" t="s">
        <v>1810</v>
      </c>
      <c r="EB465" s="360" t="s">
        <v>1812</v>
      </c>
      <c r="EC465" s="362"/>
      <c r="ED465" s="390">
        <f>ED455*EE465</f>
        <v>9182982.7108625583</v>
      </c>
      <c r="EE465" s="1619">
        <v>0.4</v>
      </c>
      <c r="EF465" s="363" t="s">
        <v>1810</v>
      </c>
    </row>
    <row r="466" spans="54:138">
      <c r="BB466" s="360"/>
      <c r="BC466" s="362"/>
      <c r="BD466" s="392"/>
      <c r="BE466" s="428"/>
      <c r="BF466" s="363"/>
      <c r="CB466" s="360"/>
      <c r="CC466" s="362"/>
      <c r="CD466" s="392"/>
      <c r="CE466" s="428"/>
      <c r="CF466" s="363"/>
      <c r="DB466" s="360"/>
      <c r="DC466" s="362"/>
      <c r="DD466" s="392"/>
      <c r="DE466" s="428"/>
      <c r="DF466" s="363"/>
      <c r="EB466" s="360"/>
      <c r="EC466" s="362"/>
      <c r="ED466" s="392"/>
      <c r="EE466" s="428"/>
      <c r="EF466" s="363"/>
    </row>
    <row r="467" spans="54:138">
      <c r="BB467" s="360" t="s">
        <v>1814</v>
      </c>
      <c r="BC467" s="362"/>
      <c r="BD467" s="390">
        <f>(BD455+BD465)*BE467</f>
        <v>14035750.846197702</v>
      </c>
      <c r="BE467" s="1619">
        <v>0.25</v>
      </c>
      <c r="BF467" s="363" t="s">
        <v>1813</v>
      </c>
      <c r="CB467" s="360" t="s">
        <v>1814</v>
      </c>
      <c r="CC467" s="362"/>
      <c r="CD467" s="390">
        <f>(CD455+CD465)*CE467</f>
        <v>7379520.2105048159</v>
      </c>
      <c r="CE467" s="1619">
        <v>0.25</v>
      </c>
      <c r="CF467" s="363" t="s">
        <v>1813</v>
      </c>
      <c r="DB467" s="360" t="s">
        <v>1814</v>
      </c>
      <c r="DC467" s="362"/>
      <c r="DD467" s="390">
        <f>(DD455+DD465)*DE467</f>
        <v>10575641.035803135</v>
      </c>
      <c r="DE467" s="1619">
        <v>0.25</v>
      </c>
      <c r="DF467" s="363" t="s">
        <v>1813</v>
      </c>
      <c r="EB467" s="360" t="s">
        <v>1814</v>
      </c>
      <c r="EC467" s="362"/>
      <c r="ED467" s="390">
        <f>(ED455+ED465)*EE467</f>
        <v>8035109.8720047381</v>
      </c>
      <c r="EE467" s="1619">
        <f>IF($EC$19="Solids",20%,25%)</f>
        <v>0.25</v>
      </c>
      <c r="EF467" s="363" t="s">
        <v>1813</v>
      </c>
    </row>
    <row r="468" spans="54:138">
      <c r="BB468" s="360"/>
      <c r="BC468" s="362"/>
      <c r="BD468" s="392"/>
      <c r="BE468" s="367"/>
      <c r="BF468" s="363"/>
      <c r="CB468" s="360"/>
      <c r="CC468" s="362"/>
      <c r="CD468" s="392"/>
      <c r="CE468" s="367"/>
      <c r="CF468" s="363"/>
      <c r="DB468" s="360"/>
      <c r="DC468" s="362"/>
      <c r="DD468" s="392"/>
      <c r="DE468" s="367"/>
      <c r="DF468" s="363"/>
      <c r="EB468" s="360"/>
      <c r="EC468" s="362"/>
      <c r="ED468" s="392"/>
      <c r="EE468" s="367"/>
      <c r="EF468" s="363"/>
    </row>
    <row r="469" spans="54:138">
      <c r="BB469" s="360" t="s">
        <v>1815</v>
      </c>
      <c r="BC469" s="362"/>
      <c r="BD469" s="390">
        <f>(BD455+BD467)*BE469</f>
        <v>5413789.6121048285</v>
      </c>
      <c r="BE469" s="1619">
        <v>0.1</v>
      </c>
      <c r="BF469" s="363" t="s">
        <v>1813</v>
      </c>
      <c r="CB469" s="360" t="s">
        <v>1815</v>
      </c>
      <c r="CC469" s="362"/>
      <c r="CD469" s="390">
        <f>(CD455+CD467)*CE469</f>
        <v>2846386.3669090006</v>
      </c>
      <c r="CE469" s="1619">
        <v>0.1</v>
      </c>
      <c r="CF469" s="363" t="s">
        <v>1813</v>
      </c>
      <c r="DB469" s="360" t="s">
        <v>1815</v>
      </c>
      <c r="DC469" s="362"/>
      <c r="DD469" s="390">
        <f>(DD455+DD467)*DE469</f>
        <v>4079175.8280954957</v>
      </c>
      <c r="DE469" s="1619">
        <v>0.1</v>
      </c>
      <c r="DF469" s="363" t="s">
        <v>1813</v>
      </c>
      <c r="EB469" s="360" t="s">
        <v>1815</v>
      </c>
      <c r="EC469" s="362"/>
      <c r="ED469" s="390">
        <f>(ED455+ED467)*EE469</f>
        <v>3099256.664916113</v>
      </c>
      <c r="EE469" s="1619">
        <v>0.1</v>
      </c>
      <c r="EF469" s="363" t="s">
        <v>1813</v>
      </c>
    </row>
    <row r="470" spans="54:138">
      <c r="BB470" s="360"/>
      <c r="BC470" s="362"/>
      <c r="BD470" s="392"/>
      <c r="BE470" s="391"/>
      <c r="BF470" s="363"/>
      <c r="CB470" s="360"/>
      <c r="CC470" s="362"/>
      <c r="CD470" s="392"/>
      <c r="CE470" s="391"/>
      <c r="CF470" s="363"/>
      <c r="DB470" s="360"/>
      <c r="DC470" s="362"/>
      <c r="DD470" s="392"/>
      <c r="DE470" s="391"/>
      <c r="DF470" s="363"/>
      <c r="EB470" s="360"/>
      <c r="EC470" s="362"/>
      <c r="ED470" s="392"/>
      <c r="EE470" s="391"/>
      <c r="EF470" s="363"/>
    </row>
    <row r="471" spans="54:138">
      <c r="BB471" s="360"/>
      <c r="BC471" s="362"/>
      <c r="BD471" s="392"/>
      <c r="BE471" s="391"/>
      <c r="BF471" s="363"/>
      <c r="CB471" s="360"/>
      <c r="CC471" s="362"/>
      <c r="CD471" s="392"/>
      <c r="CE471" s="391"/>
      <c r="CF471" s="363"/>
      <c r="DB471" s="360"/>
      <c r="DC471" s="362"/>
      <c r="DD471" s="392"/>
      <c r="DE471" s="391"/>
      <c r="DF471" s="363"/>
      <c r="EB471" s="360"/>
      <c r="EC471" s="362"/>
      <c r="ED471" s="392"/>
      <c r="EE471" s="391"/>
      <c r="EF471" s="363"/>
    </row>
    <row r="472" spans="54:138">
      <c r="BB472" s="1607" t="s">
        <v>1856</v>
      </c>
      <c r="BC472" s="1248"/>
      <c r="BD472" s="1609">
        <f ca="1">IF(BD505=0,0,BD476*7/52-BD478*2/52+2%*(BD455+BD465))</f>
        <v>5421059.0500770956</v>
      </c>
      <c r="BE472" s="1616" t="s">
        <v>1857</v>
      </c>
      <c r="BF472" s="1617">
        <f>0.15*BD454</f>
        <v>11338881.576463999</v>
      </c>
      <c r="CB472" s="1607" t="s">
        <v>1856</v>
      </c>
      <c r="CC472" s="1248"/>
      <c r="CD472" s="1609">
        <f ca="1">IF(CD505=0,0,CD476*7/52-CD478*2/52+2%*(CD455+CD465))</f>
        <v>5507136.1058205394</v>
      </c>
      <c r="CE472" s="1616" t="s">
        <v>1857</v>
      </c>
      <c r="CF472" s="1617">
        <f>0.15*CD454</f>
        <v>5961598.1129149618</v>
      </c>
      <c r="DB472" s="1607" t="s">
        <v>1856</v>
      </c>
      <c r="DC472" s="1248"/>
      <c r="DD472" s="1609">
        <f ca="1">IF(DD505=0,0,DD476*7/52-DD478*2/52+2%*(DD455+DD465))</f>
        <v>7004470.4089909839</v>
      </c>
      <c r="DE472" s="1616" t="s">
        <v>1857</v>
      </c>
      <c r="DF472" s="1617">
        <f>0.15*DD454</f>
        <v>8543607.1510666758</v>
      </c>
      <c r="EB472" s="1607" t="s">
        <v>1856</v>
      </c>
      <c r="EC472" s="1248"/>
      <c r="ED472" s="1609">
        <f ca="1">IF(ED505=0,0,ED476*7/52-ED478*2/52+2%*(ED455+ED465))</f>
        <v>6087044.4194591837</v>
      </c>
      <c r="EE472" s="1616" t="s">
        <v>1857</v>
      </c>
      <c r="EF472" s="1617">
        <f>0.15*ED454</f>
        <v>6491220.9037409704</v>
      </c>
    </row>
    <row r="473" spans="54:138">
      <c r="BB473" s="360"/>
      <c r="BC473" s="362"/>
      <c r="BD473" s="392"/>
      <c r="BE473" s="391"/>
      <c r="BF473" s="363"/>
      <c r="CB473" s="360"/>
      <c r="CC473" s="362"/>
      <c r="CD473" s="392"/>
      <c r="CE473" s="391"/>
      <c r="CF473" s="363"/>
      <c r="DB473" s="360"/>
      <c r="DC473" s="362"/>
      <c r="DD473" s="392"/>
      <c r="DE473" s="391"/>
      <c r="DF473" s="363"/>
      <c r="EB473" s="360"/>
      <c r="EC473" s="362"/>
      <c r="ED473" s="392"/>
      <c r="EE473" s="391"/>
      <c r="EF473" s="363"/>
    </row>
    <row r="474" spans="54:138">
      <c r="BB474" s="1607" t="s">
        <v>1817</v>
      </c>
      <c r="BC474" s="1248"/>
      <c r="BD474" s="1605">
        <f ca="1">BD454+BD472</f>
        <v>81013602.893170431</v>
      </c>
      <c r="BE474" s="1608"/>
      <c r="BF474" s="1606"/>
      <c r="CB474" s="1607" t="s">
        <v>1817</v>
      </c>
      <c r="CC474" s="1248"/>
      <c r="CD474" s="1605">
        <f ca="1">CD454+CD472</f>
        <v>45251123.525253616</v>
      </c>
      <c r="CE474" s="1608"/>
      <c r="CF474" s="1606"/>
      <c r="DB474" s="1607" t="s">
        <v>1817</v>
      </c>
      <c r="DC474" s="1248"/>
      <c r="DD474" s="1605">
        <f ca="1">DD454+DD472</f>
        <v>63961851.416102163</v>
      </c>
      <c r="DE474" s="1608"/>
      <c r="DF474" s="1606"/>
      <c r="EB474" s="1607" t="s">
        <v>1817</v>
      </c>
      <c r="EC474" s="1248"/>
      <c r="ED474" s="1605">
        <f ca="1">ED454+ED472</f>
        <v>49361850.444398992</v>
      </c>
      <c r="EE474" s="1608"/>
      <c r="EF474" s="1606"/>
    </row>
    <row r="475" spans="54:138">
      <c r="BB475" s="360"/>
      <c r="BC475" s="362"/>
      <c r="BD475" s="392"/>
      <c r="BE475" s="391"/>
      <c r="BF475" s="363"/>
      <c r="CB475" s="360"/>
      <c r="CC475" s="362"/>
      <c r="CD475" s="392"/>
      <c r="CE475" s="391"/>
      <c r="CF475" s="363"/>
      <c r="DB475" s="360"/>
      <c r="DC475" s="362"/>
      <c r="DD475" s="392"/>
      <c r="DE475" s="391"/>
      <c r="DF475" s="363"/>
      <c r="EB475" s="360"/>
      <c r="EC475" s="362"/>
      <c r="ED475" s="392"/>
      <c r="EE475" s="391"/>
      <c r="EF475" s="363"/>
    </row>
    <row r="476" spans="54:138">
      <c r="BB476" s="1607" t="s">
        <v>1823</v>
      </c>
      <c r="BC476" s="1248"/>
      <c r="BD476" s="1605">
        <f ca="1">IF(BD505=0,0,BD477+BD483)</f>
        <v>39345471.222916886</v>
      </c>
      <c r="BE476" s="1608"/>
      <c r="BF476" s="1606"/>
      <c r="CB476" s="1607" t="s">
        <v>1823</v>
      </c>
      <c r="CC476" s="1248"/>
      <c r="CD476" s="1605">
        <f ca="1">IF(CD505=0,0,CD477+CD483)</f>
        <v>46656929.456086196</v>
      </c>
      <c r="CE476" s="1608"/>
      <c r="CF476" s="1606"/>
      <c r="DB476" s="1607" t="s">
        <v>1823</v>
      </c>
      <c r="DC476" s="1248"/>
      <c r="DD476" s="1605">
        <f ca="1">IF(DD505=0,0,DD477+DD483)</f>
        <v>59891816.559672475</v>
      </c>
      <c r="DE476" s="1608"/>
      <c r="DF476" s="1606"/>
      <c r="EB476" s="1607" t="s">
        <v>1823</v>
      </c>
      <c r="EC476" s="1248"/>
      <c r="ED476" s="1605">
        <f ca="1">IF(ED505=0,0,ED477+ED483)</f>
        <v>52810197.687943138</v>
      </c>
      <c r="EE476" s="1608"/>
      <c r="EF476" s="1606"/>
    </row>
    <row r="477" spans="54:138">
      <c r="BB477" s="360" t="s">
        <v>1824</v>
      </c>
      <c r="BC477" s="362"/>
      <c r="BD477" s="392">
        <f>SUM(BD478:BD482)</f>
        <v>32357723.688910976</v>
      </c>
      <c r="BE477" s="391"/>
      <c r="BF477" s="363"/>
      <c r="CB477" s="360" t="s">
        <v>1824</v>
      </c>
      <c r="CC477" s="362"/>
      <c r="CD477" s="392">
        <f>SUM(CD478:CD482)</f>
        <v>41533923.86166618</v>
      </c>
      <c r="CE477" s="391"/>
      <c r="CF477" s="363"/>
      <c r="DB477" s="360" t="s">
        <v>1824</v>
      </c>
      <c r="DC477" s="362"/>
      <c r="DD477" s="392">
        <f>SUM(DD478:DD482)</f>
        <v>52873938.951833054</v>
      </c>
      <c r="DE477" s="391"/>
      <c r="DF477" s="363"/>
      <c r="EB477" s="360" t="s">
        <v>1824</v>
      </c>
      <c r="EC477" s="362"/>
      <c r="ED477" s="392">
        <f>SUM(ED478:ED482)</f>
        <v>46283588.720100105</v>
      </c>
      <c r="EE477" s="391"/>
      <c r="EF477" s="363"/>
    </row>
    <row r="478" spans="54:138" ht="14.5">
      <c r="BB478" s="360" t="s">
        <v>1818</v>
      </c>
      <c r="BC478" s="362"/>
      <c r="BD478" s="392">
        <f>SUMPRODUCT(BC329:BC341,BE329:BE341)</f>
        <v>25955975.73829582</v>
      </c>
      <c r="BE478" s="428"/>
      <c r="BF478" s="900"/>
      <c r="BG478" s="1010">
        <f>(BD478+BD480)/BC$25/1000</f>
        <v>2.6734655010444692</v>
      </c>
      <c r="BH478" s="111" t="s">
        <v>286</v>
      </c>
      <c r="CB478" s="360" t="s">
        <v>1818</v>
      </c>
      <c r="CC478" s="362"/>
      <c r="CD478" s="392">
        <f>SUMPRODUCT(CC329:CC341,CE329:CE341)</f>
        <v>35463116.382817671</v>
      </c>
      <c r="CE478" s="428"/>
      <c r="CF478" s="900"/>
      <c r="CG478" s="1010">
        <f>(CD478+CD480)/CC$25/1000</f>
        <v>3.6527009874302201</v>
      </c>
      <c r="CH478" s="111" t="s">
        <v>286</v>
      </c>
      <c r="DB478" s="360" t="s">
        <v>1818</v>
      </c>
      <c r="DC478" s="362"/>
      <c r="DD478" s="392">
        <f>SUMPRODUCT(DC329:DC341,DE329:DE341)</f>
        <v>49502460.679558605</v>
      </c>
      <c r="DE478" s="428"/>
      <c r="DF478" s="900"/>
      <c r="DG478" s="1010">
        <f>(DD478+DD480)/DC$25/1000</f>
        <v>5.0987534499945371</v>
      </c>
      <c r="DH478" s="111" t="s">
        <v>286</v>
      </c>
      <c r="EB478" s="360" t="s">
        <v>1818</v>
      </c>
      <c r="EC478" s="362"/>
      <c r="ED478" s="392">
        <f>SUMPRODUCT(EC329:EC341,EE329:EE341)</f>
        <v>43285565.535645001</v>
      </c>
      <c r="EE478" s="428"/>
      <c r="EF478" s="900"/>
      <c r="EG478" s="1010">
        <f>(ED478+ED480)/EC$26/1000</f>
        <v>4.4584132501714349</v>
      </c>
      <c r="EH478" s="111" t="s">
        <v>286</v>
      </c>
    </row>
    <row r="479" spans="54:138" ht="14.5">
      <c r="BB479" s="360" t="s">
        <v>1981</v>
      </c>
      <c r="BC479" s="362"/>
      <c r="BD479" s="392">
        <f>SUMPRODUCT(BC321:BC324,BE321:BE324)</f>
        <v>5020028.4360189578</v>
      </c>
      <c r="BE479" s="428"/>
      <c r="BF479" s="900"/>
      <c r="BG479" s="1010">
        <f>BD479/BC$25/1000</f>
        <v>0.50200284360189584</v>
      </c>
      <c r="BH479" t="s">
        <v>1435</v>
      </c>
      <c r="CB479" s="360" t="s">
        <v>1819</v>
      </c>
      <c r="CC479" s="362"/>
      <c r="CD479" s="392">
        <f>SUMPRODUCT(CC321:CC324,CE321:CE324)</f>
        <v>4186847.7093206951</v>
      </c>
      <c r="CE479" s="428"/>
      <c r="CF479" s="900"/>
      <c r="CG479" s="1010">
        <f>CD479/CC$25/1000</f>
        <v>0.41868477093206952</v>
      </c>
      <c r="CH479" t="s">
        <v>1435</v>
      </c>
      <c r="DB479" s="360" t="s">
        <v>1819</v>
      </c>
      <c r="DC479" s="362"/>
      <c r="DD479" s="392">
        <f>SUMPRODUCT(DC321:DC324,DE321:DE324)</f>
        <v>853333.33333333326</v>
      </c>
      <c r="DE479" s="428"/>
      <c r="DF479" s="900"/>
      <c r="DG479" s="1010">
        <f>DD479/DC$25/1000</f>
        <v>8.533333333333333E-2</v>
      </c>
      <c r="DH479" t="s">
        <v>1435</v>
      </c>
      <c r="EB479" s="360" t="s">
        <v>1819</v>
      </c>
      <c r="EC479" s="362"/>
      <c r="ED479" s="392">
        <f>SUMPRODUCT(EC322:EC325,EE322:EE325)</f>
        <v>797844.12848867825</v>
      </c>
      <c r="EE479" s="428"/>
      <c r="EF479" s="900"/>
      <c r="EG479" s="1010">
        <f>ED479/EC$26/1000</f>
        <v>7.9784412848867836E-2</v>
      </c>
      <c r="EH479" t="s">
        <v>1435</v>
      </c>
    </row>
    <row r="480" spans="54:138">
      <c r="BB480" s="360" t="s">
        <v>1821</v>
      </c>
      <c r="BC480" s="362"/>
      <c r="BD480" s="392">
        <f>BD478*BE480</f>
        <v>778679.27214887459</v>
      </c>
      <c r="BE480" s="1619">
        <v>0.03</v>
      </c>
      <c r="BF480" s="363" t="s">
        <v>1833</v>
      </c>
      <c r="BG480" s="272"/>
      <c r="CB480" s="360" t="s">
        <v>1821</v>
      </c>
      <c r="CC480" s="362"/>
      <c r="CD480" s="392">
        <f>CD478*CE480</f>
        <v>1063893.49148453</v>
      </c>
      <c r="CE480" s="1619">
        <v>0.03</v>
      </c>
      <c r="CF480" s="363" t="s">
        <v>1833</v>
      </c>
      <c r="CG480" s="272"/>
      <c r="DB480" s="360" t="s">
        <v>1821</v>
      </c>
      <c r="DC480" s="362"/>
      <c r="DD480" s="392">
        <f>DD478*DE480</f>
        <v>1485073.8203867581</v>
      </c>
      <c r="DE480" s="1619">
        <v>0.03</v>
      </c>
      <c r="DF480" s="363" t="s">
        <v>1833</v>
      </c>
      <c r="DG480" s="272"/>
      <c r="EB480" s="360" t="s">
        <v>1821</v>
      </c>
      <c r="EC480" s="362"/>
      <c r="ED480" s="392">
        <f>ED478*EE480</f>
        <v>1298566.96606935</v>
      </c>
      <c r="EE480" s="1619">
        <v>0.03</v>
      </c>
      <c r="EF480" s="363" t="s">
        <v>1833</v>
      </c>
      <c r="EG480" s="272"/>
    </row>
    <row r="481" spans="54:139" ht="14.5">
      <c r="BB481" s="360" t="s">
        <v>1820</v>
      </c>
      <c r="BC481" s="362"/>
      <c r="BD481" s="392">
        <f>SUMPRODUCT(BC326:BC327,BE326:BE327)</f>
        <v>83920.72768141015</v>
      </c>
      <c r="BE481" s="428"/>
      <c r="BF481" s="900"/>
      <c r="BG481" s="1010">
        <f>(BD481+BD482)/BC$25/1000</f>
        <v>6.0304024244732649E-2</v>
      </c>
      <c r="BH481" s="111" t="s">
        <v>1866</v>
      </c>
      <c r="CB481" s="360" t="s">
        <v>1820</v>
      </c>
      <c r="CC481" s="362"/>
      <c r="CD481" s="392">
        <f>SUMPRODUCT(CC326:CC327,CE326:CE327)</f>
        <v>110803.95038693699</v>
      </c>
      <c r="CE481" s="428"/>
      <c r="CF481" s="900"/>
      <c r="CG481" s="1010">
        <f>(CD481+CD482)/CC$25/1000</f>
        <v>8.2006627804329046E-2</v>
      </c>
      <c r="CH481" s="111" t="s">
        <v>1866</v>
      </c>
      <c r="DB481" s="360" t="s">
        <v>1820</v>
      </c>
      <c r="DC481" s="362"/>
      <c r="DD481" s="392">
        <f>SUMPRODUCT(DC326:DC327,DE326:DE327)</f>
        <v>43021.904963179331</v>
      </c>
      <c r="DE481" s="428"/>
      <c r="DF481" s="900"/>
      <c r="DG481" s="1010">
        <f>(DD481+DD482)/DC$25/1000</f>
        <v>0.10330711185543515</v>
      </c>
      <c r="DH481" s="111" t="s">
        <v>1866</v>
      </c>
      <c r="EB481" s="360" t="s">
        <v>1820</v>
      </c>
      <c r="EC481" s="362"/>
      <c r="ED481" s="392">
        <f>SUMPRODUCT(EC327:EC328,EE327:EE328)</f>
        <v>35900.779184183848</v>
      </c>
      <c r="EE481" s="428"/>
      <c r="EF481" s="900"/>
      <c r="EG481" s="1010">
        <f>(ED481+ED482)/EC$26/1000</f>
        <v>9.0161208989708391E-2</v>
      </c>
      <c r="EH481" s="111" t="s">
        <v>1866</v>
      </c>
    </row>
    <row r="482" spans="54:139">
      <c r="BB482" s="360" t="s">
        <v>1822</v>
      </c>
      <c r="BC482" s="362"/>
      <c r="BD482" s="392">
        <f>BD478*BE482</f>
        <v>519119.51476591639</v>
      </c>
      <c r="BE482" s="1619">
        <v>0.02</v>
      </c>
      <c r="BF482" s="363" t="s">
        <v>1833</v>
      </c>
      <c r="BG482" s="272"/>
      <c r="BH482" s="1011">
        <f>BG478+BG479+BG481</f>
        <v>3.235772368891098</v>
      </c>
      <c r="BI482" s="111" t="s">
        <v>1863</v>
      </c>
      <c r="CB482" s="360" t="s">
        <v>1822</v>
      </c>
      <c r="CC482" s="362"/>
      <c r="CD482" s="392">
        <f>CD478*CE482</f>
        <v>709262.32765635347</v>
      </c>
      <c r="CE482" s="1619">
        <v>0.02</v>
      </c>
      <c r="CF482" s="363" t="s">
        <v>1833</v>
      </c>
      <c r="CG482" s="272"/>
      <c r="CH482" s="1011">
        <f>CG478+CG479+CG481</f>
        <v>4.1533923861666189</v>
      </c>
      <c r="CI482" s="111" t="s">
        <v>1863</v>
      </c>
      <c r="DB482" s="360" t="s">
        <v>1822</v>
      </c>
      <c r="DC482" s="362"/>
      <c r="DD482" s="392">
        <f>DD478*DE482</f>
        <v>990049.21359117213</v>
      </c>
      <c r="DE482" s="1619">
        <v>0.02</v>
      </c>
      <c r="DF482" s="363" t="s">
        <v>1833</v>
      </c>
      <c r="DG482" s="272"/>
      <c r="DH482" s="1011">
        <f>DG478+DG479+DG481</f>
        <v>5.2873938951833059</v>
      </c>
      <c r="DI482" s="111" t="s">
        <v>1863</v>
      </c>
      <c r="EB482" s="360" t="s">
        <v>1822</v>
      </c>
      <c r="EC482" s="362"/>
      <c r="ED482" s="392">
        <f>ED478*EE482</f>
        <v>865711.31071290001</v>
      </c>
      <c r="EE482" s="1619">
        <v>0.02</v>
      </c>
      <c r="EF482" s="363" t="s">
        <v>1833</v>
      </c>
      <c r="EG482" s="272"/>
      <c r="EH482" s="1011">
        <f>EG478+EG479+EG481</f>
        <v>4.6283588720100113</v>
      </c>
      <c r="EI482" s="111" t="s">
        <v>1863</v>
      </c>
    </row>
    <row r="483" spans="54:139">
      <c r="BB483" s="360" t="s">
        <v>1826</v>
      </c>
      <c r="BC483" s="362"/>
      <c r="BD483" s="392">
        <f ca="1">IF(BD505=0,0,BD484+BD488+BD489+BD490+BD491+BD495+BD496+BD497)</f>
        <v>6987747.5340059102</v>
      </c>
      <c r="BE483" s="391"/>
      <c r="BF483" s="363"/>
      <c r="BH483" s="1011">
        <f ca="1">BD483/BC$25/1000</f>
        <v>0.69877475340059103</v>
      </c>
      <c r="BI483" s="111" t="s">
        <v>1864</v>
      </c>
      <c r="CB483" s="360" t="s">
        <v>1826</v>
      </c>
      <c r="CC483" s="362"/>
      <c r="CD483" s="392">
        <f ca="1">IF(CD505=0,0,CD484+CD488+CD489+CD490+CD491+CD495+CD496+CD497)</f>
        <v>5123005.5944200139</v>
      </c>
      <c r="CE483" s="391"/>
      <c r="CF483" s="363"/>
      <c r="CH483" s="1011">
        <f ca="1">CD483/CC$25/1000</f>
        <v>0.51230055944200137</v>
      </c>
      <c r="CI483" s="111" t="s">
        <v>1864</v>
      </c>
      <c r="DB483" s="360" t="s">
        <v>1826</v>
      </c>
      <c r="DC483" s="362"/>
      <c r="DD483" s="392">
        <f ca="1">IF(DD505=0,0,DD484+DD488+DD489+DD490+DD491+DD495+DD496+DD497)</f>
        <v>7017877.6078394214</v>
      </c>
      <c r="DE483" s="391"/>
      <c r="DF483" s="363"/>
      <c r="DH483" s="1011">
        <f ca="1">DD483/DC$25/1000</f>
        <v>0.70178776078394223</v>
      </c>
      <c r="DI483" s="111" t="s">
        <v>1864</v>
      </c>
      <c r="EB483" s="360" t="s">
        <v>1826</v>
      </c>
      <c r="EC483" s="362"/>
      <c r="ED483" s="392">
        <f ca="1">IF(ED505=0,0,ED484+ED488+ED489+ED490+ED491+ED495+ED496+ED497)</f>
        <v>6526608.96784251</v>
      </c>
      <c r="EE483" s="391"/>
      <c r="EF483" s="363"/>
      <c r="EH483" s="1011">
        <f ca="1">ED483/EC$26/1000</f>
        <v>0.65266089678425099</v>
      </c>
      <c r="EI483" s="111" t="s">
        <v>1864</v>
      </c>
    </row>
    <row r="484" spans="54:139" ht="14.5">
      <c r="BB484" s="360" t="s">
        <v>1846</v>
      </c>
      <c r="BC484" s="362"/>
      <c r="BD484" s="392">
        <f>BD485+BD486+BD487</f>
        <v>388800</v>
      </c>
      <c r="BE484" s="428"/>
      <c r="BF484" s="900"/>
      <c r="BG484" s="1010">
        <f>BD484/BC$25/1000</f>
        <v>3.8880000000000005E-2</v>
      </c>
      <c r="BH484" s="111" t="s">
        <v>461</v>
      </c>
      <c r="CB484" s="360" t="s">
        <v>1846</v>
      </c>
      <c r="CC484" s="362"/>
      <c r="CD484" s="392">
        <f>CD485+CD486+CD487</f>
        <v>394200</v>
      </c>
      <c r="CE484" s="428"/>
      <c r="CF484" s="900"/>
      <c r="CG484" s="1010">
        <f>CD484/CC$25/1000</f>
        <v>3.9420000000000004E-2</v>
      </c>
      <c r="CH484" s="111" t="s">
        <v>461</v>
      </c>
      <c r="DB484" s="360" t="s">
        <v>1846</v>
      </c>
      <c r="DC484" s="362"/>
      <c r="DD484" s="392">
        <f>DD485+DD486+DD487</f>
        <v>388800</v>
      </c>
      <c r="DE484" s="428"/>
      <c r="DF484" s="900"/>
      <c r="DG484" s="1010">
        <f>DD484/DC$25/1000</f>
        <v>3.8880000000000005E-2</v>
      </c>
      <c r="DH484" s="111" t="s">
        <v>461</v>
      </c>
      <c r="EB484" s="360" t="s">
        <v>1846</v>
      </c>
      <c r="EC484" s="362"/>
      <c r="ED484" s="392">
        <f>ED485+ED486+ED487</f>
        <v>345600</v>
      </c>
      <c r="EE484" s="428"/>
      <c r="EF484" s="900"/>
      <c r="EG484" s="1010">
        <f>ED484/EC$26/1000</f>
        <v>3.456E-2</v>
      </c>
      <c r="EH484" s="111" t="s">
        <v>461</v>
      </c>
    </row>
    <row r="485" spans="54:139" ht="14.5">
      <c r="BB485" s="1610" t="s">
        <v>1825</v>
      </c>
      <c r="BC485" s="362"/>
      <c r="BD485" s="392">
        <f>BC436</f>
        <v>207360</v>
      </c>
      <c r="BE485" s="428"/>
      <c r="BF485" s="900"/>
      <c r="BG485" s="272"/>
      <c r="CB485" s="1610" t="s">
        <v>1825</v>
      </c>
      <c r="CC485" s="362"/>
      <c r="CD485" s="392">
        <f>CC436</f>
        <v>210240</v>
      </c>
      <c r="CE485" s="428"/>
      <c r="CF485" s="900"/>
      <c r="CG485" s="272"/>
      <c r="DB485" s="1610" t="s">
        <v>1825</v>
      </c>
      <c r="DC485" s="362"/>
      <c r="DD485" s="392">
        <f>DC436</f>
        <v>207360</v>
      </c>
      <c r="DE485" s="428"/>
      <c r="DF485" s="900"/>
      <c r="DG485" s="272"/>
      <c r="EB485" s="1610" t="s">
        <v>1825</v>
      </c>
      <c r="EC485" s="362"/>
      <c r="ED485" s="392">
        <f>EC436</f>
        <v>184320</v>
      </c>
      <c r="EE485" s="428"/>
      <c r="EF485" s="900"/>
      <c r="EG485" s="272"/>
    </row>
    <row r="486" spans="54:139">
      <c r="BB486" s="1610" t="s">
        <v>1827</v>
      </c>
      <c r="BC486" s="362"/>
      <c r="BD486" s="392">
        <f>BD485*BE486</f>
        <v>51840</v>
      </c>
      <c r="BE486" s="1619">
        <v>0.25</v>
      </c>
      <c r="BF486" s="363" t="s">
        <v>1831</v>
      </c>
      <c r="BG486" s="272"/>
      <c r="CB486" s="1610" t="s">
        <v>1827</v>
      </c>
      <c r="CC486" s="362"/>
      <c r="CD486" s="392">
        <f>CD485*CE486</f>
        <v>52560</v>
      </c>
      <c r="CE486" s="1619">
        <v>0.25</v>
      </c>
      <c r="CF486" s="363" t="s">
        <v>1831</v>
      </c>
      <c r="CG486" s="272"/>
      <c r="DB486" s="1610" t="s">
        <v>1827</v>
      </c>
      <c r="DC486" s="362"/>
      <c r="DD486" s="392">
        <f>DD485*DE486</f>
        <v>51840</v>
      </c>
      <c r="DE486" s="1619">
        <v>0.25</v>
      </c>
      <c r="DF486" s="363" t="s">
        <v>1831</v>
      </c>
      <c r="DG486" s="272"/>
      <c r="EB486" s="1610" t="s">
        <v>1827</v>
      </c>
      <c r="EC486" s="362"/>
      <c r="ED486" s="392">
        <f>ED485*EE486</f>
        <v>46080</v>
      </c>
      <c r="EE486" s="1619">
        <v>0.25</v>
      </c>
      <c r="EF486" s="363" t="s">
        <v>1831</v>
      </c>
      <c r="EG486" s="272"/>
    </row>
    <row r="487" spans="54:139">
      <c r="BB487" s="1610" t="s">
        <v>1828</v>
      </c>
      <c r="BC487" s="362"/>
      <c r="BD487" s="392">
        <f>(BD485+BD486)*BE487</f>
        <v>129600</v>
      </c>
      <c r="BE487" s="1619">
        <v>0.5</v>
      </c>
      <c r="BF487" s="363" t="s">
        <v>1845</v>
      </c>
      <c r="CB487" s="1610" t="s">
        <v>1828</v>
      </c>
      <c r="CC487" s="362"/>
      <c r="CD487" s="392">
        <f>(CD485+CD486)*CE487</f>
        <v>131400</v>
      </c>
      <c r="CE487" s="1619">
        <v>0.5</v>
      </c>
      <c r="CF487" s="363" t="s">
        <v>1845</v>
      </c>
      <c r="DB487" s="1610" t="s">
        <v>1828</v>
      </c>
      <c r="DC487" s="362"/>
      <c r="DD487" s="392">
        <f>(DD485+DD486)*DE487</f>
        <v>129600</v>
      </c>
      <c r="DE487" s="1619">
        <v>0.5</v>
      </c>
      <c r="DF487" s="363" t="s">
        <v>1845</v>
      </c>
      <c r="EB487" s="1610" t="s">
        <v>1828</v>
      </c>
      <c r="EC487" s="362"/>
      <c r="ED487" s="392">
        <f>(ED485+ED486)*EE487</f>
        <v>115200</v>
      </c>
      <c r="EE487" s="1619">
        <v>0.5</v>
      </c>
      <c r="EF487" s="363" t="s">
        <v>1845</v>
      </c>
    </row>
    <row r="488" spans="54:139">
      <c r="BB488" s="360" t="s">
        <v>1829</v>
      </c>
      <c r="BC488" s="362"/>
      <c r="BD488" s="392">
        <f>BD455*BE488</f>
        <v>2005107.2637425289</v>
      </c>
      <c r="BE488" s="1619">
        <v>0.05</v>
      </c>
      <c r="BF488" s="363" t="s">
        <v>1832</v>
      </c>
      <c r="BG488" s="1010">
        <f>BD488/BC$25/1000</f>
        <v>0.20051072637425291</v>
      </c>
      <c r="BH488" s="111" t="s">
        <v>475</v>
      </c>
      <c r="CB488" s="360" t="s">
        <v>1829</v>
      </c>
      <c r="CC488" s="362"/>
      <c r="CD488" s="392">
        <f>CD455*CE488</f>
        <v>1054217.1729292595</v>
      </c>
      <c r="CE488" s="1619">
        <v>0.05</v>
      </c>
      <c r="CF488" s="363" t="s">
        <v>1832</v>
      </c>
      <c r="CG488" s="1010">
        <f>CD488/CC$25/1000</f>
        <v>0.10542171729292595</v>
      </c>
      <c r="CH488" s="111" t="s">
        <v>475</v>
      </c>
      <c r="DB488" s="360" t="s">
        <v>1829</v>
      </c>
      <c r="DC488" s="362"/>
      <c r="DD488" s="392">
        <f>DD455*DE488</f>
        <v>1510805.862257591</v>
      </c>
      <c r="DE488" s="1619">
        <v>0.05</v>
      </c>
      <c r="DF488" s="363" t="s">
        <v>1832</v>
      </c>
      <c r="DG488" s="1010">
        <f>DD488/DC$25/1000</f>
        <v>0.15108058622575909</v>
      </c>
      <c r="DH488" s="111" t="s">
        <v>475</v>
      </c>
      <c r="EB488" s="360" t="s">
        <v>1829</v>
      </c>
      <c r="EC488" s="362"/>
      <c r="ED488" s="392">
        <f>ED455*EE488</f>
        <v>1147872.8388578198</v>
      </c>
      <c r="EE488" s="1619">
        <v>0.05</v>
      </c>
      <c r="EF488" s="363" t="s">
        <v>1832</v>
      </c>
      <c r="EG488" s="1010">
        <f>ED488/EC$26/1000</f>
        <v>0.11478728388578198</v>
      </c>
      <c r="EH488" s="111" t="s">
        <v>475</v>
      </c>
    </row>
    <row r="489" spans="54:139">
      <c r="BB489" s="360" t="s">
        <v>1830</v>
      </c>
      <c r="BC489" s="362"/>
      <c r="BD489" s="392">
        <f>(BD455+BD465)*BE489</f>
        <v>561430.03384790814</v>
      </c>
      <c r="BE489" s="1619">
        <v>0.01</v>
      </c>
      <c r="BF489" s="363" t="s">
        <v>1813</v>
      </c>
      <c r="BG489" s="272"/>
      <c r="CB489" s="360" t="s">
        <v>1830</v>
      </c>
      <c r="CC489" s="362"/>
      <c r="CD489" s="392">
        <f>(CD455+CD465)*CE489</f>
        <v>295180.80842019262</v>
      </c>
      <c r="CE489" s="1619">
        <v>0.01</v>
      </c>
      <c r="CF489" s="363" t="s">
        <v>1813</v>
      </c>
      <c r="CG489" s="272"/>
      <c r="DB489" s="360" t="s">
        <v>1830</v>
      </c>
      <c r="DC489" s="362"/>
      <c r="DD489" s="392">
        <f>(DD455+DD465)*DE489</f>
        <v>423025.64143212541</v>
      </c>
      <c r="DE489" s="1619">
        <v>0.01</v>
      </c>
      <c r="DF489" s="363" t="s">
        <v>1813</v>
      </c>
      <c r="DG489" s="272"/>
      <c r="EB489" s="360" t="s">
        <v>1830</v>
      </c>
      <c r="EC489" s="362"/>
      <c r="ED489" s="392">
        <f>(ED455+ED465)*EE489</f>
        <v>321404.3948801895</v>
      </c>
      <c r="EE489" s="1619">
        <v>0.01</v>
      </c>
      <c r="EF489" s="363" t="s">
        <v>1813</v>
      </c>
      <c r="EG489" s="272"/>
    </row>
    <row r="490" spans="54:139">
      <c r="BB490" s="360" t="s">
        <v>1834</v>
      </c>
      <c r="BC490" s="362"/>
      <c r="BD490" s="392">
        <f>(BD455+BD465)*BE490</f>
        <v>1122860.0676958163</v>
      </c>
      <c r="BE490" s="1619">
        <v>0.02</v>
      </c>
      <c r="BF490" s="363" t="s">
        <v>1813</v>
      </c>
      <c r="BG490" s="272"/>
      <c r="CB490" s="360" t="s">
        <v>1834</v>
      </c>
      <c r="CC490" s="362"/>
      <c r="CD490" s="392">
        <f>(CD455+CD465)*CE490</f>
        <v>590361.61684038525</v>
      </c>
      <c r="CE490" s="1619">
        <v>0.02</v>
      </c>
      <c r="CF490" s="363" t="s">
        <v>1813</v>
      </c>
      <c r="CG490" s="272"/>
      <c r="DB490" s="360" t="s">
        <v>1834</v>
      </c>
      <c r="DC490" s="362"/>
      <c r="DD490" s="392">
        <f>(DD455+DD465)*DE490</f>
        <v>846051.28286425082</v>
      </c>
      <c r="DE490" s="1619">
        <v>0.02</v>
      </c>
      <c r="DF490" s="363" t="s">
        <v>1813</v>
      </c>
      <c r="DG490" s="272"/>
      <c r="EB490" s="360" t="s">
        <v>1834</v>
      </c>
      <c r="EC490" s="362"/>
      <c r="ED490" s="392">
        <f>(ED455+ED465)*EE490</f>
        <v>642808.789760379</v>
      </c>
      <c r="EE490" s="1619">
        <v>0.02</v>
      </c>
      <c r="EF490" s="363" t="s">
        <v>1813</v>
      </c>
      <c r="EG490" s="272"/>
    </row>
    <row r="491" spans="54:139">
      <c r="BB491" s="360" t="s">
        <v>1835</v>
      </c>
      <c r="BC491" s="362"/>
      <c r="BD491" s="392">
        <f ca="1">IF(BD505=0,0,SUM(BD492:BD494))</f>
        <v>1549589.7021305612</v>
      </c>
      <c r="BE491" s="1611" t="s">
        <v>1844</v>
      </c>
      <c r="BF491" s="1612">
        <f>0.65*(BD484+BD488)</f>
        <v>1556039.7214326437</v>
      </c>
      <c r="BG491" s="1010">
        <f ca="1">BD491/BC$25/1000</f>
        <v>0.15495897021305613</v>
      </c>
      <c r="BH491" s="111" t="s">
        <v>1091</v>
      </c>
      <c r="CB491" s="360" t="s">
        <v>1835</v>
      </c>
      <c r="CC491" s="362"/>
      <c r="CD491" s="392">
        <f ca="1">IF(CD505=0,0,SUM(CD492:CD494))</f>
        <v>1654905.1996782157</v>
      </c>
      <c r="CE491" s="1611" t="s">
        <v>1844</v>
      </c>
      <c r="CF491" s="1612">
        <f>0.65*(CD484+CD488)</f>
        <v>941471.16240401869</v>
      </c>
      <c r="CG491" s="1010">
        <f ca="1">CD491/CC$25/1000</f>
        <v>0.16549051996782158</v>
      </c>
      <c r="CH491" s="111" t="s">
        <v>1091</v>
      </c>
      <c r="DB491" s="360" t="s">
        <v>1835</v>
      </c>
      <c r="DC491" s="362"/>
      <c r="DD491" s="392">
        <f ca="1">IF(DD505=0,0,SUM(DD492:DD494))</f>
        <v>2346846.0041006748</v>
      </c>
      <c r="DE491" s="1611" t="s">
        <v>1844</v>
      </c>
      <c r="DF491" s="1612">
        <f>0.65*(DD484+DD488)</f>
        <v>1234743.8104674341</v>
      </c>
      <c r="DG491" s="1010">
        <f ca="1">DD491/DC$25/1000</f>
        <v>0.23468460041006747</v>
      </c>
      <c r="DH491" s="111" t="s">
        <v>1091</v>
      </c>
      <c r="EB491" s="360" t="s">
        <v>1835</v>
      </c>
      <c r="EC491" s="362"/>
      <c r="ED491" s="392">
        <f ca="1">IF(ED505=0,0,SUM(ED492:ED494))</f>
        <v>2808503.4685916975</v>
      </c>
      <c r="EE491" s="1611" t="s">
        <v>1844</v>
      </c>
      <c r="EF491" s="1612">
        <f>0.65*(ED484+ED488)</f>
        <v>970757.34525758284</v>
      </c>
      <c r="EG491" s="1010">
        <f ca="1">ED491/EC$26/1000</f>
        <v>0.28085034685916976</v>
      </c>
      <c r="EH491" s="111" t="s">
        <v>1091</v>
      </c>
    </row>
    <row r="492" spans="54:139">
      <c r="BB492" s="1601" t="s">
        <v>1840</v>
      </c>
      <c r="BC492" s="362"/>
      <c r="BD492" s="392">
        <f>BE492*BJ186*BC25*1000</f>
        <v>823602.81239399989</v>
      </c>
      <c r="BE492" s="1619">
        <v>0.01</v>
      </c>
      <c r="BF492" s="363" t="s">
        <v>1843</v>
      </c>
      <c r="BG492" s="1010">
        <f ca="1">(BD489+BD490+BD495+BD496+BD497)/BC$25/1000</f>
        <v>0.30442505681328197</v>
      </c>
      <c r="BH492" s="111" t="s">
        <v>1865</v>
      </c>
      <c r="CB492" s="1601" t="s">
        <v>1840</v>
      </c>
      <c r="CC492" s="362"/>
      <c r="CD492" s="392">
        <f>CE492*CL186*CC25*1000</f>
        <v>890143.37789568002</v>
      </c>
      <c r="CE492" s="1619">
        <v>0.01</v>
      </c>
      <c r="CF492" s="363" t="s">
        <v>1843</v>
      </c>
      <c r="CG492" s="1010">
        <f ca="1">(CD489+CD490+CD495+CD496+CD497)/CC$25/1000</f>
        <v>0.20196832218125385</v>
      </c>
      <c r="CH492" s="111" t="s">
        <v>1865</v>
      </c>
      <c r="DB492" s="1601" t="s">
        <v>1840</v>
      </c>
      <c r="DC492" s="362"/>
      <c r="DD492" s="392">
        <f ca="1">DE492*DL186*DC25*1000</f>
        <v>1435071.0528874798</v>
      </c>
      <c r="DE492" s="1619">
        <v>0.01</v>
      </c>
      <c r="DF492" s="363" t="s">
        <v>1843</v>
      </c>
      <c r="DG492" s="1010">
        <f ca="1">(DD489+DD490+DD495+DD496+DD497)/DC$25/1000</f>
        <v>0.27714257414811561</v>
      </c>
      <c r="DH492" s="111" t="s">
        <v>1865</v>
      </c>
      <c r="EB492" s="1601" t="s">
        <v>1840</v>
      </c>
      <c r="EC492" s="362"/>
      <c r="ED492" s="392">
        <f ca="1">EE492*EL188*EC26*1000</f>
        <v>2010071.05288748</v>
      </c>
      <c r="EE492" s="1619">
        <v>0.01</v>
      </c>
      <c r="EF492" s="363" t="s">
        <v>1843</v>
      </c>
      <c r="EG492" s="1010">
        <f ca="1">(ED489+ED490+ED495+ED496+ED497)/EC$26/1000</f>
        <v>0.2224632660392791</v>
      </c>
      <c r="EH492" s="111" t="s">
        <v>1865</v>
      </c>
    </row>
    <row r="493" spans="54:139">
      <c r="BB493" s="1601" t="s">
        <v>1841</v>
      </c>
      <c r="BC493" s="362"/>
      <c r="BD493" s="1625">
        <f ca="1">IF(BD505=0,0,BE493*BD503)</f>
        <v>473266.88973656128</v>
      </c>
      <c r="BE493" s="1619">
        <v>0.01</v>
      </c>
      <c r="BF493" s="363" t="s">
        <v>1859</v>
      </c>
      <c r="BG493" s="272"/>
      <c r="CB493" s="1601" t="s">
        <v>1841</v>
      </c>
      <c r="CC493" s="362"/>
      <c r="CD493" s="1625">
        <f ca="1">IF(CD505=0,0,CE493*CD503)</f>
        <v>508531.82178253564</v>
      </c>
      <c r="CE493" s="1619">
        <v>0.01</v>
      </c>
      <c r="CF493" s="363" t="s">
        <v>1859</v>
      </c>
      <c r="CG493" s="272"/>
      <c r="DB493" s="1601" t="s">
        <v>1841</v>
      </c>
      <c r="DC493" s="362"/>
      <c r="DD493" s="1625">
        <f ca="1">IF(DD505=0,0,DE493*DD503)</f>
        <v>659054.95121319511</v>
      </c>
      <c r="DE493" s="1619">
        <v>0.01</v>
      </c>
      <c r="DF493" s="363" t="s">
        <v>1859</v>
      </c>
      <c r="DG493" s="272"/>
      <c r="EB493" s="1601" t="s">
        <v>1841</v>
      </c>
      <c r="EC493" s="362"/>
      <c r="ED493" s="1625">
        <f ca="1">IF(ED505=0,0,EE493*ED503)</f>
        <v>573792.41570409108</v>
      </c>
      <c r="EE493" s="1619">
        <v>0.01</v>
      </c>
      <c r="EF493" s="363" t="s">
        <v>1859</v>
      </c>
      <c r="EG493" s="272"/>
    </row>
    <row r="494" spans="54:139">
      <c r="BB494" s="1601" t="s">
        <v>1842</v>
      </c>
      <c r="BC494" s="362"/>
      <c r="BD494" s="392">
        <f>BD484*BE494</f>
        <v>252720</v>
      </c>
      <c r="BE494" s="1619">
        <v>0.65</v>
      </c>
      <c r="BF494" s="363" t="s">
        <v>1858</v>
      </c>
      <c r="BG494"/>
      <c r="CB494" s="1601" t="s">
        <v>1842</v>
      </c>
      <c r="CC494" s="362"/>
      <c r="CD494" s="392">
        <f>CD484*CE494</f>
        <v>256230</v>
      </c>
      <c r="CE494" s="1619">
        <v>0.65</v>
      </c>
      <c r="CF494" s="363" t="s">
        <v>1858</v>
      </c>
      <c r="CG494"/>
      <c r="DB494" s="1601" t="s">
        <v>1842</v>
      </c>
      <c r="DC494" s="362"/>
      <c r="DD494" s="392">
        <f>DD484*DE494</f>
        <v>252720</v>
      </c>
      <c r="DE494" s="1619">
        <v>0.65</v>
      </c>
      <c r="DF494" s="363" t="s">
        <v>1858</v>
      </c>
      <c r="DG494"/>
      <c r="EB494" s="1601" t="s">
        <v>1842</v>
      </c>
      <c r="EC494" s="362"/>
      <c r="ED494" s="392">
        <f>ED484*EE494</f>
        <v>224640</v>
      </c>
      <c r="EE494" s="1619">
        <v>0.65</v>
      </c>
      <c r="EF494" s="363" t="s">
        <v>1858</v>
      </c>
      <c r="EG494"/>
    </row>
    <row r="495" spans="54:139">
      <c r="BB495" s="360" t="s">
        <v>1836</v>
      </c>
      <c r="BC495" s="362"/>
      <c r="BD495" s="392">
        <f>(BD455+BD465)*BE495</f>
        <v>561430.03384790814</v>
      </c>
      <c r="BE495" s="1619">
        <v>0.01</v>
      </c>
      <c r="BF495" s="363" t="s">
        <v>1813</v>
      </c>
      <c r="BG495"/>
      <c r="CB495" s="360" t="s">
        <v>1836</v>
      </c>
      <c r="CC495" s="362"/>
      <c r="CD495" s="392">
        <f>(CD455+CD465)*CE495</f>
        <v>295180.80842019262</v>
      </c>
      <c r="CE495" s="1619">
        <v>0.01</v>
      </c>
      <c r="CF495" s="363" t="s">
        <v>1813</v>
      </c>
      <c r="CG495"/>
      <c r="DB495" s="360" t="s">
        <v>1836</v>
      </c>
      <c r="DC495" s="362"/>
      <c r="DD495" s="392">
        <f>(DD455+DD465)*DE495</f>
        <v>423025.64143212541</v>
      </c>
      <c r="DE495" s="1619">
        <v>0.01</v>
      </c>
      <c r="DF495" s="363" t="s">
        <v>1813</v>
      </c>
      <c r="DG495"/>
      <c r="EB495" s="360" t="s">
        <v>1836</v>
      </c>
      <c r="EC495" s="362"/>
      <c r="ED495" s="392">
        <f>(ED455+ED465)*EE495</f>
        <v>321404.3948801895</v>
      </c>
      <c r="EE495" s="1619">
        <v>0.01</v>
      </c>
      <c r="EF495" s="363" t="s">
        <v>1813</v>
      </c>
      <c r="EG495"/>
    </row>
    <row r="496" spans="54:139">
      <c r="BB496" s="360" t="s">
        <v>1837</v>
      </c>
      <c r="BC496" s="362"/>
      <c r="BD496" s="1625">
        <f ca="1">IF(BD505=0,0,BE496*BD503)</f>
        <v>473266.88973656128</v>
      </c>
      <c r="BE496" s="1619">
        <v>0.01</v>
      </c>
      <c r="BF496" s="363" t="s">
        <v>1859</v>
      </c>
      <c r="BG496"/>
      <c r="CB496" s="360" t="s">
        <v>1837</v>
      </c>
      <c r="CC496" s="362"/>
      <c r="CD496" s="1625">
        <f ca="1">IF(CD505=0,0,CE496*CD503)</f>
        <v>508531.82178253564</v>
      </c>
      <c r="CE496" s="1619">
        <v>0.01</v>
      </c>
      <c r="CF496" s="363" t="s">
        <v>1859</v>
      </c>
      <c r="CG496"/>
      <c r="DB496" s="360" t="s">
        <v>1837</v>
      </c>
      <c r="DC496" s="362"/>
      <c r="DD496" s="1625">
        <f ca="1">IF(DD505=0,0,DE496*DD503)</f>
        <v>659054.95121319511</v>
      </c>
      <c r="DE496" s="1619">
        <v>0.01</v>
      </c>
      <c r="DF496" s="363" t="s">
        <v>1859</v>
      </c>
      <c r="DG496"/>
      <c r="EB496" s="360" t="s">
        <v>1837</v>
      </c>
      <c r="EC496" s="362"/>
      <c r="ED496" s="1625">
        <f ca="1">IF(ED505=0,0,EE496*ED503)</f>
        <v>573792.41570409108</v>
      </c>
      <c r="EE496" s="1619">
        <v>0.01</v>
      </c>
      <c r="EF496" s="363" t="s">
        <v>1859</v>
      </c>
      <c r="EG496"/>
    </row>
    <row r="497" spans="52:139">
      <c r="BB497" s="360" t="s">
        <v>1838</v>
      </c>
      <c r="BC497" s="362"/>
      <c r="BD497" s="392">
        <f ca="1">BD498+BD499</f>
        <v>325263.54300462571</v>
      </c>
      <c r="BE497" s="391"/>
      <c r="BF497" s="363"/>
      <c r="BG497"/>
      <c r="BH497" s="409"/>
      <c r="CB497" s="360" t="s">
        <v>1838</v>
      </c>
      <c r="CC497" s="362"/>
      <c r="CD497" s="392">
        <f ca="1">CD498+CD499</f>
        <v>330428.16634923237</v>
      </c>
      <c r="CE497" s="391"/>
      <c r="CF497" s="363"/>
      <c r="CG497"/>
      <c r="CH497" s="409"/>
      <c r="DB497" s="360" t="s">
        <v>1838</v>
      </c>
      <c r="DC497" s="362"/>
      <c r="DD497" s="392">
        <f ca="1">DD498+DD499</f>
        <v>420268.22453945904</v>
      </c>
      <c r="DE497" s="391"/>
      <c r="DF497" s="363"/>
      <c r="DG497"/>
      <c r="DH497" s="409"/>
      <c r="EB497" s="360" t="s">
        <v>1838</v>
      </c>
      <c r="EC497" s="362"/>
      <c r="ED497" s="392">
        <f ca="1">ED498+ED499</f>
        <v>365222.66516765318</v>
      </c>
      <c r="EE497" s="391"/>
      <c r="EF497" s="363"/>
      <c r="EG497"/>
      <c r="EH497" s="409"/>
    </row>
    <row r="498" spans="52:139">
      <c r="BB498" s="1601" t="s">
        <v>1852</v>
      </c>
      <c r="BC498" s="362"/>
      <c r="BD498" s="376">
        <f>BE498*BD454</f>
        <v>0</v>
      </c>
      <c r="BE498" s="1619">
        <v>0</v>
      </c>
      <c r="BF498" s="363" t="s">
        <v>1853</v>
      </c>
      <c r="BH498" s="409"/>
      <c r="CB498" s="1601" t="s">
        <v>1852</v>
      </c>
      <c r="CC498" s="362"/>
      <c r="CD498" s="376">
        <f>CE498*CD454</f>
        <v>0</v>
      </c>
      <c r="CE498" s="1619">
        <v>0</v>
      </c>
      <c r="CF498" s="363" t="s">
        <v>1853</v>
      </c>
      <c r="CH498" s="409"/>
      <c r="DB498" s="1601" t="s">
        <v>1852</v>
      </c>
      <c r="DC498" s="362"/>
      <c r="DD498" s="376">
        <f>DE498*DD454</f>
        <v>0</v>
      </c>
      <c r="DE498" s="1619">
        <v>0</v>
      </c>
      <c r="DF498" s="363" t="s">
        <v>1853</v>
      </c>
      <c r="DH498" s="409"/>
      <c r="EB498" s="1601" t="s">
        <v>1852</v>
      </c>
      <c r="EC498" s="362"/>
      <c r="ED498" s="376">
        <f>EE498*ED454</f>
        <v>0</v>
      </c>
      <c r="EE498" s="1619">
        <v>0</v>
      </c>
      <c r="EF498" s="363" t="s">
        <v>1853</v>
      </c>
      <c r="EH498" s="409"/>
    </row>
    <row r="499" spans="52:139">
      <c r="BB499" s="1601" t="s">
        <v>1855</v>
      </c>
      <c r="BC499" s="362"/>
      <c r="BD499" s="386">
        <f ca="1">IF(BD505=0,0,BE499*BD472)</f>
        <v>325263.54300462571</v>
      </c>
      <c r="BE499" s="1619">
        <v>0.06</v>
      </c>
      <c r="BF499" s="363" t="s">
        <v>1854</v>
      </c>
      <c r="CB499" s="1601" t="s">
        <v>1855</v>
      </c>
      <c r="CC499" s="362"/>
      <c r="CD499" s="386">
        <f ca="1">IF(CD505=0,0,CE499*CD472)</f>
        <v>330428.16634923237</v>
      </c>
      <c r="CE499" s="1619">
        <v>0.06</v>
      </c>
      <c r="CF499" s="363" t="s">
        <v>1854</v>
      </c>
      <c r="DB499" s="1601" t="s">
        <v>1855</v>
      </c>
      <c r="DC499" s="362"/>
      <c r="DD499" s="386">
        <f ca="1">IF(DD505=0,0,DE499*DD472)</f>
        <v>420268.22453945904</v>
      </c>
      <c r="DE499" s="1619">
        <v>0.06</v>
      </c>
      <c r="DF499" s="363" t="s">
        <v>1854</v>
      </c>
      <c r="EB499" s="1601" t="s">
        <v>1855</v>
      </c>
      <c r="EC499" s="362"/>
      <c r="ED499" s="386">
        <f ca="1">IF(ED505=0,0,EE499*ED472)</f>
        <v>365222.66516755102</v>
      </c>
      <c r="EE499" s="1619">
        <v>0.06</v>
      </c>
      <c r="EF499" s="363" t="s">
        <v>1854</v>
      </c>
    </row>
    <row r="500" spans="52:139">
      <c r="BB500" s="360"/>
      <c r="BC500" s="362"/>
      <c r="BD500" s="386"/>
      <c r="BE500" s="391"/>
      <c r="BF500" s="363"/>
      <c r="BG500" s="115"/>
      <c r="CB500" s="360"/>
      <c r="CC500" s="362"/>
      <c r="CD500" s="386"/>
      <c r="CE500" s="391"/>
      <c r="CF500" s="363"/>
      <c r="CG500" s="115"/>
      <c r="DB500" s="360"/>
      <c r="DC500" s="362"/>
      <c r="DD500" s="386"/>
      <c r="DE500" s="391"/>
      <c r="DF500" s="363"/>
      <c r="DG500" s="115"/>
      <c r="EB500" s="360"/>
      <c r="EC500" s="362"/>
      <c r="ED500" s="386"/>
      <c r="EE500" s="391"/>
      <c r="EF500" s="363"/>
      <c r="EG500" s="115"/>
    </row>
    <row r="501" spans="52:139">
      <c r="BB501" s="1607" t="s">
        <v>1861</v>
      </c>
      <c r="BC501" s="1248"/>
      <c r="BD501" s="1605">
        <f>BE501*(1+BE501)^BC23/((1+BE501)^BC23-1)*BD454</f>
        <v>7981217.750739242</v>
      </c>
      <c r="BE501" s="1618">
        <f>'CM Rec Par.'!$C$9</f>
        <v>0.01</v>
      </c>
      <c r="BF501" s="1647" t="s">
        <v>1860</v>
      </c>
      <c r="BH501" s="1010">
        <f>BD501/BC$25/1000</f>
        <v>0.79812177507392412</v>
      </c>
      <c r="BI501" s="111" t="s">
        <v>1867</v>
      </c>
      <c r="CB501" s="1607" t="s">
        <v>1861</v>
      </c>
      <c r="CC501" s="1248"/>
      <c r="CD501" s="1605">
        <f>CE501*(1+CE501)^CC23/((1+CE501)^CC23-1)*CD454</f>
        <v>4196252.7221673662</v>
      </c>
      <c r="CE501" s="1618">
        <f>'CM Rec Par.'!$C$9</f>
        <v>0.01</v>
      </c>
      <c r="CF501" s="1647" t="s">
        <v>1860</v>
      </c>
      <c r="CH501" s="1010">
        <f>CD501/CC$25/1000</f>
        <v>0.41962527221673662</v>
      </c>
      <c r="CI501" s="111" t="s">
        <v>1867</v>
      </c>
      <c r="DB501" s="1607" t="s">
        <v>1861</v>
      </c>
      <c r="DC501" s="1248"/>
      <c r="DD501" s="1605">
        <f>DE501*(1+DE501)^DC23/((1+DE501)^DC23-1)*DD454</f>
        <v>6013678.5616470343</v>
      </c>
      <c r="DE501" s="1618">
        <f>'CM Rec Par.'!$C$9</f>
        <v>0.01</v>
      </c>
      <c r="DF501" s="1647" t="s">
        <v>1860</v>
      </c>
      <c r="DH501" s="1010">
        <f>DD501/DC$25/1000</f>
        <v>0.60136785616470345</v>
      </c>
      <c r="DI501" s="111" t="s">
        <v>1867</v>
      </c>
      <c r="EB501" s="1607" t="s">
        <v>1861</v>
      </c>
      <c r="EC501" s="1248"/>
      <c r="ED501" s="1605">
        <f>EE501*(1+EE501)^EC24/((1+EE501)^EC24-1)*ED454</f>
        <v>4569043.8824622771</v>
      </c>
      <c r="EE501" s="1618">
        <f>'CM Rec Par.'!$C$9</f>
        <v>0.01</v>
      </c>
      <c r="EF501" s="1647" t="s">
        <v>1860</v>
      </c>
      <c r="EH501" s="1010">
        <f>ED501/EC$26/1000</f>
        <v>0.4569043882462277</v>
      </c>
      <c r="EI501" s="111" t="s">
        <v>1867</v>
      </c>
    </row>
    <row r="502" spans="52:139">
      <c r="BB502" s="360"/>
      <c r="BC502" s="362"/>
      <c r="BD502" s="392"/>
      <c r="BE502" s="391"/>
      <c r="BF502" s="363"/>
      <c r="CB502" s="360"/>
      <c r="CC502" s="362"/>
      <c r="CD502" s="392"/>
      <c r="CE502" s="391"/>
      <c r="CF502" s="363"/>
      <c r="DB502" s="360"/>
      <c r="DC502" s="362"/>
      <c r="DD502" s="392"/>
      <c r="DE502" s="391"/>
      <c r="DF502" s="363"/>
      <c r="EB502" s="360"/>
      <c r="EC502" s="362"/>
      <c r="ED502" s="392"/>
      <c r="EE502" s="391"/>
      <c r="EF502" s="363"/>
    </row>
    <row r="503" spans="52:139" ht="14.5" thickBot="1">
      <c r="BB503" s="1620" t="s">
        <v>1862</v>
      </c>
      <c r="BC503" s="1621"/>
      <c r="BD503" s="1624">
        <f ca="1">IF(BD505=0,0,BD476+BD501)</f>
        <v>47326688.973656125</v>
      </c>
      <c r="BE503" s="1622"/>
      <c r="BF503" s="1623"/>
      <c r="BG503" s="646"/>
      <c r="BH503" s="1010">
        <f ca="1">BD503/BC$25/1000</f>
        <v>4.7326688973656124</v>
      </c>
      <c r="BI503" s="111" t="s">
        <v>1868</v>
      </c>
      <c r="CB503" s="1620" t="s">
        <v>1862</v>
      </c>
      <c r="CC503" s="1621"/>
      <c r="CD503" s="1624">
        <f ca="1">IF(CD505=0,0,CD476+CD501)</f>
        <v>50853182.178253561</v>
      </c>
      <c r="CE503" s="1622"/>
      <c r="CF503" s="1623"/>
      <c r="CG503" s="646"/>
      <c r="CH503" s="1010">
        <f ca="1">CD503/CC$25/1000</f>
        <v>5.0853182178253569</v>
      </c>
      <c r="CI503" s="111" t="s">
        <v>1868</v>
      </c>
      <c r="DB503" s="1620" t="s">
        <v>1862</v>
      </c>
      <c r="DC503" s="1621"/>
      <c r="DD503" s="1624">
        <f ca="1">IF(DD505=0,0,DD476+DD501)</f>
        <v>65905495.12131951</v>
      </c>
      <c r="DE503" s="1622"/>
      <c r="DF503" s="1623"/>
      <c r="DG503" s="646"/>
      <c r="DH503" s="1010">
        <f ca="1">DD503/DC$25/1000</f>
        <v>6.5905495121319513</v>
      </c>
      <c r="DI503" s="111" t="s">
        <v>1868</v>
      </c>
      <c r="EB503" s="1620" t="s">
        <v>1862</v>
      </c>
      <c r="EC503" s="1621"/>
      <c r="ED503" s="1624">
        <f ca="1">IF(ED505=0,0,ED476+ED501)</f>
        <v>57379241.570405416</v>
      </c>
      <c r="EE503" s="1622"/>
      <c r="EF503" s="1623"/>
      <c r="EG503" s="646"/>
      <c r="EH503" s="1010">
        <f ca="1">ED503/EC$26/1000</f>
        <v>5.7379241570405419</v>
      </c>
      <c r="EI503" s="111" t="s">
        <v>1868</v>
      </c>
    </row>
    <row r="504" spans="52:139">
      <c r="BB504" s="411"/>
      <c r="BC504" s="218"/>
      <c r="BD504" s="429"/>
      <c r="BE504" s="430"/>
      <c r="CB504" s="411"/>
      <c r="CC504" s="218"/>
      <c r="CD504" s="429"/>
      <c r="CE504" s="430"/>
      <c r="DB504" s="411"/>
      <c r="DC504" s="218"/>
      <c r="DD504" s="429"/>
      <c r="DE504" s="430"/>
      <c r="EB504" s="411"/>
      <c r="EC504" s="218"/>
      <c r="ED504" s="429"/>
      <c r="EE504" s="430"/>
    </row>
    <row r="505" spans="52:139" ht="14.15" customHeight="1">
      <c r="BB505" s="1613" t="s">
        <v>504</v>
      </c>
      <c r="BC505" s="1614"/>
      <c r="BD505" s="1615">
        <f>Output!K33</f>
        <v>1</v>
      </c>
      <c r="BE505" s="430"/>
      <c r="CB505" s="1613" t="s">
        <v>504</v>
      </c>
      <c r="CC505" s="1614"/>
      <c r="CD505" s="1615">
        <f>Output!K33</f>
        <v>1</v>
      </c>
      <c r="CE505" s="430"/>
      <c r="DB505" s="1613" t="s">
        <v>504</v>
      </c>
      <c r="DC505" s="1614"/>
      <c r="DD505" s="1615">
        <f>Output!K33</f>
        <v>1</v>
      </c>
      <c r="DE505" s="430"/>
      <c r="EB505" s="1613" t="s">
        <v>504</v>
      </c>
      <c r="EC505" s="1614"/>
      <c r="ED505" s="1615">
        <f>Output!K33</f>
        <v>1</v>
      </c>
      <c r="EE505" s="430"/>
    </row>
    <row r="506" spans="52:139" ht="14.15" customHeight="1">
      <c r="BD506" s="429"/>
      <c r="BE506" s="430"/>
      <c r="CD506" s="429"/>
      <c r="CE506" s="430"/>
      <c r="DD506" s="429"/>
      <c r="DE506" s="430"/>
      <c r="ED506" s="429"/>
      <c r="EE506" s="430"/>
    </row>
    <row r="507" spans="52:139" ht="14.15" customHeight="1" thickBot="1"/>
    <row r="508" spans="52:139" ht="14.15" customHeight="1">
      <c r="BA508" s="114" t="s">
        <v>478</v>
      </c>
      <c r="BB508" s="431" t="str">
        <f>BB54</f>
        <v>Hopper</v>
      </c>
      <c r="BC508" s="432"/>
      <c r="BD508" s="433"/>
      <c r="BE508" s="434"/>
      <c r="BF508" s="435"/>
      <c r="BG508" s="409"/>
      <c r="CA508" s="114" t="s">
        <v>478</v>
      </c>
      <c r="CB508" s="431" t="str">
        <f>CB54</f>
        <v>Conveyor</v>
      </c>
      <c r="CC508" s="432"/>
      <c r="CD508" s="433"/>
      <c r="CE508" s="434"/>
      <c r="CF508" s="435"/>
      <c r="CG508" s="409"/>
      <c r="CZ508"/>
      <c r="DA508" s="114" t="s">
        <v>478</v>
      </c>
      <c r="DB508" s="431" t="str">
        <f>DB54</f>
        <v>Conveyor</v>
      </c>
      <c r="DC508" s="432"/>
      <c r="DD508" s="433"/>
      <c r="DE508" s="434"/>
      <c r="DF508" s="435"/>
      <c r="DG508" s="409"/>
      <c r="EA508" s="114" t="s">
        <v>478</v>
      </c>
      <c r="EB508" s="431" t="str">
        <f>EB56</f>
        <v>Conveyor</v>
      </c>
      <c r="EC508" s="432"/>
      <c r="ED508" s="433"/>
      <c r="EE508" s="434"/>
      <c r="EF508" s="435"/>
      <c r="EG508" s="409"/>
    </row>
    <row r="509" spans="52:139" ht="14.15" customHeight="1">
      <c r="BA509" s="114" t="s">
        <v>5</v>
      </c>
      <c r="BB509" s="436" t="s">
        <v>1</v>
      </c>
      <c r="BC509" s="437">
        <f>BC$25/BC$22/BC$21*VLOOKUP(BB508,'Unit Ops'!$B$140:$J$209,2,FALSE)</f>
        <v>0.92592592592592593</v>
      </c>
      <c r="BD509" s="438" t="s">
        <v>586</v>
      </c>
      <c r="BE509" s="1027">
        <f>BC509*BC$310*BC$311</f>
        <v>10000</v>
      </c>
      <c r="BF509" s="439" t="s">
        <v>585</v>
      </c>
      <c r="BG509" s="409"/>
      <c r="CA509" s="114" t="s">
        <v>5</v>
      </c>
      <c r="CB509" s="436" t="s">
        <v>1</v>
      </c>
      <c r="CC509" s="437">
        <f>CC$25/CC$22/CC$21*VLOOKUP(CB508,'Unit Ops'!$B$140:$J$209,2,FALSE)</f>
        <v>0.91324200913242004</v>
      </c>
      <c r="CD509" s="438" t="s">
        <v>586</v>
      </c>
      <c r="CE509" s="1027">
        <f>CC509*CC$310*CC$311</f>
        <v>10000</v>
      </c>
      <c r="CF509" s="439" t="s">
        <v>585</v>
      </c>
      <c r="CG509" s="409"/>
      <c r="CZ509"/>
      <c r="DA509" s="114" t="s">
        <v>5</v>
      </c>
      <c r="DB509" s="436" t="s">
        <v>1</v>
      </c>
      <c r="DC509" s="437">
        <f>DC$25/DC$22/DC$21*VLOOKUP(DB508,'Unit Ops'!$B$140:$J$209,2,FALSE)</f>
        <v>0.92592592592592593</v>
      </c>
      <c r="DD509" s="438" t="s">
        <v>586</v>
      </c>
      <c r="DE509" s="1027">
        <f>DC509*DC$310*DC$311</f>
        <v>10000</v>
      </c>
      <c r="DF509" s="439" t="s">
        <v>585</v>
      </c>
      <c r="DG509" s="409"/>
      <c r="EA509" s="114" t="s">
        <v>5</v>
      </c>
      <c r="EB509" s="436" t="s">
        <v>1</v>
      </c>
      <c r="EC509" s="437">
        <f>EC$26/EC$23/EC$22*VLOOKUP(EB508,'Unit Ops'!$B$140:$J$209,2,FALSE)</f>
        <v>1.3020833333333333</v>
      </c>
      <c r="ED509" s="438" t="s">
        <v>586</v>
      </c>
      <c r="EE509" s="1027">
        <f>EC509*EC$310*EC$311</f>
        <v>10000</v>
      </c>
      <c r="EF509" s="439" t="s">
        <v>585</v>
      </c>
      <c r="EG509" s="409"/>
    </row>
    <row r="510" spans="52:139" ht="14.15" customHeight="1">
      <c r="AZ510"/>
      <c r="BA510" s="114" t="str">
        <f>$BB$54</f>
        <v>Hopper</v>
      </c>
      <c r="BB510" s="436" t="s">
        <v>505</v>
      </c>
      <c r="BC510" s="437">
        <f>ROUNDUP(BC509*IF(VLOOKUP(BB508,'Unit Ops'!$B$140:$L$209,11,FALSE)=1,1.5,0.75),1)</f>
        <v>0.7</v>
      </c>
      <c r="BD510" s="438" t="s">
        <v>586</v>
      </c>
      <c r="BE510" s="120">
        <f>BC510*BC$310*BC$311</f>
        <v>7560</v>
      </c>
      <c r="BF510" s="439" t="s">
        <v>585</v>
      </c>
      <c r="BG510" s="409"/>
      <c r="BZ510"/>
      <c r="CA510" s="114" t="str">
        <f>$CB$54</f>
        <v>Conveyor</v>
      </c>
      <c r="CB510" s="436" t="s">
        <v>505</v>
      </c>
      <c r="CC510" s="437">
        <f>ROUNDUP(CC509*IF(VLOOKUP(CB508,'Unit Ops'!$B$140:$L$209,11,FALSE)=1,1.5,0.75),1)</f>
        <v>0.7</v>
      </c>
      <c r="CD510" s="438" t="s">
        <v>586</v>
      </c>
      <c r="CE510" s="120">
        <f>CC510*CC$310*CC$311</f>
        <v>7665</v>
      </c>
      <c r="CF510" s="439" t="s">
        <v>585</v>
      </c>
      <c r="CG510" s="409"/>
      <c r="CZ510"/>
      <c r="DA510" s="114" t="str">
        <f>$DB$54</f>
        <v>Conveyor</v>
      </c>
      <c r="DB510" s="436" t="s">
        <v>505</v>
      </c>
      <c r="DC510" s="437">
        <f>ROUNDUP(DC509*IF(VLOOKUP(DB508,'Unit Ops'!$B$140:$L$209,11,FALSE)=1,1.5,0.75),1)</f>
        <v>0.7</v>
      </c>
      <c r="DD510" s="438" t="s">
        <v>586</v>
      </c>
      <c r="DE510" s="120">
        <f>DC510*DC$310*DC$311</f>
        <v>7560</v>
      </c>
      <c r="DF510" s="439" t="s">
        <v>585</v>
      </c>
      <c r="DG510" s="409"/>
      <c r="DZ510"/>
      <c r="EA510" s="114" t="str">
        <f>$EB$56</f>
        <v>Conveyor</v>
      </c>
      <c r="EB510" s="436" t="s">
        <v>505</v>
      </c>
      <c r="EC510" s="437">
        <f>ROUNDUP(EC509*IF(VLOOKUP(EB508,'Unit Ops'!$B$140:$L$209,11,FALSE)=1,1.5,0.75),1)</f>
        <v>1</v>
      </c>
      <c r="ED510" s="438" t="s">
        <v>586</v>
      </c>
      <c r="EE510" s="120">
        <f>EC510*EC$310*EC$311</f>
        <v>7680</v>
      </c>
      <c r="EF510" s="439" t="s">
        <v>585</v>
      </c>
      <c r="EG510" s="409"/>
    </row>
    <row r="511" spans="52:139" ht="14.15" customHeight="1">
      <c r="AZ511"/>
      <c r="BA511" s="114" t="str">
        <f>$BB$55</f>
        <v>Conveyor</v>
      </c>
      <c r="BB511" s="441" t="s">
        <v>521</v>
      </c>
      <c r="BC511" s="442">
        <f>BC509/BC510</f>
        <v>1.3227513227513228</v>
      </c>
      <c r="BD511" s="438"/>
      <c r="BE511" s="443"/>
      <c r="BF511" s="440"/>
      <c r="BG511" s="444"/>
      <c r="BZ511"/>
      <c r="CA511" s="114" t="str">
        <f>$CB$55</f>
        <v>Leaching tank</v>
      </c>
      <c r="CB511" s="441" t="s">
        <v>521</v>
      </c>
      <c r="CC511" s="442">
        <f>CC509/CC510</f>
        <v>1.3046314416177429</v>
      </c>
      <c r="CD511" s="438"/>
      <c r="CE511" s="443"/>
      <c r="CF511" s="440"/>
      <c r="CG511" s="444"/>
      <c r="CZ511"/>
      <c r="DA511" s="114" t="str">
        <f>$DB$55</f>
        <v>Froth flotation cell</v>
      </c>
      <c r="DB511" s="441" t="s">
        <v>521</v>
      </c>
      <c r="DC511" s="442">
        <f>DC509/DC510</f>
        <v>1.3227513227513228</v>
      </c>
      <c r="DD511" s="438"/>
      <c r="DE511" s="443"/>
      <c r="DF511" s="440"/>
      <c r="DG511" s="444"/>
      <c r="DZ511"/>
      <c r="EA511" s="114" t="str">
        <f>$EB$57</f>
        <v>Leaching tank</v>
      </c>
      <c r="EB511" s="441" t="s">
        <v>521</v>
      </c>
      <c r="EC511" s="442">
        <f>EC509/EC510</f>
        <v>1.3020833333333333</v>
      </c>
      <c r="ED511" s="438"/>
      <c r="EE511" s="443"/>
      <c r="EF511" s="440"/>
      <c r="EG511" s="444"/>
    </row>
    <row r="512" spans="52:139" ht="14.15" customHeight="1">
      <c r="AZ512"/>
      <c r="BA512" s="114" t="str">
        <f>$BB$56</f>
        <v>Smelter</v>
      </c>
      <c r="BB512" s="441" t="s">
        <v>506</v>
      </c>
      <c r="BC512" s="445"/>
      <c r="BD512" s="438" t="s">
        <v>454</v>
      </c>
      <c r="BE512" s="443"/>
      <c r="BF512" s="440"/>
      <c r="BG512" s="409"/>
      <c r="BZ512"/>
      <c r="CA512" s="114" t="str">
        <f>$CB$56</f>
        <v>Mixing tank</v>
      </c>
      <c r="CB512" s="441" t="s">
        <v>506</v>
      </c>
      <c r="CC512" s="445"/>
      <c r="CD512" s="438" t="s">
        <v>454</v>
      </c>
      <c r="CE512" s="443"/>
      <c r="CF512" s="440"/>
      <c r="CG512" s="409"/>
      <c r="CZ512"/>
      <c r="DA512" s="114" t="str">
        <f>$DB$56</f>
        <v>Filter press</v>
      </c>
      <c r="DB512" s="441" t="s">
        <v>506</v>
      </c>
      <c r="DC512" s="445"/>
      <c r="DD512" s="438" t="s">
        <v>454</v>
      </c>
      <c r="DE512" s="443"/>
      <c r="DF512" s="440"/>
      <c r="DG512" s="409"/>
      <c r="DZ512"/>
      <c r="EA512" s="114" t="str">
        <f>$EB$58</f>
        <v>Mixing tank</v>
      </c>
      <c r="EB512" s="441" t="s">
        <v>506</v>
      </c>
      <c r="EC512" s="445"/>
      <c r="ED512" s="438" t="s">
        <v>454</v>
      </c>
      <c r="EE512" s="443"/>
      <c r="EF512" s="440"/>
      <c r="EG512" s="409"/>
    </row>
    <row r="513" spans="52:138" ht="14.15" customHeight="1">
      <c r="AZ513"/>
      <c r="BA513" s="114" t="str">
        <f>$BB$57</f>
        <v>Gas treatment</v>
      </c>
      <c r="BB513" s="436" t="s">
        <v>507</v>
      </c>
      <c r="BC513" s="225">
        <f>(VLOOKUP(BB508,'Unit Ops'!$B$140:$J$209,7,FALSE)*BC510^VLOOKUP(BB508,'Unit Ops'!$B$140:$J$209,8,FALSE)+VLOOKUP(BB508,'Unit Ops'!$B$140:$J$209,9,FALSE))*IF(VLOOKUP(BB508,'Unit Ops'!$B$140:$L$209,11,FALSE)=1,1,2)</f>
        <v>29.828000000000003</v>
      </c>
      <c r="BD513" s="446" t="s">
        <v>454</v>
      </c>
      <c r="BE513" s="443"/>
      <c r="BF513" s="440"/>
      <c r="BG513" s="409"/>
      <c r="BZ513"/>
      <c r="CA513" s="114" t="str">
        <f>$CB$57</f>
        <v>Filter press</v>
      </c>
      <c r="CB513" s="436" t="s">
        <v>507</v>
      </c>
      <c r="CC513" s="225">
        <f>(VLOOKUP(CB508,'Unit Ops'!$B$140:$J$209,7,FALSE)*CC510^VLOOKUP(CB508,'Unit Ops'!$B$140:$J$209,8,FALSE)+VLOOKUP(CB508,'Unit Ops'!$B$140:$J$209,9,FALSE))*IF(VLOOKUP(CB508,'Unit Ops'!$B$140:$L$209,11,FALSE)=1,1,2)</f>
        <v>29.828000000000003</v>
      </c>
      <c r="CD513" s="446" t="s">
        <v>454</v>
      </c>
      <c r="CE513" s="443"/>
      <c r="CF513" s="440"/>
      <c r="CG513" s="409"/>
      <c r="CZ513"/>
      <c r="DA513" s="114" t="str">
        <f>$DB$57</f>
        <v>Froth flotation cell</v>
      </c>
      <c r="DB513" s="436" t="s">
        <v>507</v>
      </c>
      <c r="DC513" s="225">
        <f>(VLOOKUP(DB508,'Unit Ops'!$B$140:$J$209,7,FALSE)*DC510^VLOOKUP(DB508,'Unit Ops'!$B$140:$J$209,8,FALSE)+VLOOKUP(DB508,'Unit Ops'!$B$140:$J$209,9,FALSE))*IF(VLOOKUP(DB508,'Unit Ops'!$B$140:$L$209,11,FALSE)=1,1,2)</f>
        <v>29.828000000000003</v>
      </c>
      <c r="DD513" s="446" t="s">
        <v>454</v>
      </c>
      <c r="DE513" s="443"/>
      <c r="DF513" s="440"/>
      <c r="DG513" s="409"/>
      <c r="DZ513"/>
      <c r="EA513" s="114" t="str">
        <f>$EB$59</f>
        <v>Filter press</v>
      </c>
      <c r="EB513" s="436" t="s">
        <v>507</v>
      </c>
      <c r="EC513" s="225">
        <f>(VLOOKUP(EB508,'Unit Ops'!$B$140:$J$209,7,FALSE)*EC510^VLOOKUP(EB508,'Unit Ops'!$B$140:$J$209,8,FALSE)+VLOOKUP(EB508,'Unit Ops'!$B$140:$J$209,9,FALSE))*IF(VLOOKUP(EB508,'Unit Ops'!$B$140:$L$209,11,FALSE)=1,1,2)</f>
        <v>29.828000000000003</v>
      </c>
      <c r="ED513" s="446" t="s">
        <v>454</v>
      </c>
      <c r="EE513" s="443"/>
      <c r="EF513" s="440"/>
      <c r="EG513" s="409"/>
    </row>
    <row r="514" spans="52:138" ht="14.15" customHeight="1">
      <c r="AZ514"/>
      <c r="BA514" s="114" t="str">
        <f>$BB$58</f>
        <v>Conveyor</v>
      </c>
      <c r="BB514" s="441"/>
      <c r="BC514" s="445"/>
      <c r="BD514" s="447"/>
      <c r="BE514" s="443"/>
      <c r="BF514" s="440"/>
      <c r="BG514" s="409"/>
      <c r="BH514" s="407"/>
      <c r="BI514" s="407"/>
      <c r="BL514" s="448"/>
      <c r="BM514" s="448"/>
      <c r="BZ514"/>
      <c r="CA514" s="114" t="str">
        <f>$CB$58</f>
        <v>Solvent extraction unit</v>
      </c>
      <c r="CB514" s="441"/>
      <c r="CC514" s="445"/>
      <c r="CD514" s="447"/>
      <c r="CE514" s="443"/>
      <c r="CF514" s="440"/>
      <c r="CG514" s="409"/>
      <c r="CH514" s="407"/>
      <c r="CI514" s="407"/>
      <c r="CZ514"/>
      <c r="DA514" s="114" t="str">
        <f>$DB$58</f>
        <v>Filter press</v>
      </c>
      <c r="DB514" s="441"/>
      <c r="DC514" s="445"/>
      <c r="DD514" s="447"/>
      <c r="DE514" s="443"/>
      <c r="DF514" s="440"/>
      <c r="DG514" s="409"/>
      <c r="DH514" s="407"/>
      <c r="DZ514"/>
      <c r="EA514" s="114" t="str">
        <f>$EB$60</f>
        <v>Solvent extraction unit</v>
      </c>
      <c r="EB514" s="441"/>
      <c r="EC514" s="445"/>
      <c r="ED514" s="447"/>
      <c r="EE514" s="443"/>
      <c r="EF514" s="440"/>
      <c r="EG514" s="409"/>
      <c r="EH514" s="407"/>
    </row>
    <row r="515" spans="52:138" ht="14.15" customHeight="1">
      <c r="AZ515"/>
      <c r="BA515" s="114" t="str">
        <f>$BB$59</f>
        <v>Granulator</v>
      </c>
      <c r="BB515" s="441"/>
      <c r="BC515" s="445"/>
      <c r="BD515" s="447"/>
      <c r="BE515" s="443"/>
      <c r="BF515" s="440"/>
      <c r="BG515" s="444"/>
      <c r="BH515" s="407"/>
      <c r="BI515" s="407"/>
      <c r="BK515" s="448"/>
      <c r="BL515" s="448"/>
      <c r="BM515" s="448"/>
      <c r="BZ515"/>
      <c r="CA515" s="114" t="str">
        <f>$CB$59</f>
        <v>Solvent extraction unit</v>
      </c>
      <c r="CB515" s="441"/>
      <c r="CC515" s="445"/>
      <c r="CD515" s="447"/>
      <c r="CE515" s="443"/>
      <c r="CF515" s="440"/>
      <c r="CG515" s="444"/>
      <c r="CH515" s="407"/>
      <c r="CI515" s="407"/>
      <c r="CZ515"/>
      <c r="DA515" s="114" t="str">
        <f>$DB$59</f>
        <v>Dryer</v>
      </c>
      <c r="DB515" s="441"/>
      <c r="DC515" s="445"/>
      <c r="DD515" s="447"/>
      <c r="DE515" s="443"/>
      <c r="DF515" s="440"/>
      <c r="DG515" s="444"/>
      <c r="DH515" s="407"/>
      <c r="DZ515"/>
      <c r="EA515" s="114" t="str">
        <f>$EB$61</f>
        <v>Solvent extraction unit</v>
      </c>
      <c r="EB515" s="441"/>
      <c r="EC515" s="445"/>
      <c r="ED515" s="447"/>
      <c r="EE515" s="443"/>
      <c r="EF515" s="440"/>
      <c r="EG515" s="444"/>
      <c r="EH515" s="407"/>
    </row>
    <row r="516" spans="52:138" ht="14.15" customHeight="1">
      <c r="AZ516"/>
      <c r="BA516" s="114" t="str">
        <f>$BB$60</f>
        <v>Leaching tank</v>
      </c>
      <c r="BB516" s="449"/>
      <c r="BC516" s="445"/>
      <c r="BD516" s="447"/>
      <c r="BE516" s="443"/>
      <c r="BF516" s="440"/>
      <c r="BG516" s="409"/>
      <c r="BH516" s="407"/>
      <c r="BI516" s="407"/>
      <c r="BJ516" s="448"/>
      <c r="BK516" s="448"/>
      <c r="BL516" s="448"/>
      <c r="BM516" s="448"/>
      <c r="BZ516"/>
      <c r="CA516" s="114" t="str">
        <f>$CB$60</f>
        <v>Solvent extraction unit</v>
      </c>
      <c r="CB516" s="449"/>
      <c r="CC516" s="445"/>
      <c r="CD516" s="447"/>
      <c r="CE516" s="443"/>
      <c r="CF516" s="440"/>
      <c r="CG516" s="409"/>
      <c r="CH516" s="407"/>
      <c r="CI516" s="407"/>
      <c r="CZ516"/>
      <c r="DA516" s="114" t="str">
        <f>$DB$60</f>
        <v>Ball mill</v>
      </c>
      <c r="DB516" s="449"/>
      <c r="DC516" s="445"/>
      <c r="DD516" s="447"/>
      <c r="DE516" s="443"/>
      <c r="DF516" s="440"/>
      <c r="DG516" s="409"/>
      <c r="DH516" s="407"/>
      <c r="DZ516"/>
      <c r="EA516" s="114" t="str">
        <f>$EB$62</f>
        <v>Solvent extraction unit</v>
      </c>
      <c r="EB516" s="449"/>
      <c r="EC516" s="445"/>
      <c r="ED516" s="447"/>
      <c r="EE516" s="443"/>
      <c r="EF516" s="440"/>
      <c r="EG516" s="409"/>
      <c r="EH516" s="407"/>
    </row>
    <row r="517" spans="52:138" ht="14.15" customHeight="1" thickBot="1">
      <c r="AZ517"/>
      <c r="BA517" s="114" t="str">
        <f>$BB$61</f>
        <v>Solvent extraction unit</v>
      </c>
      <c r="BB517" s="450"/>
      <c r="BC517" s="451"/>
      <c r="BD517" s="451"/>
      <c r="BE517" s="452"/>
      <c r="BF517" s="453"/>
      <c r="BG517" s="409"/>
      <c r="BH517" s="407"/>
      <c r="BI517" s="407"/>
      <c r="BJ517" s="448"/>
      <c r="BK517" s="448"/>
      <c r="BL517" s="448"/>
      <c r="BM517" s="448"/>
      <c r="BZ517"/>
      <c r="CA517" s="114" t="str">
        <f>$CB$61</f>
        <v>Evaporator</v>
      </c>
      <c r="CB517" s="450"/>
      <c r="CC517" s="451"/>
      <c r="CD517" s="451"/>
      <c r="CE517" s="452"/>
      <c r="CF517" s="453"/>
      <c r="CG517" s="409"/>
      <c r="CH517" s="407"/>
      <c r="CI517" s="407"/>
      <c r="CZ517"/>
      <c r="DA517" s="114" t="str">
        <f>$DB$61</f>
        <v>Furnace+saggar handling system</v>
      </c>
      <c r="DB517" s="450"/>
      <c r="DC517" s="451"/>
      <c r="DD517" s="451"/>
      <c r="DE517" s="452"/>
      <c r="DF517" s="453"/>
      <c r="DG517" s="409"/>
      <c r="DH517" s="407"/>
      <c r="DZ517"/>
      <c r="EA517" s="114" t="str">
        <f>$EB$63</f>
        <v>Evaporator</v>
      </c>
      <c r="EB517" s="450"/>
      <c r="EC517" s="451"/>
      <c r="ED517" s="451"/>
      <c r="EE517" s="452"/>
      <c r="EF517" s="453"/>
      <c r="EG517" s="409"/>
      <c r="EH517" s="407"/>
    </row>
    <row r="518" spans="52:138" ht="14.15" customHeight="1">
      <c r="AZ518"/>
      <c r="BA518" s="114" t="str">
        <f>$BB$62</f>
        <v>Electrowinning cell</v>
      </c>
      <c r="BB518" s="449" t="s">
        <v>470</v>
      </c>
      <c r="BC518" s="120"/>
      <c r="BD518" s="454"/>
      <c r="BE518" s="120"/>
      <c r="BF518" s="440"/>
      <c r="BG518" s="409"/>
      <c r="BH518" s="407"/>
      <c r="BI518" s="407"/>
      <c r="BJ518" s="448"/>
      <c r="BK518" s="448"/>
      <c r="BL518" s="448"/>
      <c r="BM518" s="448"/>
      <c r="BZ518"/>
      <c r="CA518" s="114" t="str">
        <f>$CB$62</f>
        <v>Precipitation tank</v>
      </c>
      <c r="CB518" s="449" t="s">
        <v>470</v>
      </c>
      <c r="CC518" s="120"/>
      <c r="CD518" s="454"/>
      <c r="CE518" s="120"/>
      <c r="CF518" s="440"/>
      <c r="CG518" s="409"/>
      <c r="CH518" s="407"/>
      <c r="CI518" s="407"/>
      <c r="CZ518"/>
      <c r="DA518" s="114" t="str">
        <f>$DB$62</f>
        <v>Water treatment</v>
      </c>
      <c r="DB518" s="449" t="s">
        <v>470</v>
      </c>
      <c r="DC518" s="120"/>
      <c r="DD518" s="454"/>
      <c r="DE518" s="120"/>
      <c r="DF518" s="440"/>
      <c r="DG518" s="409"/>
      <c r="DH518" s="407"/>
      <c r="DZ518"/>
      <c r="EA518" s="114" t="str">
        <f>$EB$64</f>
        <v>Precipitation tank</v>
      </c>
      <c r="EB518" s="449" t="s">
        <v>470</v>
      </c>
      <c r="EC518" s="120"/>
      <c r="ED518" s="454"/>
      <c r="EE518" s="120"/>
      <c r="EF518" s="440"/>
      <c r="EG518" s="409"/>
      <c r="EH518" s="407"/>
    </row>
    <row r="519" spans="52:138" ht="14.15" customHeight="1">
      <c r="AZ519"/>
      <c r="BA519" s="114" t="str">
        <f>$BB$63</f>
        <v>Solvent extraction unit</v>
      </c>
      <c r="BB519" s="1698"/>
      <c r="BC519" s="1699"/>
      <c r="BD519" s="1699"/>
      <c r="BE519" s="1699"/>
      <c r="BF519" s="1700"/>
      <c r="BG519" s="444"/>
      <c r="BH519" s="407"/>
      <c r="BI519" s="407"/>
      <c r="BJ519" s="448"/>
      <c r="BK519" s="448"/>
      <c r="BL519" s="448"/>
      <c r="BM519" s="448"/>
      <c r="BZ519"/>
      <c r="CA519" s="114" t="str">
        <f>$CB$63</f>
        <v>Centrifuge</v>
      </c>
      <c r="CB519" s="1698"/>
      <c r="CC519" s="1699"/>
      <c r="CD519" s="1699"/>
      <c r="CE519" s="1699"/>
      <c r="CF519" s="1700"/>
      <c r="CG519" s="444"/>
      <c r="CH519" s="407"/>
      <c r="CI519" s="407"/>
      <c r="CZ519"/>
      <c r="DA519" s="114" t="str">
        <f>$DB$63</f>
        <v>Wheel loader</v>
      </c>
      <c r="DB519" s="1698"/>
      <c r="DC519" s="1699"/>
      <c r="DD519" s="1699"/>
      <c r="DE519" s="1699"/>
      <c r="DF519" s="1700"/>
      <c r="DG519" s="444"/>
      <c r="DH519" s="407"/>
      <c r="DZ519"/>
      <c r="EA519" s="114" t="str">
        <f>$EB$65</f>
        <v>Centrifuge</v>
      </c>
      <c r="EB519" s="1698"/>
      <c r="EC519" s="1699"/>
      <c r="ED519" s="1699"/>
      <c r="EE519" s="1699"/>
      <c r="EF519" s="1700"/>
      <c r="EG519" s="444"/>
      <c r="EH519" s="407"/>
    </row>
    <row r="520" spans="52:138" ht="14.15" customHeight="1">
      <c r="AZ520"/>
      <c r="BA520" s="114" t="str">
        <f>$BB$64</f>
        <v>Solvent extraction unit</v>
      </c>
      <c r="BB520" s="436"/>
      <c r="BC520" s="120"/>
      <c r="BD520" s="455"/>
      <c r="BE520" s="120"/>
      <c r="BF520" s="440"/>
      <c r="BG520" s="409"/>
      <c r="BH520" s="407"/>
      <c r="BI520" s="407"/>
      <c r="BJ520" s="448"/>
      <c r="BK520" s="448"/>
      <c r="BL520" s="448"/>
      <c r="BM520" s="448"/>
      <c r="BZ520"/>
      <c r="CA520" s="114" t="str">
        <f>$CB$64</f>
        <v>Dryer</v>
      </c>
      <c r="CB520" s="436"/>
      <c r="CC520" s="120"/>
      <c r="CD520" s="455"/>
      <c r="CE520" s="120"/>
      <c r="CF520" s="440"/>
      <c r="CG520" s="409"/>
      <c r="CH520" s="407"/>
      <c r="CI520" s="407"/>
      <c r="CZ520"/>
      <c r="DA520" s="114" t="str">
        <f>$DB$64</f>
        <v>Select Equipment</v>
      </c>
      <c r="DB520" s="436"/>
      <c r="DC520" s="120"/>
      <c r="DD520" s="455"/>
      <c r="DE520" s="120"/>
      <c r="DF520" s="440"/>
      <c r="DG520" s="409"/>
      <c r="DH520" s="407"/>
      <c r="DZ520"/>
      <c r="EA520" s="114" t="str">
        <f>$EB$66</f>
        <v>Dryer</v>
      </c>
      <c r="EB520" s="436"/>
      <c r="EC520" s="120"/>
      <c r="ED520" s="455"/>
      <c r="EE520" s="120"/>
      <c r="EF520" s="440"/>
      <c r="EG520" s="409"/>
      <c r="EH520" s="407"/>
    </row>
    <row r="521" spans="52:138" ht="14.15" customHeight="1">
      <c r="AZ521"/>
      <c r="BA521" s="114" t="str">
        <f>$BB$65</f>
        <v>Wheel loader</v>
      </c>
      <c r="BB521" s="436"/>
      <c r="BC521" s="120"/>
      <c r="BD521" s="455"/>
      <c r="BE521" s="120"/>
      <c r="BF521" s="440"/>
      <c r="BG521" s="444"/>
      <c r="BZ521"/>
      <c r="CA521" s="114" t="str">
        <f>$CB$65</f>
        <v>Water treatment</v>
      </c>
      <c r="CB521" s="436"/>
      <c r="CC521" s="120"/>
      <c r="CD521" s="455"/>
      <c r="CE521" s="120"/>
      <c r="CF521" s="440"/>
      <c r="CG521" s="444"/>
      <c r="CZ521"/>
      <c r="DA521" s="114" t="str">
        <f>$DB$65</f>
        <v>Select Equipment</v>
      </c>
      <c r="DB521" s="436"/>
      <c r="DC521" s="120"/>
      <c r="DD521" s="455"/>
      <c r="DE521" s="120"/>
      <c r="DF521" s="440"/>
      <c r="DG521" s="444"/>
      <c r="DZ521"/>
      <c r="EA521" s="114" t="str">
        <f>$EB$67</f>
        <v>Water treatment</v>
      </c>
      <c r="EB521" s="436"/>
      <c r="EC521" s="120"/>
      <c r="ED521" s="455"/>
      <c r="EE521" s="120"/>
      <c r="EF521" s="440"/>
      <c r="EG521" s="444"/>
    </row>
    <row r="522" spans="52:138" ht="14.15" customHeight="1">
      <c r="AZ522"/>
      <c r="BA522" s="114" t="str">
        <f>$BB$66</f>
        <v>Water treatment</v>
      </c>
      <c r="BB522" s="456"/>
      <c r="BC522" s="457"/>
      <c r="BD522" s="457"/>
      <c r="BE522" s="457"/>
      <c r="BF522" s="458"/>
      <c r="BZ522"/>
      <c r="CA522" s="114" t="str">
        <f>$CB$66</f>
        <v>Wheel loader</v>
      </c>
      <c r="CB522" s="456"/>
      <c r="CC522" s="457"/>
      <c r="CD522" s="457"/>
      <c r="CE522" s="457"/>
      <c r="CF522" s="458"/>
      <c r="CZ522"/>
      <c r="DA522" s="114" t="str">
        <f>$DB$66</f>
        <v>Select Equipment</v>
      </c>
      <c r="DB522" s="456"/>
      <c r="DC522" s="457"/>
      <c r="DD522" s="457"/>
      <c r="DE522" s="457"/>
      <c r="DF522" s="458"/>
      <c r="DZ522"/>
      <c r="EA522" s="114" t="str">
        <f>$EB$68</f>
        <v>Wheel loader</v>
      </c>
      <c r="EB522" s="456"/>
      <c r="EC522" s="457"/>
      <c r="ED522" s="457"/>
      <c r="EE522" s="457"/>
      <c r="EF522" s="458"/>
    </row>
    <row r="523" spans="52:138" ht="14.15" customHeight="1">
      <c r="AZ523"/>
      <c r="BA523" s="114" t="str">
        <f>$BB$67</f>
        <v>Select Equipment</v>
      </c>
      <c r="BB523" s="449" t="s">
        <v>471</v>
      </c>
      <c r="BC523" s="120"/>
      <c r="BD523" s="454"/>
      <c r="BE523" s="120"/>
      <c r="BF523" s="440"/>
      <c r="BG523" s="119"/>
      <c r="BZ523"/>
      <c r="CA523" s="114" t="str">
        <f>$CB$67</f>
        <v>Select Equipment</v>
      </c>
      <c r="CB523" s="449" t="s">
        <v>471</v>
      </c>
      <c r="CC523" s="120"/>
      <c r="CD523" s="454"/>
      <c r="CE523" s="120"/>
      <c r="CF523" s="440"/>
      <c r="CG523" s="119"/>
      <c r="CZ523"/>
      <c r="DA523" s="114" t="str">
        <f>$DB$67</f>
        <v>Select Equipment</v>
      </c>
      <c r="DB523" s="449" t="s">
        <v>471</v>
      </c>
      <c r="DC523" s="120"/>
      <c r="DD523" s="454"/>
      <c r="DE523" s="120"/>
      <c r="DF523" s="440"/>
      <c r="DG523" s="119"/>
      <c r="DZ523"/>
      <c r="EA523" s="114" t="str">
        <f>$EB$69</f>
        <v>Select Equipment</v>
      </c>
      <c r="EB523" s="449" t="s">
        <v>471</v>
      </c>
      <c r="EC523" s="120"/>
      <c r="ED523" s="454"/>
      <c r="EE523" s="120"/>
      <c r="EF523" s="440"/>
      <c r="EG523" s="119"/>
    </row>
    <row r="524" spans="52:138" ht="14.15" customHeight="1">
      <c r="AZ524"/>
      <c r="BA524" s="114" t="str">
        <f>$BB$68</f>
        <v>Select Equipment</v>
      </c>
      <c r="BB524" s="436" t="s">
        <v>577</v>
      </c>
      <c r="BC524" s="225">
        <f>BC513*IF(BC511&gt;1,1,BC511)</f>
        <v>29.828000000000003</v>
      </c>
      <c r="BD524" s="446" t="s">
        <v>454</v>
      </c>
      <c r="BE524" s="120"/>
      <c r="BF524" s="440"/>
      <c r="BG524" s="119"/>
      <c r="BZ524"/>
      <c r="CA524" s="114" t="str">
        <f>$CB$68</f>
        <v>Select Equipment</v>
      </c>
      <c r="CB524" s="436" t="s">
        <v>577</v>
      </c>
      <c r="CC524" s="225">
        <f>CC513*IF(CC511&gt;1,1,CC511)</f>
        <v>29.828000000000003</v>
      </c>
      <c r="CD524" s="446" t="s">
        <v>454</v>
      </c>
      <c r="CE524" s="120"/>
      <c r="CF524" s="440"/>
      <c r="CG524" s="119"/>
      <c r="CZ524"/>
      <c r="DA524" s="114" t="str">
        <f>$DB$68</f>
        <v>Select Equipment</v>
      </c>
      <c r="DB524" s="436" t="s">
        <v>577</v>
      </c>
      <c r="DC524" s="225">
        <f>DC513*IF(DC511&gt;1,1,DC511)</f>
        <v>29.828000000000003</v>
      </c>
      <c r="DD524" s="446" t="s">
        <v>454</v>
      </c>
      <c r="DE524" s="120"/>
      <c r="DF524" s="440"/>
      <c r="DG524" s="119"/>
      <c r="DZ524"/>
      <c r="EA524" s="114" t="str">
        <f>$EB$70</f>
        <v>Select Equipment</v>
      </c>
      <c r="EB524" s="436" t="s">
        <v>577</v>
      </c>
      <c r="EC524" s="225">
        <f>EC513*IF(EC511&gt;1,1,EC511)</f>
        <v>29.828000000000003</v>
      </c>
      <c r="ED524" s="446" t="s">
        <v>454</v>
      </c>
      <c r="EE524" s="120"/>
      <c r="EF524" s="440"/>
      <c r="EG524" s="119"/>
    </row>
    <row r="525" spans="52:138" ht="14.15" customHeight="1">
      <c r="AZ525"/>
      <c r="BA525" s="114" t="str">
        <f>$BB$69</f>
        <v>Select Equipment</v>
      </c>
      <c r="BB525" s="436" t="s">
        <v>578</v>
      </c>
      <c r="BC525" s="225"/>
      <c r="BD525" s="446" t="s">
        <v>579</v>
      </c>
      <c r="BE525" s="120"/>
      <c r="BF525" s="440"/>
      <c r="BG525" s="119"/>
      <c r="BZ525"/>
      <c r="CA525" s="114" t="str">
        <f>$CB$69</f>
        <v>Select Equipment</v>
      </c>
      <c r="CB525" s="436" t="s">
        <v>578</v>
      </c>
      <c r="CC525" s="225"/>
      <c r="CD525" s="446" t="s">
        <v>579</v>
      </c>
      <c r="CE525" s="120"/>
      <c r="CF525" s="440"/>
      <c r="CG525" s="119"/>
      <c r="CZ525"/>
      <c r="DA525" s="114" t="str">
        <f>$DB$69</f>
        <v>Select Equipment</v>
      </c>
      <c r="DB525" s="436" t="s">
        <v>578</v>
      </c>
      <c r="DC525" s="225"/>
      <c r="DD525" s="446" t="s">
        <v>579</v>
      </c>
      <c r="DE525" s="120"/>
      <c r="DF525" s="440"/>
      <c r="DG525" s="119"/>
      <c r="DZ525"/>
      <c r="EA525" s="114" t="str">
        <f>$EB$71</f>
        <v>Select Equipment</v>
      </c>
      <c r="EB525" s="436" t="s">
        <v>578</v>
      </c>
      <c r="EC525" s="225"/>
      <c r="ED525" s="446" t="s">
        <v>579</v>
      </c>
      <c r="EE525" s="120"/>
      <c r="EF525" s="440"/>
      <c r="EG525" s="119"/>
    </row>
    <row r="526" spans="52:138" ht="14.15" customHeight="1">
      <c r="AZ526"/>
      <c r="BA526" s="114" t="str">
        <f>$BB$70</f>
        <v>Select Equipment</v>
      </c>
      <c r="BB526" s="436"/>
      <c r="BC526" s="120"/>
      <c r="BD526" s="446"/>
      <c r="BE526" s="120"/>
      <c r="BF526" s="440"/>
      <c r="BZ526"/>
      <c r="CA526" s="114" t="str">
        <f>$CB$70</f>
        <v>Select Equipment</v>
      </c>
      <c r="CB526" s="436"/>
      <c r="CC526" s="120"/>
      <c r="CD526" s="446"/>
      <c r="CE526" s="120"/>
      <c r="CF526" s="440"/>
      <c r="CZ526"/>
      <c r="DA526" s="114" t="str">
        <f>$DB$70</f>
        <v>Select Equipment</v>
      </c>
      <c r="DB526" s="436"/>
      <c r="DC526" s="120"/>
      <c r="DD526" s="446"/>
      <c r="DE526" s="120"/>
      <c r="DF526" s="440"/>
      <c r="DZ526"/>
      <c r="EA526" s="114" t="str">
        <f>$EB$72</f>
        <v>Select Equipment</v>
      </c>
      <c r="EB526" s="436"/>
      <c r="EC526" s="120"/>
      <c r="ED526" s="446"/>
      <c r="EE526" s="120"/>
      <c r="EF526" s="440"/>
    </row>
    <row r="527" spans="52:138" ht="14.15" customHeight="1">
      <c r="AZ527"/>
      <c r="BA527" s="114" t="str">
        <f>$BB$71</f>
        <v>Select Equipment</v>
      </c>
      <c r="BB527" s="436" t="s">
        <v>8</v>
      </c>
      <c r="BC527" s="120"/>
      <c r="BD527" s="459" t="s">
        <v>564</v>
      </c>
      <c r="BE527" s="120"/>
      <c r="BF527" s="440"/>
      <c r="BG527" s="460"/>
      <c r="BZ527"/>
      <c r="CA527" s="114" t="str">
        <f>$CB$71</f>
        <v>Select Equipment</v>
      </c>
      <c r="CB527" s="436" t="s">
        <v>8</v>
      </c>
      <c r="CC527" s="120"/>
      <c r="CD527" s="459" t="s">
        <v>564</v>
      </c>
      <c r="CE527" s="120"/>
      <c r="CF527" s="440"/>
      <c r="CG527" s="460"/>
      <c r="CZ527"/>
      <c r="DA527" s="114" t="str">
        <f>$DB$71</f>
        <v>Select Equipment</v>
      </c>
      <c r="DB527" s="436" t="s">
        <v>8</v>
      </c>
      <c r="DC527" s="120"/>
      <c r="DD527" s="459" t="s">
        <v>564</v>
      </c>
      <c r="DE527" s="120"/>
      <c r="DF527" s="440"/>
      <c r="DG527" s="460"/>
      <c r="DZ527"/>
      <c r="EA527" s="114" t="str">
        <f>$EB$73</f>
        <v>Select Equipment</v>
      </c>
      <c r="EB527" s="436" t="s">
        <v>8</v>
      </c>
      <c r="EC527" s="120"/>
      <c r="ED527" s="459" t="s">
        <v>564</v>
      </c>
      <c r="EE527" s="120"/>
      <c r="EF527" s="440"/>
      <c r="EG527" s="460"/>
    </row>
    <row r="528" spans="52:138" ht="14.15" customHeight="1">
      <c r="AZ528"/>
      <c r="BA528" s="114" t="str">
        <f>$BB$72</f>
        <v>Select Equipment</v>
      </c>
      <c r="BB528" s="436"/>
      <c r="BC528" s="120"/>
      <c r="BD528" s="459"/>
      <c r="BE528" s="120"/>
      <c r="BF528" s="440"/>
      <c r="BG528" s="461"/>
      <c r="BZ528"/>
      <c r="CA528" s="114" t="str">
        <f>$CB$72</f>
        <v>Select Equipment</v>
      </c>
      <c r="CB528" s="436"/>
      <c r="CC528" s="120"/>
      <c r="CD528" s="459"/>
      <c r="CE528" s="120"/>
      <c r="CF528" s="440"/>
      <c r="CG528" s="461"/>
      <c r="CZ528"/>
      <c r="DA528" s="114" t="str">
        <f>$DB$72</f>
        <v>Select Equipment</v>
      </c>
      <c r="DB528" s="436"/>
      <c r="DC528" s="120"/>
      <c r="DD528" s="459"/>
      <c r="DE528" s="120"/>
      <c r="DF528" s="440"/>
      <c r="DG528" s="461"/>
      <c r="DZ528"/>
      <c r="EA528" s="114" t="str">
        <f>$EB$74</f>
        <v>Select Equipment</v>
      </c>
      <c r="EB528" s="436"/>
      <c r="EC528" s="120"/>
      <c r="ED528" s="459"/>
      <c r="EE528" s="120"/>
      <c r="EF528" s="440"/>
      <c r="EG528" s="461"/>
    </row>
    <row r="529" spans="52:138" ht="14.15" customHeight="1">
      <c r="AZ529"/>
      <c r="BA529" s="114" t="str">
        <f>$BB$73</f>
        <v>Select Equipment</v>
      </c>
      <c r="BB529" s="436" t="s">
        <v>7</v>
      </c>
      <c r="BC529" s="120"/>
      <c r="BD529" s="459" t="s">
        <v>564</v>
      </c>
      <c r="BE529" s="120"/>
      <c r="BF529" s="440"/>
      <c r="BG529" s="461"/>
      <c r="BZ529"/>
      <c r="CA529" s="114" t="str">
        <f>$CB$73</f>
        <v>Select Equipment</v>
      </c>
      <c r="CB529" s="436" t="s">
        <v>7</v>
      </c>
      <c r="CC529" s="120"/>
      <c r="CD529" s="459" t="s">
        <v>564</v>
      </c>
      <c r="CE529" s="120"/>
      <c r="CF529" s="440"/>
      <c r="CG529" s="461"/>
      <c r="CZ529"/>
      <c r="DA529" s="114" t="str">
        <f>$DB$73</f>
        <v>Select Equipment</v>
      </c>
      <c r="DB529" s="436" t="s">
        <v>7</v>
      </c>
      <c r="DC529" s="120"/>
      <c r="DD529" s="459" t="s">
        <v>564</v>
      </c>
      <c r="DE529" s="120"/>
      <c r="DF529" s="440"/>
      <c r="DG529" s="461"/>
      <c r="DZ529"/>
      <c r="EA529" s="114" t="str">
        <f>$EB$75</f>
        <v>Select Equipment</v>
      </c>
      <c r="EB529" s="436" t="s">
        <v>7</v>
      </c>
      <c r="EC529" s="120"/>
      <c r="ED529" s="459" t="s">
        <v>564</v>
      </c>
      <c r="EE529" s="120"/>
      <c r="EF529" s="440"/>
      <c r="EG529" s="461"/>
    </row>
    <row r="530" spans="52:138" ht="14.15" customHeight="1">
      <c r="AZ530"/>
      <c r="BA530" s="114" t="str">
        <f>$BB$74</f>
        <v>Select Equipment</v>
      </c>
      <c r="BB530" s="436"/>
      <c r="BC530" s="120"/>
      <c r="BD530" s="459"/>
      <c r="BE530" s="120"/>
      <c r="BF530" s="440"/>
      <c r="BG530" s="462"/>
      <c r="BH530" s="463"/>
      <c r="BI530" s="463"/>
      <c r="BJ530" s="464"/>
      <c r="BK530" s="464"/>
      <c r="BL530" s="464"/>
      <c r="BM530" s="464"/>
      <c r="BZ530"/>
      <c r="CA530" s="114" t="str">
        <f>$CB$74</f>
        <v>Select Equipment</v>
      </c>
      <c r="CB530" s="436"/>
      <c r="CC530" s="120"/>
      <c r="CD530" s="459"/>
      <c r="CE530" s="120"/>
      <c r="CF530" s="440"/>
      <c r="CG530" s="462"/>
      <c r="CH530" s="463"/>
      <c r="CI530" s="463"/>
      <c r="CZ530"/>
      <c r="DA530" s="114" t="str">
        <f>$DB$74</f>
        <v>Select Equipment</v>
      </c>
      <c r="DB530" s="436"/>
      <c r="DC530" s="120"/>
      <c r="DD530" s="459"/>
      <c r="DE530" s="120"/>
      <c r="DF530" s="440"/>
      <c r="DG530" s="462"/>
      <c r="DH530" s="463"/>
      <c r="DZ530"/>
      <c r="EA530" s="114" t="str">
        <f>$EB$76</f>
        <v>Select Equipment</v>
      </c>
      <c r="EB530" s="436"/>
      <c r="EC530" s="120"/>
      <c r="ED530" s="459"/>
      <c r="EE530" s="120"/>
      <c r="EF530" s="440"/>
      <c r="EG530" s="462"/>
      <c r="EH530" s="463"/>
    </row>
    <row r="531" spans="52:138" ht="14.15" customHeight="1">
      <c r="AZ531"/>
      <c r="BA531" s="114" t="str">
        <f>$BB$75</f>
        <v>Select Equipment</v>
      </c>
      <c r="BB531" s="436" t="s">
        <v>9</v>
      </c>
      <c r="BC531" s="120"/>
      <c r="BD531" s="459" t="s">
        <v>564</v>
      </c>
      <c r="BE531" s="120"/>
      <c r="BF531" s="440"/>
      <c r="BG531" s="119"/>
      <c r="BH531" s="463"/>
      <c r="BI531" s="463"/>
      <c r="BJ531" s="464"/>
      <c r="BK531" s="464"/>
      <c r="BL531" s="464"/>
      <c r="BM531" s="464"/>
      <c r="BZ531"/>
      <c r="CA531" s="114" t="str">
        <f>$CB$75</f>
        <v>Select Equipment</v>
      </c>
      <c r="CB531" s="436" t="s">
        <v>9</v>
      </c>
      <c r="CC531" s="120"/>
      <c r="CD531" s="459" t="s">
        <v>564</v>
      </c>
      <c r="CE531" s="120"/>
      <c r="CF531" s="440"/>
      <c r="CG531" s="119"/>
      <c r="CH531" s="463"/>
      <c r="CI531" s="463"/>
      <c r="CZ531"/>
      <c r="DA531" s="114" t="str">
        <f>$DB$75</f>
        <v>Select Equipment</v>
      </c>
      <c r="DB531" s="436" t="s">
        <v>9</v>
      </c>
      <c r="DC531" s="120"/>
      <c r="DD531" s="459" t="s">
        <v>564</v>
      </c>
      <c r="DE531" s="120"/>
      <c r="DF531" s="440"/>
      <c r="DG531" s="119"/>
      <c r="DH531" s="463"/>
      <c r="DZ531"/>
      <c r="EA531" s="114" t="str">
        <f>$EB$77</f>
        <v>Select Equipment</v>
      </c>
      <c r="EB531" s="436" t="s">
        <v>9</v>
      </c>
      <c r="EC531" s="120"/>
      <c r="ED531" s="459" t="s">
        <v>564</v>
      </c>
      <c r="EE531" s="120"/>
      <c r="EF531" s="440"/>
      <c r="EG531" s="119"/>
      <c r="EH531" s="463"/>
    </row>
    <row r="532" spans="52:138">
      <c r="AZ532"/>
      <c r="BA532" s="114" t="str">
        <f>$BB$76</f>
        <v>Select Equipment</v>
      </c>
      <c r="BB532" s="436"/>
      <c r="BC532" s="120"/>
      <c r="BD532" s="459"/>
      <c r="BE532" s="120"/>
      <c r="BF532" s="440"/>
      <c r="BG532" s="465"/>
      <c r="BH532" s="463"/>
      <c r="BI532"/>
      <c r="BJ532"/>
      <c r="BK532" s="464"/>
      <c r="BL532" s="464"/>
      <c r="BM532" s="464"/>
      <c r="BZ532"/>
      <c r="CA532" s="114" t="str">
        <f>$CB$76</f>
        <v>Select Equipment</v>
      </c>
      <c r="CB532" s="436"/>
      <c r="CC532" s="120"/>
      <c r="CD532" s="459"/>
      <c r="CE532" s="120"/>
      <c r="CF532" s="440"/>
      <c r="CG532" s="465"/>
      <c r="CH532" s="463"/>
      <c r="CI532" s="463"/>
      <c r="CZ532"/>
      <c r="DA532" s="114" t="str">
        <f>$DB$76</f>
        <v>Select Equipment</v>
      </c>
      <c r="DB532" s="436"/>
      <c r="DC532" s="120"/>
      <c r="DD532" s="459"/>
      <c r="DE532" s="120"/>
      <c r="DF532" s="440"/>
      <c r="DG532" s="465"/>
      <c r="DH532" s="463"/>
      <c r="DZ532"/>
      <c r="EA532" s="114" t="str">
        <f>$EB$78</f>
        <v>Select Equipment</v>
      </c>
      <c r="EB532" s="436"/>
      <c r="EC532" s="120"/>
      <c r="ED532" s="459"/>
      <c r="EE532" s="120"/>
      <c r="EF532" s="440"/>
      <c r="EG532" s="465"/>
      <c r="EH532" s="463"/>
    </row>
    <row r="533" spans="52:138">
      <c r="AZ533"/>
      <c r="BA533" s="114" t="str">
        <f>$BB$77</f>
        <v>Select Equipment</v>
      </c>
      <c r="BB533" s="436" t="s">
        <v>324</v>
      </c>
      <c r="BC533" s="120"/>
      <c r="BD533" s="459" t="s">
        <v>564</v>
      </c>
      <c r="BE533" s="120"/>
      <c r="BF533" s="440" t="s">
        <v>569</v>
      </c>
      <c r="BG533" s="119"/>
      <c r="BH533" s="463"/>
      <c r="BI533"/>
      <c r="BJ533"/>
      <c r="BK533" s="464"/>
      <c r="BL533" s="464"/>
      <c r="BM533" s="464"/>
      <c r="BZ533"/>
      <c r="CA533" s="114" t="str">
        <f>$CB$77</f>
        <v>Select Equipment</v>
      </c>
      <c r="CB533" s="436" t="s">
        <v>324</v>
      </c>
      <c r="CC533" s="120"/>
      <c r="CD533" s="459" t="s">
        <v>564</v>
      </c>
      <c r="CE533" s="120"/>
      <c r="CF533" s="440" t="s">
        <v>569</v>
      </c>
      <c r="CG533" s="119"/>
      <c r="CH533" s="463"/>
      <c r="CI533" s="463"/>
      <c r="CZ533"/>
      <c r="DA533" s="114" t="str">
        <f>$DB$77</f>
        <v>Select Equipment</v>
      </c>
      <c r="DB533" s="436" t="s">
        <v>324</v>
      </c>
      <c r="DC533" s="120"/>
      <c r="DD533" s="459" t="s">
        <v>564</v>
      </c>
      <c r="DE533" s="120"/>
      <c r="DF533" s="440" t="s">
        <v>569</v>
      </c>
      <c r="DG533" s="119"/>
      <c r="DH533" s="463"/>
      <c r="DZ533"/>
      <c r="EA533" s="114" t="str">
        <f>$EB$79</f>
        <v>Select Equipment</v>
      </c>
      <c r="EB533" s="436" t="s">
        <v>324</v>
      </c>
      <c r="EC533" s="120"/>
      <c r="ED533" s="459" t="s">
        <v>564</v>
      </c>
      <c r="EE533" s="120"/>
      <c r="EF533" s="440" t="s">
        <v>569</v>
      </c>
      <c r="EG533" s="119"/>
      <c r="EH533" s="463"/>
    </row>
    <row r="534" spans="52:138">
      <c r="AZ534"/>
      <c r="BA534" s="114" t="str">
        <f>$BB$78</f>
        <v>Select Equipment</v>
      </c>
      <c r="BB534" s="436"/>
      <c r="BC534" s="120"/>
      <c r="BD534" s="468"/>
      <c r="BE534" s="469"/>
      <c r="BF534" s="440"/>
      <c r="BG534" s="119"/>
      <c r="BH534" s="463"/>
      <c r="BI534"/>
      <c r="BJ534"/>
      <c r="BK534" s="464"/>
      <c r="BL534" s="464"/>
      <c r="BM534" s="464"/>
      <c r="BZ534"/>
      <c r="CA534" s="114" t="str">
        <f>$CB$78</f>
        <v>Select Equipment</v>
      </c>
      <c r="CB534" s="436"/>
      <c r="CC534" s="120"/>
      <c r="CD534" s="468"/>
      <c r="CE534" s="469"/>
      <c r="CF534" s="440"/>
      <c r="CG534" s="119"/>
      <c r="CH534" s="463"/>
      <c r="CI534" s="463"/>
      <c r="CZ534"/>
      <c r="DA534" s="114" t="str">
        <f>$DB$78</f>
        <v>Select Equipment</v>
      </c>
      <c r="DB534" s="436"/>
      <c r="DC534" s="120"/>
      <c r="DD534" s="468"/>
      <c r="DE534" s="469"/>
      <c r="DF534" s="440"/>
      <c r="DG534" s="119"/>
      <c r="DH534" s="463"/>
      <c r="DZ534"/>
      <c r="EA534" s="114" t="str">
        <f>$EB$80</f>
        <v>Select Equipment</v>
      </c>
      <c r="EB534" s="436"/>
      <c r="EC534" s="120"/>
      <c r="ED534" s="468"/>
      <c r="EE534" s="469"/>
      <c r="EF534" s="440"/>
      <c r="EG534" s="119"/>
      <c r="EH534" s="463"/>
    </row>
    <row r="535" spans="52:138">
      <c r="AZ535"/>
      <c r="BA535" s="114" t="str">
        <f>$BB$79</f>
        <v>Select Equipment</v>
      </c>
      <c r="BB535" s="436" t="s">
        <v>374</v>
      </c>
      <c r="BC535" s="120"/>
      <c r="BD535" s="459" t="s">
        <v>564</v>
      </c>
      <c r="BE535" s="469"/>
      <c r="BF535" s="440" t="s">
        <v>569</v>
      </c>
      <c r="BG535" s="470"/>
      <c r="BH535" s="463"/>
      <c r="BI535"/>
      <c r="BJ535"/>
      <c r="BK535" s="464"/>
      <c r="BL535" s="464"/>
      <c r="BM535" s="464"/>
      <c r="BZ535"/>
      <c r="CA535" s="114" t="str">
        <f>$CB$79</f>
        <v>Select Equipment</v>
      </c>
      <c r="CB535" s="436" t="s">
        <v>374</v>
      </c>
      <c r="CC535" s="120"/>
      <c r="CD535" s="459" t="s">
        <v>564</v>
      </c>
      <c r="CE535" s="469"/>
      <c r="CF535" s="440" t="s">
        <v>569</v>
      </c>
      <c r="CG535" s="470"/>
      <c r="CH535" s="463"/>
      <c r="CI535" s="463"/>
      <c r="CZ535"/>
      <c r="DA535" s="114" t="str">
        <f>$DB$79</f>
        <v>Select Equipment</v>
      </c>
      <c r="DB535" s="436" t="s">
        <v>374</v>
      </c>
      <c r="DC535" s="120"/>
      <c r="DD535" s="459" t="s">
        <v>564</v>
      </c>
      <c r="DE535" s="469"/>
      <c r="DF535" s="440" t="s">
        <v>569</v>
      </c>
      <c r="DG535" s="470"/>
      <c r="DH535" s="463"/>
      <c r="DZ535"/>
      <c r="EA535" s="114" t="str">
        <f>$EB$81</f>
        <v>Select Equipment</v>
      </c>
      <c r="EB535" s="436" t="s">
        <v>374</v>
      </c>
      <c r="EC535" s="120"/>
      <c r="ED535" s="459" t="s">
        <v>564</v>
      </c>
      <c r="EE535" s="469"/>
      <c r="EF535" s="440" t="s">
        <v>569</v>
      </c>
      <c r="EG535" s="470"/>
      <c r="EH535" s="463"/>
    </row>
    <row r="536" spans="52:138">
      <c r="AZ536"/>
      <c r="BA536" s="114" t="str">
        <f>$BB$80</f>
        <v>Select Equipment</v>
      </c>
      <c r="BB536" s="436"/>
      <c r="BC536" s="120"/>
      <c r="BD536" s="472"/>
      <c r="BE536" s="473"/>
      <c r="BF536" s="440"/>
      <c r="BG536" s="119"/>
      <c r="BH536" s="463"/>
      <c r="BI536"/>
      <c r="BJ536"/>
      <c r="BK536" s="464"/>
      <c r="BL536" s="464"/>
      <c r="BM536" s="464"/>
      <c r="BZ536"/>
      <c r="CA536" s="114" t="str">
        <f>$CB$80</f>
        <v>Select Equipment</v>
      </c>
      <c r="CB536" s="436"/>
      <c r="CC536" s="120"/>
      <c r="CD536" s="472"/>
      <c r="CE536" s="473"/>
      <c r="CF536" s="440"/>
      <c r="CG536" s="119"/>
      <c r="CH536" s="463"/>
      <c r="CI536" s="463"/>
      <c r="CZ536"/>
      <c r="DA536" s="114" t="str">
        <f>$DB$80</f>
        <v>Select Equipment</v>
      </c>
      <c r="DB536" s="436"/>
      <c r="DC536" s="120"/>
      <c r="DD536" s="472"/>
      <c r="DE536" s="473"/>
      <c r="DF536" s="440"/>
      <c r="DG536" s="119"/>
      <c r="DH536" s="463"/>
      <c r="DZ536"/>
      <c r="EA536" s="114" t="str">
        <f>$EB$82</f>
        <v>Select Equipment</v>
      </c>
      <c r="EB536" s="436"/>
      <c r="EC536" s="120"/>
      <c r="ED536" s="472"/>
      <c r="EE536" s="473"/>
      <c r="EF536" s="440"/>
      <c r="EG536" s="119"/>
      <c r="EH536" s="463"/>
    </row>
    <row r="537" spans="52:138">
      <c r="AZ537"/>
      <c r="BA537" s="114" t="str">
        <f>$BB$81</f>
        <v>Select Equipment</v>
      </c>
      <c r="BB537" s="436" t="s">
        <v>580</v>
      </c>
      <c r="BC537" s="120"/>
      <c r="BD537" s="459" t="s">
        <v>564</v>
      </c>
      <c r="BE537" s="473"/>
      <c r="BF537" s="440" t="s">
        <v>569</v>
      </c>
      <c r="BG537" s="474"/>
      <c r="BH537" s="463"/>
      <c r="BI537"/>
      <c r="BJ537"/>
      <c r="BK537" s="464"/>
      <c r="BL537" s="464"/>
      <c r="BM537" s="464"/>
      <c r="BZ537"/>
      <c r="CA537" s="114" t="str">
        <f>$CB$81</f>
        <v>Select Equipment</v>
      </c>
      <c r="CB537" s="436" t="s">
        <v>580</v>
      </c>
      <c r="CC537" s="120"/>
      <c r="CD537" s="459" t="s">
        <v>564</v>
      </c>
      <c r="CE537" s="473"/>
      <c r="CF537" s="440" t="s">
        <v>569</v>
      </c>
      <c r="CG537" s="474"/>
      <c r="CH537" s="463"/>
      <c r="CI537" s="463"/>
      <c r="CZ537"/>
      <c r="DA537" s="114" t="str">
        <f>$DB$81</f>
        <v>Select Equipment</v>
      </c>
      <c r="DB537" s="436" t="s">
        <v>580</v>
      </c>
      <c r="DC537" s="120"/>
      <c r="DD537" s="459" t="s">
        <v>564</v>
      </c>
      <c r="DE537" s="473"/>
      <c r="DF537" s="440" t="s">
        <v>569</v>
      </c>
      <c r="DG537" s="474"/>
      <c r="DH537" s="463"/>
      <c r="DZ537"/>
      <c r="EA537" s="114" t="str">
        <f>$EB$83</f>
        <v>Select Equipment</v>
      </c>
      <c r="EB537" s="436" t="s">
        <v>580</v>
      </c>
      <c r="EC537" s="120"/>
      <c r="ED537" s="459" t="s">
        <v>564</v>
      </c>
      <c r="EE537" s="473"/>
      <c r="EF537" s="440" t="s">
        <v>569</v>
      </c>
      <c r="EG537" s="474"/>
      <c r="EH537" s="463"/>
    </row>
    <row r="538" spans="52:138">
      <c r="AZ538"/>
      <c r="BA538" s="114" t="str">
        <f>$BB$82</f>
        <v>Select Equipment</v>
      </c>
      <c r="BB538" s="476"/>
      <c r="BC538" s="477"/>
      <c r="BD538" s="478"/>
      <c r="BE538" s="479"/>
      <c r="BF538" s="458"/>
      <c r="BG538" s="474"/>
      <c r="BH538" s="463"/>
      <c r="BI538"/>
      <c r="BJ538"/>
      <c r="BK538" s="464"/>
      <c r="BL538" s="464"/>
      <c r="BM538" s="464"/>
      <c r="BZ538"/>
      <c r="CA538" s="114" t="str">
        <f>$CB$82</f>
        <v>Select Equipment</v>
      </c>
      <c r="CB538" s="476"/>
      <c r="CC538" s="477"/>
      <c r="CD538" s="478"/>
      <c r="CE538" s="479"/>
      <c r="CF538" s="458"/>
      <c r="CG538" s="474"/>
      <c r="CH538" s="463"/>
      <c r="CI538" s="463"/>
      <c r="CZ538"/>
      <c r="DA538" s="114" t="str">
        <f>$DB$82</f>
        <v>Select Equipment</v>
      </c>
      <c r="DB538" s="476"/>
      <c r="DC538" s="477"/>
      <c r="DD538" s="478"/>
      <c r="DE538" s="479"/>
      <c r="DF538" s="458"/>
      <c r="DG538" s="474"/>
      <c r="DH538" s="463"/>
      <c r="DZ538"/>
      <c r="EA538" s="114" t="str">
        <f>$EB$84</f>
        <v>Select Equipment</v>
      </c>
      <c r="EB538" s="476"/>
      <c r="EC538" s="477"/>
      <c r="ED538" s="478"/>
      <c r="EE538" s="479"/>
      <c r="EF538" s="458"/>
      <c r="EG538" s="474"/>
      <c r="EH538" s="463"/>
    </row>
    <row r="539" spans="52:138">
      <c r="AZ539"/>
      <c r="BA539" s="114" t="str">
        <f>$BB$83</f>
        <v>Select Equipment</v>
      </c>
      <c r="BB539" s="449" t="s">
        <v>473</v>
      </c>
      <c r="BC539" s="467" t="s">
        <v>508</v>
      </c>
      <c r="BD539" s="480"/>
      <c r="BE539" s="481" t="s">
        <v>308</v>
      </c>
      <c r="BF539" s="440"/>
      <c r="BG539" s="482"/>
      <c r="BH539" s="407"/>
      <c r="BI539" s="407"/>
      <c r="BJ539" s="448"/>
      <c r="BK539" s="448"/>
      <c r="BL539" s="448"/>
      <c r="BM539" s="448"/>
      <c r="BZ539"/>
      <c r="CA539" s="114" t="str">
        <f>$CB$83</f>
        <v>Select Equipment</v>
      </c>
      <c r="CB539" s="449" t="s">
        <v>473</v>
      </c>
      <c r="CC539" s="467" t="s">
        <v>508</v>
      </c>
      <c r="CD539" s="480"/>
      <c r="CE539" s="481" t="s">
        <v>308</v>
      </c>
      <c r="CF539" s="440"/>
      <c r="CG539" s="482"/>
      <c r="CH539" s="407"/>
      <c r="CI539" s="407"/>
      <c r="CZ539"/>
      <c r="DA539" s="114" t="str">
        <f>$DB$83</f>
        <v>Select Equipment</v>
      </c>
      <c r="DB539" s="449" t="s">
        <v>473</v>
      </c>
      <c r="DC539" s="467" t="s">
        <v>508</v>
      </c>
      <c r="DD539" s="480"/>
      <c r="DE539" s="481" t="s">
        <v>308</v>
      </c>
      <c r="DF539" s="440"/>
      <c r="DG539" s="482"/>
      <c r="DH539" s="407"/>
      <c r="DZ539"/>
      <c r="EA539" s="114" t="str">
        <f>$EB$85</f>
        <v>Select Equipment</v>
      </c>
      <c r="EB539" s="449" t="s">
        <v>473</v>
      </c>
      <c r="EC539" s="467" t="s">
        <v>508</v>
      </c>
      <c r="ED539" s="480"/>
      <c r="EE539" s="481" t="s">
        <v>308</v>
      </c>
      <c r="EF539" s="440"/>
      <c r="EG539" s="482"/>
      <c r="EH539" s="407"/>
    </row>
    <row r="540" spans="52:138">
      <c r="BB540" s="436"/>
      <c r="BC540" s="483"/>
      <c r="BD540" s="480"/>
      <c r="BE540" s="484"/>
      <c r="BF540" s="440"/>
      <c r="BG540" s="119"/>
      <c r="BH540" s="463"/>
      <c r="BI540" s="463"/>
      <c r="BJ540" s="464"/>
      <c r="BK540" s="464"/>
      <c r="BL540" s="464"/>
      <c r="BM540" s="464"/>
      <c r="CB540" s="436"/>
      <c r="CC540" s="483"/>
      <c r="CD540" s="480"/>
      <c r="CE540" s="484"/>
      <c r="CF540" s="440"/>
      <c r="CG540" s="119"/>
      <c r="CH540" s="463"/>
      <c r="CI540" s="463"/>
      <c r="DB540" s="436"/>
      <c r="DC540" s="483"/>
      <c r="DD540" s="480"/>
      <c r="DE540" s="484"/>
      <c r="DF540" s="440"/>
      <c r="DG540" s="119"/>
      <c r="DH540" s="463"/>
      <c r="EB540" s="436"/>
      <c r="EC540" s="483"/>
      <c r="ED540" s="480"/>
      <c r="EE540" s="484"/>
      <c r="EF540" s="440"/>
      <c r="EG540" s="119"/>
      <c r="EH540" s="463"/>
    </row>
    <row r="541" spans="52:138">
      <c r="BB541" s="436"/>
      <c r="BC541" s="120"/>
      <c r="BD541" s="223"/>
      <c r="BE541" s="467"/>
      <c r="BF541" s="440"/>
      <c r="BG541" s="485"/>
      <c r="BH541" s="407"/>
      <c r="BI541" s="407"/>
      <c r="BJ541" s="448"/>
      <c r="BK541" s="448"/>
      <c r="BL541" s="448"/>
      <c r="BM541" s="448"/>
      <c r="CB541" s="436"/>
      <c r="CC541" s="120"/>
      <c r="CD541" s="223"/>
      <c r="CE541" s="467"/>
      <c r="CF541" s="440"/>
      <c r="CG541" s="485"/>
      <c r="CH541" s="407"/>
      <c r="CI541" s="407"/>
      <c r="DB541" s="436"/>
      <c r="DC541" s="120"/>
      <c r="DD541" s="223"/>
      <c r="DE541" s="467"/>
      <c r="DF541" s="440"/>
      <c r="DG541" s="485"/>
      <c r="DH541" s="407"/>
      <c r="EB541" s="436"/>
      <c r="EC541" s="120"/>
      <c r="ED541" s="223"/>
      <c r="EE541" s="467"/>
      <c r="EF541" s="440"/>
      <c r="EG541" s="485"/>
      <c r="EH541" s="407"/>
    </row>
    <row r="542" spans="52:138">
      <c r="BB542" s="436"/>
      <c r="BC542" s="120"/>
      <c r="BD542" s="466"/>
      <c r="BE542" s="467"/>
      <c r="BF542" s="440"/>
      <c r="BG542" s="119"/>
      <c r="BH542" s="407"/>
      <c r="BI542" s="407"/>
      <c r="BL542" s="448"/>
      <c r="BM542" s="448"/>
      <c r="CB542" s="436"/>
      <c r="CC542" s="120"/>
      <c r="CD542" s="466"/>
      <c r="CE542" s="467"/>
      <c r="CF542" s="440"/>
      <c r="CG542" s="119"/>
      <c r="CH542" s="407"/>
      <c r="CI542" s="407"/>
      <c r="DB542" s="436"/>
      <c r="DC542" s="120"/>
      <c r="DD542" s="466"/>
      <c r="DE542" s="467"/>
      <c r="DF542" s="440"/>
      <c r="DG542" s="119"/>
      <c r="DH542" s="407"/>
      <c r="EB542" s="436"/>
      <c r="EC542" s="120"/>
      <c r="ED542" s="466"/>
      <c r="EE542" s="467"/>
      <c r="EF542" s="440"/>
      <c r="EG542" s="119"/>
      <c r="EH542" s="407"/>
    </row>
    <row r="543" spans="52:138">
      <c r="BB543" s="436"/>
      <c r="BC543" s="120"/>
      <c r="BD543" s="223"/>
      <c r="BE543" s="467"/>
      <c r="BF543" s="440"/>
      <c r="BJ543" s="486"/>
      <c r="BK543" s="448"/>
      <c r="CB543" s="436"/>
      <c r="CC543" s="120"/>
      <c r="CD543" s="223"/>
      <c r="CE543" s="467"/>
      <c r="CF543" s="440"/>
      <c r="DB543" s="436"/>
      <c r="DC543" s="120"/>
      <c r="DD543" s="223"/>
      <c r="DE543" s="467"/>
      <c r="DF543" s="440"/>
      <c r="EB543" s="436"/>
      <c r="EC543" s="120"/>
      <c r="ED543" s="223"/>
      <c r="EE543" s="467"/>
      <c r="EF543" s="440"/>
    </row>
    <row r="544" spans="52:138">
      <c r="BB544" s="436"/>
      <c r="BC544" s="120"/>
      <c r="BD544" s="223"/>
      <c r="BE544" s="467"/>
      <c r="BF544" s="440"/>
      <c r="BJ544" s="487"/>
      <c r="CB544" s="436"/>
      <c r="CC544" s="120"/>
      <c r="CD544" s="223"/>
      <c r="CE544" s="467"/>
      <c r="CF544" s="440"/>
      <c r="DB544" s="436"/>
      <c r="DC544" s="120"/>
      <c r="DD544" s="223"/>
      <c r="DE544" s="467"/>
      <c r="DF544" s="440"/>
      <c r="EB544" s="436"/>
      <c r="EC544" s="120"/>
      <c r="ED544" s="223"/>
      <c r="EE544" s="467"/>
      <c r="EF544" s="440"/>
    </row>
    <row r="545" spans="54:136">
      <c r="BB545" s="436"/>
      <c r="BC545" s="120"/>
      <c r="BD545" s="471"/>
      <c r="BE545" s="467"/>
      <c r="BF545" s="440"/>
      <c r="BJ545" s="488"/>
      <c r="CB545" s="436"/>
      <c r="CC545" s="120"/>
      <c r="CD545" s="471"/>
      <c r="CE545" s="467"/>
      <c r="CF545" s="440"/>
      <c r="DB545" s="436"/>
      <c r="DC545" s="120"/>
      <c r="DD545" s="471"/>
      <c r="DE545" s="467"/>
      <c r="DF545" s="440"/>
      <c r="EB545" s="436"/>
      <c r="EC545" s="120"/>
      <c r="ED545" s="471"/>
      <c r="EE545" s="467"/>
      <c r="EF545" s="440"/>
    </row>
    <row r="546" spans="54:136">
      <c r="BB546" s="436"/>
      <c r="BC546" s="120"/>
      <c r="BD546" s="223"/>
      <c r="BE546" s="467"/>
      <c r="BF546" s="440"/>
      <c r="BJ546" s="488"/>
      <c r="CB546" s="436"/>
      <c r="CC546" s="120"/>
      <c r="CD546" s="223"/>
      <c r="CE546" s="467"/>
      <c r="CF546" s="440"/>
      <c r="DB546" s="436"/>
      <c r="DC546" s="120"/>
      <c r="DD546" s="223"/>
      <c r="DE546" s="467"/>
      <c r="DF546" s="440"/>
      <c r="EB546" s="436"/>
      <c r="EC546" s="120"/>
      <c r="ED546" s="223"/>
      <c r="EE546" s="467"/>
      <c r="EF546" s="440"/>
    </row>
    <row r="547" spans="54:136">
      <c r="BB547" s="436"/>
      <c r="BC547" s="120"/>
      <c r="BD547" s="475"/>
      <c r="BE547" s="467"/>
      <c r="BF547" s="440"/>
      <c r="CB547" s="436"/>
      <c r="CC547" s="120"/>
      <c r="CD547" s="475"/>
      <c r="CE547" s="467"/>
      <c r="CF547" s="440"/>
      <c r="DB547" s="436"/>
      <c r="DC547" s="120"/>
      <c r="DD547" s="475"/>
      <c r="DE547" s="467"/>
      <c r="DF547" s="440"/>
      <c r="EB547" s="436"/>
      <c r="EC547" s="120"/>
      <c r="ED547" s="475"/>
      <c r="EE547" s="467"/>
      <c r="EF547" s="440"/>
    </row>
    <row r="548" spans="54:136">
      <c r="BB548" s="436"/>
      <c r="BC548" s="120"/>
      <c r="BD548" s="223"/>
      <c r="BE548" s="467"/>
      <c r="BF548" s="440"/>
      <c r="CB548" s="436"/>
      <c r="CC548" s="120"/>
      <c r="CD548" s="223"/>
      <c r="CE548" s="467"/>
      <c r="CF548" s="440"/>
      <c r="DB548" s="436"/>
      <c r="DC548" s="120"/>
      <c r="DD548" s="223"/>
      <c r="DE548" s="467"/>
      <c r="DF548" s="440"/>
      <c r="EB548" s="436"/>
      <c r="EC548" s="120"/>
      <c r="ED548" s="223"/>
      <c r="EE548" s="467"/>
      <c r="EF548" s="440"/>
    </row>
    <row r="549" spans="54:136">
      <c r="BB549" s="436"/>
      <c r="BC549" s="120"/>
      <c r="BD549" s="223"/>
      <c r="BE549" s="467"/>
      <c r="BF549" s="440"/>
      <c r="CB549" s="436"/>
      <c r="CC549" s="120"/>
      <c r="CD549" s="223"/>
      <c r="CE549" s="467"/>
      <c r="CF549" s="440"/>
      <c r="DB549" s="436"/>
      <c r="DC549" s="120"/>
      <c r="DD549" s="223"/>
      <c r="DE549" s="467"/>
      <c r="DF549" s="440"/>
      <c r="EB549" s="436"/>
      <c r="EC549" s="120"/>
      <c r="ED549" s="223"/>
      <c r="EE549" s="467"/>
      <c r="EF549" s="440"/>
    </row>
    <row r="550" spans="54:136">
      <c r="BB550" s="436"/>
      <c r="BC550" s="120"/>
      <c r="BD550" s="223"/>
      <c r="BE550" s="467"/>
      <c r="BF550" s="440"/>
      <c r="CB550" s="436"/>
      <c r="CC550" s="120"/>
      <c r="CD550" s="223"/>
      <c r="CE550" s="467"/>
      <c r="CF550" s="440"/>
      <c r="DB550" s="436"/>
      <c r="DC550" s="120"/>
      <c r="DD550" s="223"/>
      <c r="DE550" s="467"/>
      <c r="DF550" s="440"/>
      <c r="EB550" s="436"/>
      <c r="EC550" s="120"/>
      <c r="ED550" s="223"/>
      <c r="EE550" s="467"/>
      <c r="EF550" s="440"/>
    </row>
    <row r="551" spans="54:136">
      <c r="BB551" s="436"/>
      <c r="BC551" s="120"/>
      <c r="BD551" s="223"/>
      <c r="BE551" s="467"/>
      <c r="BF551" s="440"/>
      <c r="CB551" s="436"/>
      <c r="CC551" s="120"/>
      <c r="CD551" s="223"/>
      <c r="CE551" s="467"/>
      <c r="CF551" s="440"/>
      <c r="DB551" s="436"/>
      <c r="DC551" s="120"/>
      <c r="DD551" s="223"/>
      <c r="DE551" s="467"/>
      <c r="DF551" s="440"/>
      <c r="EB551" s="436"/>
      <c r="EC551" s="120"/>
      <c r="ED551" s="223"/>
      <c r="EE551" s="467"/>
      <c r="EF551" s="440"/>
    </row>
    <row r="552" spans="54:136">
      <c r="BB552" s="436"/>
      <c r="BC552" s="120"/>
      <c r="BD552" s="120"/>
      <c r="BE552" s="467"/>
      <c r="BF552" s="440"/>
      <c r="CB552" s="436"/>
      <c r="CC552" s="120"/>
      <c r="CD552" s="120"/>
      <c r="CE552" s="467"/>
      <c r="CF552" s="440"/>
      <c r="DB552" s="436"/>
      <c r="DC552" s="120"/>
      <c r="DD552" s="120"/>
      <c r="DE552" s="467"/>
      <c r="DF552" s="440"/>
      <c r="EB552" s="436"/>
      <c r="EC552" s="120"/>
      <c r="ED552" s="120"/>
      <c r="EE552" s="467"/>
      <c r="EF552" s="440"/>
    </row>
    <row r="553" spans="54:136">
      <c r="BB553" s="456"/>
      <c r="BC553" s="457"/>
      <c r="BD553" s="457"/>
      <c r="BE553" s="477"/>
      <c r="BF553" s="458"/>
      <c r="CB553" s="456"/>
      <c r="CC553" s="457"/>
      <c r="CD553" s="457"/>
      <c r="CE553" s="477"/>
      <c r="CF553" s="458"/>
      <c r="DB553" s="456"/>
      <c r="DC553" s="457"/>
      <c r="DD553" s="457"/>
      <c r="DE553" s="477"/>
      <c r="DF553" s="458"/>
      <c r="EB553" s="456"/>
      <c r="EC553" s="457"/>
      <c r="ED553" s="457"/>
      <c r="EE553" s="477"/>
      <c r="EF553" s="458"/>
    </row>
    <row r="554" spans="54:136">
      <c r="BB554" s="449" t="s">
        <v>474</v>
      </c>
      <c r="BC554" s="120"/>
      <c r="BD554" s="120" t="s">
        <v>1</v>
      </c>
      <c r="BE554" s="310" t="s">
        <v>307</v>
      </c>
      <c r="BF554" s="440"/>
      <c r="CB554" s="449" t="s">
        <v>474</v>
      </c>
      <c r="CC554" s="120"/>
      <c r="CD554" s="120" t="s">
        <v>1</v>
      </c>
      <c r="CE554" s="310" t="s">
        <v>307</v>
      </c>
      <c r="CF554" s="440"/>
      <c r="DB554" s="449" t="s">
        <v>474</v>
      </c>
      <c r="DC554" s="120"/>
      <c r="DD554" s="120" t="s">
        <v>1</v>
      </c>
      <c r="DE554" s="310" t="s">
        <v>307</v>
      </c>
      <c r="DF554" s="440"/>
      <c r="EB554" s="449" t="s">
        <v>474</v>
      </c>
      <c r="EC554" s="120"/>
      <c r="ED554" s="120" t="s">
        <v>1</v>
      </c>
      <c r="EE554" s="310" t="s">
        <v>307</v>
      </c>
      <c r="EF554" s="440"/>
    </row>
    <row r="555" spans="54:136">
      <c r="BB555" s="436"/>
      <c r="BC555" s="223"/>
      <c r="BD555" s="480"/>
      <c r="BE555" s="484"/>
      <c r="BF555" s="440"/>
      <c r="CB555" s="436"/>
      <c r="CC555" s="223"/>
      <c r="CD555" s="480"/>
      <c r="CE555" s="484"/>
      <c r="CF555" s="440"/>
      <c r="DB555" s="436"/>
      <c r="DC555" s="223"/>
      <c r="DD555" s="480"/>
      <c r="DE555" s="484"/>
      <c r="DF555" s="440"/>
      <c r="EB555" s="436"/>
      <c r="EC555" s="223"/>
      <c r="ED555" s="480"/>
      <c r="EE555" s="484"/>
      <c r="EF555" s="440"/>
    </row>
    <row r="556" spans="54:136">
      <c r="BB556" s="436"/>
      <c r="BC556" s="120"/>
      <c r="BD556" s="120"/>
      <c r="BE556" s="467"/>
      <c r="BF556" s="440"/>
      <c r="CB556" s="436"/>
      <c r="CC556" s="120"/>
      <c r="CD556" s="120"/>
      <c r="CE556" s="467"/>
      <c r="CF556" s="440"/>
      <c r="DB556" s="436"/>
      <c r="DC556" s="120"/>
      <c r="DD556" s="120"/>
      <c r="DE556" s="467"/>
      <c r="DF556" s="440"/>
      <c r="EB556" s="436"/>
      <c r="EC556" s="120"/>
      <c r="ED556" s="120"/>
      <c r="EE556" s="467"/>
      <c r="EF556" s="440"/>
    </row>
    <row r="557" spans="54:136">
      <c r="BB557" s="436"/>
      <c r="BC557" s="120"/>
      <c r="BD557" s="120"/>
      <c r="BE557" s="467"/>
      <c r="BF557" s="440"/>
      <c r="CB557" s="436"/>
      <c r="CC557" s="120"/>
      <c r="CD557" s="120"/>
      <c r="CE557" s="467"/>
      <c r="CF557" s="440"/>
      <c r="DB557" s="436"/>
      <c r="DC557" s="120"/>
      <c r="DD557" s="120"/>
      <c r="DE557" s="467"/>
      <c r="DF557" s="440"/>
      <c r="EB557" s="436"/>
      <c r="EC557" s="120"/>
      <c r="ED557" s="120"/>
      <c r="EE557" s="467"/>
      <c r="EF557" s="440"/>
    </row>
    <row r="558" spans="54:136">
      <c r="BB558" s="436"/>
      <c r="BC558" s="120"/>
      <c r="BD558" s="120"/>
      <c r="BE558" s="467"/>
      <c r="BF558" s="440"/>
      <c r="CB558" s="436"/>
      <c r="CC558" s="120"/>
      <c r="CD558" s="120"/>
      <c r="CE558" s="467"/>
      <c r="CF558" s="440"/>
      <c r="DB558" s="436"/>
      <c r="DC558" s="120"/>
      <c r="DD558" s="120"/>
      <c r="DE558" s="467"/>
      <c r="DF558" s="440"/>
      <c r="EB558" s="436"/>
      <c r="EC558" s="120"/>
      <c r="ED558" s="120"/>
      <c r="EE558" s="467"/>
      <c r="EF558" s="440"/>
    </row>
    <row r="559" spans="54:136">
      <c r="BB559" s="436"/>
      <c r="BC559" s="120"/>
      <c r="BD559" s="120"/>
      <c r="BE559" s="467"/>
      <c r="BF559" s="440"/>
      <c r="CB559" s="436"/>
      <c r="CC559" s="120"/>
      <c r="CD559" s="120"/>
      <c r="CE559" s="467"/>
      <c r="CF559" s="440"/>
      <c r="DB559" s="436"/>
      <c r="DC559" s="120"/>
      <c r="DD559" s="120"/>
      <c r="DE559" s="467"/>
      <c r="DF559" s="440"/>
      <c r="EB559" s="436"/>
      <c r="EC559" s="120"/>
      <c r="ED559" s="120"/>
      <c r="EE559" s="467"/>
      <c r="EF559" s="440"/>
    </row>
    <row r="560" spans="54:136">
      <c r="BB560" s="436"/>
      <c r="BC560" s="120"/>
      <c r="BD560" s="120"/>
      <c r="BE560" s="467"/>
      <c r="BF560" s="440"/>
      <c r="BJ560" s="489"/>
      <c r="CB560" s="436"/>
      <c r="CC560" s="120"/>
      <c r="CD560" s="120"/>
      <c r="CE560" s="467"/>
      <c r="CF560" s="440"/>
      <c r="DB560" s="436"/>
      <c r="DC560" s="120"/>
      <c r="DD560" s="120"/>
      <c r="DE560" s="467"/>
      <c r="DF560" s="440"/>
      <c r="EB560" s="436"/>
      <c r="EC560" s="120"/>
      <c r="ED560" s="120"/>
      <c r="EE560" s="467"/>
      <c r="EF560" s="440"/>
    </row>
    <row r="561" spans="54:136">
      <c r="BB561" s="436"/>
      <c r="BC561" s="120"/>
      <c r="BD561" s="120"/>
      <c r="BE561" s="467"/>
      <c r="BF561" s="440"/>
      <c r="CB561" s="436"/>
      <c r="CC561" s="120"/>
      <c r="CD561" s="120"/>
      <c r="CE561" s="467"/>
      <c r="CF561" s="440"/>
      <c r="DB561" s="436"/>
      <c r="DC561" s="120"/>
      <c r="DD561" s="120"/>
      <c r="DE561" s="467"/>
      <c r="DF561" s="440"/>
      <c r="EB561" s="436"/>
      <c r="EC561" s="120"/>
      <c r="ED561" s="120"/>
      <c r="EE561" s="467"/>
      <c r="EF561" s="440"/>
    </row>
    <row r="562" spans="54:136">
      <c r="BB562" s="436"/>
      <c r="BC562" s="120"/>
      <c r="BD562" s="120"/>
      <c r="BE562" s="467"/>
      <c r="BF562" s="440"/>
      <c r="CB562" s="436"/>
      <c r="CC562" s="120"/>
      <c r="CD562" s="120"/>
      <c r="CE562" s="467"/>
      <c r="CF562" s="440"/>
      <c r="DB562" s="436"/>
      <c r="DC562" s="120"/>
      <c r="DD562" s="120"/>
      <c r="DE562" s="467"/>
      <c r="DF562" s="440"/>
      <c r="EB562" s="436"/>
      <c r="EC562" s="120"/>
      <c r="ED562" s="120"/>
      <c r="EE562" s="467"/>
      <c r="EF562" s="440"/>
    </row>
    <row r="563" spans="54:136">
      <c r="BB563" s="436"/>
      <c r="BC563" s="120"/>
      <c r="BD563" s="120"/>
      <c r="BE563" s="467"/>
      <c r="BF563" s="440"/>
      <c r="CB563" s="436"/>
      <c r="CC563" s="120"/>
      <c r="CD563" s="120"/>
      <c r="CE563" s="467"/>
      <c r="CF563" s="440"/>
      <c r="DB563" s="436"/>
      <c r="DC563" s="120"/>
      <c r="DD563" s="120"/>
      <c r="DE563" s="467"/>
      <c r="DF563" s="440"/>
      <c r="EB563" s="436"/>
      <c r="EC563" s="120"/>
      <c r="ED563" s="120"/>
      <c r="EE563" s="467"/>
      <c r="EF563" s="440"/>
    </row>
    <row r="564" spans="54:136">
      <c r="BB564" s="436"/>
      <c r="BC564" s="120"/>
      <c r="BD564" s="120"/>
      <c r="BE564" s="467"/>
      <c r="BF564" s="440"/>
      <c r="CB564" s="436"/>
      <c r="CC564" s="120"/>
      <c r="CD564" s="120"/>
      <c r="CE564" s="467"/>
      <c r="CF564" s="440"/>
      <c r="DB564" s="436"/>
      <c r="DC564" s="120"/>
      <c r="DD564" s="120"/>
      <c r="DE564" s="467"/>
      <c r="DF564" s="440"/>
      <c r="EB564" s="436"/>
      <c r="EC564" s="120"/>
      <c r="ED564" s="120"/>
      <c r="EE564" s="467"/>
      <c r="EF564" s="440"/>
    </row>
    <row r="565" spans="54:136">
      <c r="BB565" s="436"/>
      <c r="BC565" s="120"/>
      <c r="BD565" s="120"/>
      <c r="BE565" s="467"/>
      <c r="BF565" s="440"/>
      <c r="CB565" s="436"/>
      <c r="CC565" s="120"/>
      <c r="CD565" s="120"/>
      <c r="CE565" s="467"/>
      <c r="CF565" s="440"/>
      <c r="DB565" s="436"/>
      <c r="DC565" s="120"/>
      <c r="DD565" s="120"/>
      <c r="DE565" s="467"/>
      <c r="DF565" s="440"/>
      <c r="EB565" s="436"/>
      <c r="EC565" s="120"/>
      <c r="ED565" s="120"/>
      <c r="EE565" s="467"/>
      <c r="EF565" s="440"/>
    </row>
    <row r="566" spans="54:136">
      <c r="BB566" s="436"/>
      <c r="BC566" s="120"/>
      <c r="BD566" s="120"/>
      <c r="BE566" s="467"/>
      <c r="BF566" s="440"/>
      <c r="CB566" s="436"/>
      <c r="CC566" s="120"/>
      <c r="CD566" s="120"/>
      <c r="CE566" s="467"/>
      <c r="CF566" s="440"/>
      <c r="DB566" s="436"/>
      <c r="DC566" s="120"/>
      <c r="DD566" s="120"/>
      <c r="DE566" s="467"/>
      <c r="DF566" s="440"/>
      <c r="EB566" s="436"/>
      <c r="EC566" s="120"/>
      <c r="ED566" s="120"/>
      <c r="EE566" s="467"/>
      <c r="EF566" s="440"/>
    </row>
    <row r="567" spans="54:136">
      <c r="BB567" s="456"/>
      <c r="BC567" s="457"/>
      <c r="BD567" s="457"/>
      <c r="BE567" s="477"/>
      <c r="BF567" s="458"/>
      <c r="CB567" s="456"/>
      <c r="CC567" s="457"/>
      <c r="CD567" s="457"/>
      <c r="CE567" s="477"/>
      <c r="CF567" s="458"/>
      <c r="DB567" s="456"/>
      <c r="DC567" s="457"/>
      <c r="DD567" s="457"/>
      <c r="DE567" s="477"/>
      <c r="DF567" s="458"/>
      <c r="EB567" s="456"/>
      <c r="EC567" s="457"/>
      <c r="ED567" s="457"/>
      <c r="EE567" s="477"/>
      <c r="EF567" s="458"/>
    </row>
    <row r="568" spans="54:136">
      <c r="BB568" s="456"/>
      <c r="BC568" s="457"/>
      <c r="BD568" s="457"/>
      <c r="BE568" s="457"/>
      <c r="BF568" s="458"/>
      <c r="CB568" s="456"/>
      <c r="CC568" s="457"/>
      <c r="CD568" s="457"/>
      <c r="CE568" s="457"/>
      <c r="CF568" s="458"/>
      <c r="DB568" s="456"/>
      <c r="DC568" s="457"/>
      <c r="DD568" s="457"/>
      <c r="DE568" s="457"/>
      <c r="DF568" s="458"/>
      <c r="EB568" s="456"/>
      <c r="EC568" s="457"/>
      <c r="ED568" s="457"/>
      <c r="EE568" s="457"/>
      <c r="EF568" s="458"/>
    </row>
    <row r="569" spans="54:136">
      <c r="BB569" s="449" t="s">
        <v>475</v>
      </c>
      <c r="BC569" s="120"/>
      <c r="BD569" s="120"/>
      <c r="BE569" s="120"/>
      <c r="BF569" s="440"/>
      <c r="CB569" s="449" t="s">
        <v>475</v>
      </c>
      <c r="CC569" s="120"/>
      <c r="CD569" s="120"/>
      <c r="CE569" s="120"/>
      <c r="CF569" s="440"/>
      <c r="DB569" s="449" t="s">
        <v>475</v>
      </c>
      <c r="DC569" s="120"/>
      <c r="DD569" s="120"/>
      <c r="DE569" s="120"/>
      <c r="DF569" s="440"/>
      <c r="EB569" s="449" t="s">
        <v>475</v>
      </c>
      <c r="EC569" s="120"/>
      <c r="ED569" s="120"/>
      <c r="EE569" s="120"/>
      <c r="EF569" s="440"/>
    </row>
    <row r="570" spans="54:136">
      <c r="BB570" s="436" t="s">
        <v>509</v>
      </c>
      <c r="BC570" s="120"/>
      <c r="BD570" s="120"/>
      <c r="BE570" s="120"/>
      <c r="BF570" s="440"/>
      <c r="CB570" s="436" t="s">
        <v>509</v>
      </c>
      <c r="CC570" s="120"/>
      <c r="CD570" s="120"/>
      <c r="CE570" s="120"/>
      <c r="CF570" s="440"/>
      <c r="DB570" s="436" t="s">
        <v>509</v>
      </c>
      <c r="DC570" s="120"/>
      <c r="DD570" s="120"/>
      <c r="DE570" s="120"/>
      <c r="DF570" s="440"/>
      <c r="EB570" s="436" t="s">
        <v>509</v>
      </c>
      <c r="EC570" s="120"/>
      <c r="ED570" s="120"/>
      <c r="EE570" s="120"/>
      <c r="EF570" s="440"/>
    </row>
    <row r="571" spans="54:136">
      <c r="BB571" s="436" t="s">
        <v>510</v>
      </c>
      <c r="BC571" s="120"/>
      <c r="BD571" s="120"/>
      <c r="BE571" s="120"/>
      <c r="BF571" s="440"/>
      <c r="CB571" s="436" t="s">
        <v>510</v>
      </c>
      <c r="CC571" s="120"/>
      <c r="CD571" s="120"/>
      <c r="CE571" s="120"/>
      <c r="CF571" s="440"/>
      <c r="DB571" s="436" t="s">
        <v>510</v>
      </c>
      <c r="DC571" s="120"/>
      <c r="DD571" s="120"/>
      <c r="DE571" s="120"/>
      <c r="DF571" s="440"/>
      <c r="EB571" s="436" t="s">
        <v>510</v>
      </c>
      <c r="EC571" s="120"/>
      <c r="ED571" s="120"/>
      <c r="EE571" s="120"/>
      <c r="EF571" s="440"/>
    </row>
    <row r="572" spans="54:136">
      <c r="BB572" s="436"/>
      <c r="BC572" s="120"/>
      <c r="BD572" s="120"/>
      <c r="BE572" s="120"/>
      <c r="BF572" s="440"/>
      <c r="CB572" s="436"/>
      <c r="CC572" s="120"/>
      <c r="CD572" s="120"/>
      <c r="CE572" s="120"/>
      <c r="CF572" s="440"/>
      <c r="DB572" s="436"/>
      <c r="DC572" s="120"/>
      <c r="DD572" s="120"/>
      <c r="DE572" s="120"/>
      <c r="DF572" s="440"/>
      <c r="EB572" s="436"/>
      <c r="EC572" s="120"/>
      <c r="ED572" s="120"/>
      <c r="EE572" s="120"/>
      <c r="EF572" s="440"/>
    </row>
    <row r="573" spans="54:136">
      <c r="BB573" s="436"/>
      <c r="BC573" s="120"/>
      <c r="BD573" s="120"/>
      <c r="BE573" s="120"/>
      <c r="BF573" s="440"/>
      <c r="CB573" s="436"/>
      <c r="CC573" s="120"/>
      <c r="CD573" s="120"/>
      <c r="CE573" s="120"/>
      <c r="CF573" s="440"/>
      <c r="DB573" s="436"/>
      <c r="DC573" s="120"/>
      <c r="DD573" s="120"/>
      <c r="DE573" s="120"/>
      <c r="DF573" s="440"/>
      <c r="EB573" s="436"/>
      <c r="EC573" s="120"/>
      <c r="ED573" s="120"/>
      <c r="EE573" s="120"/>
      <c r="EF573" s="440"/>
    </row>
    <row r="574" spans="54:136">
      <c r="BB574" s="436"/>
      <c r="BC574" s="120"/>
      <c r="BD574" s="120"/>
      <c r="BE574" s="120"/>
      <c r="BF574" s="440"/>
      <c r="CB574" s="436"/>
      <c r="CC574" s="120"/>
      <c r="CD574" s="120"/>
      <c r="CE574" s="120"/>
      <c r="CF574" s="440"/>
      <c r="DB574" s="436"/>
      <c r="DC574" s="120"/>
      <c r="DD574" s="120"/>
      <c r="DE574" s="120"/>
      <c r="DF574" s="440"/>
      <c r="EB574" s="436"/>
      <c r="EC574" s="120"/>
      <c r="ED574" s="120"/>
      <c r="EE574" s="120"/>
      <c r="EF574" s="440"/>
    </row>
    <row r="575" spans="54:136">
      <c r="BB575" s="436"/>
      <c r="BC575" s="120"/>
      <c r="BD575" s="120"/>
      <c r="BE575" s="120"/>
      <c r="BF575" s="440"/>
      <c r="CB575" s="436"/>
      <c r="CC575" s="120"/>
      <c r="CD575" s="120"/>
      <c r="CE575" s="120"/>
      <c r="CF575" s="440"/>
      <c r="DB575" s="436"/>
      <c r="DC575" s="120"/>
      <c r="DD575" s="120"/>
      <c r="DE575" s="120"/>
      <c r="DF575" s="440"/>
      <c r="EB575" s="436"/>
      <c r="EC575" s="120"/>
      <c r="ED575" s="120"/>
      <c r="EE575" s="120"/>
      <c r="EF575" s="440"/>
    </row>
    <row r="576" spans="54:136">
      <c r="BB576" s="436" t="s">
        <v>511</v>
      </c>
      <c r="BC576" s="120">
        <v>0</v>
      </c>
      <c r="BD576" s="120" t="s">
        <v>512</v>
      </c>
      <c r="BE576" s="120"/>
      <c r="BF576" s="440"/>
      <c r="CB576" s="436" t="s">
        <v>511</v>
      </c>
      <c r="CC576" s="120">
        <v>0</v>
      </c>
      <c r="CD576" s="120" t="s">
        <v>512</v>
      </c>
      <c r="CE576" s="120"/>
      <c r="CF576" s="440"/>
      <c r="DB576" s="436" t="s">
        <v>511</v>
      </c>
      <c r="DC576" s="120">
        <v>0</v>
      </c>
      <c r="DD576" s="120" t="s">
        <v>512</v>
      </c>
      <c r="DE576" s="120"/>
      <c r="DF576" s="440"/>
      <c r="EB576" s="436" t="s">
        <v>511</v>
      </c>
      <c r="EC576" s="120">
        <v>0</v>
      </c>
      <c r="ED576" s="120" t="s">
        <v>512</v>
      </c>
      <c r="EE576" s="120"/>
      <c r="EF576" s="440"/>
    </row>
    <row r="577" spans="54:136">
      <c r="BB577" s="436" t="s">
        <v>513</v>
      </c>
      <c r="BC577" s="120">
        <v>0</v>
      </c>
      <c r="BD577" s="120" t="s">
        <v>512</v>
      </c>
      <c r="BE577" s="120"/>
      <c r="BF577" s="440"/>
      <c r="CB577" s="436" t="s">
        <v>513</v>
      </c>
      <c r="CC577" s="120">
        <v>0</v>
      </c>
      <c r="CD577" s="120" t="s">
        <v>512</v>
      </c>
      <c r="CE577" s="120"/>
      <c r="CF577" s="440"/>
      <c r="DB577" s="436" t="s">
        <v>513</v>
      </c>
      <c r="DC577" s="120">
        <v>0</v>
      </c>
      <c r="DD577" s="120" t="s">
        <v>512</v>
      </c>
      <c r="DE577" s="120"/>
      <c r="DF577" s="440"/>
      <c r="EB577" s="436" t="s">
        <v>513</v>
      </c>
      <c r="EC577" s="120">
        <v>0</v>
      </c>
      <c r="ED577" s="120" t="s">
        <v>512</v>
      </c>
      <c r="EE577" s="120"/>
      <c r="EF577" s="440"/>
    </row>
    <row r="578" spans="54:136">
      <c r="BB578" s="456"/>
      <c r="BC578" s="457"/>
      <c r="BD578" s="457"/>
      <c r="BE578" s="457"/>
      <c r="BF578" s="458"/>
      <c r="CB578" s="456"/>
      <c r="CC578" s="457"/>
      <c r="CD578" s="457"/>
      <c r="CE578" s="457"/>
      <c r="CF578" s="458"/>
      <c r="DB578" s="456"/>
      <c r="DC578" s="457"/>
      <c r="DD578" s="457"/>
      <c r="DE578" s="457"/>
      <c r="DF578" s="458"/>
      <c r="EB578" s="456"/>
      <c r="EC578" s="457"/>
      <c r="ED578" s="457"/>
      <c r="EE578" s="457"/>
      <c r="EF578" s="458"/>
    </row>
    <row r="579" spans="54:136">
      <c r="BB579" s="449" t="s">
        <v>461</v>
      </c>
      <c r="BC579" s="120"/>
      <c r="BD579" s="120"/>
      <c r="BE579" s="120"/>
      <c r="BF579" s="440"/>
      <c r="CB579" s="449" t="s">
        <v>461</v>
      </c>
      <c r="CC579" s="120"/>
      <c r="CD579" s="120"/>
      <c r="CE579" s="120"/>
      <c r="CF579" s="440"/>
      <c r="DB579" s="449" t="s">
        <v>461</v>
      </c>
      <c r="DC579" s="120"/>
      <c r="DD579" s="120"/>
      <c r="DE579" s="120"/>
      <c r="DF579" s="440"/>
      <c r="EB579" s="449" t="s">
        <v>461</v>
      </c>
      <c r="EC579" s="120"/>
      <c r="ED579" s="120"/>
      <c r="EE579" s="120"/>
      <c r="EF579" s="440"/>
    </row>
    <row r="580" spans="54:136">
      <c r="BB580" s="436" t="s">
        <v>514</v>
      </c>
      <c r="BC580" s="120">
        <f>VLOOKUP(BB508,'Unit Ops'!$B$140:$K$209,10,FALSE)</f>
        <v>6</v>
      </c>
      <c r="BD580" s="120" t="s">
        <v>515</v>
      </c>
      <c r="BE580" s="120"/>
      <c r="BF580" s="440"/>
      <c r="CB580" s="436" t="s">
        <v>514</v>
      </c>
      <c r="CC580" s="120">
        <f>VLOOKUP(CB508,'Unit Ops'!$B$140:$K$209,10,FALSE)</f>
        <v>2</v>
      </c>
      <c r="CD580" s="120" t="s">
        <v>515</v>
      </c>
      <c r="CE580" s="120"/>
      <c r="CF580" s="440"/>
      <c r="DB580" s="436" t="s">
        <v>514</v>
      </c>
      <c r="DC580" s="120">
        <f>VLOOKUP(DB508,'Unit Ops'!$B$140:$K$209,10,FALSE)</f>
        <v>2</v>
      </c>
      <c r="DD580" s="120" t="s">
        <v>515</v>
      </c>
      <c r="DE580" s="120"/>
      <c r="DF580" s="440"/>
      <c r="EB580" s="436" t="s">
        <v>514</v>
      </c>
      <c r="EC580" s="120">
        <f>VLOOKUP(EB508,'Unit Ops'!$B$140:$K$209,10,FALSE)</f>
        <v>2</v>
      </c>
      <c r="ED580" s="120" t="s">
        <v>515</v>
      </c>
      <c r="EE580" s="120"/>
      <c r="EF580" s="440"/>
    </row>
    <row r="581" spans="54:136">
      <c r="BB581" s="436" t="s">
        <v>516</v>
      </c>
      <c r="BC581" s="120">
        <v>0</v>
      </c>
      <c r="BD581" s="120" t="s">
        <v>515</v>
      </c>
      <c r="BE581" s="120"/>
      <c r="BF581" s="440"/>
      <c r="CB581" s="436" t="s">
        <v>516</v>
      </c>
      <c r="CC581" s="120">
        <v>0</v>
      </c>
      <c r="CD581" s="120" t="s">
        <v>515</v>
      </c>
      <c r="CE581" s="120"/>
      <c r="CF581" s="440"/>
      <c r="DB581" s="436" t="s">
        <v>516</v>
      </c>
      <c r="DC581" s="120">
        <v>0</v>
      </c>
      <c r="DD581" s="120" t="s">
        <v>515</v>
      </c>
      <c r="DE581" s="120"/>
      <c r="DF581" s="440"/>
      <c r="EB581" s="436" t="s">
        <v>516</v>
      </c>
      <c r="EC581" s="120">
        <v>0</v>
      </c>
      <c r="ED581" s="120" t="s">
        <v>515</v>
      </c>
      <c r="EE581" s="120"/>
      <c r="EF581" s="440"/>
    </row>
    <row r="582" spans="54:136">
      <c r="BB582" s="436"/>
      <c r="BC582" s="120"/>
      <c r="BD582" s="120"/>
      <c r="BE582" s="120"/>
      <c r="BF582" s="440"/>
      <c r="CB582" s="436"/>
      <c r="CC582" s="120"/>
      <c r="CD582" s="120"/>
      <c r="CE582" s="120"/>
      <c r="CF582" s="440"/>
      <c r="DB582" s="436"/>
      <c r="DC582" s="120"/>
      <c r="DD582" s="120"/>
      <c r="DE582" s="120"/>
      <c r="DF582" s="440"/>
      <c r="EB582" s="436"/>
      <c r="EC582" s="120"/>
      <c r="ED582" s="120"/>
      <c r="EE582" s="120"/>
      <c r="EF582" s="440"/>
    </row>
    <row r="583" spans="54:136">
      <c r="BB583" s="436"/>
      <c r="BC583" s="120"/>
      <c r="BD583" s="120"/>
      <c r="BE583" s="120"/>
      <c r="BF583" s="440"/>
      <c r="CB583" s="436"/>
      <c r="CC583" s="120"/>
      <c r="CD583" s="120"/>
      <c r="CE583" s="120"/>
      <c r="CF583" s="440"/>
      <c r="DB583" s="436"/>
      <c r="DC583" s="120"/>
      <c r="DD583" s="120"/>
      <c r="DE583" s="120"/>
      <c r="DF583" s="440"/>
      <c r="EB583" s="436"/>
      <c r="EC583" s="120"/>
      <c r="ED583" s="120"/>
      <c r="EE583" s="120"/>
      <c r="EF583" s="440"/>
    </row>
    <row r="584" spans="54:136">
      <c r="BB584" s="436"/>
      <c r="BC584" s="120"/>
      <c r="BD584" s="120"/>
      <c r="BE584" s="120"/>
      <c r="BF584" s="440"/>
      <c r="CB584" s="436"/>
      <c r="CC584" s="120"/>
      <c r="CD584" s="120"/>
      <c r="CE584" s="120"/>
      <c r="CF584" s="440"/>
      <c r="DB584" s="436"/>
      <c r="DC584" s="120"/>
      <c r="DD584" s="120"/>
      <c r="DE584" s="120"/>
      <c r="DF584" s="440"/>
      <c r="EB584" s="436"/>
      <c r="EC584" s="120"/>
      <c r="ED584" s="120"/>
      <c r="EE584" s="120"/>
      <c r="EF584" s="440"/>
    </row>
    <row r="585" spans="54:136">
      <c r="BB585" s="436"/>
      <c r="BC585" s="120"/>
      <c r="BD585" s="120"/>
      <c r="BE585" s="120"/>
      <c r="BF585" s="440"/>
      <c r="CB585" s="436"/>
      <c r="CC585" s="120"/>
      <c r="CD585" s="120"/>
      <c r="CE585" s="120"/>
      <c r="CF585" s="440"/>
      <c r="DB585" s="436"/>
      <c r="DC585" s="120"/>
      <c r="DD585" s="120"/>
      <c r="DE585" s="120"/>
      <c r="DF585" s="440"/>
      <c r="EB585" s="436"/>
      <c r="EC585" s="120"/>
      <c r="ED585" s="120"/>
      <c r="EE585" s="120"/>
      <c r="EF585" s="440"/>
    </row>
    <row r="586" spans="54:136">
      <c r="BB586" s="436"/>
      <c r="BC586" s="120"/>
      <c r="BD586" s="120"/>
      <c r="BE586" s="120"/>
      <c r="BF586" s="440"/>
      <c r="CB586" s="436"/>
      <c r="CC586" s="120"/>
      <c r="CD586" s="120"/>
      <c r="CE586" s="120"/>
      <c r="CF586" s="440"/>
      <c r="DB586" s="436"/>
      <c r="DC586" s="120"/>
      <c r="DD586" s="120"/>
      <c r="DE586" s="120"/>
      <c r="DF586" s="440"/>
      <c r="EB586" s="436"/>
      <c r="EC586" s="120"/>
      <c r="ED586" s="120"/>
      <c r="EE586" s="120"/>
      <c r="EF586" s="440"/>
    </row>
    <row r="587" spans="54:136">
      <c r="BB587" s="436" t="s">
        <v>464</v>
      </c>
      <c r="BC587" s="120"/>
      <c r="BD587" s="120"/>
      <c r="BE587" s="120"/>
      <c r="BF587" s="440"/>
      <c r="CB587" s="436" t="s">
        <v>464</v>
      </c>
      <c r="CC587" s="120"/>
      <c r="CD587" s="120"/>
      <c r="CE587" s="120"/>
      <c r="CF587" s="440"/>
      <c r="DB587" s="436" t="s">
        <v>464</v>
      </c>
      <c r="DC587" s="120"/>
      <c r="DD587" s="120"/>
      <c r="DE587" s="120"/>
      <c r="DF587" s="440"/>
      <c r="EB587" s="436" t="s">
        <v>464</v>
      </c>
      <c r="EC587" s="120"/>
      <c r="ED587" s="120"/>
      <c r="EE587" s="120"/>
      <c r="EF587" s="440"/>
    </row>
    <row r="588" spans="54:136">
      <c r="BB588" s="456"/>
      <c r="BC588" s="457"/>
      <c r="BD588" s="457"/>
      <c r="BE588" s="457"/>
      <c r="BF588" s="458"/>
      <c r="CB588" s="456"/>
      <c r="CC588" s="457"/>
      <c r="CD588" s="457"/>
      <c r="CE588" s="457"/>
      <c r="CF588" s="458"/>
      <c r="DB588" s="456"/>
      <c r="DC588" s="457"/>
      <c r="DD588" s="457"/>
      <c r="DE588" s="457"/>
      <c r="DF588" s="458"/>
      <c r="EB588" s="456"/>
      <c r="EC588" s="457"/>
      <c r="ED588" s="457"/>
      <c r="EE588" s="457"/>
      <c r="EF588" s="458"/>
    </row>
    <row r="589" spans="54:136">
      <c r="BB589" s="449" t="s">
        <v>472</v>
      </c>
      <c r="BC589" s="467" t="s">
        <v>517</v>
      </c>
      <c r="BD589" s="120" t="s">
        <v>518</v>
      </c>
      <c r="BE589" s="467" t="s">
        <v>519</v>
      </c>
      <c r="BF589" s="440" t="s">
        <v>518</v>
      </c>
      <c r="CB589" s="449" t="s">
        <v>472</v>
      </c>
      <c r="CC589" s="467" t="s">
        <v>517</v>
      </c>
      <c r="CD589" s="120" t="s">
        <v>518</v>
      </c>
      <c r="CE589" s="467" t="s">
        <v>519</v>
      </c>
      <c r="CF589" s="440" t="s">
        <v>518</v>
      </c>
      <c r="DB589" s="449" t="s">
        <v>472</v>
      </c>
      <c r="DC589" s="467" t="s">
        <v>517</v>
      </c>
      <c r="DD589" s="120" t="s">
        <v>518</v>
      </c>
      <c r="DE589" s="467" t="s">
        <v>519</v>
      </c>
      <c r="DF589" s="440" t="s">
        <v>518</v>
      </c>
      <c r="EB589" s="449" t="s">
        <v>472</v>
      </c>
      <c r="EC589" s="467" t="s">
        <v>517</v>
      </c>
      <c r="ED589" s="120" t="s">
        <v>518</v>
      </c>
      <c r="EE589" s="467" t="s">
        <v>519</v>
      </c>
      <c r="EF589" s="440" t="s">
        <v>518</v>
      </c>
    </row>
    <row r="590" spans="54:136">
      <c r="BB590" s="436" t="s">
        <v>520</v>
      </c>
      <c r="BC590" s="120"/>
      <c r="BD590" s="120"/>
      <c r="BE590" s="472">
        <f>((VLOOKUP(BB508,'Unit Ops'!$B$140:$J$209,3,FALSE)*BC510^VLOOKUP(BB508,'Unit Ops'!$B$140:$J$209,4,FALSE)+VLOOKUP(BB508,'Unit Ops'!$B$140:$J$209,5,FALSE))*VLOOKUP(BB508,'Unit Ops'!$B$140:$J$209,6,FALSE))*IF(VLOOKUP(BB508,'Unit Ops'!$B$140:$L$209,11,FALSE)=1,1,2)</f>
        <v>109630.96684603367</v>
      </c>
      <c r="BF590" s="490">
        <f>$C$7</f>
        <v>2022</v>
      </c>
      <c r="CB590" s="436" t="s">
        <v>520</v>
      </c>
      <c r="CC590" s="120"/>
      <c r="CD590" s="120"/>
      <c r="CE590" s="472">
        <f>((VLOOKUP(CB508,'Unit Ops'!$B$140:$J$209,3,FALSE)*CC510^VLOOKUP(CB508,'Unit Ops'!$B$140:$J$209,4,FALSE)+VLOOKUP(CB508,'Unit Ops'!$B$140:$J$209,5,FALSE))*VLOOKUP(CB508,'Unit Ops'!$B$140:$J$209,6,FALSE))*IF(VLOOKUP(CB508,'Unit Ops'!$B$140:$L$209,11,FALSE)=1,1,2)</f>
        <v>58073.251171671582</v>
      </c>
      <c r="CF590" s="490">
        <f>$C$7</f>
        <v>2022</v>
      </c>
      <c r="DB590" s="436" t="s">
        <v>520</v>
      </c>
      <c r="DC590" s="120"/>
      <c r="DD590" s="120"/>
      <c r="DE590" s="472">
        <f>((VLOOKUP(DB508,'Unit Ops'!$B$140:$J$209,3,FALSE)*DC510^VLOOKUP(DB508,'Unit Ops'!$B$140:$J$209,4,FALSE)+VLOOKUP(DB508,'Unit Ops'!$B$140:$J$209,5,FALSE))*VLOOKUP(DB508,'Unit Ops'!$B$140:$J$209,6,FALSE))*IF(VLOOKUP(DB508,'Unit Ops'!$B$140:$L$209,11,FALSE)=1,1,2)</f>
        <v>58073.251171671582</v>
      </c>
      <c r="DF590" s="490">
        <f>$C$7</f>
        <v>2022</v>
      </c>
      <c r="EB590" s="436" t="s">
        <v>520</v>
      </c>
      <c r="EC590" s="120"/>
      <c r="ED590" s="120"/>
      <c r="EE590" s="472">
        <f>((VLOOKUP(EB508,'Unit Ops'!$B$140:$J$209,3,FALSE)*EC510^VLOOKUP(EB508,'Unit Ops'!$B$140:$J$209,4,FALSE)+VLOOKUP(EB508,'Unit Ops'!$B$140:$J$209,5,FALSE))*VLOOKUP(EB508,'Unit Ops'!$B$140:$J$209,6,FALSE))*IF(VLOOKUP(EB508,'Unit Ops'!$B$140:$L$209,11,FALSE)=1,1,2)</f>
        <v>58073.251171671582</v>
      </c>
      <c r="EF590" s="490">
        <f>$C$7</f>
        <v>2022</v>
      </c>
    </row>
    <row r="591" spans="54:136">
      <c r="BB591" s="436"/>
      <c r="BC591" s="120"/>
      <c r="BD591" s="120"/>
      <c r="BE591" s="120"/>
      <c r="BF591" s="440"/>
      <c r="CB591" s="436"/>
      <c r="CC591" s="120"/>
      <c r="CD591" s="120"/>
      <c r="CE591" s="120"/>
      <c r="CF591" s="440"/>
      <c r="DB591" s="436"/>
      <c r="DC591" s="120"/>
      <c r="DD591" s="120"/>
      <c r="DE591" s="120"/>
      <c r="DF591" s="440"/>
      <c r="EB591" s="436"/>
      <c r="EC591" s="120"/>
      <c r="ED591" s="120"/>
      <c r="EE591" s="120"/>
      <c r="EF591" s="440"/>
    </row>
    <row r="592" spans="54:136">
      <c r="BB592" s="436"/>
      <c r="BC592" s="120"/>
      <c r="BD592" s="120"/>
      <c r="BE592" s="120"/>
      <c r="BF592" s="440"/>
      <c r="CB592" s="436"/>
      <c r="CC592" s="120"/>
      <c r="CD592" s="120"/>
      <c r="CE592" s="120"/>
      <c r="CF592" s="440"/>
      <c r="DB592" s="436"/>
      <c r="DC592" s="120"/>
      <c r="DD592" s="120"/>
      <c r="DE592" s="120"/>
      <c r="DF592" s="440"/>
      <c r="EB592" s="436"/>
      <c r="EC592" s="120"/>
      <c r="ED592" s="120"/>
      <c r="EE592" s="120"/>
      <c r="EF592" s="440"/>
    </row>
    <row r="593" spans="53:138">
      <c r="BB593" s="436"/>
      <c r="BC593" s="120"/>
      <c r="BD593" s="120"/>
      <c r="BE593" s="120"/>
      <c r="BF593" s="440"/>
      <c r="CB593" s="436"/>
      <c r="CC593" s="120"/>
      <c r="CD593" s="120"/>
      <c r="CE593" s="120"/>
      <c r="CF593" s="440"/>
      <c r="DB593" s="436"/>
      <c r="DC593" s="120"/>
      <c r="DD593" s="120"/>
      <c r="DE593" s="120"/>
      <c r="DF593" s="440"/>
      <c r="EB593" s="436"/>
      <c r="EC593" s="120"/>
      <c r="ED593" s="120"/>
      <c r="EE593" s="120"/>
      <c r="EF593" s="440"/>
    </row>
    <row r="594" spans="53:138">
      <c r="BB594" s="436"/>
      <c r="BC594" s="120"/>
      <c r="BD594" s="120"/>
      <c r="BE594" s="120"/>
      <c r="BF594" s="440"/>
      <c r="CB594" s="436"/>
      <c r="CC594" s="120"/>
      <c r="CD594" s="120"/>
      <c r="CE594" s="120"/>
      <c r="CF594" s="440"/>
      <c r="DB594" s="436"/>
      <c r="DC594" s="120"/>
      <c r="DD594" s="120"/>
      <c r="DE594" s="120"/>
      <c r="DF594" s="440"/>
      <c r="EB594" s="436"/>
      <c r="EC594" s="120"/>
      <c r="ED594" s="120"/>
      <c r="EE594" s="120"/>
      <c r="EF594" s="440"/>
    </row>
    <row r="595" spans="53:138">
      <c r="BB595" s="436"/>
      <c r="BC595" s="120"/>
      <c r="BD595" s="120"/>
      <c r="BE595" s="120"/>
      <c r="BF595" s="440"/>
      <c r="CB595" s="436"/>
      <c r="CC595" s="120"/>
      <c r="CD595" s="120"/>
      <c r="CE595" s="120"/>
      <c r="CF595" s="440"/>
      <c r="DB595" s="436"/>
      <c r="DC595" s="120"/>
      <c r="DD595" s="120"/>
      <c r="DE595" s="120"/>
      <c r="DF595" s="440"/>
      <c r="EB595" s="436"/>
      <c r="EC595" s="120"/>
      <c r="ED595" s="120"/>
      <c r="EE595" s="120"/>
      <c r="EF595" s="440"/>
    </row>
    <row r="596" spans="53:138">
      <c r="BB596" s="436"/>
      <c r="BC596" s="120"/>
      <c r="BD596" s="120"/>
      <c r="BE596" s="120"/>
      <c r="BF596" s="440"/>
      <c r="CB596" s="436"/>
      <c r="CC596" s="120"/>
      <c r="CD596" s="120"/>
      <c r="CE596" s="120"/>
      <c r="CF596" s="440"/>
      <c r="DB596" s="436"/>
      <c r="DC596" s="120"/>
      <c r="DD596" s="120"/>
      <c r="DE596" s="120"/>
      <c r="DF596" s="440"/>
      <c r="EB596" s="436"/>
      <c r="EC596" s="120"/>
      <c r="ED596" s="120"/>
      <c r="EE596" s="120"/>
      <c r="EF596" s="440"/>
    </row>
    <row r="597" spans="53:138">
      <c r="BB597" s="436"/>
      <c r="BC597" s="120"/>
      <c r="BD597" s="120"/>
      <c r="BE597" s="120"/>
      <c r="BF597" s="440"/>
      <c r="CB597" s="436"/>
      <c r="CC597" s="120"/>
      <c r="CD597" s="120"/>
      <c r="CE597" s="120"/>
      <c r="CF597" s="440"/>
      <c r="DB597" s="436"/>
      <c r="DC597" s="120"/>
      <c r="DD597" s="120"/>
      <c r="DE597" s="120"/>
      <c r="DF597" s="440"/>
      <c r="EB597" s="436"/>
      <c r="EC597" s="120"/>
      <c r="ED597" s="120"/>
      <c r="EE597" s="120"/>
      <c r="EF597" s="440"/>
    </row>
    <row r="598" spans="53:138">
      <c r="BB598" s="436"/>
      <c r="BC598" s="120"/>
      <c r="BD598" s="120"/>
      <c r="BE598" s="120"/>
      <c r="BF598" s="440"/>
      <c r="CB598" s="436"/>
      <c r="CC598" s="120"/>
      <c r="CD598" s="120"/>
      <c r="CE598" s="120"/>
      <c r="CF598" s="440"/>
      <c r="DB598" s="436"/>
      <c r="DC598" s="120"/>
      <c r="DD598" s="120"/>
      <c r="DE598" s="120"/>
      <c r="DF598" s="440"/>
      <c r="EB598" s="436"/>
      <c r="EC598" s="120"/>
      <c r="ED598" s="120"/>
      <c r="EE598" s="120"/>
      <c r="EF598" s="440"/>
    </row>
    <row r="599" spans="53:138">
      <c r="BB599" s="436"/>
      <c r="BC599" s="120"/>
      <c r="BD599" s="120"/>
      <c r="BE599" s="120"/>
      <c r="BF599" s="440"/>
      <c r="BH599" s="491"/>
      <c r="CB599" s="436"/>
      <c r="CC599" s="120"/>
      <c r="CD599" s="120"/>
      <c r="CE599" s="120"/>
      <c r="CF599" s="440"/>
      <c r="CH599" s="491"/>
      <c r="DB599" s="436"/>
      <c r="DC599" s="120"/>
      <c r="DD599" s="120"/>
      <c r="DE599" s="120"/>
      <c r="DF599" s="440"/>
      <c r="DH599" s="491"/>
      <c r="EB599" s="436"/>
      <c r="EC599" s="120"/>
      <c r="ED599" s="120"/>
      <c r="EE599" s="120"/>
      <c r="EF599" s="440"/>
      <c r="EH599" s="491"/>
    </row>
    <row r="600" spans="53:138">
      <c r="BB600" s="436"/>
      <c r="BC600" s="120"/>
      <c r="BD600" s="120"/>
      <c r="BE600" s="120"/>
      <c r="BF600" s="440"/>
      <c r="CB600" s="436"/>
      <c r="CC600" s="120"/>
      <c r="CD600" s="120"/>
      <c r="CE600" s="120"/>
      <c r="CF600" s="440"/>
      <c r="DB600" s="436"/>
      <c r="DC600" s="120"/>
      <c r="DD600" s="120"/>
      <c r="DE600" s="120"/>
      <c r="DF600" s="440"/>
      <c r="EB600" s="436"/>
      <c r="EC600" s="120"/>
      <c r="ED600" s="120"/>
      <c r="EE600" s="120"/>
      <c r="EF600" s="440"/>
    </row>
    <row r="601" spans="53:138">
      <c r="BB601" s="436"/>
      <c r="BC601" s="120"/>
      <c r="BD601" s="120"/>
      <c r="BE601" s="120"/>
      <c r="BF601" s="440"/>
      <c r="CB601" s="436"/>
      <c r="CC601" s="120"/>
      <c r="CD601" s="120"/>
      <c r="CE601" s="120"/>
      <c r="CF601" s="440"/>
      <c r="DB601" s="436"/>
      <c r="DC601" s="120"/>
      <c r="DD601" s="120"/>
      <c r="DE601" s="120"/>
      <c r="DF601" s="440"/>
      <c r="EB601" s="436"/>
      <c r="EC601" s="120"/>
      <c r="ED601" s="120"/>
      <c r="EE601" s="120"/>
      <c r="EF601" s="440"/>
    </row>
    <row r="602" spans="53:138">
      <c r="BB602" s="436"/>
      <c r="BC602" s="120"/>
      <c r="BD602" s="120"/>
      <c r="BE602" s="120"/>
      <c r="BF602" s="440"/>
      <c r="CB602" s="436"/>
      <c r="CC602" s="120"/>
      <c r="CD602" s="120"/>
      <c r="CE602" s="120"/>
      <c r="CF602" s="440"/>
      <c r="DB602" s="436"/>
      <c r="DC602" s="120"/>
      <c r="DD602" s="120"/>
      <c r="DE602" s="120"/>
      <c r="DF602" s="440"/>
      <c r="EB602" s="436"/>
      <c r="EC602" s="120"/>
      <c r="ED602" s="120"/>
      <c r="EE602" s="120"/>
      <c r="EF602" s="440"/>
    </row>
    <row r="603" spans="53:138">
      <c r="BB603" s="436"/>
      <c r="BC603" s="120"/>
      <c r="BD603" s="120"/>
      <c r="BE603" s="120"/>
      <c r="BF603" s="440"/>
      <c r="CB603" s="436"/>
      <c r="CC603" s="120"/>
      <c r="CD603" s="120"/>
      <c r="CE603" s="120"/>
      <c r="CF603" s="440"/>
      <c r="DB603" s="436"/>
      <c r="DC603" s="120"/>
      <c r="DD603" s="120"/>
      <c r="DE603" s="120"/>
      <c r="DF603" s="440"/>
      <c r="EB603" s="436"/>
      <c r="EC603" s="120"/>
      <c r="ED603" s="120"/>
      <c r="EE603" s="120"/>
      <c r="EF603" s="440"/>
    </row>
    <row r="604" spans="53:138" ht="14.5" thickBot="1">
      <c r="BB604" s="492"/>
      <c r="BC604" s="493"/>
      <c r="BD604" s="493"/>
      <c r="BE604" s="493"/>
      <c r="BF604" s="453"/>
      <c r="CB604" s="492"/>
      <c r="CC604" s="493"/>
      <c r="CD604" s="493"/>
      <c r="CE604" s="493"/>
      <c r="CF604" s="453"/>
      <c r="DB604" s="492"/>
      <c r="DC604" s="493"/>
      <c r="DD604" s="493"/>
      <c r="DE604" s="493"/>
      <c r="DF604" s="453"/>
      <c r="EB604" s="492"/>
      <c r="EC604" s="493"/>
      <c r="ED604" s="493"/>
      <c r="EE604" s="493"/>
      <c r="EF604" s="453"/>
    </row>
    <row r="607" spans="53:138" ht="14.5" thickBot="1">
      <c r="BB607" s="118"/>
      <c r="BC607" s="118"/>
      <c r="BD607" s="118"/>
      <c r="BE607" s="118"/>
      <c r="BF607" s="118"/>
      <c r="CB607" s="118"/>
      <c r="CC607" s="118"/>
      <c r="CD607" s="118"/>
      <c r="CE607" s="118"/>
      <c r="CF607" s="118"/>
      <c r="DB607" s="118"/>
      <c r="DC607" s="118"/>
      <c r="DD607" s="118"/>
      <c r="DE607" s="118"/>
      <c r="DF607" s="118"/>
      <c r="EB607" s="118"/>
      <c r="EC607" s="118"/>
      <c r="ED607" s="118"/>
      <c r="EE607" s="118"/>
      <c r="EF607" s="118"/>
    </row>
    <row r="608" spans="53:138">
      <c r="BA608" s="114" t="s">
        <v>478</v>
      </c>
      <c r="BB608" s="494" t="str">
        <f>BB55</f>
        <v>Conveyor</v>
      </c>
      <c r="BC608" s="495"/>
      <c r="BD608" s="454"/>
      <c r="BE608" s="120"/>
      <c r="BF608" s="440"/>
      <c r="BG608" s="409"/>
      <c r="CA608" s="114" t="s">
        <v>478</v>
      </c>
      <c r="CB608" s="494" t="str">
        <f>CB55</f>
        <v>Leaching tank</v>
      </c>
      <c r="CC608" s="495"/>
      <c r="CD608" s="454"/>
      <c r="CE608" s="120"/>
      <c r="CF608" s="440"/>
      <c r="CG608" s="409"/>
      <c r="DA608" s="114" t="s">
        <v>478</v>
      </c>
      <c r="DB608" s="494" t="str">
        <f>DB55</f>
        <v>Froth flotation cell</v>
      </c>
      <c r="DC608" s="495"/>
      <c r="DD608" s="454"/>
      <c r="DE608" s="120"/>
      <c r="DF608" s="440"/>
      <c r="DG608" s="409"/>
      <c r="EA608" s="114" t="s">
        <v>478</v>
      </c>
      <c r="EB608" s="494" t="str">
        <f>EB57</f>
        <v>Leaching tank</v>
      </c>
      <c r="EC608" s="495"/>
      <c r="ED608" s="454"/>
      <c r="EE608" s="120"/>
      <c r="EF608" s="440"/>
      <c r="EG608" s="409"/>
    </row>
    <row r="609" spans="53:137">
      <c r="BA609" s="114" t="s">
        <v>5</v>
      </c>
      <c r="BB609" s="436" t="s">
        <v>1</v>
      </c>
      <c r="BC609" s="437">
        <f>BC$25/BC$22/BC$21*VLOOKUP(BB608,'Unit Ops'!$B$140:$J$209,2,FALSE)</f>
        <v>0.92592592592592593</v>
      </c>
      <c r="BD609" s="438" t="s">
        <v>586</v>
      </c>
      <c r="BE609" s="1027">
        <f>BC609*BC$310*BC$311</f>
        <v>10000</v>
      </c>
      <c r="BF609" s="439" t="s">
        <v>585</v>
      </c>
      <c r="BG609" s="409"/>
      <c r="CA609" s="114" t="s">
        <v>5</v>
      </c>
      <c r="CB609" s="436" t="s">
        <v>1</v>
      </c>
      <c r="CC609" s="437">
        <f>CC$25/CC$22/CC$21*VLOOKUP(CB608,'Unit Ops'!$B$140:$J$209,2,FALSE)</f>
        <v>0.27397260273972601</v>
      </c>
      <c r="CD609" s="438" t="s">
        <v>586</v>
      </c>
      <c r="CE609" s="1027">
        <f>CC609*CC$310*CC$311</f>
        <v>2999.9999999999995</v>
      </c>
      <c r="CF609" s="439" t="s">
        <v>585</v>
      </c>
      <c r="CG609" s="409"/>
      <c r="DA609" s="114" t="s">
        <v>5</v>
      </c>
      <c r="DB609" s="436" t="s">
        <v>1</v>
      </c>
      <c r="DC609" s="437">
        <f>DC$25/DC$22/DC$21*VLOOKUP(DB608,'Unit Ops'!$B$140:$J$209,2,FALSE)*SUM(DC28:DC36)/0.05</f>
        <v>17.95566809388772</v>
      </c>
      <c r="DD609" s="438" t="s">
        <v>1944</v>
      </c>
      <c r="DE609" s="1027">
        <f>DC609*DC$310*DC$311</f>
        <v>193921.21541398737</v>
      </c>
      <c r="DF609" s="439" t="s">
        <v>585</v>
      </c>
      <c r="DG609" s="409"/>
      <c r="EA609" s="114" t="s">
        <v>5</v>
      </c>
      <c r="EB609" s="436" t="s">
        <v>1</v>
      </c>
      <c r="EC609" s="437">
        <f>EC$26/EC$23/EC$22*VLOOKUP(EB608,'Unit Ops'!$B$140:$J$209,2,FALSE)</f>
        <v>0.39062499999999994</v>
      </c>
      <c r="ED609" s="438" t="s">
        <v>586</v>
      </c>
      <c r="EE609" s="1027">
        <f>EC609*EC$310*EC$311</f>
        <v>2999.9999999999995</v>
      </c>
      <c r="EF609" s="439" t="s">
        <v>585</v>
      </c>
      <c r="EG609" s="409"/>
    </row>
    <row r="610" spans="53:137">
      <c r="BA610" s="114" t="str">
        <f>$BB$54</f>
        <v>Hopper</v>
      </c>
      <c r="BB610" s="436" t="s">
        <v>505</v>
      </c>
      <c r="BC610" s="437">
        <f>ROUNDUP(BC609*IF(VLOOKUP(BB608,'Unit Ops'!$B$140:$L$209,11,FALSE)=1,1.5,0.75),1)</f>
        <v>0.7</v>
      </c>
      <c r="BD610" s="438" t="s">
        <v>586</v>
      </c>
      <c r="BE610" s="120">
        <f>BC610*BC$310*BC$311</f>
        <v>7560</v>
      </c>
      <c r="BF610" s="439" t="s">
        <v>585</v>
      </c>
      <c r="BG610" s="409"/>
      <c r="CA610" s="114" t="str">
        <f>$CB$54</f>
        <v>Conveyor</v>
      </c>
      <c r="CB610" s="436" t="s">
        <v>505</v>
      </c>
      <c r="CC610" s="437">
        <f>ROUNDUP(CC609*IF(VLOOKUP(CB608,'Unit Ops'!$B$140:$L$209,11,FALSE)=1,1.5,0.75),1)</f>
        <v>0.30000000000000004</v>
      </c>
      <c r="CD610" s="438" t="s">
        <v>586</v>
      </c>
      <c r="CE610" s="120">
        <f>CC610*CC$310*CC$311</f>
        <v>3285.0000000000005</v>
      </c>
      <c r="CF610" s="439" t="s">
        <v>585</v>
      </c>
      <c r="CG610" s="409"/>
      <c r="DA610" s="114" t="str">
        <f>$DB$54</f>
        <v>Conveyor</v>
      </c>
      <c r="DB610" s="436" t="s">
        <v>505</v>
      </c>
      <c r="DC610" s="437">
        <f>ROUNDUP(DC609*IF(VLOOKUP(DB608,'Unit Ops'!$B$140:$L$209,11,FALSE)=1,1.5,0.75),1)</f>
        <v>13.5</v>
      </c>
      <c r="DD610" s="438" t="s">
        <v>1944</v>
      </c>
      <c r="DE610" s="120">
        <f>DC610*DC$310*DC$311</f>
        <v>145800</v>
      </c>
      <c r="DF610" s="439" t="s">
        <v>585</v>
      </c>
      <c r="DG610" s="409"/>
      <c r="EA610" s="114" t="str">
        <f>$EB$56</f>
        <v>Conveyor</v>
      </c>
      <c r="EB610" s="436" t="s">
        <v>505</v>
      </c>
      <c r="EC610" s="437">
        <f>ROUNDUP(EC609*IF(VLOOKUP(EB608,'Unit Ops'!$B$140:$L$209,11,FALSE)=1,1.5,0.75),1)</f>
        <v>0.30000000000000004</v>
      </c>
      <c r="ED610" s="438" t="s">
        <v>586</v>
      </c>
      <c r="EE610" s="120">
        <f>EC610*EC$310*EC$311</f>
        <v>2304.0000000000005</v>
      </c>
      <c r="EF610" s="439" t="s">
        <v>585</v>
      </c>
      <c r="EG610" s="409"/>
    </row>
    <row r="611" spans="53:137">
      <c r="BA611" s="114" t="str">
        <f>$BB$55</f>
        <v>Conveyor</v>
      </c>
      <c r="BB611" s="441" t="s">
        <v>521</v>
      </c>
      <c r="BC611" s="442">
        <f>BC609/BC610</f>
        <v>1.3227513227513228</v>
      </c>
      <c r="BD611" s="438"/>
      <c r="BE611" s="443"/>
      <c r="BF611" s="440"/>
      <c r="BG611" s="444"/>
      <c r="CA611" s="114" t="str">
        <f>$CB$55</f>
        <v>Leaching tank</v>
      </c>
      <c r="CB611" s="441" t="s">
        <v>521</v>
      </c>
      <c r="CC611" s="442">
        <f>CC609/CC610</f>
        <v>0.91324200913241993</v>
      </c>
      <c r="CD611" s="438"/>
      <c r="CE611" s="443"/>
      <c r="CF611" s="440"/>
      <c r="CG611" s="444"/>
      <c r="DA611" s="114" t="str">
        <f>$DB$55</f>
        <v>Froth flotation cell</v>
      </c>
      <c r="DB611" s="441" t="s">
        <v>521</v>
      </c>
      <c r="DC611" s="442">
        <f>DC609/DC610</f>
        <v>1.3300494884361274</v>
      </c>
      <c r="DD611" s="438"/>
      <c r="DE611" s="443"/>
      <c r="DF611" s="440"/>
      <c r="DG611" s="444"/>
      <c r="EA611" s="114" t="str">
        <f>$EB$57</f>
        <v>Leaching tank</v>
      </c>
      <c r="EB611" s="441" t="s">
        <v>521</v>
      </c>
      <c r="EC611" s="442">
        <f>EC609/EC610</f>
        <v>1.302083333333333</v>
      </c>
      <c r="ED611" s="438"/>
      <c r="EE611" s="443"/>
      <c r="EF611" s="440"/>
      <c r="EG611" s="444"/>
    </row>
    <row r="612" spans="53:137">
      <c r="BA612" s="114" t="str">
        <f>$BB$56</f>
        <v>Smelter</v>
      </c>
      <c r="BB612" s="441" t="s">
        <v>506</v>
      </c>
      <c r="BC612" s="445"/>
      <c r="BD612" s="438" t="s">
        <v>454</v>
      </c>
      <c r="BE612" s="443"/>
      <c r="BF612" s="440"/>
      <c r="BG612" s="409"/>
      <c r="CA612" s="114" t="str">
        <f>$CB$56</f>
        <v>Mixing tank</v>
      </c>
      <c r="CB612" s="441" t="s">
        <v>506</v>
      </c>
      <c r="CC612" s="445"/>
      <c r="CD612" s="438" t="s">
        <v>454</v>
      </c>
      <c r="CE612" s="443"/>
      <c r="CF612" s="440"/>
      <c r="CG612" s="409"/>
      <c r="DA612" s="114" t="str">
        <f>$DB$56</f>
        <v>Filter press</v>
      </c>
      <c r="DB612" s="441" t="s">
        <v>506</v>
      </c>
      <c r="DC612" s="445"/>
      <c r="DD612" s="438" t="s">
        <v>454</v>
      </c>
      <c r="DE612" s="443"/>
      <c r="DF612" s="440"/>
      <c r="DG612" s="409"/>
      <c r="EA612" s="114" t="str">
        <f>$EB$58</f>
        <v>Mixing tank</v>
      </c>
      <c r="EB612" s="441" t="s">
        <v>506</v>
      </c>
      <c r="EC612" s="445"/>
      <c r="ED612" s="438" t="s">
        <v>454</v>
      </c>
      <c r="EE612" s="443"/>
      <c r="EF612" s="440"/>
      <c r="EG612" s="409"/>
    </row>
    <row r="613" spans="53:137">
      <c r="BA613" s="114" t="str">
        <f>$BB$57</f>
        <v>Gas treatment</v>
      </c>
      <c r="BB613" s="436" t="s">
        <v>507</v>
      </c>
      <c r="BC613" s="225">
        <f>(VLOOKUP(BB608,'Unit Ops'!$B$140:$J$209,7,FALSE)*BC610^VLOOKUP(BB608,'Unit Ops'!$B$140:$J$209,8,FALSE)+VLOOKUP(BB608,'Unit Ops'!$B$140:$J$209,9,FALSE))*IF(VLOOKUP(BB608,'Unit Ops'!$B$140:$L$209,11,FALSE)=1,1,2)</f>
        <v>29.828000000000003</v>
      </c>
      <c r="BD613" s="446" t="s">
        <v>454</v>
      </c>
      <c r="BE613" s="443"/>
      <c r="BF613" s="440"/>
      <c r="BG613" s="465"/>
      <c r="CA613" s="114" t="str">
        <f>$CB$57</f>
        <v>Filter press</v>
      </c>
      <c r="CB613" s="436" t="s">
        <v>507</v>
      </c>
      <c r="CC613" s="225">
        <f>(VLOOKUP(CB608,'Unit Ops'!$B$140:$J$209,7,FALSE)*CC610^VLOOKUP(CB608,'Unit Ops'!$B$140:$J$209,8,FALSE)+VLOOKUP(CB608,'Unit Ops'!$B$140:$J$209,9,FALSE))*IF(VLOOKUP(CB608,'Unit Ops'!$B$140:$L$209,11,FALSE)=1,1,2)</f>
        <v>8.948400000000003</v>
      </c>
      <c r="CD613" s="446" t="s">
        <v>454</v>
      </c>
      <c r="CE613" s="443"/>
      <c r="CF613" s="440"/>
      <c r="CG613" s="465"/>
      <c r="DA613" s="114" t="str">
        <f>$DB$57</f>
        <v>Froth flotation cell</v>
      </c>
      <c r="DB613" s="436" t="s">
        <v>507</v>
      </c>
      <c r="DC613" s="225">
        <f>(VLOOKUP(DB608,'Unit Ops'!$B$140:$J$209,7,FALSE)*DC610^VLOOKUP(DB608,'Unit Ops'!$B$140:$J$209,8,FALSE)+VLOOKUP(DB608,'Unit Ops'!$B$140:$J$209,9,FALSE))*IF(VLOOKUP(DB608,'Unit Ops'!$B$140:$L$209,11,FALSE)=1,1,2)</f>
        <v>5.4562600796274312</v>
      </c>
      <c r="DD613" s="446" t="s">
        <v>454</v>
      </c>
      <c r="DE613" s="443"/>
      <c r="DF613" s="440"/>
      <c r="DG613" s="465"/>
      <c r="EA613" s="114" t="str">
        <f>$EB$59</f>
        <v>Filter press</v>
      </c>
      <c r="EB613" s="436" t="s">
        <v>507</v>
      </c>
      <c r="EC613" s="225">
        <f>(VLOOKUP(EB608,'Unit Ops'!$B$140:$J$209,7,FALSE)*EC610^VLOOKUP(EB608,'Unit Ops'!$B$140:$J$209,8,FALSE)+VLOOKUP(EB608,'Unit Ops'!$B$140:$J$209,9,FALSE))*IF(VLOOKUP(EB608,'Unit Ops'!$B$140:$L$209,11,FALSE)=1,1,2)</f>
        <v>8.948400000000003</v>
      </c>
      <c r="ED613" s="446" t="s">
        <v>454</v>
      </c>
      <c r="EE613" s="443"/>
      <c r="EF613" s="440"/>
      <c r="EG613" s="465"/>
    </row>
    <row r="614" spans="53:137">
      <c r="BA614" s="114" t="str">
        <f>$BB$58</f>
        <v>Conveyor</v>
      </c>
      <c r="BB614" s="441"/>
      <c r="BC614" s="445"/>
      <c r="BD614" s="447"/>
      <c r="BE614" s="443"/>
      <c r="BF614" s="440"/>
      <c r="BG614" s="119"/>
      <c r="CA614" s="114" t="str">
        <f>$CB$58</f>
        <v>Solvent extraction unit</v>
      </c>
      <c r="CB614" s="441"/>
      <c r="CC614" s="445"/>
      <c r="CD614" s="447"/>
      <c r="CE614" s="443"/>
      <c r="CF614" s="440"/>
      <c r="CG614" s="119"/>
      <c r="DA614" s="114" t="str">
        <f>$DB$58</f>
        <v>Filter press</v>
      </c>
      <c r="DB614" s="441"/>
      <c r="DC614" s="445"/>
      <c r="DD614" s="447"/>
      <c r="DE614" s="443"/>
      <c r="DF614" s="440"/>
      <c r="DG614" s="119"/>
      <c r="EA614" s="114" t="str">
        <f>$EB$60</f>
        <v>Solvent extraction unit</v>
      </c>
      <c r="EB614" s="441"/>
      <c r="EC614" s="445"/>
      <c r="ED614" s="447"/>
      <c r="EE614" s="443"/>
      <c r="EF614" s="440"/>
      <c r="EG614" s="119"/>
    </row>
    <row r="615" spans="53:137">
      <c r="BA615" s="114" t="str">
        <f>$BB$59</f>
        <v>Granulator</v>
      </c>
      <c r="BB615" s="441"/>
      <c r="BC615" s="445"/>
      <c r="BD615" s="447"/>
      <c r="BE615" s="443"/>
      <c r="BF615" s="440"/>
      <c r="BG615" s="119"/>
      <c r="CA615" s="114" t="str">
        <f>$CB$59</f>
        <v>Solvent extraction unit</v>
      </c>
      <c r="CB615" s="441"/>
      <c r="CC615" s="445"/>
      <c r="CD615" s="447"/>
      <c r="CE615" s="443"/>
      <c r="CF615" s="440"/>
      <c r="CG615" s="119"/>
      <c r="DA615" s="114" t="str">
        <f>$DB$59</f>
        <v>Dryer</v>
      </c>
      <c r="DB615" s="441"/>
      <c r="DC615" s="445"/>
      <c r="DD615" s="447"/>
      <c r="DE615" s="443"/>
      <c r="DF615" s="440"/>
      <c r="DG615" s="119"/>
      <c r="EA615" s="114" t="str">
        <f>$EB$61</f>
        <v>Solvent extraction unit</v>
      </c>
      <c r="EB615" s="441"/>
      <c r="EC615" s="445"/>
      <c r="ED615" s="447"/>
      <c r="EE615" s="443"/>
      <c r="EF615" s="440"/>
      <c r="EG615" s="119"/>
    </row>
    <row r="616" spans="53:137">
      <c r="BA616" s="114" t="str">
        <f>$BB$60</f>
        <v>Leaching tank</v>
      </c>
      <c r="BB616" s="449"/>
      <c r="BC616" s="445"/>
      <c r="BD616" s="447"/>
      <c r="BE616" s="443"/>
      <c r="BF616" s="440"/>
      <c r="BG616" s="470"/>
      <c r="CA616" s="114" t="str">
        <f>$CB$60</f>
        <v>Solvent extraction unit</v>
      </c>
      <c r="CB616" s="449"/>
      <c r="CC616" s="445"/>
      <c r="CD616" s="447"/>
      <c r="CE616" s="443"/>
      <c r="CF616" s="440"/>
      <c r="CG616" s="470"/>
      <c r="DA616" s="114" t="str">
        <f>$DB$60</f>
        <v>Ball mill</v>
      </c>
      <c r="DB616" s="449"/>
      <c r="DC616" s="445"/>
      <c r="DD616" s="447"/>
      <c r="DE616" s="443"/>
      <c r="DF616" s="440"/>
      <c r="DG616" s="470"/>
      <c r="EA616" s="114" t="str">
        <f>$EB$62</f>
        <v>Solvent extraction unit</v>
      </c>
      <c r="EB616" s="449"/>
      <c r="EC616" s="445"/>
      <c r="ED616" s="447"/>
      <c r="EE616" s="443"/>
      <c r="EF616" s="440"/>
      <c r="EG616" s="470"/>
    </row>
    <row r="617" spans="53:137" ht="14.5" thickBot="1">
      <c r="BA617" s="114" t="str">
        <f>$BB$61</f>
        <v>Solvent extraction unit</v>
      </c>
      <c r="BB617" s="450"/>
      <c r="BC617" s="451"/>
      <c r="BD617" s="451"/>
      <c r="BE617" s="452"/>
      <c r="BF617" s="453"/>
      <c r="BG617" s="119"/>
      <c r="CA617" s="114" t="str">
        <f>$CB$61</f>
        <v>Evaporator</v>
      </c>
      <c r="CB617" s="450"/>
      <c r="CC617" s="451"/>
      <c r="CD617" s="451"/>
      <c r="CE617" s="452"/>
      <c r="CF617" s="453"/>
      <c r="CG617" s="119"/>
      <c r="DA617" s="114" t="str">
        <f>$DB$61</f>
        <v>Furnace+saggar handling system</v>
      </c>
      <c r="DB617" s="450"/>
      <c r="DC617" s="451"/>
      <c r="DD617" s="451"/>
      <c r="DE617" s="452"/>
      <c r="DF617" s="453"/>
      <c r="DG617" s="119"/>
      <c r="EA617" s="114" t="str">
        <f>$EB$63</f>
        <v>Evaporator</v>
      </c>
      <c r="EB617" s="450"/>
      <c r="EC617" s="451"/>
      <c r="ED617" s="451"/>
      <c r="EE617" s="452"/>
      <c r="EF617" s="453"/>
      <c r="EG617" s="119"/>
    </row>
    <row r="618" spans="53:137">
      <c r="BA618" s="114" t="str">
        <f>$BB$62</f>
        <v>Electrowinning cell</v>
      </c>
      <c r="BB618" s="449" t="s">
        <v>470</v>
      </c>
      <c r="BC618" s="120"/>
      <c r="BD618" s="454"/>
      <c r="BE618" s="120"/>
      <c r="BF618" s="440"/>
      <c r="BG618" s="474"/>
      <c r="CA618" s="114" t="str">
        <f>$CB$62</f>
        <v>Precipitation tank</v>
      </c>
      <c r="CB618" s="449" t="s">
        <v>470</v>
      </c>
      <c r="CC618" s="120"/>
      <c r="CD618" s="454"/>
      <c r="CE618" s="120"/>
      <c r="CF618" s="440"/>
      <c r="CG618" s="474"/>
      <c r="DA618" s="114" t="str">
        <f>$DB$62</f>
        <v>Water treatment</v>
      </c>
      <c r="DB618" s="449" t="s">
        <v>470</v>
      </c>
      <c r="DC618" s="120"/>
      <c r="DD618" s="454"/>
      <c r="DE618" s="120"/>
      <c r="DF618" s="440"/>
      <c r="DG618" s="474"/>
      <c r="EA618" s="114" t="str">
        <f>$EB$64</f>
        <v>Precipitation tank</v>
      </c>
      <c r="EB618" s="449" t="s">
        <v>470</v>
      </c>
      <c r="EC618" s="120"/>
      <c r="ED618" s="454"/>
      <c r="EE618" s="120"/>
      <c r="EF618" s="440"/>
      <c r="EG618" s="474"/>
    </row>
    <row r="619" spans="53:137" ht="14.5" customHeight="1">
      <c r="BA619" s="114" t="str">
        <f>$BB$63</f>
        <v>Solvent extraction unit</v>
      </c>
      <c r="BB619" s="1698"/>
      <c r="BC619" s="1699"/>
      <c r="BD619" s="1699"/>
      <c r="BE619" s="1699"/>
      <c r="BF619" s="1700"/>
      <c r="BG619" s="474"/>
      <c r="CA619" s="114" t="str">
        <f>$CB$63</f>
        <v>Centrifuge</v>
      </c>
      <c r="CB619" s="1698"/>
      <c r="CC619" s="1699"/>
      <c r="CD619" s="1699"/>
      <c r="CE619" s="1699"/>
      <c r="CF619" s="1700"/>
      <c r="CG619" s="474"/>
      <c r="DA619" s="114" t="str">
        <f>$DB$63</f>
        <v>Wheel loader</v>
      </c>
      <c r="DB619" s="1698"/>
      <c r="DC619" s="1699"/>
      <c r="DD619" s="1699"/>
      <c r="DE619" s="1699"/>
      <c r="DF619" s="1700"/>
      <c r="DG619" s="474"/>
      <c r="EA619" s="114" t="str">
        <f>$EB$65</f>
        <v>Centrifuge</v>
      </c>
      <c r="EB619" s="1698"/>
      <c r="EC619" s="1699"/>
      <c r="ED619" s="1699"/>
      <c r="EE619" s="1699"/>
      <c r="EF619" s="1700"/>
      <c r="EG619" s="474"/>
    </row>
    <row r="620" spans="53:137">
      <c r="BA620" s="114" t="str">
        <f>$BB$64</f>
        <v>Solvent extraction unit</v>
      </c>
      <c r="BB620" s="436"/>
      <c r="BC620" s="120"/>
      <c r="BD620" s="455"/>
      <c r="BE620" s="120"/>
      <c r="BF620" s="440"/>
      <c r="BG620" s="482"/>
      <c r="CA620" s="114" t="str">
        <f>$CB$64</f>
        <v>Dryer</v>
      </c>
      <c r="CB620" s="436"/>
      <c r="CC620" s="120"/>
      <c r="CD620" s="455"/>
      <c r="CE620" s="120"/>
      <c r="CF620" s="440"/>
      <c r="CG620" s="482"/>
      <c r="DA620" s="114" t="str">
        <f>$DB$64</f>
        <v>Select Equipment</v>
      </c>
      <c r="DB620" s="436"/>
      <c r="DC620" s="120"/>
      <c r="DD620" s="455"/>
      <c r="DE620" s="120"/>
      <c r="DF620" s="440"/>
      <c r="DG620" s="482"/>
      <c r="EA620" s="114" t="str">
        <f>$EB$66</f>
        <v>Dryer</v>
      </c>
      <c r="EB620" s="436"/>
      <c r="EC620" s="120"/>
      <c r="ED620" s="455"/>
      <c r="EE620" s="120"/>
      <c r="EF620" s="440"/>
      <c r="EG620" s="482"/>
    </row>
    <row r="621" spans="53:137">
      <c r="BA621" s="114" t="str">
        <f>$BB$65</f>
        <v>Wheel loader</v>
      </c>
      <c r="BB621" s="436"/>
      <c r="BC621" s="120"/>
      <c r="BD621" s="455"/>
      <c r="BE621" s="120"/>
      <c r="BF621" s="440"/>
      <c r="BG621" s="496"/>
      <c r="CA621" s="114" t="str">
        <f>$CB$65</f>
        <v>Water treatment</v>
      </c>
      <c r="CB621" s="436"/>
      <c r="CC621" s="120"/>
      <c r="CD621" s="455"/>
      <c r="CE621" s="120"/>
      <c r="CF621" s="440"/>
      <c r="CG621" s="496"/>
      <c r="DA621" s="114" t="str">
        <f>$DB$65</f>
        <v>Select Equipment</v>
      </c>
      <c r="DB621" s="436"/>
      <c r="DC621" s="120"/>
      <c r="DD621" s="455"/>
      <c r="DE621" s="120"/>
      <c r="DF621" s="440"/>
      <c r="DG621" s="496"/>
      <c r="EA621" s="114" t="str">
        <f>$EB$67</f>
        <v>Water treatment</v>
      </c>
      <c r="EB621" s="436"/>
      <c r="EC621" s="120"/>
      <c r="ED621" s="455"/>
      <c r="EE621" s="120"/>
      <c r="EF621" s="440"/>
      <c r="EG621" s="496"/>
    </row>
    <row r="622" spans="53:137">
      <c r="BA622" s="114" t="str">
        <f>$BB$66</f>
        <v>Water treatment</v>
      </c>
      <c r="BB622" s="456"/>
      <c r="BC622" s="457"/>
      <c r="BD622" s="457"/>
      <c r="BE622" s="457"/>
      <c r="BF622" s="458"/>
      <c r="BG622" s="497"/>
      <c r="CA622" s="114" t="str">
        <f>$CB$66</f>
        <v>Wheel loader</v>
      </c>
      <c r="CB622" s="456"/>
      <c r="CC622" s="457"/>
      <c r="CD622" s="457"/>
      <c r="CE622" s="457"/>
      <c r="CF622" s="458"/>
      <c r="CG622" s="497"/>
      <c r="DA622" s="114" t="str">
        <f>$DB$66</f>
        <v>Select Equipment</v>
      </c>
      <c r="DB622" s="456"/>
      <c r="DC622" s="457"/>
      <c r="DD622" s="457"/>
      <c r="DE622" s="457"/>
      <c r="DF622" s="458"/>
      <c r="DG622" s="497"/>
      <c r="EA622" s="114" t="str">
        <f>$EB$68</f>
        <v>Wheel loader</v>
      </c>
      <c r="EB622" s="456"/>
      <c r="EC622" s="457"/>
      <c r="ED622" s="457"/>
      <c r="EE622" s="457"/>
      <c r="EF622" s="458"/>
      <c r="EG622" s="497"/>
    </row>
    <row r="623" spans="53:137">
      <c r="BA623" s="114" t="str">
        <f>$BB$67</f>
        <v>Select Equipment</v>
      </c>
      <c r="BB623" s="449" t="s">
        <v>471</v>
      </c>
      <c r="BC623" s="120"/>
      <c r="BD623" s="454"/>
      <c r="BE623" s="120"/>
      <c r="BF623" s="440"/>
      <c r="BG623" s="474"/>
      <c r="CA623" s="114" t="str">
        <f>$CB$67</f>
        <v>Select Equipment</v>
      </c>
      <c r="CB623" s="449" t="s">
        <v>471</v>
      </c>
      <c r="CC623" s="120"/>
      <c r="CD623" s="454"/>
      <c r="CE623" s="120"/>
      <c r="CF623" s="440"/>
      <c r="CG623" s="474"/>
      <c r="DA623" s="114" t="str">
        <f>$DB$67</f>
        <v>Select Equipment</v>
      </c>
      <c r="DB623" s="449" t="s">
        <v>471</v>
      </c>
      <c r="DC623" s="120"/>
      <c r="DD623" s="454"/>
      <c r="DE623" s="120"/>
      <c r="DF623" s="440"/>
      <c r="DG623" s="474"/>
      <c r="EA623" s="114" t="str">
        <f>$EB$69</f>
        <v>Select Equipment</v>
      </c>
      <c r="EB623" s="449" t="s">
        <v>471</v>
      </c>
      <c r="EC623" s="120"/>
      <c r="ED623" s="454"/>
      <c r="EE623" s="120"/>
      <c r="EF623" s="440"/>
      <c r="EG623" s="474"/>
    </row>
    <row r="624" spans="53:137">
      <c r="BA624" s="114" t="str">
        <f>$BB$68</f>
        <v>Select Equipment</v>
      </c>
      <c r="BB624" s="436" t="s">
        <v>577</v>
      </c>
      <c r="BC624" s="225">
        <f>BC613*IF(BC611&gt;1,1,BC611)</f>
        <v>29.828000000000003</v>
      </c>
      <c r="BD624" s="446" t="s">
        <v>454</v>
      </c>
      <c r="BE624" s="120"/>
      <c r="BF624" s="440"/>
      <c r="CA624" s="114" t="str">
        <f>$CB$68</f>
        <v>Select Equipment</v>
      </c>
      <c r="CB624" s="436" t="s">
        <v>577</v>
      </c>
      <c r="CC624" s="225">
        <f>CC613*IF(CC611&gt;1,1,CC611)</f>
        <v>8.1720547945205499</v>
      </c>
      <c r="CD624" s="446" t="s">
        <v>454</v>
      </c>
      <c r="CE624" s="120"/>
      <c r="CF624" s="440"/>
      <c r="DA624" s="114" t="str">
        <f>$DB$68</f>
        <v>Select Equipment</v>
      </c>
      <c r="DB624" s="436" t="s">
        <v>577</v>
      </c>
      <c r="DC624" s="225">
        <f>DC613*IF(DC611&gt;1,1,DC611)</f>
        <v>5.4562600796274312</v>
      </c>
      <c r="DD624" s="446" t="s">
        <v>454</v>
      </c>
      <c r="DE624" s="120"/>
      <c r="DF624" s="440"/>
      <c r="EA624" s="114" t="str">
        <f>$EB$70</f>
        <v>Select Equipment</v>
      </c>
      <c r="EB624" s="436" t="s">
        <v>577</v>
      </c>
      <c r="EC624" s="225">
        <f>EC613*IF(EC611&gt;1,1,EC611)</f>
        <v>8.948400000000003</v>
      </c>
      <c r="ED624" s="446" t="s">
        <v>454</v>
      </c>
      <c r="EE624" s="120"/>
      <c r="EF624" s="440"/>
    </row>
    <row r="625" spans="53:136">
      <c r="BA625" s="114" t="str">
        <f>$BB$69</f>
        <v>Select Equipment</v>
      </c>
      <c r="BB625" s="436" t="s">
        <v>578</v>
      </c>
      <c r="BC625" s="225"/>
      <c r="BD625" s="446" t="s">
        <v>579</v>
      </c>
      <c r="BE625" s="120"/>
      <c r="BF625" s="440"/>
      <c r="CA625" s="114" t="str">
        <f>$CB$69</f>
        <v>Select Equipment</v>
      </c>
      <c r="CB625" s="436" t="s">
        <v>578</v>
      </c>
      <c r="CC625" s="225"/>
      <c r="CD625" s="446" t="s">
        <v>579</v>
      </c>
      <c r="CE625" s="120"/>
      <c r="CF625" s="440"/>
      <c r="DA625" s="114" t="str">
        <f>$DB$69</f>
        <v>Select Equipment</v>
      </c>
      <c r="DB625" s="436" t="s">
        <v>578</v>
      </c>
      <c r="DC625" s="225"/>
      <c r="DD625" s="446" t="s">
        <v>579</v>
      </c>
      <c r="DE625" s="120"/>
      <c r="DF625" s="440"/>
      <c r="EA625" s="114" t="str">
        <f>$EB$71</f>
        <v>Select Equipment</v>
      </c>
      <c r="EB625" s="436" t="s">
        <v>578</v>
      </c>
      <c r="EC625" s="225"/>
      <c r="ED625" s="446" t="s">
        <v>579</v>
      </c>
      <c r="EE625" s="120"/>
      <c r="EF625" s="440"/>
    </row>
    <row r="626" spans="53:136">
      <c r="BA626" s="114" t="str">
        <f>$BB$70</f>
        <v>Select Equipment</v>
      </c>
      <c r="BB626" s="436"/>
      <c r="BC626" s="120"/>
      <c r="BD626" s="446"/>
      <c r="BE626" s="120"/>
      <c r="BF626" s="440"/>
      <c r="CA626" s="114" t="str">
        <f>$CB$70</f>
        <v>Select Equipment</v>
      </c>
      <c r="CB626" s="436"/>
      <c r="CC626" s="120"/>
      <c r="CD626" s="446"/>
      <c r="CE626" s="120"/>
      <c r="CF626" s="440"/>
      <c r="DA626" s="114" t="str">
        <f>$DB$70</f>
        <v>Select Equipment</v>
      </c>
      <c r="DB626" s="436"/>
      <c r="DC626" s="120"/>
      <c r="DD626" s="446"/>
      <c r="DE626" s="120"/>
      <c r="DF626" s="440"/>
      <c r="EA626" s="114" t="str">
        <f>$EB$72</f>
        <v>Select Equipment</v>
      </c>
      <c r="EB626" s="436"/>
      <c r="EC626" s="120"/>
      <c r="ED626" s="446"/>
      <c r="EE626" s="120"/>
      <c r="EF626" s="440"/>
    </row>
    <row r="627" spans="53:136">
      <c r="BA627" s="114" t="str">
        <f>$BB$71</f>
        <v>Select Equipment</v>
      </c>
      <c r="BB627" s="436" t="s">
        <v>8</v>
      </c>
      <c r="BC627" s="120"/>
      <c r="BD627" s="459" t="s">
        <v>564</v>
      </c>
      <c r="BE627" s="120"/>
      <c r="BF627" s="440"/>
      <c r="CA627" s="114" t="str">
        <f>$CB$71</f>
        <v>Select Equipment</v>
      </c>
      <c r="CB627" s="436" t="s">
        <v>8</v>
      </c>
      <c r="CC627" s="120"/>
      <c r="CD627" s="459" t="s">
        <v>564</v>
      </c>
      <c r="CE627" s="120"/>
      <c r="CF627" s="440"/>
      <c r="DA627" s="114" t="str">
        <f>$DB$71</f>
        <v>Select Equipment</v>
      </c>
      <c r="DB627" s="436" t="s">
        <v>8</v>
      </c>
      <c r="DC627" s="120"/>
      <c r="DD627" s="459" t="s">
        <v>564</v>
      </c>
      <c r="DE627" s="120"/>
      <c r="DF627" s="440"/>
      <c r="EA627" s="114" t="str">
        <f>$EB$73</f>
        <v>Select Equipment</v>
      </c>
      <c r="EB627" s="436" t="s">
        <v>8</v>
      </c>
      <c r="EC627" s="120"/>
      <c r="ED627" s="459" t="s">
        <v>564</v>
      </c>
      <c r="EE627" s="120"/>
      <c r="EF627" s="440"/>
    </row>
    <row r="628" spans="53:136">
      <c r="BA628" s="114" t="str">
        <f>$BB$72</f>
        <v>Select Equipment</v>
      </c>
      <c r="BB628" s="436"/>
      <c r="BC628" s="120"/>
      <c r="BD628" s="459"/>
      <c r="BE628" s="120"/>
      <c r="BF628" s="440"/>
      <c r="CA628" s="114" t="str">
        <f>$CB$72</f>
        <v>Select Equipment</v>
      </c>
      <c r="CB628" s="436"/>
      <c r="CC628" s="120"/>
      <c r="CD628" s="459"/>
      <c r="CE628" s="120"/>
      <c r="CF628" s="440"/>
      <c r="DA628" s="114" t="str">
        <f>$DB$72</f>
        <v>Select Equipment</v>
      </c>
      <c r="DB628" s="436"/>
      <c r="DC628" s="120"/>
      <c r="DD628" s="459"/>
      <c r="DE628" s="120"/>
      <c r="DF628" s="440"/>
      <c r="EA628" s="114" t="str">
        <f>$EB$74</f>
        <v>Select Equipment</v>
      </c>
      <c r="EB628" s="436"/>
      <c r="EC628" s="120"/>
      <c r="ED628" s="459"/>
      <c r="EE628" s="120"/>
      <c r="EF628" s="440"/>
    </row>
    <row r="629" spans="53:136">
      <c r="BA629" s="114" t="str">
        <f>$BB$73</f>
        <v>Select Equipment</v>
      </c>
      <c r="BB629" s="436" t="s">
        <v>7</v>
      </c>
      <c r="BC629" s="120"/>
      <c r="BD629" s="459" t="s">
        <v>564</v>
      </c>
      <c r="BE629" s="120"/>
      <c r="BF629" s="440"/>
      <c r="CA629" s="114" t="str">
        <f>$CB$73</f>
        <v>Select Equipment</v>
      </c>
      <c r="CB629" s="436" t="s">
        <v>7</v>
      </c>
      <c r="CC629" s="120"/>
      <c r="CD629" s="459" t="s">
        <v>564</v>
      </c>
      <c r="CE629" s="120"/>
      <c r="CF629" s="440"/>
      <c r="DA629" s="114" t="str">
        <f>$DB$73</f>
        <v>Select Equipment</v>
      </c>
      <c r="DB629" s="436" t="s">
        <v>7</v>
      </c>
      <c r="DC629" s="120"/>
      <c r="DD629" s="459" t="s">
        <v>564</v>
      </c>
      <c r="DE629" s="120"/>
      <c r="DF629" s="440"/>
      <c r="EA629" s="114" t="str">
        <f>$EB$75</f>
        <v>Select Equipment</v>
      </c>
      <c r="EB629" s="436" t="s">
        <v>7</v>
      </c>
      <c r="EC629" s="120"/>
      <c r="ED629" s="459" t="s">
        <v>564</v>
      </c>
      <c r="EE629" s="120"/>
      <c r="EF629" s="440"/>
    </row>
    <row r="630" spans="53:136">
      <c r="BA630" s="114" t="str">
        <f>$BB$74</f>
        <v>Select Equipment</v>
      </c>
      <c r="BB630" s="436"/>
      <c r="BC630" s="120"/>
      <c r="BD630" s="459"/>
      <c r="BE630" s="120"/>
      <c r="BF630" s="440"/>
      <c r="CA630" s="114" t="str">
        <f>$CB$74</f>
        <v>Select Equipment</v>
      </c>
      <c r="CB630" s="436"/>
      <c r="CC630" s="120"/>
      <c r="CD630" s="459"/>
      <c r="CE630" s="120"/>
      <c r="CF630" s="440"/>
      <c r="DA630" s="114" t="str">
        <f>$DB$74</f>
        <v>Select Equipment</v>
      </c>
      <c r="DB630" s="436"/>
      <c r="DC630" s="120"/>
      <c r="DD630" s="459"/>
      <c r="DE630" s="120"/>
      <c r="DF630" s="440"/>
      <c r="EA630" s="114" t="str">
        <f>$EB$76</f>
        <v>Select Equipment</v>
      </c>
      <c r="EB630" s="436"/>
      <c r="EC630" s="120"/>
      <c r="ED630" s="459"/>
      <c r="EE630" s="120"/>
      <c r="EF630" s="440"/>
    </row>
    <row r="631" spans="53:136">
      <c r="BA631" s="114" t="str">
        <f>$BB$75</f>
        <v>Select Equipment</v>
      </c>
      <c r="BB631" s="436" t="s">
        <v>9</v>
      </c>
      <c r="BC631" s="120"/>
      <c r="BD631" s="459" t="s">
        <v>564</v>
      </c>
      <c r="BE631" s="120"/>
      <c r="BF631" s="440"/>
      <c r="CA631" s="114" t="str">
        <f>$CB$75</f>
        <v>Select Equipment</v>
      </c>
      <c r="CB631" s="436" t="s">
        <v>9</v>
      </c>
      <c r="CC631" s="120"/>
      <c r="CD631" s="459" t="s">
        <v>564</v>
      </c>
      <c r="CE631" s="120"/>
      <c r="CF631" s="440"/>
      <c r="DA631" s="114" t="str">
        <f>$DB$75</f>
        <v>Select Equipment</v>
      </c>
      <c r="DB631" s="436" t="s">
        <v>9</v>
      </c>
      <c r="DC631" s="120"/>
      <c r="DD631" s="459" t="s">
        <v>564</v>
      </c>
      <c r="DE631" s="120"/>
      <c r="DF631" s="440"/>
      <c r="EA631" s="114" t="str">
        <f>$EB$77</f>
        <v>Select Equipment</v>
      </c>
      <c r="EB631" s="436" t="s">
        <v>9</v>
      </c>
      <c r="EC631" s="120"/>
      <c r="ED631" s="459" t="s">
        <v>564</v>
      </c>
      <c r="EE631" s="120"/>
      <c r="EF631" s="440"/>
    </row>
    <row r="632" spans="53:136">
      <c r="BA632" s="114" t="str">
        <f>$BB$76</f>
        <v>Select Equipment</v>
      </c>
      <c r="BB632" s="436"/>
      <c r="BC632" s="120"/>
      <c r="BD632" s="459"/>
      <c r="BE632" s="120"/>
      <c r="BF632" s="440"/>
      <c r="CA632" s="114" t="str">
        <f>$CB$76</f>
        <v>Select Equipment</v>
      </c>
      <c r="CB632" s="436"/>
      <c r="CC632" s="120"/>
      <c r="CD632" s="459"/>
      <c r="CE632" s="120"/>
      <c r="CF632" s="440"/>
      <c r="DA632" s="114" t="str">
        <f>$DB$76</f>
        <v>Select Equipment</v>
      </c>
      <c r="DB632" s="436"/>
      <c r="DC632" s="120"/>
      <c r="DD632" s="459"/>
      <c r="DE632" s="120"/>
      <c r="DF632" s="440"/>
      <c r="EA632" s="114" t="str">
        <f>$EB$78</f>
        <v>Select Equipment</v>
      </c>
      <c r="EB632" s="436"/>
      <c r="EC632" s="120"/>
      <c r="ED632" s="459"/>
      <c r="EE632" s="120"/>
      <c r="EF632" s="440"/>
    </row>
    <row r="633" spans="53:136">
      <c r="BA633" s="114" t="str">
        <f>$BB$77</f>
        <v>Select Equipment</v>
      </c>
      <c r="BB633" s="436" t="s">
        <v>324</v>
      </c>
      <c r="BC633" s="120"/>
      <c r="BD633" s="459" t="s">
        <v>564</v>
      </c>
      <c r="BE633" s="120"/>
      <c r="BF633" s="440" t="s">
        <v>569</v>
      </c>
      <c r="CA633" s="114" t="str">
        <f>$CB$77</f>
        <v>Select Equipment</v>
      </c>
      <c r="CB633" s="436" t="s">
        <v>324</v>
      </c>
      <c r="CC633" s="120"/>
      <c r="CD633" s="459" t="s">
        <v>564</v>
      </c>
      <c r="CE633" s="120"/>
      <c r="CF633" s="440" t="s">
        <v>569</v>
      </c>
      <c r="DA633" s="114" t="str">
        <f>$DB$77</f>
        <v>Select Equipment</v>
      </c>
      <c r="DB633" s="436" t="s">
        <v>324</v>
      </c>
      <c r="DC633" s="120"/>
      <c r="DD633" s="459" t="s">
        <v>564</v>
      </c>
      <c r="DE633" s="120"/>
      <c r="DF633" s="440" t="s">
        <v>569</v>
      </c>
      <c r="EA633" s="114" t="str">
        <f>$EB$79</f>
        <v>Select Equipment</v>
      </c>
      <c r="EB633" s="436" t="s">
        <v>324</v>
      </c>
      <c r="EC633" s="120"/>
      <c r="ED633" s="459" t="s">
        <v>564</v>
      </c>
      <c r="EE633" s="120"/>
      <c r="EF633" s="440" t="s">
        <v>569</v>
      </c>
    </row>
    <row r="634" spans="53:136">
      <c r="BA634" s="114" t="str">
        <f>$BB$78</f>
        <v>Select Equipment</v>
      </c>
      <c r="BB634" s="436"/>
      <c r="BC634" s="120"/>
      <c r="BD634" s="468"/>
      <c r="BE634" s="469"/>
      <c r="BF634" s="440"/>
      <c r="CA634" s="114" t="str">
        <f>$CB$78</f>
        <v>Select Equipment</v>
      </c>
      <c r="CB634" s="436"/>
      <c r="CC634" s="120"/>
      <c r="CD634" s="468"/>
      <c r="CE634" s="469"/>
      <c r="CF634" s="440"/>
      <c r="DA634" s="114" t="str">
        <f>$DB$78</f>
        <v>Select Equipment</v>
      </c>
      <c r="DB634" s="436"/>
      <c r="DC634" s="120"/>
      <c r="DD634" s="468"/>
      <c r="DE634" s="469"/>
      <c r="DF634" s="440"/>
      <c r="EA634" s="114" t="str">
        <f>$EB$80</f>
        <v>Select Equipment</v>
      </c>
      <c r="EB634" s="436"/>
      <c r="EC634" s="120"/>
      <c r="ED634" s="468"/>
      <c r="EE634" s="469"/>
      <c r="EF634" s="440"/>
    </row>
    <row r="635" spans="53:136">
      <c r="BA635" s="114" t="str">
        <f>$BB$79</f>
        <v>Select Equipment</v>
      </c>
      <c r="BB635" s="436" t="s">
        <v>374</v>
      </c>
      <c r="BC635" s="120"/>
      <c r="BD635" s="459" t="s">
        <v>564</v>
      </c>
      <c r="BE635" s="469"/>
      <c r="BF635" s="440" t="s">
        <v>569</v>
      </c>
      <c r="CA635" s="114" t="str">
        <f>$CB$79</f>
        <v>Select Equipment</v>
      </c>
      <c r="CB635" s="436" t="s">
        <v>374</v>
      </c>
      <c r="CC635" s="120"/>
      <c r="CD635" s="459" t="s">
        <v>564</v>
      </c>
      <c r="CE635" s="469"/>
      <c r="CF635" s="440" t="s">
        <v>569</v>
      </c>
      <c r="DA635" s="114" t="str">
        <f>$DB$79</f>
        <v>Select Equipment</v>
      </c>
      <c r="DB635" s="436" t="s">
        <v>374</v>
      </c>
      <c r="DC635" s="120"/>
      <c r="DD635" s="459" t="s">
        <v>564</v>
      </c>
      <c r="DE635" s="469"/>
      <c r="DF635" s="440" t="s">
        <v>569</v>
      </c>
      <c r="EA635" s="114" t="str">
        <f>$EB$81</f>
        <v>Select Equipment</v>
      </c>
      <c r="EB635" s="436" t="s">
        <v>374</v>
      </c>
      <c r="EC635" s="120"/>
      <c r="ED635" s="459" t="s">
        <v>564</v>
      </c>
      <c r="EE635" s="469"/>
      <c r="EF635" s="440" t="s">
        <v>569</v>
      </c>
    </row>
    <row r="636" spans="53:136">
      <c r="BA636" s="114" t="str">
        <f>$BB$80</f>
        <v>Select Equipment</v>
      </c>
      <c r="BB636" s="436"/>
      <c r="BC636" s="120"/>
      <c r="BD636" s="472"/>
      <c r="BE636" s="473"/>
      <c r="BF636" s="440"/>
      <c r="CA636" s="114" t="str">
        <f>$CB$80</f>
        <v>Select Equipment</v>
      </c>
      <c r="CB636" s="436"/>
      <c r="CC636" s="120"/>
      <c r="CD636" s="472"/>
      <c r="CE636" s="473"/>
      <c r="CF636" s="440"/>
      <c r="DA636" s="114" t="str">
        <f>$DB$80</f>
        <v>Select Equipment</v>
      </c>
      <c r="DB636" s="436"/>
      <c r="DC636" s="120"/>
      <c r="DD636" s="472"/>
      <c r="DE636" s="473"/>
      <c r="DF636" s="440"/>
      <c r="EA636" s="114" t="str">
        <f>$EB$82</f>
        <v>Select Equipment</v>
      </c>
      <c r="EB636" s="436"/>
      <c r="EC636" s="120"/>
      <c r="ED636" s="472"/>
      <c r="EE636" s="473"/>
      <c r="EF636" s="440"/>
    </row>
    <row r="637" spans="53:136">
      <c r="BA637" s="114" t="str">
        <f>$BB$81</f>
        <v>Select Equipment</v>
      </c>
      <c r="BB637" s="436" t="s">
        <v>580</v>
      </c>
      <c r="BC637" s="120"/>
      <c r="BD637" s="459" t="s">
        <v>564</v>
      </c>
      <c r="BE637" s="473"/>
      <c r="BF637" s="440" t="s">
        <v>569</v>
      </c>
      <c r="CA637" s="114" t="str">
        <f>$CB$81</f>
        <v>Select Equipment</v>
      </c>
      <c r="CB637" s="436" t="s">
        <v>580</v>
      </c>
      <c r="CC637" s="120"/>
      <c r="CD637" s="459" t="s">
        <v>564</v>
      </c>
      <c r="CE637" s="473"/>
      <c r="CF637" s="440" t="s">
        <v>569</v>
      </c>
      <c r="DA637" s="114" t="str">
        <f>$DB$81</f>
        <v>Select Equipment</v>
      </c>
      <c r="DB637" s="436" t="s">
        <v>580</v>
      </c>
      <c r="DC637" s="120"/>
      <c r="DD637" s="459" t="s">
        <v>564</v>
      </c>
      <c r="DE637" s="473"/>
      <c r="DF637" s="440" t="s">
        <v>569</v>
      </c>
      <c r="EA637" s="114" t="str">
        <f>$EB$83</f>
        <v>Select Equipment</v>
      </c>
      <c r="EB637" s="436" t="s">
        <v>580</v>
      </c>
      <c r="EC637" s="120"/>
      <c r="ED637" s="459" t="s">
        <v>564</v>
      </c>
      <c r="EE637" s="473"/>
      <c r="EF637" s="440" t="s">
        <v>569</v>
      </c>
    </row>
    <row r="638" spans="53:136">
      <c r="BA638" s="114" t="str">
        <f>$BB$82</f>
        <v>Select Equipment</v>
      </c>
      <c r="BB638" s="476"/>
      <c r="BC638" s="477"/>
      <c r="BD638" s="478"/>
      <c r="BE638" s="479"/>
      <c r="BF638" s="458"/>
      <c r="CA638" s="114" t="str">
        <f>$CB$82</f>
        <v>Select Equipment</v>
      </c>
      <c r="CB638" s="476"/>
      <c r="CC638" s="477"/>
      <c r="CD638" s="478"/>
      <c r="CE638" s="479"/>
      <c r="CF638" s="458"/>
      <c r="DA638" s="114" t="str">
        <f>$DB$82</f>
        <v>Select Equipment</v>
      </c>
      <c r="DB638" s="476"/>
      <c r="DC638" s="477"/>
      <c r="DD638" s="478"/>
      <c r="DE638" s="479"/>
      <c r="DF638" s="458"/>
      <c r="EA638" s="114" t="str">
        <f>$EB$84</f>
        <v>Select Equipment</v>
      </c>
      <c r="EB638" s="476"/>
      <c r="EC638" s="477"/>
      <c r="ED638" s="478"/>
      <c r="EE638" s="479"/>
      <c r="EF638" s="458"/>
    </row>
    <row r="639" spans="53:136">
      <c r="BA639" s="114" t="str">
        <f>$BB$83</f>
        <v>Select Equipment</v>
      </c>
      <c r="BB639" s="449" t="s">
        <v>473</v>
      </c>
      <c r="BC639" s="467" t="s">
        <v>508</v>
      </c>
      <c r="BD639" s="480"/>
      <c r="BE639" s="481" t="s">
        <v>308</v>
      </c>
      <c r="BF639" s="440"/>
      <c r="CA639" s="114" t="str">
        <f>$CB$83</f>
        <v>Select Equipment</v>
      </c>
      <c r="CB639" s="449" t="s">
        <v>473</v>
      </c>
      <c r="CC639" s="467" t="s">
        <v>508</v>
      </c>
      <c r="CD639" s="480"/>
      <c r="CE639" s="481" t="s">
        <v>308</v>
      </c>
      <c r="CF639" s="440"/>
      <c r="DA639" s="114" t="str">
        <f>$DB$83</f>
        <v>Select Equipment</v>
      </c>
      <c r="DB639" s="449" t="s">
        <v>473</v>
      </c>
      <c r="DC639" s="467" t="s">
        <v>508</v>
      </c>
      <c r="DD639" s="480"/>
      <c r="DE639" s="481" t="s">
        <v>308</v>
      </c>
      <c r="DF639" s="440"/>
      <c r="EA639" s="114" t="str">
        <f>$EB$85</f>
        <v>Select Equipment</v>
      </c>
      <c r="EB639" s="449" t="s">
        <v>473</v>
      </c>
      <c r="EC639" s="467" t="s">
        <v>508</v>
      </c>
      <c r="ED639" s="480"/>
      <c r="EE639" s="481" t="s">
        <v>308</v>
      </c>
      <c r="EF639" s="440"/>
    </row>
    <row r="640" spans="53:136">
      <c r="BB640" s="436"/>
      <c r="BC640" s="483"/>
      <c r="BD640" s="480"/>
      <c r="BE640" s="484"/>
      <c r="BF640" s="440"/>
      <c r="CB640" s="436"/>
      <c r="CC640" s="483"/>
      <c r="CD640" s="480"/>
      <c r="CE640" s="484"/>
      <c r="CF640" s="440"/>
      <c r="DB640" s="436"/>
      <c r="DC640" s="483"/>
      <c r="DD640" s="480"/>
      <c r="DE640" s="484"/>
      <c r="DF640" s="440"/>
      <c r="EB640" s="436"/>
      <c r="EC640" s="483"/>
      <c r="ED640" s="480"/>
      <c r="EE640" s="484"/>
      <c r="EF640" s="440"/>
    </row>
    <row r="641" spans="54:136">
      <c r="BB641" s="436"/>
      <c r="BC641" s="120"/>
      <c r="BD641" s="223"/>
      <c r="BE641" s="467"/>
      <c r="BF641" s="440"/>
      <c r="CB641" s="436"/>
      <c r="CC641" s="120"/>
      <c r="CD641" s="223"/>
      <c r="CE641" s="467"/>
      <c r="CF641" s="440"/>
      <c r="DB641" s="436"/>
      <c r="DC641" s="120"/>
      <c r="DD641" s="223"/>
      <c r="DE641" s="467"/>
      <c r="DF641" s="440"/>
      <c r="EB641" s="436"/>
      <c r="EC641" s="120"/>
      <c r="ED641" s="223"/>
      <c r="EE641" s="467"/>
      <c r="EF641" s="440"/>
    </row>
    <row r="642" spans="54:136">
      <c r="BB642" s="436"/>
      <c r="BC642" s="120"/>
      <c r="BD642" s="466"/>
      <c r="BE642" s="467"/>
      <c r="BF642" s="440"/>
      <c r="CB642" s="436"/>
      <c r="CC642" s="120"/>
      <c r="CD642" s="466"/>
      <c r="CE642" s="467"/>
      <c r="CF642" s="440"/>
      <c r="DB642" s="436"/>
      <c r="DC642" s="120"/>
      <c r="DD642" s="466"/>
      <c r="DE642" s="467"/>
      <c r="DF642" s="440"/>
      <c r="EB642" s="436"/>
      <c r="EC642" s="120"/>
      <c r="ED642" s="466"/>
      <c r="EE642" s="467"/>
      <c r="EF642" s="440"/>
    </row>
    <row r="643" spans="54:136">
      <c r="BB643" s="436"/>
      <c r="BC643" s="120"/>
      <c r="BD643" s="223"/>
      <c r="BE643" s="467"/>
      <c r="BF643" s="440"/>
      <c r="CB643" s="436"/>
      <c r="CC643" s="120"/>
      <c r="CD643" s="223"/>
      <c r="CE643" s="467"/>
      <c r="CF643" s="440"/>
      <c r="DB643" s="436"/>
      <c r="DC643" s="120"/>
      <c r="DD643" s="223"/>
      <c r="DE643" s="467"/>
      <c r="DF643" s="440"/>
      <c r="EB643" s="436"/>
      <c r="EC643" s="120"/>
      <c r="ED643" s="223"/>
      <c r="EE643" s="467"/>
      <c r="EF643" s="440"/>
    </row>
    <row r="644" spans="54:136">
      <c r="BB644" s="436"/>
      <c r="BC644" s="120"/>
      <c r="BD644" s="223"/>
      <c r="BE644" s="467"/>
      <c r="BF644" s="440"/>
      <c r="CB644" s="436"/>
      <c r="CC644" s="120"/>
      <c r="CD644" s="223"/>
      <c r="CE644" s="467"/>
      <c r="CF644" s="440"/>
      <c r="DB644" s="436"/>
      <c r="DC644" s="120"/>
      <c r="DD644" s="223"/>
      <c r="DE644" s="467"/>
      <c r="DF644" s="440"/>
      <c r="EB644" s="436"/>
      <c r="EC644" s="120"/>
      <c r="ED644" s="223"/>
      <c r="EE644" s="467"/>
      <c r="EF644" s="440"/>
    </row>
    <row r="645" spans="54:136">
      <c r="BB645" s="436"/>
      <c r="BC645" s="120"/>
      <c r="BD645" s="471"/>
      <c r="BE645" s="467"/>
      <c r="BF645" s="440"/>
      <c r="CB645" s="436"/>
      <c r="CC645" s="120"/>
      <c r="CD645" s="471"/>
      <c r="CE645" s="467"/>
      <c r="CF645" s="440"/>
      <c r="DB645" s="436"/>
      <c r="DC645" s="120"/>
      <c r="DD645" s="471"/>
      <c r="DE645" s="467"/>
      <c r="DF645" s="440"/>
      <c r="EB645" s="436"/>
      <c r="EC645" s="120"/>
      <c r="ED645" s="471"/>
      <c r="EE645" s="467"/>
      <c r="EF645" s="440"/>
    </row>
    <row r="646" spans="54:136">
      <c r="BB646" s="436"/>
      <c r="BC646" s="120"/>
      <c r="BD646" s="223"/>
      <c r="BE646" s="467"/>
      <c r="BF646" s="440"/>
      <c r="CB646" s="436"/>
      <c r="CC646" s="120"/>
      <c r="CD646" s="223"/>
      <c r="CE646" s="467"/>
      <c r="CF646" s="440"/>
      <c r="DB646" s="436"/>
      <c r="DC646" s="120"/>
      <c r="DD646" s="223"/>
      <c r="DE646" s="467"/>
      <c r="DF646" s="440"/>
      <c r="EB646" s="436"/>
      <c r="EC646" s="120"/>
      <c r="ED646" s="223"/>
      <c r="EE646" s="467"/>
      <c r="EF646" s="440"/>
    </row>
    <row r="647" spans="54:136">
      <c r="BB647" s="436"/>
      <c r="BC647" s="120"/>
      <c r="BD647" s="475"/>
      <c r="BE647" s="467"/>
      <c r="BF647" s="440"/>
      <c r="CB647" s="436"/>
      <c r="CC647" s="120"/>
      <c r="CD647" s="475"/>
      <c r="CE647" s="467"/>
      <c r="CF647" s="440"/>
      <c r="DB647" s="436"/>
      <c r="DC647" s="120"/>
      <c r="DD647" s="475"/>
      <c r="DE647" s="467"/>
      <c r="DF647" s="440"/>
      <c r="EB647" s="436"/>
      <c r="EC647" s="120"/>
      <c r="ED647" s="475"/>
      <c r="EE647" s="467"/>
      <c r="EF647" s="440"/>
    </row>
    <row r="648" spans="54:136">
      <c r="BB648" s="436"/>
      <c r="BC648" s="120"/>
      <c r="BD648" s="223"/>
      <c r="BE648" s="467"/>
      <c r="BF648" s="440"/>
      <c r="CB648" s="436"/>
      <c r="CC648" s="120"/>
      <c r="CD648" s="223"/>
      <c r="CE648" s="467"/>
      <c r="CF648" s="440"/>
      <c r="DB648" s="436"/>
      <c r="DC648" s="120"/>
      <c r="DD648" s="223"/>
      <c r="DE648" s="467"/>
      <c r="DF648" s="440"/>
      <c r="EB648" s="436"/>
      <c r="EC648" s="120"/>
      <c r="ED648" s="223"/>
      <c r="EE648" s="467"/>
      <c r="EF648" s="440"/>
    </row>
    <row r="649" spans="54:136">
      <c r="BB649" s="436"/>
      <c r="BC649" s="120"/>
      <c r="BD649" s="223"/>
      <c r="BE649" s="467"/>
      <c r="BF649" s="440"/>
      <c r="CB649" s="436"/>
      <c r="CC649" s="120"/>
      <c r="CD649" s="223"/>
      <c r="CE649" s="467"/>
      <c r="CF649" s="440"/>
      <c r="DB649" s="436"/>
      <c r="DC649" s="120"/>
      <c r="DD649" s="223"/>
      <c r="DE649" s="467"/>
      <c r="DF649" s="440"/>
      <c r="EB649" s="436"/>
      <c r="EC649" s="120"/>
      <c r="ED649" s="223"/>
      <c r="EE649" s="467"/>
      <c r="EF649" s="440"/>
    </row>
    <row r="650" spans="54:136">
      <c r="BB650" s="436"/>
      <c r="BC650" s="120"/>
      <c r="BD650" s="223"/>
      <c r="BE650" s="467"/>
      <c r="BF650" s="440"/>
      <c r="CB650" s="436"/>
      <c r="CC650" s="120"/>
      <c r="CD650" s="223"/>
      <c r="CE650" s="467"/>
      <c r="CF650" s="440"/>
      <c r="DB650" s="436"/>
      <c r="DC650" s="120"/>
      <c r="DD650" s="223"/>
      <c r="DE650" s="467"/>
      <c r="DF650" s="440"/>
      <c r="EB650" s="436"/>
      <c r="EC650" s="120"/>
      <c r="ED650" s="223"/>
      <c r="EE650" s="467"/>
      <c r="EF650" s="440"/>
    </row>
    <row r="651" spans="54:136">
      <c r="BB651" s="436"/>
      <c r="BC651" s="120"/>
      <c r="BD651" s="223"/>
      <c r="BE651" s="467"/>
      <c r="BF651" s="440"/>
      <c r="CB651" s="436"/>
      <c r="CC651" s="120"/>
      <c r="CD651" s="223"/>
      <c r="CE651" s="467"/>
      <c r="CF651" s="440"/>
      <c r="DB651" s="436"/>
      <c r="DC651" s="120"/>
      <c r="DD651" s="223"/>
      <c r="DE651" s="467"/>
      <c r="DF651" s="440"/>
      <c r="EB651" s="436"/>
      <c r="EC651" s="120"/>
      <c r="ED651" s="223"/>
      <c r="EE651" s="467"/>
      <c r="EF651" s="440"/>
    </row>
    <row r="652" spans="54:136">
      <c r="BB652" s="436"/>
      <c r="BC652" s="120"/>
      <c r="BD652" s="120"/>
      <c r="BE652" s="467"/>
      <c r="BF652" s="440"/>
      <c r="CB652" s="436"/>
      <c r="CC652" s="120"/>
      <c r="CD652" s="120"/>
      <c r="CE652" s="467"/>
      <c r="CF652" s="440"/>
      <c r="DB652" s="436"/>
      <c r="DC652" s="120"/>
      <c r="DD652" s="120"/>
      <c r="DE652" s="467"/>
      <c r="DF652" s="440"/>
      <c r="EB652" s="436"/>
      <c r="EC652" s="120"/>
      <c r="ED652" s="120"/>
      <c r="EE652" s="467"/>
      <c r="EF652" s="440"/>
    </row>
    <row r="653" spans="54:136">
      <c r="BB653" s="456"/>
      <c r="BC653" s="457"/>
      <c r="BD653" s="457"/>
      <c r="BE653" s="477"/>
      <c r="BF653" s="458"/>
      <c r="CB653" s="456"/>
      <c r="CC653" s="457"/>
      <c r="CD653" s="457"/>
      <c r="CE653" s="477"/>
      <c r="CF653" s="458"/>
      <c r="DB653" s="456"/>
      <c r="DC653" s="457"/>
      <c r="DD653" s="457"/>
      <c r="DE653" s="477"/>
      <c r="DF653" s="458"/>
      <c r="EB653" s="456"/>
      <c r="EC653" s="457"/>
      <c r="ED653" s="457"/>
      <c r="EE653" s="477"/>
      <c r="EF653" s="458"/>
    </row>
    <row r="654" spans="54:136">
      <c r="BB654" s="449" t="s">
        <v>474</v>
      </c>
      <c r="BC654" s="120"/>
      <c r="BD654" s="120" t="s">
        <v>1</v>
      </c>
      <c r="BE654" s="310" t="s">
        <v>307</v>
      </c>
      <c r="BF654" s="440"/>
      <c r="CB654" s="449" t="s">
        <v>474</v>
      </c>
      <c r="CC654" s="120"/>
      <c r="CD654" s="120" t="s">
        <v>1</v>
      </c>
      <c r="CE654" s="310" t="s">
        <v>307</v>
      </c>
      <c r="CF654" s="440"/>
      <c r="DB654" s="449" t="s">
        <v>474</v>
      </c>
      <c r="DC654" s="120"/>
      <c r="DD654" s="120" t="s">
        <v>1</v>
      </c>
      <c r="DE654" s="310" t="s">
        <v>307</v>
      </c>
      <c r="DF654" s="440"/>
      <c r="EB654" s="449" t="s">
        <v>474</v>
      </c>
      <c r="EC654" s="120"/>
      <c r="ED654" s="120" t="s">
        <v>1</v>
      </c>
      <c r="EE654" s="310" t="s">
        <v>307</v>
      </c>
      <c r="EF654" s="440"/>
    </row>
    <row r="655" spans="54:136">
      <c r="BB655" s="436"/>
      <c r="BC655" s="223"/>
      <c r="BD655" s="480"/>
      <c r="BE655" s="484"/>
      <c r="BF655" s="440"/>
      <c r="CB655" s="436"/>
      <c r="CC655" s="223"/>
      <c r="CD655" s="480"/>
      <c r="CE655" s="484"/>
      <c r="CF655" s="440"/>
      <c r="DB655" s="436"/>
      <c r="DC655" s="223"/>
      <c r="DD655" s="480"/>
      <c r="DE655" s="484"/>
      <c r="DF655" s="440"/>
      <c r="EB655" s="436"/>
      <c r="EC655" s="223"/>
      <c r="ED655" s="480"/>
      <c r="EE655" s="484"/>
      <c r="EF655" s="440"/>
    </row>
    <row r="656" spans="54:136">
      <c r="BB656" s="436"/>
      <c r="BC656" s="120"/>
      <c r="BD656" s="120"/>
      <c r="BE656" s="467"/>
      <c r="BF656" s="440"/>
      <c r="CB656" s="436"/>
      <c r="CC656" s="120"/>
      <c r="CD656" s="120"/>
      <c r="CE656" s="467"/>
      <c r="CF656" s="440"/>
      <c r="DB656" s="436"/>
      <c r="DC656" s="120"/>
      <c r="DD656" s="120"/>
      <c r="DE656" s="467"/>
      <c r="DF656" s="440"/>
      <c r="EB656" s="436"/>
      <c r="EC656" s="120"/>
      <c r="ED656" s="120"/>
      <c r="EE656" s="467"/>
      <c r="EF656" s="440"/>
    </row>
    <row r="657" spans="54:136">
      <c r="BB657" s="436"/>
      <c r="BC657" s="120"/>
      <c r="BD657" s="120"/>
      <c r="BE657" s="467"/>
      <c r="BF657" s="440"/>
      <c r="CB657" s="436"/>
      <c r="CC657" s="120"/>
      <c r="CD657" s="120"/>
      <c r="CE657" s="467"/>
      <c r="CF657" s="440"/>
      <c r="DB657" s="436"/>
      <c r="DC657" s="120"/>
      <c r="DD657" s="120"/>
      <c r="DE657" s="467"/>
      <c r="DF657" s="440"/>
      <c r="EB657" s="436"/>
      <c r="EC657" s="120"/>
      <c r="ED657" s="120"/>
      <c r="EE657" s="467"/>
      <c r="EF657" s="440"/>
    </row>
    <row r="658" spans="54:136">
      <c r="BB658" s="436"/>
      <c r="BC658" s="120"/>
      <c r="BD658" s="120"/>
      <c r="BE658" s="467"/>
      <c r="BF658" s="440"/>
      <c r="CB658" s="436"/>
      <c r="CC658" s="120"/>
      <c r="CD658" s="120"/>
      <c r="CE658" s="467"/>
      <c r="CF658" s="440"/>
      <c r="DB658" s="436"/>
      <c r="DC658" s="120"/>
      <c r="DD658" s="120"/>
      <c r="DE658" s="467"/>
      <c r="DF658" s="440"/>
      <c r="EB658" s="436"/>
      <c r="EC658" s="120"/>
      <c r="ED658" s="120"/>
      <c r="EE658" s="467"/>
      <c r="EF658" s="440"/>
    </row>
    <row r="659" spans="54:136">
      <c r="BB659" s="436"/>
      <c r="BC659" s="120"/>
      <c r="BD659" s="120"/>
      <c r="BE659" s="467"/>
      <c r="BF659" s="440"/>
      <c r="CB659" s="436"/>
      <c r="CC659" s="120"/>
      <c r="CD659" s="120"/>
      <c r="CE659" s="467"/>
      <c r="CF659" s="440"/>
      <c r="DB659" s="436"/>
      <c r="DC659" s="120"/>
      <c r="DD659" s="120"/>
      <c r="DE659" s="467"/>
      <c r="DF659" s="440"/>
      <c r="EB659" s="436"/>
      <c r="EC659" s="120"/>
      <c r="ED659" s="120"/>
      <c r="EE659" s="467"/>
      <c r="EF659" s="440"/>
    </row>
    <row r="660" spans="54:136">
      <c r="BB660" s="436"/>
      <c r="BC660" s="120"/>
      <c r="BD660" s="120"/>
      <c r="BE660" s="467"/>
      <c r="BF660" s="440"/>
      <c r="CB660" s="436"/>
      <c r="CC660" s="120"/>
      <c r="CD660" s="120"/>
      <c r="CE660" s="467"/>
      <c r="CF660" s="440"/>
      <c r="DB660" s="436"/>
      <c r="DC660" s="120"/>
      <c r="DD660" s="120"/>
      <c r="DE660" s="467"/>
      <c r="DF660" s="440"/>
      <c r="EB660" s="436"/>
      <c r="EC660" s="120"/>
      <c r="ED660" s="120"/>
      <c r="EE660" s="467"/>
      <c r="EF660" s="440"/>
    </row>
    <row r="661" spans="54:136">
      <c r="BB661" s="436"/>
      <c r="BC661" s="120"/>
      <c r="BD661" s="120"/>
      <c r="BE661" s="467"/>
      <c r="BF661" s="440"/>
      <c r="CB661" s="436"/>
      <c r="CC661" s="120"/>
      <c r="CD661" s="120"/>
      <c r="CE661" s="467"/>
      <c r="CF661" s="440"/>
      <c r="DB661" s="436"/>
      <c r="DC661" s="120"/>
      <c r="DD661" s="120"/>
      <c r="DE661" s="467"/>
      <c r="DF661" s="440"/>
      <c r="EB661" s="436"/>
      <c r="EC661" s="120"/>
      <c r="ED661" s="120"/>
      <c r="EE661" s="467"/>
      <c r="EF661" s="440"/>
    </row>
    <row r="662" spans="54:136">
      <c r="BB662" s="436"/>
      <c r="BC662" s="120"/>
      <c r="BD662" s="120"/>
      <c r="BE662" s="467"/>
      <c r="BF662" s="440"/>
      <c r="CB662" s="436"/>
      <c r="CC662" s="120"/>
      <c r="CD662" s="120"/>
      <c r="CE662" s="467"/>
      <c r="CF662" s="440"/>
      <c r="DB662" s="436"/>
      <c r="DC662" s="120"/>
      <c r="DD662" s="120"/>
      <c r="DE662" s="467"/>
      <c r="DF662" s="440"/>
      <c r="EB662" s="436"/>
      <c r="EC662" s="120"/>
      <c r="ED662" s="120"/>
      <c r="EE662" s="467"/>
      <c r="EF662" s="440"/>
    </row>
    <row r="663" spans="54:136">
      <c r="BB663" s="436"/>
      <c r="BC663" s="120"/>
      <c r="BD663" s="120"/>
      <c r="BE663" s="467"/>
      <c r="BF663" s="440"/>
      <c r="CB663" s="436"/>
      <c r="CC663" s="120"/>
      <c r="CD663" s="120"/>
      <c r="CE663" s="467"/>
      <c r="CF663" s="440"/>
      <c r="DB663" s="436"/>
      <c r="DC663" s="120"/>
      <c r="DD663" s="120"/>
      <c r="DE663" s="467"/>
      <c r="DF663" s="440"/>
      <c r="EB663" s="436"/>
      <c r="EC663" s="120"/>
      <c r="ED663" s="120"/>
      <c r="EE663" s="467"/>
      <c r="EF663" s="440"/>
    </row>
    <row r="664" spans="54:136">
      <c r="BB664" s="436"/>
      <c r="BC664" s="120"/>
      <c r="BD664" s="120"/>
      <c r="BE664" s="467"/>
      <c r="BF664" s="440"/>
      <c r="CB664" s="436"/>
      <c r="CC664" s="120"/>
      <c r="CD664" s="120"/>
      <c r="CE664" s="467"/>
      <c r="CF664" s="440"/>
      <c r="DB664" s="436"/>
      <c r="DC664" s="120"/>
      <c r="DD664" s="120"/>
      <c r="DE664" s="467"/>
      <c r="DF664" s="440"/>
      <c r="EB664" s="436"/>
      <c r="EC664" s="120"/>
      <c r="ED664" s="120"/>
      <c r="EE664" s="467"/>
      <c r="EF664" s="440"/>
    </row>
    <row r="665" spans="54:136">
      <c r="BB665" s="436"/>
      <c r="BC665" s="120"/>
      <c r="BD665" s="120"/>
      <c r="BE665" s="467"/>
      <c r="BF665" s="440"/>
      <c r="CB665" s="436"/>
      <c r="CC665" s="120"/>
      <c r="CD665" s="120"/>
      <c r="CE665" s="467"/>
      <c r="CF665" s="440"/>
      <c r="DB665" s="436"/>
      <c r="DC665" s="120"/>
      <c r="DD665" s="120"/>
      <c r="DE665" s="467"/>
      <c r="DF665" s="440"/>
      <c r="EB665" s="436"/>
      <c r="EC665" s="120"/>
      <c r="ED665" s="120"/>
      <c r="EE665" s="467"/>
      <c r="EF665" s="440"/>
    </row>
    <row r="666" spans="54:136">
      <c r="BB666" s="436"/>
      <c r="BC666" s="120"/>
      <c r="BD666" s="120"/>
      <c r="BE666" s="467"/>
      <c r="BF666" s="440"/>
      <c r="CB666" s="436"/>
      <c r="CC666" s="120"/>
      <c r="CD666" s="120"/>
      <c r="CE666" s="467"/>
      <c r="CF666" s="440"/>
      <c r="DB666" s="436"/>
      <c r="DC666" s="120"/>
      <c r="DD666" s="120"/>
      <c r="DE666" s="467"/>
      <c r="DF666" s="440"/>
      <c r="EB666" s="436"/>
      <c r="EC666" s="120"/>
      <c r="ED666" s="120"/>
      <c r="EE666" s="467"/>
      <c r="EF666" s="440"/>
    </row>
    <row r="667" spans="54:136">
      <c r="BB667" s="456"/>
      <c r="BC667" s="457"/>
      <c r="BD667" s="457"/>
      <c r="BE667" s="477"/>
      <c r="BF667" s="458"/>
      <c r="CB667" s="456"/>
      <c r="CC667" s="457"/>
      <c r="CD667" s="457"/>
      <c r="CE667" s="477"/>
      <c r="CF667" s="458"/>
      <c r="DB667" s="456"/>
      <c r="DC667" s="457"/>
      <c r="DD667" s="457"/>
      <c r="DE667" s="477"/>
      <c r="DF667" s="458"/>
      <c r="EB667" s="456"/>
      <c r="EC667" s="457"/>
      <c r="ED667" s="457"/>
      <c r="EE667" s="477"/>
      <c r="EF667" s="458"/>
    </row>
    <row r="668" spans="54:136">
      <c r="BB668" s="456"/>
      <c r="BC668" s="457"/>
      <c r="BD668" s="457"/>
      <c r="BE668" s="457"/>
      <c r="BF668" s="458"/>
      <c r="CB668" s="456"/>
      <c r="CC668" s="457"/>
      <c r="CD668" s="457"/>
      <c r="CE668" s="457"/>
      <c r="CF668" s="458"/>
      <c r="DB668" s="456"/>
      <c r="DC668" s="457"/>
      <c r="DD668" s="457"/>
      <c r="DE668" s="457"/>
      <c r="DF668" s="458"/>
      <c r="EB668" s="456"/>
      <c r="EC668" s="457"/>
      <c r="ED668" s="457"/>
      <c r="EE668" s="457"/>
      <c r="EF668" s="458"/>
    </row>
    <row r="669" spans="54:136">
      <c r="BB669" s="449" t="s">
        <v>475</v>
      </c>
      <c r="BC669" s="120"/>
      <c r="BD669" s="120"/>
      <c r="BE669" s="120"/>
      <c r="BF669" s="440"/>
      <c r="CB669" s="449" t="s">
        <v>475</v>
      </c>
      <c r="CC669" s="120"/>
      <c r="CD669" s="120"/>
      <c r="CE669" s="120"/>
      <c r="CF669" s="440"/>
      <c r="DB669" s="449" t="s">
        <v>475</v>
      </c>
      <c r="DC669" s="120"/>
      <c r="DD669" s="120"/>
      <c r="DE669" s="120"/>
      <c r="DF669" s="440"/>
      <c r="EB669" s="449" t="s">
        <v>475</v>
      </c>
      <c r="EC669" s="120"/>
      <c r="ED669" s="120"/>
      <c r="EE669" s="120"/>
      <c r="EF669" s="440"/>
    </row>
    <row r="670" spans="54:136">
      <c r="BB670" s="436" t="s">
        <v>509</v>
      </c>
      <c r="BC670" s="120"/>
      <c r="BD670" s="120"/>
      <c r="BE670" s="120"/>
      <c r="BF670" s="440"/>
      <c r="CB670" s="436" t="s">
        <v>509</v>
      </c>
      <c r="CC670" s="120"/>
      <c r="CD670" s="120"/>
      <c r="CE670" s="120"/>
      <c r="CF670" s="440"/>
      <c r="DB670" s="436" t="s">
        <v>509</v>
      </c>
      <c r="DC670" s="120"/>
      <c r="DD670" s="120"/>
      <c r="DE670" s="120"/>
      <c r="DF670" s="440"/>
      <c r="EB670" s="436" t="s">
        <v>509</v>
      </c>
      <c r="EC670" s="120"/>
      <c r="ED670" s="120"/>
      <c r="EE670" s="120"/>
      <c r="EF670" s="440"/>
    </row>
    <row r="671" spans="54:136">
      <c r="BB671" s="436" t="s">
        <v>510</v>
      </c>
      <c r="BC671" s="120"/>
      <c r="BD671" s="120"/>
      <c r="BE671" s="120"/>
      <c r="BF671" s="440"/>
      <c r="CB671" s="436" t="s">
        <v>510</v>
      </c>
      <c r="CC671" s="120"/>
      <c r="CD671" s="120"/>
      <c r="CE671" s="120"/>
      <c r="CF671" s="440"/>
      <c r="DB671" s="436" t="s">
        <v>510</v>
      </c>
      <c r="DC671" s="120"/>
      <c r="DD671" s="120"/>
      <c r="DE671" s="120"/>
      <c r="DF671" s="440"/>
      <c r="EB671" s="436" t="s">
        <v>510</v>
      </c>
      <c r="EC671" s="120"/>
      <c r="ED671" s="120"/>
      <c r="EE671" s="120"/>
      <c r="EF671" s="440"/>
    </row>
    <row r="672" spans="54:136">
      <c r="BB672" s="436"/>
      <c r="BC672" s="120"/>
      <c r="BD672" s="120"/>
      <c r="BE672" s="120"/>
      <c r="BF672" s="440"/>
      <c r="CB672" s="436"/>
      <c r="CC672" s="120"/>
      <c r="CD672" s="120"/>
      <c r="CE672" s="120"/>
      <c r="CF672" s="440"/>
      <c r="DB672" s="436"/>
      <c r="DC672" s="120"/>
      <c r="DD672" s="120"/>
      <c r="DE672" s="120"/>
      <c r="DF672" s="440"/>
      <c r="EB672" s="436"/>
      <c r="EC672" s="120"/>
      <c r="ED672" s="120"/>
      <c r="EE672" s="120"/>
      <c r="EF672" s="440"/>
    </row>
    <row r="673" spans="54:136">
      <c r="BB673" s="436"/>
      <c r="BC673" s="120"/>
      <c r="BD673" s="120"/>
      <c r="BE673" s="120"/>
      <c r="BF673" s="440"/>
      <c r="CB673" s="436"/>
      <c r="CC673" s="120"/>
      <c r="CD673" s="120"/>
      <c r="CE673" s="120"/>
      <c r="CF673" s="440"/>
      <c r="DB673" s="436"/>
      <c r="DC673" s="120"/>
      <c r="DD673" s="120"/>
      <c r="DE673" s="120"/>
      <c r="DF673" s="440"/>
      <c r="EB673" s="436"/>
      <c r="EC673" s="120"/>
      <c r="ED673" s="120"/>
      <c r="EE673" s="120"/>
      <c r="EF673" s="440"/>
    </row>
    <row r="674" spans="54:136">
      <c r="BB674" s="436"/>
      <c r="BC674" s="120"/>
      <c r="BD674" s="120"/>
      <c r="BE674" s="120"/>
      <c r="BF674" s="440"/>
      <c r="CB674" s="436"/>
      <c r="CC674" s="120"/>
      <c r="CD674" s="120"/>
      <c r="CE674" s="120"/>
      <c r="CF674" s="440"/>
      <c r="DB674" s="436"/>
      <c r="DC674" s="120"/>
      <c r="DD674" s="120"/>
      <c r="DE674" s="120"/>
      <c r="DF674" s="440"/>
      <c r="EB674" s="436"/>
      <c r="EC674" s="120"/>
      <c r="ED674" s="120"/>
      <c r="EE674" s="120"/>
      <c r="EF674" s="440"/>
    </row>
    <row r="675" spans="54:136">
      <c r="BB675" s="436"/>
      <c r="BC675" s="120"/>
      <c r="BD675" s="120"/>
      <c r="BE675" s="120"/>
      <c r="BF675" s="440"/>
      <c r="CB675" s="436"/>
      <c r="CC675" s="120"/>
      <c r="CD675" s="120"/>
      <c r="CE675" s="120"/>
      <c r="CF675" s="440"/>
      <c r="DB675" s="436"/>
      <c r="DC675" s="120"/>
      <c r="DD675" s="120"/>
      <c r="DE675" s="120"/>
      <c r="DF675" s="440"/>
      <c r="EB675" s="436"/>
      <c r="EC675" s="120"/>
      <c r="ED675" s="120"/>
      <c r="EE675" s="120"/>
      <c r="EF675" s="440"/>
    </row>
    <row r="676" spans="54:136">
      <c r="BB676" s="436" t="s">
        <v>511</v>
      </c>
      <c r="BC676" s="120">
        <v>0</v>
      </c>
      <c r="BD676" s="120" t="s">
        <v>512</v>
      </c>
      <c r="BE676" s="120"/>
      <c r="BF676" s="440"/>
      <c r="CB676" s="436" t="s">
        <v>511</v>
      </c>
      <c r="CC676" s="120">
        <v>0</v>
      </c>
      <c r="CD676" s="120" t="s">
        <v>512</v>
      </c>
      <c r="CE676" s="120"/>
      <c r="CF676" s="440"/>
      <c r="DB676" s="436" t="s">
        <v>511</v>
      </c>
      <c r="DC676" s="120">
        <v>0</v>
      </c>
      <c r="DD676" s="120" t="s">
        <v>512</v>
      </c>
      <c r="DE676" s="120"/>
      <c r="DF676" s="440"/>
      <c r="EB676" s="436" t="s">
        <v>511</v>
      </c>
      <c r="EC676" s="120">
        <v>0</v>
      </c>
      <c r="ED676" s="120" t="s">
        <v>512</v>
      </c>
      <c r="EE676" s="120"/>
      <c r="EF676" s="440"/>
    </row>
    <row r="677" spans="54:136">
      <c r="BB677" s="436" t="s">
        <v>513</v>
      </c>
      <c r="BC677" s="120">
        <v>0</v>
      </c>
      <c r="BD677" s="120" t="s">
        <v>512</v>
      </c>
      <c r="BE677" s="120"/>
      <c r="BF677" s="440"/>
      <c r="CB677" s="436" t="s">
        <v>513</v>
      </c>
      <c r="CC677" s="120">
        <v>0</v>
      </c>
      <c r="CD677" s="120" t="s">
        <v>512</v>
      </c>
      <c r="CE677" s="120"/>
      <c r="CF677" s="440"/>
      <c r="DB677" s="436" t="s">
        <v>513</v>
      </c>
      <c r="DC677" s="120">
        <v>0</v>
      </c>
      <c r="DD677" s="120" t="s">
        <v>512</v>
      </c>
      <c r="DE677" s="120"/>
      <c r="DF677" s="440"/>
      <c r="EB677" s="436" t="s">
        <v>513</v>
      </c>
      <c r="EC677" s="120">
        <v>0</v>
      </c>
      <c r="ED677" s="120" t="s">
        <v>512</v>
      </c>
      <c r="EE677" s="120"/>
      <c r="EF677" s="440"/>
    </row>
    <row r="678" spans="54:136">
      <c r="BB678" s="456"/>
      <c r="BC678" s="457"/>
      <c r="BD678" s="457"/>
      <c r="BE678" s="457"/>
      <c r="BF678" s="458"/>
      <c r="CB678" s="456"/>
      <c r="CC678" s="457"/>
      <c r="CD678" s="457"/>
      <c r="CE678" s="457"/>
      <c r="CF678" s="458"/>
      <c r="DB678" s="456"/>
      <c r="DC678" s="457"/>
      <c r="DD678" s="457"/>
      <c r="DE678" s="457"/>
      <c r="DF678" s="458"/>
      <c r="EB678" s="456"/>
      <c r="EC678" s="457"/>
      <c r="ED678" s="457"/>
      <c r="EE678" s="457"/>
      <c r="EF678" s="458"/>
    </row>
    <row r="679" spans="54:136">
      <c r="BB679" s="449" t="s">
        <v>461</v>
      </c>
      <c r="BC679" s="120"/>
      <c r="BD679" s="120"/>
      <c r="BE679" s="120"/>
      <c r="BF679" s="440"/>
      <c r="CB679" s="449" t="s">
        <v>461</v>
      </c>
      <c r="CC679" s="120"/>
      <c r="CD679" s="120"/>
      <c r="CE679" s="120"/>
      <c r="CF679" s="440"/>
      <c r="DB679" s="449" t="s">
        <v>461</v>
      </c>
      <c r="DC679" s="120"/>
      <c r="DD679" s="120"/>
      <c r="DE679" s="120"/>
      <c r="DF679" s="440"/>
      <c r="EB679" s="449" t="s">
        <v>461</v>
      </c>
      <c r="EC679" s="120"/>
      <c r="ED679" s="120"/>
      <c r="EE679" s="120"/>
      <c r="EF679" s="440"/>
    </row>
    <row r="680" spans="54:136">
      <c r="BB680" s="436" t="s">
        <v>514</v>
      </c>
      <c r="BC680" s="120">
        <f>VLOOKUP(BB608,'Unit Ops'!$B$140:$K$209,10,FALSE)</f>
        <v>2</v>
      </c>
      <c r="BD680" s="120" t="s">
        <v>515</v>
      </c>
      <c r="BE680" s="120"/>
      <c r="BF680" s="440"/>
      <c r="CB680" s="436" t="s">
        <v>514</v>
      </c>
      <c r="CC680" s="120">
        <f>VLOOKUP(CB608,'Unit Ops'!$B$140:$K$209,10,FALSE)</f>
        <v>12</v>
      </c>
      <c r="CD680" s="120" t="s">
        <v>515</v>
      </c>
      <c r="CE680" s="120"/>
      <c r="CF680" s="440"/>
      <c r="DB680" s="436" t="s">
        <v>514</v>
      </c>
      <c r="DC680" s="120">
        <f>VLOOKUP(DB608,'Unit Ops'!$B$140:$K$209,10,FALSE)</f>
        <v>6</v>
      </c>
      <c r="DD680" s="120" t="s">
        <v>515</v>
      </c>
      <c r="DE680" s="120"/>
      <c r="DF680" s="440"/>
      <c r="EB680" s="436" t="s">
        <v>514</v>
      </c>
      <c r="EC680" s="120">
        <f>VLOOKUP(EB608,'Unit Ops'!$B$140:$K$209,10,FALSE)</f>
        <v>12</v>
      </c>
      <c r="ED680" s="120" t="s">
        <v>515</v>
      </c>
      <c r="EE680" s="120"/>
      <c r="EF680" s="440"/>
    </row>
    <row r="681" spans="54:136">
      <c r="BB681" s="436" t="s">
        <v>516</v>
      </c>
      <c r="BC681" s="120">
        <v>0</v>
      </c>
      <c r="BD681" s="120" t="s">
        <v>515</v>
      </c>
      <c r="BE681" s="120"/>
      <c r="BF681" s="440"/>
      <c r="CB681" s="436" t="s">
        <v>516</v>
      </c>
      <c r="CC681" s="120">
        <v>0</v>
      </c>
      <c r="CD681" s="120" t="s">
        <v>515</v>
      </c>
      <c r="CE681" s="120"/>
      <c r="CF681" s="440"/>
      <c r="DB681" s="436" t="s">
        <v>516</v>
      </c>
      <c r="DC681" s="120">
        <v>0</v>
      </c>
      <c r="DD681" s="120" t="s">
        <v>515</v>
      </c>
      <c r="DE681" s="120"/>
      <c r="DF681" s="440"/>
      <c r="EB681" s="436" t="s">
        <v>516</v>
      </c>
      <c r="EC681" s="120">
        <v>0</v>
      </c>
      <c r="ED681" s="120" t="s">
        <v>515</v>
      </c>
      <c r="EE681" s="120"/>
      <c r="EF681" s="440"/>
    </row>
    <row r="682" spans="54:136">
      <c r="BB682" s="436"/>
      <c r="BC682" s="120"/>
      <c r="BD682" s="120"/>
      <c r="BE682" s="120"/>
      <c r="BF682" s="440"/>
      <c r="CB682" s="436"/>
      <c r="CC682" s="120"/>
      <c r="CD682" s="120"/>
      <c r="CE682" s="120"/>
      <c r="CF682" s="440"/>
      <c r="DB682" s="436"/>
      <c r="DC682" s="120"/>
      <c r="DD682" s="120"/>
      <c r="DE682" s="120"/>
      <c r="DF682" s="440"/>
      <c r="EB682" s="436"/>
      <c r="EC682" s="120"/>
      <c r="ED682" s="120"/>
      <c r="EE682" s="120"/>
      <c r="EF682" s="440"/>
    </row>
    <row r="683" spans="54:136">
      <c r="BB683" s="436"/>
      <c r="BC683" s="120"/>
      <c r="BD683" s="120"/>
      <c r="BE683" s="120"/>
      <c r="BF683" s="440"/>
      <c r="CB683" s="436"/>
      <c r="CC683" s="120"/>
      <c r="CD683" s="120"/>
      <c r="CE683" s="120"/>
      <c r="CF683" s="440"/>
      <c r="DB683" s="436"/>
      <c r="DC683" s="120"/>
      <c r="DD683" s="120"/>
      <c r="DE683" s="120"/>
      <c r="DF683" s="440"/>
      <c r="EB683" s="436"/>
      <c r="EC683" s="120"/>
      <c r="ED683" s="120"/>
      <c r="EE683" s="120"/>
      <c r="EF683" s="440"/>
    </row>
    <row r="684" spans="54:136">
      <c r="BB684" s="436"/>
      <c r="BC684" s="120"/>
      <c r="BD684" s="120"/>
      <c r="BE684" s="120"/>
      <c r="BF684" s="440"/>
      <c r="CB684" s="436"/>
      <c r="CC684" s="120"/>
      <c r="CD684" s="120"/>
      <c r="CE684" s="120"/>
      <c r="CF684" s="440"/>
      <c r="DB684" s="436"/>
      <c r="DC684" s="120"/>
      <c r="DD684" s="120"/>
      <c r="DE684" s="120"/>
      <c r="DF684" s="440"/>
      <c r="EB684" s="436"/>
      <c r="EC684" s="120"/>
      <c r="ED684" s="120"/>
      <c r="EE684" s="120"/>
      <c r="EF684" s="440"/>
    </row>
    <row r="685" spans="54:136">
      <c r="BB685" s="436"/>
      <c r="BC685" s="120"/>
      <c r="BD685" s="120"/>
      <c r="BE685" s="120"/>
      <c r="BF685" s="440"/>
      <c r="CB685" s="436"/>
      <c r="CC685" s="120"/>
      <c r="CD685" s="120"/>
      <c r="CE685" s="120"/>
      <c r="CF685" s="440"/>
      <c r="DB685" s="436"/>
      <c r="DC685" s="120"/>
      <c r="DD685" s="120"/>
      <c r="DE685" s="120"/>
      <c r="DF685" s="440"/>
      <c r="EB685" s="436"/>
      <c r="EC685" s="120"/>
      <c r="ED685" s="120"/>
      <c r="EE685" s="120"/>
      <c r="EF685" s="440"/>
    </row>
    <row r="686" spans="54:136">
      <c r="BB686" s="436"/>
      <c r="BC686" s="120"/>
      <c r="BD686" s="120"/>
      <c r="BE686" s="120"/>
      <c r="BF686" s="440"/>
      <c r="CB686" s="436"/>
      <c r="CC686" s="120"/>
      <c r="CD686" s="120"/>
      <c r="CE686" s="120"/>
      <c r="CF686" s="440"/>
      <c r="DB686" s="436"/>
      <c r="DC686" s="120"/>
      <c r="DD686" s="120"/>
      <c r="DE686" s="120"/>
      <c r="DF686" s="440"/>
      <c r="EB686" s="436"/>
      <c r="EC686" s="120"/>
      <c r="ED686" s="120"/>
      <c r="EE686" s="120"/>
      <c r="EF686" s="440"/>
    </row>
    <row r="687" spans="54:136">
      <c r="BB687" s="436" t="s">
        <v>464</v>
      </c>
      <c r="BC687" s="120"/>
      <c r="BD687" s="120"/>
      <c r="BE687" s="120"/>
      <c r="BF687" s="440"/>
      <c r="CB687" s="436" t="s">
        <v>464</v>
      </c>
      <c r="CC687" s="120"/>
      <c r="CD687" s="120"/>
      <c r="CE687" s="120"/>
      <c r="CF687" s="440"/>
      <c r="DB687" s="436" t="s">
        <v>464</v>
      </c>
      <c r="DC687" s="120"/>
      <c r="DD687" s="120"/>
      <c r="DE687" s="120"/>
      <c r="DF687" s="440"/>
      <c r="EB687" s="436" t="s">
        <v>464</v>
      </c>
      <c r="EC687" s="120"/>
      <c r="ED687" s="120"/>
      <c r="EE687" s="120"/>
      <c r="EF687" s="440"/>
    </row>
    <row r="688" spans="54:136">
      <c r="BB688" s="456"/>
      <c r="BC688" s="457"/>
      <c r="BD688" s="457"/>
      <c r="BE688" s="457"/>
      <c r="BF688" s="458"/>
      <c r="CB688" s="456"/>
      <c r="CC688" s="457"/>
      <c r="CD688" s="457"/>
      <c r="CE688" s="457"/>
      <c r="CF688" s="458"/>
      <c r="DB688" s="456"/>
      <c r="DC688" s="457"/>
      <c r="DD688" s="457"/>
      <c r="DE688" s="457"/>
      <c r="DF688" s="458"/>
      <c r="EB688" s="456"/>
      <c r="EC688" s="457"/>
      <c r="ED688" s="457"/>
      <c r="EE688" s="457"/>
      <c r="EF688" s="458"/>
    </row>
    <row r="689" spans="54:136">
      <c r="BB689" s="449" t="s">
        <v>472</v>
      </c>
      <c r="BC689" s="467" t="s">
        <v>517</v>
      </c>
      <c r="BD689" s="120" t="s">
        <v>518</v>
      </c>
      <c r="BE689" s="467" t="s">
        <v>519</v>
      </c>
      <c r="BF689" s="440" t="s">
        <v>518</v>
      </c>
      <c r="CB689" s="449" t="s">
        <v>472</v>
      </c>
      <c r="CC689" s="467" t="s">
        <v>517</v>
      </c>
      <c r="CD689" s="120" t="s">
        <v>518</v>
      </c>
      <c r="CE689" s="467" t="s">
        <v>519</v>
      </c>
      <c r="CF689" s="440" t="s">
        <v>518</v>
      </c>
      <c r="DB689" s="449" t="s">
        <v>472</v>
      </c>
      <c r="DC689" s="467" t="s">
        <v>517</v>
      </c>
      <c r="DD689" s="120" t="s">
        <v>518</v>
      </c>
      <c r="DE689" s="467" t="s">
        <v>519</v>
      </c>
      <c r="DF689" s="440" t="s">
        <v>518</v>
      </c>
      <c r="EB689" s="449" t="s">
        <v>472</v>
      </c>
      <c r="EC689" s="467" t="s">
        <v>517</v>
      </c>
      <c r="ED689" s="120" t="s">
        <v>518</v>
      </c>
      <c r="EE689" s="467" t="s">
        <v>519</v>
      </c>
      <c r="EF689" s="440" t="s">
        <v>518</v>
      </c>
    </row>
    <row r="690" spans="54:136">
      <c r="BB690" s="436" t="s">
        <v>520</v>
      </c>
      <c r="BC690" s="120"/>
      <c r="BD690" s="120"/>
      <c r="BE690" s="472">
        <f>((VLOOKUP(BB608,'Unit Ops'!$B$140:$J$209,3,FALSE)*BC610^VLOOKUP(BB608,'Unit Ops'!$B$140:$J$209,4,FALSE)+VLOOKUP(BB608,'Unit Ops'!$B$140:$J$209,5,FALSE))*VLOOKUP(BB608,'Unit Ops'!$B$140:$J$209,6,FALSE))*IF(VLOOKUP(BB608,'Unit Ops'!$B$140:$L$209,11,FALSE)=1,1,2)</f>
        <v>58073.251171671582</v>
      </c>
      <c r="BF690" s="490">
        <f>$C$7</f>
        <v>2022</v>
      </c>
      <c r="CB690" s="436" t="s">
        <v>520</v>
      </c>
      <c r="CC690" s="120"/>
      <c r="CD690" s="120"/>
      <c r="CE690" s="472">
        <f>((VLOOKUP(CB608,'Unit Ops'!$B$140:$J$209,3,FALSE)*CC610^VLOOKUP(CB608,'Unit Ops'!$B$140:$J$209,4,FALSE)+VLOOKUP(CB608,'Unit Ops'!$B$140:$J$209,5,FALSE))*VLOOKUP(CB608,'Unit Ops'!$B$140:$J$209,6,FALSE))*IF(VLOOKUP(CB608,'Unit Ops'!$B$140:$L$209,11,FALSE)=1,1,2)</f>
        <v>782707.85207714408</v>
      </c>
      <c r="CF690" s="490">
        <f>$C$7</f>
        <v>2022</v>
      </c>
      <c r="DB690" s="436" t="s">
        <v>520</v>
      </c>
      <c r="DC690" s="120"/>
      <c r="DD690" s="120"/>
      <c r="DE690" s="472">
        <f>((VLOOKUP(DB608,'Unit Ops'!$B$140:$J$209,3,FALSE)*DC610^VLOOKUP(DB608,'Unit Ops'!$B$140:$J$209,4,FALSE)+VLOOKUP(DB608,'Unit Ops'!$B$140:$J$209,5,FALSE))*VLOOKUP(DB608,'Unit Ops'!$B$140:$J$209,6,FALSE))*IF(VLOOKUP(DB608,'Unit Ops'!$B$140:$L$209,11,FALSE)=1,1,2)</f>
        <v>149168.62871831184</v>
      </c>
      <c r="DF690" s="490">
        <f>$C$7</f>
        <v>2022</v>
      </c>
      <c r="EB690" s="436" t="s">
        <v>520</v>
      </c>
      <c r="EC690" s="120"/>
      <c r="ED690" s="120"/>
      <c r="EE690" s="472">
        <f>((VLOOKUP(EB608,'Unit Ops'!$B$140:$J$209,3,FALSE)*EC610^VLOOKUP(EB608,'Unit Ops'!$B$140:$J$209,4,FALSE)+VLOOKUP(EB608,'Unit Ops'!$B$140:$J$209,5,FALSE))*VLOOKUP(EB608,'Unit Ops'!$B$140:$J$209,6,FALSE))*IF(VLOOKUP(EB608,'Unit Ops'!$B$140:$L$209,11,FALSE)=1,1,2)</f>
        <v>782707.85207714408</v>
      </c>
      <c r="EF690" s="490">
        <f>$C$7</f>
        <v>2022</v>
      </c>
    </row>
    <row r="691" spans="54:136">
      <c r="BB691" s="436"/>
      <c r="BC691" s="120"/>
      <c r="BD691" s="120"/>
      <c r="BE691" s="120"/>
      <c r="BF691" s="440"/>
      <c r="CB691" s="436"/>
      <c r="CC691" s="120"/>
      <c r="CD691" s="120"/>
      <c r="CE691" s="120"/>
      <c r="CF691" s="440"/>
      <c r="DB691" s="436"/>
      <c r="DC691" s="120"/>
      <c r="DD691" s="120"/>
      <c r="DE691" s="120"/>
      <c r="DF691" s="440"/>
      <c r="EB691" s="436"/>
      <c r="EC691" s="120"/>
      <c r="ED691" s="120"/>
      <c r="EE691" s="120"/>
      <c r="EF691" s="440"/>
    </row>
    <row r="692" spans="54:136">
      <c r="BB692" s="436"/>
      <c r="BC692" s="120"/>
      <c r="BD692" s="120"/>
      <c r="BE692" s="120"/>
      <c r="BF692" s="440"/>
      <c r="CB692" s="436"/>
      <c r="CC692" s="120"/>
      <c r="CD692" s="120"/>
      <c r="CE692" s="120"/>
      <c r="CF692" s="440"/>
      <c r="DB692" s="436"/>
      <c r="DC692" s="120"/>
      <c r="DD692" s="120"/>
      <c r="DE692" s="120"/>
      <c r="DF692" s="440"/>
      <c r="EB692" s="436"/>
      <c r="EC692" s="120"/>
      <c r="ED692" s="120"/>
      <c r="EE692" s="120"/>
      <c r="EF692" s="440"/>
    </row>
    <row r="693" spans="54:136">
      <c r="BB693" s="436"/>
      <c r="BC693" s="120"/>
      <c r="BD693" s="120"/>
      <c r="BE693" s="120"/>
      <c r="BF693" s="440"/>
      <c r="CB693" s="436"/>
      <c r="CC693" s="120"/>
      <c r="CD693" s="120"/>
      <c r="CE693" s="120"/>
      <c r="CF693" s="440"/>
      <c r="DB693" s="436"/>
      <c r="DC693" s="120"/>
      <c r="DD693" s="120"/>
      <c r="DE693" s="120"/>
      <c r="DF693" s="440"/>
      <c r="EB693" s="436"/>
      <c r="EC693" s="120"/>
      <c r="ED693" s="120"/>
      <c r="EE693" s="120"/>
      <c r="EF693" s="440"/>
    </row>
    <row r="694" spans="54:136">
      <c r="BB694" s="436"/>
      <c r="BC694" s="120"/>
      <c r="BD694" s="120"/>
      <c r="BE694" s="120"/>
      <c r="BF694" s="440"/>
      <c r="CB694" s="436"/>
      <c r="CC694" s="120"/>
      <c r="CD694" s="120"/>
      <c r="CE694" s="120"/>
      <c r="CF694" s="440"/>
      <c r="DB694" s="436"/>
      <c r="DC694" s="120"/>
      <c r="DD694" s="120"/>
      <c r="DE694" s="120"/>
      <c r="DF694" s="440"/>
      <c r="EB694" s="436"/>
      <c r="EC694" s="120"/>
      <c r="ED694" s="120"/>
      <c r="EE694" s="120"/>
      <c r="EF694" s="440"/>
    </row>
    <row r="695" spans="54:136">
      <c r="BB695" s="436"/>
      <c r="BC695" s="120"/>
      <c r="BD695" s="120"/>
      <c r="BE695" s="120"/>
      <c r="BF695" s="440"/>
      <c r="CB695" s="436"/>
      <c r="CC695" s="120"/>
      <c r="CD695" s="120"/>
      <c r="CE695" s="120"/>
      <c r="CF695" s="440"/>
      <c r="DB695" s="436"/>
      <c r="DC695" s="120"/>
      <c r="DD695" s="120"/>
      <c r="DE695" s="120"/>
      <c r="DF695" s="440"/>
      <c r="EB695" s="436"/>
      <c r="EC695" s="120"/>
      <c r="ED695" s="120"/>
      <c r="EE695" s="120"/>
      <c r="EF695" s="440"/>
    </row>
    <row r="696" spans="54:136">
      <c r="BB696" s="436"/>
      <c r="BC696" s="120"/>
      <c r="BD696" s="120"/>
      <c r="BE696" s="120"/>
      <c r="BF696" s="440"/>
      <c r="CB696" s="436"/>
      <c r="CC696" s="120"/>
      <c r="CD696" s="120"/>
      <c r="CE696" s="120"/>
      <c r="CF696" s="440"/>
      <c r="DB696" s="436"/>
      <c r="DC696" s="120"/>
      <c r="DD696" s="120"/>
      <c r="DE696" s="120"/>
      <c r="DF696" s="440"/>
      <c r="EB696" s="436"/>
      <c r="EC696" s="120"/>
      <c r="ED696" s="120"/>
      <c r="EE696" s="120"/>
      <c r="EF696" s="440"/>
    </row>
    <row r="697" spans="54:136">
      <c r="BB697" s="436"/>
      <c r="BC697" s="120"/>
      <c r="BD697" s="120"/>
      <c r="BE697" s="120"/>
      <c r="BF697" s="440"/>
      <c r="CB697" s="436"/>
      <c r="CC697" s="120"/>
      <c r="CD697" s="120"/>
      <c r="CE697" s="120"/>
      <c r="CF697" s="440"/>
      <c r="DB697" s="436"/>
      <c r="DC697" s="120"/>
      <c r="DD697" s="120"/>
      <c r="DE697" s="120"/>
      <c r="DF697" s="440"/>
      <c r="EB697" s="436"/>
      <c r="EC697" s="120"/>
      <c r="ED697" s="120"/>
      <c r="EE697" s="120"/>
      <c r="EF697" s="440"/>
    </row>
    <row r="698" spans="54:136">
      <c r="BB698" s="436"/>
      <c r="BC698" s="120"/>
      <c r="BD698" s="120"/>
      <c r="BE698" s="120"/>
      <c r="BF698" s="440"/>
      <c r="CB698" s="436"/>
      <c r="CC698" s="120"/>
      <c r="CD698" s="120"/>
      <c r="CE698" s="120"/>
      <c r="CF698" s="440"/>
      <c r="DB698" s="436"/>
      <c r="DC698" s="120"/>
      <c r="DD698" s="120"/>
      <c r="DE698" s="120"/>
      <c r="DF698" s="440"/>
      <c r="EB698" s="436"/>
      <c r="EC698" s="120"/>
      <c r="ED698" s="120"/>
      <c r="EE698" s="120"/>
      <c r="EF698" s="440"/>
    </row>
    <row r="699" spans="54:136">
      <c r="BB699" s="436"/>
      <c r="BC699" s="120"/>
      <c r="BD699" s="120"/>
      <c r="BE699" s="120"/>
      <c r="BF699" s="440"/>
      <c r="CB699" s="436"/>
      <c r="CC699" s="120"/>
      <c r="CD699" s="120"/>
      <c r="CE699" s="120"/>
      <c r="CF699" s="440"/>
      <c r="DB699" s="436"/>
      <c r="DC699" s="120"/>
      <c r="DD699" s="120"/>
      <c r="DE699" s="120"/>
      <c r="DF699" s="440"/>
      <c r="EB699" s="436"/>
      <c r="EC699" s="120"/>
      <c r="ED699" s="120"/>
      <c r="EE699" s="120"/>
      <c r="EF699" s="440"/>
    </row>
    <row r="700" spans="54:136">
      <c r="BB700" s="436"/>
      <c r="BC700" s="120"/>
      <c r="BD700" s="120"/>
      <c r="BE700" s="120"/>
      <c r="BF700" s="440"/>
      <c r="CB700" s="436"/>
      <c r="CC700" s="120"/>
      <c r="CD700" s="120"/>
      <c r="CE700" s="120"/>
      <c r="CF700" s="440"/>
      <c r="DB700" s="436"/>
      <c r="DC700" s="120"/>
      <c r="DD700" s="120"/>
      <c r="DE700" s="120"/>
      <c r="DF700" s="440"/>
      <c r="EB700" s="436"/>
      <c r="EC700" s="120"/>
      <c r="ED700" s="120"/>
      <c r="EE700" s="120"/>
      <c r="EF700" s="440"/>
    </row>
    <row r="701" spans="54:136">
      <c r="BB701" s="436"/>
      <c r="BC701" s="120"/>
      <c r="BD701" s="120"/>
      <c r="BE701" s="120"/>
      <c r="BF701" s="440"/>
      <c r="CB701" s="436"/>
      <c r="CC701" s="120"/>
      <c r="CD701" s="120"/>
      <c r="CE701" s="120"/>
      <c r="CF701" s="440"/>
      <c r="DB701" s="436"/>
      <c r="DC701" s="120"/>
      <c r="DD701" s="120"/>
      <c r="DE701" s="120"/>
      <c r="DF701" s="440"/>
      <c r="EB701" s="436"/>
      <c r="EC701" s="120"/>
      <c r="ED701" s="120"/>
      <c r="EE701" s="120"/>
      <c r="EF701" s="440"/>
    </row>
    <row r="702" spans="54:136">
      <c r="BB702" s="436"/>
      <c r="BC702" s="120"/>
      <c r="BD702" s="120"/>
      <c r="BE702" s="120"/>
      <c r="BF702" s="440"/>
      <c r="CB702" s="436"/>
      <c r="CC702" s="120"/>
      <c r="CD702" s="120"/>
      <c r="CE702" s="120"/>
      <c r="CF702" s="440"/>
      <c r="DB702" s="436"/>
      <c r="DC702" s="120"/>
      <c r="DD702" s="120"/>
      <c r="DE702" s="120"/>
      <c r="DF702" s="440"/>
      <c r="EB702" s="436"/>
      <c r="EC702" s="120"/>
      <c r="ED702" s="120"/>
      <c r="EE702" s="120"/>
      <c r="EF702" s="440"/>
    </row>
    <row r="703" spans="54:136">
      <c r="BB703" s="436"/>
      <c r="BC703" s="120"/>
      <c r="BD703" s="120"/>
      <c r="BE703" s="120"/>
      <c r="BF703" s="440"/>
      <c r="CB703" s="436"/>
      <c r="CC703" s="120"/>
      <c r="CD703" s="120"/>
      <c r="CE703" s="120"/>
      <c r="CF703" s="440"/>
      <c r="DB703" s="436"/>
      <c r="DC703" s="120"/>
      <c r="DD703" s="120"/>
      <c r="DE703" s="120"/>
      <c r="DF703" s="440"/>
      <c r="EB703" s="436"/>
      <c r="EC703" s="120"/>
      <c r="ED703" s="120"/>
      <c r="EE703" s="120"/>
      <c r="EF703" s="440"/>
    </row>
    <row r="704" spans="54:136" ht="14.5" thickBot="1">
      <c r="BB704" s="492"/>
      <c r="BC704" s="493"/>
      <c r="BD704" s="493"/>
      <c r="BE704" s="493"/>
      <c r="BF704" s="453"/>
      <c r="CB704" s="492"/>
      <c r="CC704" s="493"/>
      <c r="CD704" s="493"/>
      <c r="CE704" s="493"/>
      <c r="CF704" s="453"/>
      <c r="DB704" s="492"/>
      <c r="DC704" s="493"/>
      <c r="DD704" s="493"/>
      <c r="DE704" s="493"/>
      <c r="DF704" s="453"/>
      <c r="EB704" s="492"/>
      <c r="EC704" s="493"/>
      <c r="ED704" s="493"/>
      <c r="EE704" s="493"/>
      <c r="EF704" s="453"/>
    </row>
    <row r="707" spans="53:137" ht="14.5" thickBot="1">
      <c r="BB707" s="118"/>
      <c r="BC707" s="118"/>
      <c r="BD707" s="118"/>
      <c r="BE707" s="118"/>
      <c r="BF707" s="118"/>
      <c r="CB707" s="118"/>
      <c r="CC707" s="118"/>
      <c r="CD707" s="118"/>
      <c r="CE707" s="118"/>
      <c r="CF707" s="118"/>
      <c r="DB707" s="118"/>
      <c r="DC707" s="118"/>
      <c r="DD707" s="118"/>
      <c r="DE707" s="118"/>
      <c r="DF707" s="118"/>
      <c r="EB707" s="118"/>
      <c r="EC707" s="118"/>
      <c r="ED707" s="118"/>
      <c r="EE707" s="118"/>
      <c r="EF707" s="118"/>
    </row>
    <row r="708" spans="53:137">
      <c r="BA708" s="114" t="s">
        <v>478</v>
      </c>
      <c r="BB708" s="494" t="str">
        <f>BB56</f>
        <v>Smelter</v>
      </c>
      <c r="BC708" s="495"/>
      <c r="BD708" s="454"/>
      <c r="BE708" s="120"/>
      <c r="BF708" s="440"/>
      <c r="BG708" s="409"/>
      <c r="CA708" s="114" t="s">
        <v>478</v>
      </c>
      <c r="CB708" s="494" t="str">
        <f>CB56</f>
        <v>Mixing tank</v>
      </c>
      <c r="CC708" s="495"/>
      <c r="CD708" s="454"/>
      <c r="CE708" s="120"/>
      <c r="CF708" s="440"/>
      <c r="CG708" s="409"/>
      <c r="DA708" s="114" t="s">
        <v>478</v>
      </c>
      <c r="DB708" s="494" t="str">
        <f>DB56</f>
        <v>Filter press</v>
      </c>
      <c r="DC708" s="495"/>
      <c r="DD708" s="454"/>
      <c r="DE708" s="120"/>
      <c r="DF708" s="440"/>
      <c r="DG708" s="409"/>
      <c r="EA708" s="114" t="s">
        <v>478</v>
      </c>
      <c r="EB708" s="494" t="str">
        <f>EB58</f>
        <v>Mixing tank</v>
      </c>
      <c r="EC708" s="495"/>
      <c r="ED708" s="454"/>
      <c r="EE708" s="120"/>
      <c r="EF708" s="440"/>
      <c r="EG708" s="409"/>
    </row>
    <row r="709" spans="53:137">
      <c r="BA709" s="114" t="s">
        <v>5</v>
      </c>
      <c r="BB709" s="436" t="s">
        <v>1</v>
      </c>
      <c r="BC709" s="437">
        <f>BC$25/BC$22/BC$21*VLOOKUP(BB708,'Unit Ops'!$B$140:$J$209,2,FALSE)</f>
        <v>0.92592592592592593</v>
      </c>
      <c r="BD709" s="438" t="s">
        <v>586</v>
      </c>
      <c r="BE709" s="1027">
        <f>BC709*BC$310*BC$311</f>
        <v>10000</v>
      </c>
      <c r="BF709" s="439" t="s">
        <v>585</v>
      </c>
      <c r="BG709" s="498"/>
      <c r="CA709" s="114" t="s">
        <v>5</v>
      </c>
      <c r="CB709" s="436" t="s">
        <v>1</v>
      </c>
      <c r="CC709" s="437">
        <f>CC$25/CC$22/CC$21*VLOOKUP(CB708,'Unit Ops'!$B$140:$J$209,2,FALSE)</f>
        <v>0.27397260273972601</v>
      </c>
      <c r="CD709" s="438" t="s">
        <v>586</v>
      </c>
      <c r="CE709" s="1027">
        <f>CC709*CC$310*CC$311</f>
        <v>2999.9999999999995</v>
      </c>
      <c r="CF709" s="439" t="s">
        <v>585</v>
      </c>
      <c r="CG709" s="498"/>
      <c r="DA709" s="114" t="s">
        <v>5</v>
      </c>
      <c r="DB709" s="436" t="s">
        <v>1</v>
      </c>
      <c r="DC709" s="437">
        <f>DC$25/DC$22/DC$21*VLOOKUP(DB708,'Unit Ops'!$B$140:$J$209,2,FALSE)*(DC36+DC37)</f>
        <v>0.17508452174696776</v>
      </c>
      <c r="DD709" s="438" t="s">
        <v>586</v>
      </c>
      <c r="DE709" s="1027">
        <f>DC709*DC$310*DC$311</f>
        <v>1890.9128348672516</v>
      </c>
      <c r="DF709" s="439" t="s">
        <v>585</v>
      </c>
      <c r="DG709" s="498"/>
      <c r="EA709" s="114" t="s">
        <v>5</v>
      </c>
      <c r="EB709" s="436" t="s">
        <v>1</v>
      </c>
      <c r="EC709" s="437">
        <f>EC$26/EC$23/EC$22*VLOOKUP(EB708,'Unit Ops'!$B$140:$J$209,2,FALSE)</f>
        <v>0.39062499999999994</v>
      </c>
      <c r="ED709" s="438" t="s">
        <v>586</v>
      </c>
      <c r="EE709" s="1027">
        <f>EC709*EC$310*EC$311</f>
        <v>2999.9999999999995</v>
      </c>
      <c r="EF709" s="439" t="s">
        <v>585</v>
      </c>
      <c r="EG709" s="498"/>
    </row>
    <row r="710" spans="53:137">
      <c r="BA710" s="114" t="str">
        <f>$BB$54</f>
        <v>Hopper</v>
      </c>
      <c r="BB710" s="436" t="s">
        <v>505</v>
      </c>
      <c r="BC710" s="437">
        <f>ROUNDUP(BC709*IF(VLOOKUP(BB708,'Unit Ops'!$B$140:$L$209,11,FALSE)=1,1.5,0.75),1)</f>
        <v>0.7</v>
      </c>
      <c r="BD710" s="438" t="s">
        <v>586</v>
      </c>
      <c r="BE710" s="120">
        <f>BC710*BC$310*BC$311</f>
        <v>7560</v>
      </c>
      <c r="BF710" s="439" t="s">
        <v>585</v>
      </c>
      <c r="BG710" s="499"/>
      <c r="CA710" s="114" t="str">
        <f>$CB$54</f>
        <v>Conveyor</v>
      </c>
      <c r="CB710" s="436" t="s">
        <v>505</v>
      </c>
      <c r="CC710" s="437">
        <f>ROUNDUP(CC709*IF(VLOOKUP(CB708,'Unit Ops'!$B$140:$L$209,11,FALSE)=1,1.5,0.75),1)</f>
        <v>0.30000000000000004</v>
      </c>
      <c r="CD710" s="438" t="s">
        <v>586</v>
      </c>
      <c r="CE710" s="120">
        <f>CC710*CC$310*CC$311</f>
        <v>3285.0000000000005</v>
      </c>
      <c r="CF710" s="439" t="s">
        <v>585</v>
      </c>
      <c r="CG710" s="499"/>
      <c r="DA710" s="114" t="str">
        <f>$DB$54</f>
        <v>Conveyor</v>
      </c>
      <c r="DB710" s="436" t="s">
        <v>505</v>
      </c>
      <c r="DC710" s="437">
        <f>ROUNDUP(DC709*IF(VLOOKUP(DB708,'Unit Ops'!$B$140:$L$209,11,FALSE)=1,1.5,0.75),1)</f>
        <v>0.30000000000000004</v>
      </c>
      <c r="DD710" s="438" t="s">
        <v>586</v>
      </c>
      <c r="DE710" s="120">
        <f>DC710*DC$310*DC$311</f>
        <v>3240.0000000000005</v>
      </c>
      <c r="DF710" s="439" t="s">
        <v>585</v>
      </c>
      <c r="DG710" s="499"/>
      <c r="EA710" s="114" t="str">
        <f>$EB$56</f>
        <v>Conveyor</v>
      </c>
      <c r="EB710" s="436" t="s">
        <v>505</v>
      </c>
      <c r="EC710" s="437">
        <f>ROUNDUP(EC709*IF(VLOOKUP(EB708,'Unit Ops'!$B$140:$L$209,11,FALSE)=1,1.5,0.75),1)</f>
        <v>0.30000000000000004</v>
      </c>
      <c r="ED710" s="438" t="s">
        <v>586</v>
      </c>
      <c r="EE710" s="120">
        <f>EC710*EC$310*EC$311</f>
        <v>2304.0000000000005</v>
      </c>
      <c r="EF710" s="439" t="s">
        <v>585</v>
      </c>
      <c r="EG710" s="499"/>
    </row>
    <row r="711" spans="53:137">
      <c r="BA711" s="114" t="str">
        <f>$BB$55</f>
        <v>Conveyor</v>
      </c>
      <c r="BB711" s="441" t="s">
        <v>521</v>
      </c>
      <c r="BC711" s="442">
        <f>BC709/BC710</f>
        <v>1.3227513227513228</v>
      </c>
      <c r="BD711" s="438"/>
      <c r="BE711" s="443"/>
      <c r="BF711" s="440"/>
      <c r="BG711" s="500"/>
      <c r="CA711" s="114" t="str">
        <f>$CB$55</f>
        <v>Leaching tank</v>
      </c>
      <c r="CB711" s="441" t="s">
        <v>521</v>
      </c>
      <c r="CC711" s="442">
        <f>CC709/CC710</f>
        <v>0.91324200913241993</v>
      </c>
      <c r="CD711" s="438"/>
      <c r="CE711" s="443"/>
      <c r="CF711" s="440"/>
      <c r="CG711" s="500"/>
      <c r="DA711" s="114" t="str">
        <f>$DB$55</f>
        <v>Froth flotation cell</v>
      </c>
      <c r="DB711" s="441" t="s">
        <v>521</v>
      </c>
      <c r="DC711" s="442">
        <f>DC709/DC710</f>
        <v>0.58361507248989242</v>
      </c>
      <c r="DD711" s="438"/>
      <c r="DE711" s="443"/>
      <c r="DF711" s="440"/>
      <c r="DG711" s="500"/>
      <c r="EA711" s="114" t="str">
        <f>$EB$57</f>
        <v>Leaching tank</v>
      </c>
      <c r="EB711" s="441" t="s">
        <v>521</v>
      </c>
      <c r="EC711" s="442">
        <f>EC709/EC710</f>
        <v>1.302083333333333</v>
      </c>
      <c r="ED711" s="438"/>
      <c r="EE711" s="443"/>
      <c r="EF711" s="440"/>
      <c r="EG711" s="500"/>
    </row>
    <row r="712" spans="53:137">
      <c r="BA712" s="114" t="str">
        <f>$BB$56</f>
        <v>Smelter</v>
      </c>
      <c r="BB712" s="441" t="s">
        <v>506</v>
      </c>
      <c r="BC712" s="445"/>
      <c r="BD712" s="438" t="s">
        <v>454</v>
      </c>
      <c r="BE712" s="443"/>
      <c r="BF712" s="440"/>
      <c r="BG712" s="119"/>
      <c r="CA712" s="114" t="str">
        <f>$CB$56</f>
        <v>Mixing tank</v>
      </c>
      <c r="CB712" s="441" t="s">
        <v>506</v>
      </c>
      <c r="CC712" s="445"/>
      <c r="CD712" s="438" t="s">
        <v>454</v>
      </c>
      <c r="CE712" s="443"/>
      <c r="CF712" s="440"/>
      <c r="CG712" s="119"/>
      <c r="DA712" s="114" t="str">
        <f>$DB$56</f>
        <v>Filter press</v>
      </c>
      <c r="DB712" s="441" t="s">
        <v>506</v>
      </c>
      <c r="DC712" s="445"/>
      <c r="DD712" s="438" t="s">
        <v>454</v>
      </c>
      <c r="DE712" s="443"/>
      <c r="DF712" s="440"/>
      <c r="DG712" s="119"/>
      <c r="EA712" s="114" t="str">
        <f>$EB$58</f>
        <v>Mixing tank</v>
      </c>
      <c r="EB712" s="441" t="s">
        <v>506</v>
      </c>
      <c r="EC712" s="445"/>
      <c r="ED712" s="438" t="s">
        <v>454</v>
      </c>
      <c r="EE712" s="443"/>
      <c r="EF712" s="440"/>
      <c r="EG712" s="119"/>
    </row>
    <row r="713" spans="53:137">
      <c r="BA713" s="114" t="str">
        <f>$BB$57</f>
        <v>Gas treatment</v>
      </c>
      <c r="BB713" s="436" t="s">
        <v>507</v>
      </c>
      <c r="BC713" s="225">
        <f>(VLOOKUP(BB708,'Unit Ops'!$B$140:$J$209,7,FALSE)*BC710^VLOOKUP(BB708,'Unit Ops'!$B$140:$J$209,8,FALSE)+VLOOKUP(BB708,'Unit Ops'!$B$140:$J$209,9,FALSE))*IF(VLOOKUP(BB708,'Unit Ops'!$B$140:$L$209,11,FALSE)=1,1,2)</f>
        <v>0</v>
      </c>
      <c r="BD713" s="446" t="s">
        <v>454</v>
      </c>
      <c r="BE713" s="443"/>
      <c r="BF713" s="440"/>
      <c r="BG713" s="119"/>
      <c r="CA713" s="114" t="str">
        <f>$CB$57</f>
        <v>Filter press</v>
      </c>
      <c r="CB713" s="436" t="s">
        <v>507</v>
      </c>
      <c r="CC713" s="225">
        <f>(VLOOKUP(CB708,'Unit Ops'!$B$140:$J$209,7,FALSE)*CC710^VLOOKUP(CB708,'Unit Ops'!$B$140:$J$209,8,FALSE)+VLOOKUP(CB708,'Unit Ops'!$B$140:$J$209,9,FALSE))*IF(VLOOKUP(CB708,'Unit Ops'!$B$140:$L$209,11,FALSE)=1,1,2)</f>
        <v>8.948400000000003</v>
      </c>
      <c r="CD713" s="446" t="s">
        <v>454</v>
      </c>
      <c r="CE713" s="443"/>
      <c r="CF713" s="440"/>
      <c r="CG713" s="119"/>
      <c r="DA713" s="114" t="str">
        <f>$DB$57</f>
        <v>Froth flotation cell</v>
      </c>
      <c r="DB713" s="436" t="s">
        <v>507</v>
      </c>
      <c r="DC713" s="225">
        <f>(VLOOKUP(DB708,'Unit Ops'!$B$140:$J$209,7,FALSE)*DC710^VLOOKUP(DB708,'Unit Ops'!$B$140:$J$209,8,FALSE)+VLOOKUP(DB708,'Unit Ops'!$B$140:$J$209,9,FALSE))*IF(VLOOKUP(DB708,'Unit Ops'!$B$140:$L$209,11,FALSE)=1,1,2)</f>
        <v>14.914000000000001</v>
      </c>
      <c r="DD713" s="446" t="s">
        <v>454</v>
      </c>
      <c r="DE713" s="443"/>
      <c r="DF713" s="440"/>
      <c r="DG713" s="119"/>
      <c r="EA713" s="114" t="str">
        <f>$EB$59</f>
        <v>Filter press</v>
      </c>
      <c r="EB713" s="436" t="s">
        <v>507</v>
      </c>
      <c r="EC713" s="225">
        <f>(VLOOKUP(EB708,'Unit Ops'!$B$140:$J$209,7,FALSE)*EC710^VLOOKUP(EB708,'Unit Ops'!$B$140:$J$209,8,FALSE)+VLOOKUP(EB708,'Unit Ops'!$B$140:$J$209,9,FALSE))*IF(VLOOKUP(EB708,'Unit Ops'!$B$140:$L$209,11,FALSE)=1,1,2)</f>
        <v>8.948400000000003</v>
      </c>
      <c r="ED713" s="446" t="s">
        <v>454</v>
      </c>
      <c r="EE713" s="443"/>
      <c r="EF713" s="440"/>
      <c r="EG713" s="119"/>
    </row>
    <row r="714" spans="53:137">
      <c r="BA714" s="114" t="str">
        <f>$BB$58</f>
        <v>Conveyor</v>
      </c>
      <c r="BB714" s="441"/>
      <c r="BC714" s="445"/>
      <c r="BD714" s="447"/>
      <c r="BE714" s="443"/>
      <c r="BF714" s="440"/>
      <c r="BG714" s="501"/>
      <c r="CA714" s="114" t="str">
        <f>$CB$58</f>
        <v>Solvent extraction unit</v>
      </c>
      <c r="CB714" s="441"/>
      <c r="CC714" s="445"/>
      <c r="CD714" s="447"/>
      <c r="CE714" s="443"/>
      <c r="CF714" s="440"/>
      <c r="CG714" s="501"/>
      <c r="DA714" s="114" t="str">
        <f>$DB$58</f>
        <v>Filter press</v>
      </c>
      <c r="DB714" s="441"/>
      <c r="DC714" s="445"/>
      <c r="DD714" s="447"/>
      <c r="DE714" s="443"/>
      <c r="DF714" s="440"/>
      <c r="DG714" s="501"/>
      <c r="EA714" s="114" t="str">
        <f>$EB$60</f>
        <v>Solvent extraction unit</v>
      </c>
      <c r="EB714" s="441"/>
      <c r="EC714" s="445"/>
      <c r="ED714" s="447"/>
      <c r="EE714" s="443"/>
      <c r="EF714" s="440"/>
      <c r="EG714" s="501"/>
    </row>
    <row r="715" spans="53:137">
      <c r="BA715" s="114" t="str">
        <f>$BB$59</f>
        <v>Granulator</v>
      </c>
      <c r="BB715" s="441"/>
      <c r="BC715" s="445"/>
      <c r="BD715" s="447"/>
      <c r="BE715" s="443"/>
      <c r="BF715" s="440"/>
      <c r="BG715" s="119"/>
      <c r="CA715" s="114" t="str">
        <f>$CB$59</f>
        <v>Solvent extraction unit</v>
      </c>
      <c r="CB715" s="441"/>
      <c r="CC715" s="445"/>
      <c r="CD715" s="447"/>
      <c r="CE715" s="443"/>
      <c r="CF715" s="440"/>
      <c r="CG715" s="119"/>
      <c r="DA715" s="114" t="str">
        <f>$DB$59</f>
        <v>Dryer</v>
      </c>
      <c r="DB715" s="441"/>
      <c r="DC715" s="445"/>
      <c r="DD715" s="447"/>
      <c r="DE715" s="443"/>
      <c r="DF715" s="440"/>
      <c r="DG715" s="119"/>
      <c r="EA715" s="114" t="str">
        <f>$EB$61</f>
        <v>Solvent extraction unit</v>
      </c>
      <c r="EB715" s="441"/>
      <c r="EC715" s="445"/>
      <c r="ED715" s="447"/>
      <c r="EE715" s="443"/>
      <c r="EF715" s="440"/>
      <c r="EG715" s="119"/>
    </row>
    <row r="716" spans="53:137">
      <c r="BA716" s="114" t="str">
        <f>$BB$60</f>
        <v>Leaching tank</v>
      </c>
      <c r="BB716" s="449"/>
      <c r="BC716" s="445"/>
      <c r="BD716" s="447"/>
      <c r="BE716" s="443"/>
      <c r="BF716" s="440"/>
      <c r="BG716" s="119"/>
      <c r="CA716" s="114" t="str">
        <f>$CB$60</f>
        <v>Solvent extraction unit</v>
      </c>
      <c r="CB716" s="449"/>
      <c r="CC716" s="445"/>
      <c r="CD716" s="447"/>
      <c r="CE716" s="443"/>
      <c r="CF716" s="440"/>
      <c r="CG716" s="119"/>
      <c r="DA716" s="114" t="str">
        <f>$DB$60</f>
        <v>Ball mill</v>
      </c>
      <c r="DB716" s="449"/>
      <c r="DC716" s="445"/>
      <c r="DD716" s="447"/>
      <c r="DE716" s="443"/>
      <c r="DF716" s="440"/>
      <c r="DG716" s="119"/>
      <c r="EA716" s="114" t="str">
        <f>$EB$62</f>
        <v>Solvent extraction unit</v>
      </c>
      <c r="EB716" s="449"/>
      <c r="EC716" s="445"/>
      <c r="ED716" s="447"/>
      <c r="EE716" s="443"/>
      <c r="EF716" s="440"/>
      <c r="EG716" s="119"/>
    </row>
    <row r="717" spans="53:137" ht="14.5" thickBot="1">
      <c r="BA717" s="114" t="str">
        <f>$BB$61</f>
        <v>Solvent extraction unit</v>
      </c>
      <c r="BB717" s="450"/>
      <c r="BC717" s="451"/>
      <c r="BD717" s="451"/>
      <c r="BE717" s="452"/>
      <c r="BF717" s="453"/>
      <c r="BG717" s="119"/>
      <c r="CA717" s="114" t="str">
        <f>$CB$61</f>
        <v>Evaporator</v>
      </c>
      <c r="CB717" s="450"/>
      <c r="CC717" s="451"/>
      <c r="CD717" s="451"/>
      <c r="CE717" s="452"/>
      <c r="CF717" s="453"/>
      <c r="CG717" s="119"/>
      <c r="DA717" s="114" t="str">
        <f>$DB$61</f>
        <v>Furnace+saggar handling system</v>
      </c>
      <c r="DB717" s="450"/>
      <c r="DC717" s="451"/>
      <c r="DD717" s="451"/>
      <c r="DE717" s="452"/>
      <c r="DF717" s="453"/>
      <c r="DG717" s="119"/>
      <c r="EA717" s="114" t="str">
        <f>$EB$63</f>
        <v>Evaporator</v>
      </c>
      <c r="EB717" s="450"/>
      <c r="EC717" s="451"/>
      <c r="ED717" s="451"/>
      <c r="EE717" s="452"/>
      <c r="EF717" s="453"/>
      <c r="EG717" s="119"/>
    </row>
    <row r="718" spans="53:137">
      <c r="BA718" s="114" t="str">
        <f>$BB$62</f>
        <v>Electrowinning cell</v>
      </c>
      <c r="BB718" s="449" t="s">
        <v>470</v>
      </c>
      <c r="BC718" s="120"/>
      <c r="BD718" s="454"/>
      <c r="BE718" s="120"/>
      <c r="BF718" s="440"/>
      <c r="CA718" s="114" t="str">
        <f>$CB$62</f>
        <v>Precipitation tank</v>
      </c>
      <c r="CB718" s="449" t="s">
        <v>470</v>
      </c>
      <c r="CC718" s="120"/>
      <c r="CD718" s="454"/>
      <c r="CE718" s="120"/>
      <c r="CF718" s="440"/>
      <c r="DA718" s="114" t="str">
        <f>$DB$62</f>
        <v>Water treatment</v>
      </c>
      <c r="DB718" s="449" t="s">
        <v>470</v>
      </c>
      <c r="DC718" s="120"/>
      <c r="DD718" s="454"/>
      <c r="DE718" s="120"/>
      <c r="DF718" s="440"/>
      <c r="EA718" s="114" t="str">
        <f>$EB$64</f>
        <v>Precipitation tank</v>
      </c>
      <c r="EB718" s="449" t="s">
        <v>470</v>
      </c>
      <c r="EC718" s="120"/>
      <c r="ED718" s="454"/>
      <c r="EE718" s="120"/>
      <c r="EF718" s="440"/>
    </row>
    <row r="719" spans="53:137" ht="14.5" customHeight="1">
      <c r="BA719" s="114" t="str">
        <f>$BB$63</f>
        <v>Solvent extraction unit</v>
      </c>
      <c r="BB719" s="1698"/>
      <c r="BC719" s="1699"/>
      <c r="BD719" s="1699"/>
      <c r="BE719" s="1699"/>
      <c r="BF719" s="1700"/>
      <c r="CA719" s="114" t="str">
        <f>$CB$63</f>
        <v>Centrifuge</v>
      </c>
      <c r="CB719" s="1698"/>
      <c r="CC719" s="1699"/>
      <c r="CD719" s="1699"/>
      <c r="CE719" s="1699"/>
      <c r="CF719" s="1700"/>
      <c r="DA719" s="114" t="str">
        <f>$DB$63</f>
        <v>Wheel loader</v>
      </c>
      <c r="DB719" s="1698"/>
      <c r="DC719" s="1699"/>
      <c r="DD719" s="1699"/>
      <c r="DE719" s="1699"/>
      <c r="DF719" s="1700"/>
      <c r="EA719" s="114" t="str">
        <f>$EB$65</f>
        <v>Centrifuge</v>
      </c>
      <c r="EB719" s="1698"/>
      <c r="EC719" s="1699"/>
      <c r="ED719" s="1699"/>
      <c r="EE719" s="1699"/>
      <c r="EF719" s="1700"/>
    </row>
    <row r="720" spans="53:137">
      <c r="BA720" s="114" t="str">
        <f>$BB$64</f>
        <v>Solvent extraction unit</v>
      </c>
      <c r="BB720" s="436"/>
      <c r="BC720" s="120"/>
      <c r="BD720" s="455"/>
      <c r="BE720" s="120"/>
      <c r="BF720" s="440"/>
      <c r="CA720" s="114" t="str">
        <f>$CB$64</f>
        <v>Dryer</v>
      </c>
      <c r="CB720" s="436"/>
      <c r="CC720" s="120"/>
      <c r="CD720" s="455"/>
      <c r="CE720" s="120"/>
      <c r="CF720" s="440"/>
      <c r="DA720" s="114" t="str">
        <f>$DB$64</f>
        <v>Select Equipment</v>
      </c>
      <c r="DB720" s="436"/>
      <c r="DC720" s="120"/>
      <c r="DD720" s="455"/>
      <c r="DE720" s="120"/>
      <c r="DF720" s="440"/>
      <c r="EA720" s="114" t="str">
        <f>$EB$66</f>
        <v>Dryer</v>
      </c>
      <c r="EB720" s="436"/>
      <c r="EC720" s="120"/>
      <c r="ED720" s="455"/>
      <c r="EE720" s="120"/>
      <c r="EF720" s="440"/>
    </row>
    <row r="721" spans="53:136">
      <c r="BA721" s="114" t="str">
        <f>$BB$65</f>
        <v>Wheel loader</v>
      </c>
      <c r="BB721" s="436"/>
      <c r="BC721" s="120"/>
      <c r="BD721" s="455"/>
      <c r="BE721" s="120"/>
      <c r="BF721" s="440"/>
      <c r="CA721" s="114" t="str">
        <f>$CB$65</f>
        <v>Water treatment</v>
      </c>
      <c r="CB721" s="436"/>
      <c r="CC721" s="120"/>
      <c r="CD721" s="455"/>
      <c r="CE721" s="120"/>
      <c r="CF721" s="440"/>
      <c r="DA721" s="114" t="str">
        <f>$DB$65</f>
        <v>Select Equipment</v>
      </c>
      <c r="DB721" s="436"/>
      <c r="DC721" s="120"/>
      <c r="DD721" s="455"/>
      <c r="DE721" s="120"/>
      <c r="DF721" s="440"/>
      <c r="EA721" s="114" t="str">
        <f>$EB$67</f>
        <v>Water treatment</v>
      </c>
      <c r="EB721" s="436"/>
      <c r="EC721" s="120"/>
      <c r="ED721" s="455"/>
      <c r="EE721" s="120"/>
      <c r="EF721" s="440"/>
    </row>
    <row r="722" spans="53:136">
      <c r="BA722" s="114" t="str">
        <f>$BB$66</f>
        <v>Water treatment</v>
      </c>
      <c r="BB722" s="456"/>
      <c r="BC722" s="457"/>
      <c r="BD722" s="457"/>
      <c r="BE722" s="457"/>
      <c r="BF722" s="458"/>
      <c r="CA722" s="114" t="str">
        <f>$CB$66</f>
        <v>Wheel loader</v>
      </c>
      <c r="CB722" s="456"/>
      <c r="CC722" s="457"/>
      <c r="CD722" s="457"/>
      <c r="CE722" s="457"/>
      <c r="CF722" s="458"/>
      <c r="DA722" s="114" t="str">
        <f>$DB$66</f>
        <v>Select Equipment</v>
      </c>
      <c r="DB722" s="456"/>
      <c r="DC722" s="457"/>
      <c r="DD722" s="457"/>
      <c r="DE722" s="457"/>
      <c r="DF722" s="458"/>
      <c r="EA722" s="114" t="str">
        <f>$EB$68</f>
        <v>Wheel loader</v>
      </c>
      <c r="EB722" s="456"/>
      <c r="EC722" s="457"/>
      <c r="ED722" s="457"/>
      <c r="EE722" s="457"/>
      <c r="EF722" s="458"/>
    </row>
    <row r="723" spans="53:136">
      <c r="BA723" s="114" t="str">
        <f>$BB$67</f>
        <v>Select Equipment</v>
      </c>
      <c r="BB723" s="449" t="s">
        <v>471</v>
      </c>
      <c r="BC723" s="120"/>
      <c r="BD723" s="454"/>
      <c r="BE723" s="120"/>
      <c r="BF723" s="440"/>
      <c r="CA723" s="114" t="str">
        <f>$CB$67</f>
        <v>Select Equipment</v>
      </c>
      <c r="CB723" s="449" t="s">
        <v>471</v>
      </c>
      <c r="CC723" s="120"/>
      <c r="CD723" s="454"/>
      <c r="CE723" s="120"/>
      <c r="CF723" s="440"/>
      <c r="DA723" s="114" t="str">
        <f>$DB$67</f>
        <v>Select Equipment</v>
      </c>
      <c r="DB723" s="449" t="s">
        <v>471</v>
      </c>
      <c r="DC723" s="120"/>
      <c r="DD723" s="454"/>
      <c r="DE723" s="120"/>
      <c r="DF723" s="440"/>
      <c r="EA723" s="114" t="str">
        <f>$EB$69</f>
        <v>Select Equipment</v>
      </c>
      <c r="EB723" s="449" t="s">
        <v>471</v>
      </c>
      <c r="EC723" s="120"/>
      <c r="ED723" s="454"/>
      <c r="EE723" s="120"/>
      <c r="EF723" s="440"/>
    </row>
    <row r="724" spans="53:136">
      <c r="BA724" s="114" t="str">
        <f>$BB$68</f>
        <v>Select Equipment</v>
      </c>
      <c r="BB724" s="436" t="s">
        <v>577</v>
      </c>
      <c r="BC724" s="225">
        <f>BC713*IF(BC711&gt;1,1,BC711)</f>
        <v>0</v>
      </c>
      <c r="BD724" s="446" t="s">
        <v>454</v>
      </c>
      <c r="BE724" s="120"/>
      <c r="BF724" s="440"/>
      <c r="CA724" s="114" t="str">
        <f>$CB$68</f>
        <v>Select Equipment</v>
      </c>
      <c r="CB724" s="436" t="s">
        <v>577</v>
      </c>
      <c r="CC724" s="225">
        <f>CC713*IF(CC711&gt;1,1,CC711)</f>
        <v>8.1720547945205499</v>
      </c>
      <c r="CD724" s="446" t="s">
        <v>454</v>
      </c>
      <c r="CE724" s="120"/>
      <c r="CF724" s="440"/>
      <c r="DA724" s="114" t="str">
        <f>$DB$68</f>
        <v>Select Equipment</v>
      </c>
      <c r="DB724" s="436" t="s">
        <v>577</v>
      </c>
      <c r="DC724" s="225">
        <f>DC713*IF(DC711&gt;1,1,DC711)</f>
        <v>8.7040351911142562</v>
      </c>
      <c r="DD724" s="446" t="s">
        <v>454</v>
      </c>
      <c r="DE724" s="120"/>
      <c r="DF724" s="440"/>
      <c r="EA724" s="114" t="str">
        <f>$EB$70</f>
        <v>Select Equipment</v>
      </c>
      <c r="EB724" s="436" t="s">
        <v>577</v>
      </c>
      <c r="EC724" s="225">
        <f>EC713*IF(EC711&gt;1,1,EC711)</f>
        <v>8.948400000000003</v>
      </c>
      <c r="ED724" s="446" t="s">
        <v>454</v>
      </c>
      <c r="EE724" s="120"/>
      <c r="EF724" s="440"/>
    </row>
    <row r="725" spans="53:136">
      <c r="BA725" s="114" t="str">
        <f>$BB$69</f>
        <v>Select Equipment</v>
      </c>
      <c r="BB725" s="436" t="s">
        <v>578</v>
      </c>
      <c r="BC725" s="225"/>
      <c r="BD725" s="446" t="s">
        <v>579</v>
      </c>
      <c r="BE725" s="120"/>
      <c r="BF725" s="440"/>
      <c r="CA725" s="114" t="str">
        <f>$CB$69</f>
        <v>Select Equipment</v>
      </c>
      <c r="CB725" s="436" t="s">
        <v>578</v>
      </c>
      <c r="CC725" s="225"/>
      <c r="CD725" s="446" t="s">
        <v>579</v>
      </c>
      <c r="CE725" s="120"/>
      <c r="CF725" s="440"/>
      <c r="DA725" s="114" t="str">
        <f>$DB$69</f>
        <v>Select Equipment</v>
      </c>
      <c r="DB725" s="436" t="s">
        <v>578</v>
      </c>
      <c r="DC725" s="225"/>
      <c r="DD725" s="446" t="s">
        <v>579</v>
      </c>
      <c r="DE725" s="120"/>
      <c r="DF725" s="440"/>
      <c r="EA725" s="114" t="str">
        <f>$EB$71</f>
        <v>Select Equipment</v>
      </c>
      <c r="EB725" s="436" t="s">
        <v>578</v>
      </c>
      <c r="EC725" s="225"/>
      <c r="ED725" s="446" t="s">
        <v>579</v>
      </c>
      <c r="EE725" s="120"/>
      <c r="EF725" s="440"/>
    </row>
    <row r="726" spans="53:136">
      <c r="BA726" s="114" t="str">
        <f>$BB$70</f>
        <v>Select Equipment</v>
      </c>
      <c r="BB726" s="436"/>
      <c r="BC726" s="120"/>
      <c r="BD726" s="446"/>
      <c r="BE726" s="120"/>
      <c r="BF726" s="440"/>
      <c r="CA726" s="114" t="str">
        <f>$CB$70</f>
        <v>Select Equipment</v>
      </c>
      <c r="CB726" s="436"/>
      <c r="CC726" s="120"/>
      <c r="CD726" s="446"/>
      <c r="CE726" s="120"/>
      <c r="CF726" s="440"/>
      <c r="DA726" s="114" t="str">
        <f>$DB$70</f>
        <v>Select Equipment</v>
      </c>
      <c r="DB726" s="436"/>
      <c r="DC726" s="120"/>
      <c r="DD726" s="446"/>
      <c r="DE726" s="120"/>
      <c r="DF726" s="440"/>
      <c r="EA726" s="114" t="str">
        <f>$EB$72</f>
        <v>Select Equipment</v>
      </c>
      <c r="EB726" s="436"/>
      <c r="EC726" s="120"/>
      <c r="ED726" s="446"/>
      <c r="EE726" s="120"/>
      <c r="EF726" s="440"/>
    </row>
    <row r="727" spans="53:136">
      <c r="BA727" s="114" t="str">
        <f>$BB$71</f>
        <v>Select Equipment</v>
      </c>
      <c r="BB727" s="436" t="s">
        <v>8</v>
      </c>
      <c r="BC727" s="120"/>
      <c r="BD727" s="459" t="s">
        <v>564</v>
      </c>
      <c r="BE727" s="120"/>
      <c r="BF727" s="440"/>
      <c r="CA727" s="114" t="str">
        <f>$CB$71</f>
        <v>Select Equipment</v>
      </c>
      <c r="CB727" s="436" t="s">
        <v>8</v>
      </c>
      <c r="CC727" s="120"/>
      <c r="CD727" s="459" t="s">
        <v>564</v>
      </c>
      <c r="CE727" s="120"/>
      <c r="CF727" s="440"/>
      <c r="DA727" s="114" t="str">
        <f>$DB$71</f>
        <v>Select Equipment</v>
      </c>
      <c r="DB727" s="436" t="s">
        <v>8</v>
      </c>
      <c r="DC727" s="120"/>
      <c r="DD727" s="459" t="s">
        <v>564</v>
      </c>
      <c r="DE727" s="120"/>
      <c r="DF727" s="440"/>
      <c r="EA727" s="114" t="str">
        <f>$EB$73</f>
        <v>Select Equipment</v>
      </c>
      <c r="EB727" s="436" t="s">
        <v>8</v>
      </c>
      <c r="EC727" s="120"/>
      <c r="ED727" s="459" t="s">
        <v>564</v>
      </c>
      <c r="EE727" s="120"/>
      <c r="EF727" s="440"/>
    </row>
    <row r="728" spans="53:136">
      <c r="BA728" s="114" t="str">
        <f>$BB$72</f>
        <v>Select Equipment</v>
      </c>
      <c r="BB728" s="436"/>
      <c r="BC728" s="120"/>
      <c r="BD728" s="459"/>
      <c r="BE728" s="120"/>
      <c r="BF728" s="440"/>
      <c r="CA728" s="114" t="str">
        <f>$CB$72</f>
        <v>Select Equipment</v>
      </c>
      <c r="CB728" s="436"/>
      <c r="CC728" s="120"/>
      <c r="CD728" s="459"/>
      <c r="CE728" s="120"/>
      <c r="CF728" s="440"/>
      <c r="DA728" s="114" t="str">
        <f>$DB$72</f>
        <v>Select Equipment</v>
      </c>
      <c r="DB728" s="436"/>
      <c r="DC728" s="120"/>
      <c r="DD728" s="459"/>
      <c r="DE728" s="120"/>
      <c r="DF728" s="440"/>
      <c r="EA728" s="114" t="str">
        <f>$EB$74</f>
        <v>Select Equipment</v>
      </c>
      <c r="EB728" s="436"/>
      <c r="EC728" s="120"/>
      <c r="ED728" s="459"/>
      <c r="EE728" s="120"/>
      <c r="EF728" s="440"/>
    </row>
    <row r="729" spans="53:136">
      <c r="BA729" s="114" t="str">
        <f>$BB$73</f>
        <v>Select Equipment</v>
      </c>
      <c r="BB729" s="436" t="s">
        <v>7</v>
      </c>
      <c r="BC729" s="120"/>
      <c r="BD729" s="459" t="s">
        <v>564</v>
      </c>
      <c r="BE729" s="120"/>
      <c r="BF729" s="440"/>
      <c r="CA729" s="114" t="str">
        <f>$CB$73</f>
        <v>Select Equipment</v>
      </c>
      <c r="CB729" s="436" t="s">
        <v>7</v>
      </c>
      <c r="CC729" s="120"/>
      <c r="CD729" s="459" t="s">
        <v>564</v>
      </c>
      <c r="CE729" s="120"/>
      <c r="CF729" s="440"/>
      <c r="DA729" s="114" t="str">
        <f>$DB$73</f>
        <v>Select Equipment</v>
      </c>
      <c r="DB729" s="436" t="s">
        <v>7</v>
      </c>
      <c r="DC729" s="120"/>
      <c r="DD729" s="459" t="s">
        <v>564</v>
      </c>
      <c r="DE729" s="120"/>
      <c r="DF729" s="440"/>
      <c r="EA729" s="114" t="str">
        <f>$EB$75</f>
        <v>Select Equipment</v>
      </c>
      <c r="EB729" s="436" t="s">
        <v>7</v>
      </c>
      <c r="EC729" s="120"/>
      <c r="ED729" s="459" t="s">
        <v>564</v>
      </c>
      <c r="EE729" s="120"/>
      <c r="EF729" s="440"/>
    </row>
    <row r="730" spans="53:136">
      <c r="BA730" s="114" t="str">
        <f>$BB$74</f>
        <v>Select Equipment</v>
      </c>
      <c r="BB730" s="436"/>
      <c r="BC730" s="120"/>
      <c r="BD730" s="459"/>
      <c r="BE730" s="120"/>
      <c r="BF730" s="440"/>
      <c r="CA730" s="114" t="str">
        <f>$CB$74</f>
        <v>Select Equipment</v>
      </c>
      <c r="CB730" s="436"/>
      <c r="CC730" s="120"/>
      <c r="CD730" s="459"/>
      <c r="CE730" s="120"/>
      <c r="CF730" s="440"/>
      <c r="DA730" s="114" t="str">
        <f>$DB$74</f>
        <v>Select Equipment</v>
      </c>
      <c r="DB730" s="436"/>
      <c r="DC730" s="120"/>
      <c r="DD730" s="459"/>
      <c r="DE730" s="120"/>
      <c r="DF730" s="440"/>
      <c r="EA730" s="114" t="str">
        <f>$EB$76</f>
        <v>Select Equipment</v>
      </c>
      <c r="EB730" s="436"/>
      <c r="EC730" s="120"/>
      <c r="ED730" s="459"/>
      <c r="EE730" s="120"/>
      <c r="EF730" s="440"/>
    </row>
    <row r="731" spans="53:136">
      <c r="BA731" s="114" t="str">
        <f>$BB$75</f>
        <v>Select Equipment</v>
      </c>
      <c r="BB731" s="436" t="s">
        <v>9</v>
      </c>
      <c r="BC731" s="120"/>
      <c r="BD731" s="459" t="s">
        <v>564</v>
      </c>
      <c r="BE731" s="120"/>
      <c r="BF731" s="440"/>
      <c r="CA731" s="114" t="str">
        <f>$CB$75</f>
        <v>Select Equipment</v>
      </c>
      <c r="CB731" s="436" t="s">
        <v>9</v>
      </c>
      <c r="CC731" s="120"/>
      <c r="CD731" s="459" t="s">
        <v>564</v>
      </c>
      <c r="CE731" s="120"/>
      <c r="CF731" s="440"/>
      <c r="DA731" s="114" t="str">
        <f>$DB$75</f>
        <v>Select Equipment</v>
      </c>
      <c r="DB731" s="436" t="s">
        <v>9</v>
      </c>
      <c r="DC731" s="120"/>
      <c r="DD731" s="459" t="s">
        <v>564</v>
      </c>
      <c r="DE731" s="120"/>
      <c r="DF731" s="440"/>
      <c r="EA731" s="114" t="str">
        <f>$EB$77</f>
        <v>Select Equipment</v>
      </c>
      <c r="EB731" s="436" t="s">
        <v>9</v>
      </c>
      <c r="EC731" s="120"/>
      <c r="ED731" s="459" t="s">
        <v>564</v>
      </c>
      <c r="EE731" s="120"/>
      <c r="EF731" s="440"/>
    </row>
    <row r="732" spans="53:136">
      <c r="BA732" s="114" t="str">
        <f>$BB$76</f>
        <v>Select Equipment</v>
      </c>
      <c r="BB732" s="436"/>
      <c r="BC732" s="120"/>
      <c r="BD732" s="459"/>
      <c r="BE732" s="120"/>
      <c r="BF732" s="440"/>
      <c r="CA732" s="114" t="str">
        <f>$CB$76</f>
        <v>Select Equipment</v>
      </c>
      <c r="CB732" s="436"/>
      <c r="CC732" s="120"/>
      <c r="CD732" s="459"/>
      <c r="CE732" s="120"/>
      <c r="CF732" s="440"/>
      <c r="DA732" s="114" t="str">
        <f>$DB$76</f>
        <v>Select Equipment</v>
      </c>
      <c r="DB732" s="436"/>
      <c r="DC732" s="120"/>
      <c r="DD732" s="459"/>
      <c r="DE732" s="120"/>
      <c r="DF732" s="440"/>
      <c r="EA732" s="114" t="str">
        <f>$EB$78</f>
        <v>Select Equipment</v>
      </c>
      <c r="EB732" s="436"/>
      <c r="EC732" s="120"/>
      <c r="ED732" s="459"/>
      <c r="EE732" s="120"/>
      <c r="EF732" s="440"/>
    </row>
    <row r="733" spans="53:136">
      <c r="BA733" s="114" t="str">
        <f>$BB$77</f>
        <v>Select Equipment</v>
      </c>
      <c r="BB733" s="436" t="s">
        <v>324</v>
      </c>
      <c r="BC733" s="120"/>
      <c r="BD733" s="459" t="s">
        <v>564</v>
      </c>
      <c r="BE733" s="120"/>
      <c r="BF733" s="440" t="s">
        <v>569</v>
      </c>
      <c r="CA733" s="114" t="str">
        <f>$CB$77</f>
        <v>Select Equipment</v>
      </c>
      <c r="CB733" s="436" t="s">
        <v>324</v>
      </c>
      <c r="CC733" s="120"/>
      <c r="CD733" s="459" t="s">
        <v>564</v>
      </c>
      <c r="CE733" s="120"/>
      <c r="CF733" s="440" t="s">
        <v>569</v>
      </c>
      <c r="DA733" s="114" t="str">
        <f>$DB$77</f>
        <v>Select Equipment</v>
      </c>
      <c r="DB733" s="436" t="s">
        <v>324</v>
      </c>
      <c r="DC733" s="120"/>
      <c r="DD733" s="459" t="s">
        <v>564</v>
      </c>
      <c r="DE733" s="120"/>
      <c r="DF733" s="440" t="s">
        <v>569</v>
      </c>
      <c r="EA733" s="114" t="str">
        <f>$EB$79</f>
        <v>Select Equipment</v>
      </c>
      <c r="EB733" s="436" t="s">
        <v>324</v>
      </c>
      <c r="EC733" s="120"/>
      <c r="ED733" s="459" t="s">
        <v>564</v>
      </c>
      <c r="EE733" s="120"/>
      <c r="EF733" s="440" t="s">
        <v>569</v>
      </c>
    </row>
    <row r="734" spans="53:136">
      <c r="BA734" s="114" t="str">
        <f>$BB$78</f>
        <v>Select Equipment</v>
      </c>
      <c r="BB734" s="436"/>
      <c r="BC734" s="120"/>
      <c r="BD734" s="468"/>
      <c r="BE734" s="469"/>
      <c r="BF734" s="440"/>
      <c r="CA734" s="114" t="str">
        <f>$CB$78</f>
        <v>Select Equipment</v>
      </c>
      <c r="CB734" s="436"/>
      <c r="CC734" s="120"/>
      <c r="CD734" s="468"/>
      <c r="CE734" s="469"/>
      <c r="CF734" s="440"/>
      <c r="DA734" s="114" t="str">
        <f>$DB$78</f>
        <v>Select Equipment</v>
      </c>
      <c r="DB734" s="436"/>
      <c r="DC734" s="120"/>
      <c r="DD734" s="468"/>
      <c r="DE734" s="469"/>
      <c r="DF734" s="440"/>
      <c r="EA734" s="114" t="str">
        <f>$EB$80</f>
        <v>Select Equipment</v>
      </c>
      <c r="EB734" s="436"/>
      <c r="EC734" s="120"/>
      <c r="ED734" s="468"/>
      <c r="EE734" s="469"/>
      <c r="EF734" s="440"/>
    </row>
    <row r="735" spans="53:136">
      <c r="BA735" s="114" t="str">
        <f>$BB$79</f>
        <v>Select Equipment</v>
      </c>
      <c r="BB735" s="436" t="s">
        <v>374</v>
      </c>
      <c r="BC735" s="120"/>
      <c r="BD735" s="459" t="s">
        <v>564</v>
      </c>
      <c r="BE735" s="469"/>
      <c r="BF735" s="440" t="s">
        <v>569</v>
      </c>
      <c r="CA735" s="114" t="str">
        <f>$CB$79</f>
        <v>Select Equipment</v>
      </c>
      <c r="CB735" s="436" t="s">
        <v>374</v>
      </c>
      <c r="CC735" s="120"/>
      <c r="CD735" s="459" t="s">
        <v>564</v>
      </c>
      <c r="CE735" s="469"/>
      <c r="CF735" s="440" t="s">
        <v>569</v>
      </c>
      <c r="DA735" s="114" t="str">
        <f>$DB$79</f>
        <v>Select Equipment</v>
      </c>
      <c r="DB735" s="436" t="s">
        <v>374</v>
      </c>
      <c r="DC735" s="120"/>
      <c r="DD735" s="459" t="s">
        <v>564</v>
      </c>
      <c r="DE735" s="469"/>
      <c r="DF735" s="440" t="s">
        <v>569</v>
      </c>
      <c r="EA735" s="114" t="str">
        <f>$EB$81</f>
        <v>Select Equipment</v>
      </c>
      <c r="EB735" s="436" t="s">
        <v>374</v>
      </c>
      <c r="EC735" s="120"/>
      <c r="ED735" s="459" t="s">
        <v>564</v>
      </c>
      <c r="EE735" s="469"/>
      <c r="EF735" s="440" t="s">
        <v>569</v>
      </c>
    </row>
    <row r="736" spans="53:136">
      <c r="BA736" s="114" t="str">
        <f>$BB$80</f>
        <v>Select Equipment</v>
      </c>
      <c r="BB736" s="436"/>
      <c r="BC736" s="120"/>
      <c r="BD736" s="472"/>
      <c r="BE736" s="473"/>
      <c r="BF736" s="440"/>
      <c r="CA736" s="114" t="str">
        <f>$CB$80</f>
        <v>Select Equipment</v>
      </c>
      <c r="CB736" s="436"/>
      <c r="CC736" s="120"/>
      <c r="CD736" s="472"/>
      <c r="CE736" s="473"/>
      <c r="CF736" s="440"/>
      <c r="DA736" s="114" t="str">
        <f>$DB$80</f>
        <v>Select Equipment</v>
      </c>
      <c r="DB736" s="436"/>
      <c r="DC736" s="120"/>
      <c r="DD736" s="472"/>
      <c r="DE736" s="473"/>
      <c r="DF736" s="440"/>
      <c r="EA736" s="114" t="str">
        <f>$EB$82</f>
        <v>Select Equipment</v>
      </c>
      <c r="EB736" s="436"/>
      <c r="EC736" s="120"/>
      <c r="ED736" s="472"/>
      <c r="EE736" s="473"/>
      <c r="EF736" s="440"/>
    </row>
    <row r="737" spans="53:136">
      <c r="BA737" s="114" t="str">
        <f>$BB$81</f>
        <v>Select Equipment</v>
      </c>
      <c r="BB737" s="436" t="s">
        <v>580</v>
      </c>
      <c r="BC737" s="120"/>
      <c r="BD737" s="459" t="s">
        <v>564</v>
      </c>
      <c r="BE737" s="473"/>
      <c r="BF737" s="440" t="s">
        <v>569</v>
      </c>
      <c r="CA737" s="114" t="str">
        <f>$CB$81</f>
        <v>Select Equipment</v>
      </c>
      <c r="CB737" s="436" t="s">
        <v>580</v>
      </c>
      <c r="CC737" s="120"/>
      <c r="CD737" s="459" t="s">
        <v>564</v>
      </c>
      <c r="CE737" s="473"/>
      <c r="CF737" s="440" t="s">
        <v>569</v>
      </c>
      <c r="DA737" s="114" t="str">
        <f>$DB$81</f>
        <v>Select Equipment</v>
      </c>
      <c r="DB737" s="436" t="s">
        <v>580</v>
      </c>
      <c r="DC737" s="120"/>
      <c r="DD737" s="459" t="s">
        <v>564</v>
      </c>
      <c r="DE737" s="473"/>
      <c r="DF737" s="440" t="s">
        <v>569</v>
      </c>
      <c r="EA737" s="114" t="str">
        <f>$EB$83</f>
        <v>Select Equipment</v>
      </c>
      <c r="EB737" s="436" t="s">
        <v>580</v>
      </c>
      <c r="EC737" s="120"/>
      <c r="ED737" s="459" t="s">
        <v>564</v>
      </c>
      <c r="EE737" s="473"/>
      <c r="EF737" s="440" t="s">
        <v>569</v>
      </c>
    </row>
    <row r="738" spans="53:136">
      <c r="BA738" s="114" t="str">
        <f>$BB$82</f>
        <v>Select Equipment</v>
      </c>
      <c r="BB738" s="476"/>
      <c r="BC738" s="477"/>
      <c r="BD738" s="478"/>
      <c r="BE738" s="479"/>
      <c r="BF738" s="458"/>
      <c r="CA738" s="114" t="str">
        <f>$CB$82</f>
        <v>Select Equipment</v>
      </c>
      <c r="CB738" s="476"/>
      <c r="CC738" s="477"/>
      <c r="CD738" s="478"/>
      <c r="CE738" s="479"/>
      <c r="CF738" s="458"/>
      <c r="DA738" s="114" t="str">
        <f>$DB$82</f>
        <v>Select Equipment</v>
      </c>
      <c r="DB738" s="476"/>
      <c r="DC738" s="477"/>
      <c r="DD738" s="478"/>
      <c r="DE738" s="479"/>
      <c r="DF738" s="458"/>
      <c r="EA738" s="114" t="str">
        <f>$EB$84</f>
        <v>Select Equipment</v>
      </c>
      <c r="EB738" s="476"/>
      <c r="EC738" s="477"/>
      <c r="ED738" s="478"/>
      <c r="EE738" s="479"/>
      <c r="EF738" s="458"/>
    </row>
    <row r="739" spans="53:136">
      <c r="BA739" s="114" t="str">
        <f>$BB$83</f>
        <v>Select Equipment</v>
      </c>
      <c r="BB739" s="449" t="s">
        <v>473</v>
      </c>
      <c r="BC739" s="467" t="s">
        <v>508</v>
      </c>
      <c r="BD739" s="480"/>
      <c r="BE739" s="481" t="s">
        <v>308</v>
      </c>
      <c r="BF739" s="440"/>
      <c r="CA739" s="114" t="str">
        <f>$CB$83</f>
        <v>Select Equipment</v>
      </c>
      <c r="CB739" s="449" t="s">
        <v>473</v>
      </c>
      <c r="CC739" s="467" t="s">
        <v>508</v>
      </c>
      <c r="CD739" s="480"/>
      <c r="CE739" s="481" t="s">
        <v>308</v>
      </c>
      <c r="CF739" s="440"/>
      <c r="DA739" s="114" t="str">
        <f>$DB$83</f>
        <v>Select Equipment</v>
      </c>
      <c r="DB739" s="449" t="s">
        <v>473</v>
      </c>
      <c r="DC739" s="467" t="s">
        <v>508</v>
      </c>
      <c r="DD739" s="480"/>
      <c r="DE739" s="481" t="s">
        <v>308</v>
      </c>
      <c r="DF739" s="440"/>
      <c r="EA739" s="114" t="str">
        <f>$EB$85</f>
        <v>Select Equipment</v>
      </c>
      <c r="EB739" s="449" t="s">
        <v>473</v>
      </c>
      <c r="EC739" s="467" t="s">
        <v>508</v>
      </c>
      <c r="ED739" s="480"/>
      <c r="EE739" s="481" t="s">
        <v>308</v>
      </c>
      <c r="EF739" s="440"/>
    </row>
    <row r="740" spans="53:136">
      <c r="BB740" s="436"/>
      <c r="BC740" s="483"/>
      <c r="BD740" s="480"/>
      <c r="BE740" s="484"/>
      <c r="BF740" s="440"/>
      <c r="CB740" s="436"/>
      <c r="CC740" s="483"/>
      <c r="CD740" s="480"/>
      <c r="CE740" s="484"/>
      <c r="CF740" s="440"/>
      <c r="DB740" s="436"/>
      <c r="DC740" s="483"/>
      <c r="DD740" s="480"/>
      <c r="DE740" s="484"/>
      <c r="DF740" s="440"/>
      <c r="EB740" s="436"/>
      <c r="EC740" s="483"/>
      <c r="ED740" s="480"/>
      <c r="EE740" s="484"/>
      <c r="EF740" s="440"/>
    </row>
    <row r="741" spans="53:136">
      <c r="BB741" s="436"/>
      <c r="BC741" s="120"/>
      <c r="BD741" s="223"/>
      <c r="BE741" s="467"/>
      <c r="BF741" s="440"/>
      <c r="CB741" s="436"/>
      <c r="CC741" s="120"/>
      <c r="CD741" s="223"/>
      <c r="CE741" s="467"/>
      <c r="CF741" s="440"/>
      <c r="DB741" s="436"/>
      <c r="DC741" s="120"/>
      <c r="DD741" s="223"/>
      <c r="DE741" s="467"/>
      <c r="DF741" s="440"/>
      <c r="EB741" s="436"/>
      <c r="EC741" s="120"/>
      <c r="ED741" s="223"/>
      <c r="EE741" s="467"/>
      <c r="EF741" s="440"/>
    </row>
    <row r="742" spans="53:136">
      <c r="BB742" s="436"/>
      <c r="BC742" s="120"/>
      <c r="BD742" s="466"/>
      <c r="BE742" s="467"/>
      <c r="BF742" s="440"/>
      <c r="CB742" s="436"/>
      <c r="CC742" s="120"/>
      <c r="CD742" s="466"/>
      <c r="CE742" s="467"/>
      <c r="CF742" s="440"/>
      <c r="DB742" s="436"/>
      <c r="DC742" s="120"/>
      <c r="DD742" s="466"/>
      <c r="DE742" s="467"/>
      <c r="DF742" s="440"/>
      <c r="EB742" s="436"/>
      <c r="EC742" s="120"/>
      <c r="ED742" s="466"/>
      <c r="EE742" s="467"/>
      <c r="EF742" s="440"/>
    </row>
    <row r="743" spans="53:136">
      <c r="BB743" s="436"/>
      <c r="BC743" s="120"/>
      <c r="BD743" s="223"/>
      <c r="BE743" s="467"/>
      <c r="BF743" s="440"/>
      <c r="CB743" s="436"/>
      <c r="CC743" s="120"/>
      <c r="CD743" s="223"/>
      <c r="CE743" s="467"/>
      <c r="CF743" s="440"/>
      <c r="DB743" s="436"/>
      <c r="DC743" s="120"/>
      <c r="DD743" s="223"/>
      <c r="DE743" s="467"/>
      <c r="DF743" s="440"/>
      <c r="EB743" s="436"/>
      <c r="EC743" s="120"/>
      <c r="ED743" s="223"/>
      <c r="EE743" s="467"/>
      <c r="EF743" s="440"/>
    </row>
    <row r="744" spans="53:136">
      <c r="BB744" s="436"/>
      <c r="BC744" s="120"/>
      <c r="BD744" s="223"/>
      <c r="BE744" s="467"/>
      <c r="BF744" s="440"/>
      <c r="CB744" s="436"/>
      <c r="CC744" s="120"/>
      <c r="CD744" s="223"/>
      <c r="CE744" s="467"/>
      <c r="CF744" s="440"/>
      <c r="DB744" s="436"/>
      <c r="DC744" s="120"/>
      <c r="DD744" s="223"/>
      <c r="DE744" s="467"/>
      <c r="DF744" s="440"/>
      <c r="EB744" s="436"/>
      <c r="EC744" s="120"/>
      <c r="ED744" s="223"/>
      <c r="EE744" s="467"/>
      <c r="EF744" s="440"/>
    </row>
    <row r="745" spans="53:136">
      <c r="BB745" s="436"/>
      <c r="BC745" s="120"/>
      <c r="BD745" s="471"/>
      <c r="BE745" s="467"/>
      <c r="BF745" s="440"/>
      <c r="CB745" s="436"/>
      <c r="CC745" s="120"/>
      <c r="CD745" s="471"/>
      <c r="CE745" s="467"/>
      <c r="CF745" s="440"/>
      <c r="DB745" s="436"/>
      <c r="DC745" s="120"/>
      <c r="DD745" s="471"/>
      <c r="DE745" s="467"/>
      <c r="DF745" s="440"/>
      <c r="EB745" s="436"/>
      <c r="EC745" s="120"/>
      <c r="ED745" s="471"/>
      <c r="EE745" s="467"/>
      <c r="EF745" s="440"/>
    </row>
    <row r="746" spans="53:136">
      <c r="BB746" s="436"/>
      <c r="BC746" s="120"/>
      <c r="BD746" s="223"/>
      <c r="BE746" s="467"/>
      <c r="BF746" s="440"/>
      <c r="CB746" s="436"/>
      <c r="CC746" s="120"/>
      <c r="CD746" s="223"/>
      <c r="CE746" s="467"/>
      <c r="CF746" s="440"/>
      <c r="DB746" s="436"/>
      <c r="DC746" s="120"/>
      <c r="DD746" s="223"/>
      <c r="DE746" s="467"/>
      <c r="DF746" s="440"/>
      <c r="EB746" s="436"/>
      <c r="EC746" s="120"/>
      <c r="ED746" s="223"/>
      <c r="EE746" s="467"/>
      <c r="EF746" s="440"/>
    </row>
    <row r="747" spans="53:136">
      <c r="BB747" s="436"/>
      <c r="BC747" s="120"/>
      <c r="BD747" s="475"/>
      <c r="BE747" s="467"/>
      <c r="BF747" s="440"/>
      <c r="CB747" s="436"/>
      <c r="CC747" s="120"/>
      <c r="CD747" s="475"/>
      <c r="CE747" s="467"/>
      <c r="CF747" s="440"/>
      <c r="DB747" s="436"/>
      <c r="DC747" s="120"/>
      <c r="DD747" s="475"/>
      <c r="DE747" s="467"/>
      <c r="DF747" s="440"/>
      <c r="EB747" s="436"/>
      <c r="EC747" s="120"/>
      <c r="ED747" s="475"/>
      <c r="EE747" s="467"/>
      <c r="EF747" s="440"/>
    </row>
    <row r="748" spans="53:136">
      <c r="BB748" s="436"/>
      <c r="BC748" s="120"/>
      <c r="BD748" s="223"/>
      <c r="BE748" s="467"/>
      <c r="BF748" s="440"/>
      <c r="CB748" s="436"/>
      <c r="CC748" s="120"/>
      <c r="CD748" s="223"/>
      <c r="CE748" s="467"/>
      <c r="CF748" s="440"/>
      <c r="DB748" s="436"/>
      <c r="DC748" s="120"/>
      <c r="DD748" s="223"/>
      <c r="DE748" s="467"/>
      <c r="DF748" s="440"/>
      <c r="EB748" s="436"/>
      <c r="EC748" s="120"/>
      <c r="ED748" s="223"/>
      <c r="EE748" s="467"/>
      <c r="EF748" s="440"/>
    </row>
    <row r="749" spans="53:136">
      <c r="BB749" s="436"/>
      <c r="BC749" s="120"/>
      <c r="BD749" s="223"/>
      <c r="BE749" s="467"/>
      <c r="BF749" s="440"/>
      <c r="CB749" s="436"/>
      <c r="CC749" s="120"/>
      <c r="CD749" s="223"/>
      <c r="CE749" s="467"/>
      <c r="CF749" s="440"/>
      <c r="DB749" s="436"/>
      <c r="DC749" s="120"/>
      <c r="DD749" s="223"/>
      <c r="DE749" s="467"/>
      <c r="DF749" s="440"/>
      <c r="EB749" s="436"/>
      <c r="EC749" s="120"/>
      <c r="ED749" s="223"/>
      <c r="EE749" s="467"/>
      <c r="EF749" s="440"/>
    </row>
    <row r="750" spans="53:136">
      <c r="BB750" s="436"/>
      <c r="BC750" s="120"/>
      <c r="BD750" s="223"/>
      <c r="BE750" s="467"/>
      <c r="BF750" s="440"/>
      <c r="CB750" s="436"/>
      <c r="CC750" s="120"/>
      <c r="CD750" s="223"/>
      <c r="CE750" s="467"/>
      <c r="CF750" s="440"/>
      <c r="DB750" s="436"/>
      <c r="DC750" s="120"/>
      <c r="DD750" s="223"/>
      <c r="DE750" s="467"/>
      <c r="DF750" s="440"/>
      <c r="EB750" s="436"/>
      <c r="EC750" s="120"/>
      <c r="ED750" s="223"/>
      <c r="EE750" s="467"/>
      <c r="EF750" s="440"/>
    </row>
    <row r="751" spans="53:136">
      <c r="BB751" s="436"/>
      <c r="BC751" s="120"/>
      <c r="BD751" s="223"/>
      <c r="BE751" s="467"/>
      <c r="BF751" s="440"/>
      <c r="CB751" s="436"/>
      <c r="CC751" s="120"/>
      <c r="CD751" s="223"/>
      <c r="CE751" s="467"/>
      <c r="CF751" s="440"/>
      <c r="DB751" s="436"/>
      <c r="DC751" s="120"/>
      <c r="DD751" s="223"/>
      <c r="DE751" s="467"/>
      <c r="DF751" s="440"/>
      <c r="EB751" s="436"/>
      <c r="EC751" s="120"/>
      <c r="ED751" s="223"/>
      <c r="EE751" s="467"/>
      <c r="EF751" s="440"/>
    </row>
    <row r="752" spans="53:136">
      <c r="BB752" s="436"/>
      <c r="BC752" s="120"/>
      <c r="BD752" s="120"/>
      <c r="BE752" s="467"/>
      <c r="BF752" s="440"/>
      <c r="CB752" s="436"/>
      <c r="CC752" s="120"/>
      <c r="CD752" s="120"/>
      <c r="CE752" s="467"/>
      <c r="CF752" s="440"/>
      <c r="DB752" s="436"/>
      <c r="DC752" s="120"/>
      <c r="DD752" s="120"/>
      <c r="DE752" s="467"/>
      <c r="DF752" s="440"/>
      <c r="EB752" s="436"/>
      <c r="EC752" s="120"/>
      <c r="ED752" s="120"/>
      <c r="EE752" s="467"/>
      <c r="EF752" s="440"/>
    </row>
    <row r="753" spans="54:136">
      <c r="BB753" s="456"/>
      <c r="BC753" s="457"/>
      <c r="BD753" s="457"/>
      <c r="BE753" s="477"/>
      <c r="BF753" s="458"/>
      <c r="CB753" s="456"/>
      <c r="CC753" s="457"/>
      <c r="CD753" s="457"/>
      <c r="CE753" s="477"/>
      <c r="CF753" s="458"/>
      <c r="DB753" s="456"/>
      <c r="DC753" s="457"/>
      <c r="DD753" s="457"/>
      <c r="DE753" s="477"/>
      <c r="DF753" s="458"/>
      <c r="EB753" s="456"/>
      <c r="EC753" s="457"/>
      <c r="ED753" s="457"/>
      <c r="EE753" s="477"/>
      <c r="EF753" s="458"/>
    </row>
    <row r="754" spans="54:136">
      <c r="BB754" s="449" t="s">
        <v>474</v>
      </c>
      <c r="BC754" s="120"/>
      <c r="BD754" s="120" t="s">
        <v>1</v>
      </c>
      <c r="BE754" s="310" t="s">
        <v>307</v>
      </c>
      <c r="BF754" s="440"/>
      <c r="CB754" s="449" t="s">
        <v>474</v>
      </c>
      <c r="CC754" s="120"/>
      <c r="CD754" s="120" t="s">
        <v>1</v>
      </c>
      <c r="CE754" s="310" t="s">
        <v>307</v>
      </c>
      <c r="CF754" s="440"/>
      <c r="DB754" s="449" t="s">
        <v>474</v>
      </c>
      <c r="DC754" s="120"/>
      <c r="DD754" s="120" t="s">
        <v>1</v>
      </c>
      <c r="DE754" s="310" t="s">
        <v>307</v>
      </c>
      <c r="DF754" s="440"/>
      <c r="EB754" s="449" t="s">
        <v>474</v>
      </c>
      <c r="EC754" s="120"/>
      <c r="ED754" s="120" t="s">
        <v>1</v>
      </c>
      <c r="EE754" s="310" t="s">
        <v>307</v>
      </c>
      <c r="EF754" s="440"/>
    </row>
    <row r="755" spans="54:136">
      <c r="BB755" s="436"/>
      <c r="BC755" s="223"/>
      <c r="BD755" s="480"/>
      <c r="BE755" s="484"/>
      <c r="BF755" s="440"/>
      <c r="CB755" s="436"/>
      <c r="CC755" s="223"/>
      <c r="CD755" s="480"/>
      <c r="CE755" s="484"/>
      <c r="CF755" s="440"/>
      <c r="DB755" s="436"/>
      <c r="DC755" s="223"/>
      <c r="DD755" s="480"/>
      <c r="DE755" s="484"/>
      <c r="DF755" s="440"/>
      <c r="EB755" s="436"/>
      <c r="EC755" s="223"/>
      <c r="ED755" s="480"/>
      <c r="EE755" s="484"/>
      <c r="EF755" s="440"/>
    </row>
    <row r="756" spans="54:136">
      <c r="BB756" s="436"/>
      <c r="BC756" s="120"/>
      <c r="BD756" s="120"/>
      <c r="BE756" s="467"/>
      <c r="BF756" s="440"/>
      <c r="CB756" s="436"/>
      <c r="CC756" s="120"/>
      <c r="CD756" s="120"/>
      <c r="CE756" s="467"/>
      <c r="CF756" s="440"/>
      <c r="DB756" s="436"/>
      <c r="DC756" s="120"/>
      <c r="DD756" s="120"/>
      <c r="DE756" s="467"/>
      <c r="DF756" s="440"/>
      <c r="EB756" s="436"/>
      <c r="EC756" s="120"/>
      <c r="ED756" s="120"/>
      <c r="EE756" s="467"/>
      <c r="EF756" s="440"/>
    </row>
    <row r="757" spans="54:136">
      <c r="BB757" s="436"/>
      <c r="BC757" s="120"/>
      <c r="BD757" s="120"/>
      <c r="BE757" s="467"/>
      <c r="BF757" s="440"/>
      <c r="CB757" s="436"/>
      <c r="CC757" s="120"/>
      <c r="CD757" s="120"/>
      <c r="CE757" s="467"/>
      <c r="CF757" s="440"/>
      <c r="DB757" s="436"/>
      <c r="DC757" s="120"/>
      <c r="DD757" s="120"/>
      <c r="DE757" s="467"/>
      <c r="DF757" s="440"/>
      <c r="EB757" s="436"/>
      <c r="EC757" s="120"/>
      <c r="ED757" s="120"/>
      <c r="EE757" s="467"/>
      <c r="EF757" s="440"/>
    </row>
    <row r="758" spans="54:136">
      <c r="BB758" s="436"/>
      <c r="BC758" s="120"/>
      <c r="BD758" s="120"/>
      <c r="BE758" s="467"/>
      <c r="BF758" s="440"/>
      <c r="CB758" s="436"/>
      <c r="CC758" s="120"/>
      <c r="CD758" s="120"/>
      <c r="CE758" s="467"/>
      <c r="CF758" s="440"/>
      <c r="DB758" s="436"/>
      <c r="DC758" s="120"/>
      <c r="DD758" s="120"/>
      <c r="DE758" s="467"/>
      <c r="DF758" s="440"/>
      <c r="EB758" s="436"/>
      <c r="EC758" s="120"/>
      <c r="ED758" s="120"/>
      <c r="EE758" s="467"/>
      <c r="EF758" s="440"/>
    </row>
    <row r="759" spans="54:136">
      <c r="BB759" s="436"/>
      <c r="BC759" s="120"/>
      <c r="BD759" s="120"/>
      <c r="BE759" s="467"/>
      <c r="BF759" s="440"/>
      <c r="CB759" s="436"/>
      <c r="CC759" s="120"/>
      <c r="CD759" s="120"/>
      <c r="CE759" s="467"/>
      <c r="CF759" s="440"/>
      <c r="DB759" s="436"/>
      <c r="DC759" s="120"/>
      <c r="DD759" s="120"/>
      <c r="DE759" s="467"/>
      <c r="DF759" s="440"/>
      <c r="EB759" s="436"/>
      <c r="EC759" s="120"/>
      <c r="ED759" s="120"/>
      <c r="EE759" s="467"/>
      <c r="EF759" s="440"/>
    </row>
    <row r="760" spans="54:136">
      <c r="BB760" s="436"/>
      <c r="BC760" s="120"/>
      <c r="BD760" s="120"/>
      <c r="BE760" s="467"/>
      <c r="BF760" s="440"/>
      <c r="CB760" s="436"/>
      <c r="CC760" s="120"/>
      <c r="CD760" s="120"/>
      <c r="CE760" s="467"/>
      <c r="CF760" s="440"/>
      <c r="DB760" s="436"/>
      <c r="DC760" s="120"/>
      <c r="DD760" s="120"/>
      <c r="DE760" s="467"/>
      <c r="DF760" s="440"/>
      <c r="EB760" s="436"/>
      <c r="EC760" s="120"/>
      <c r="ED760" s="120"/>
      <c r="EE760" s="467"/>
      <c r="EF760" s="440"/>
    </row>
    <row r="761" spans="54:136">
      <c r="BB761" s="436"/>
      <c r="BC761" s="120"/>
      <c r="BD761" s="120"/>
      <c r="BE761" s="467"/>
      <c r="BF761" s="440"/>
      <c r="CB761" s="436"/>
      <c r="CC761" s="120"/>
      <c r="CD761" s="120"/>
      <c r="CE761" s="467"/>
      <c r="CF761" s="440"/>
      <c r="DB761" s="436"/>
      <c r="DC761" s="120"/>
      <c r="DD761" s="120"/>
      <c r="DE761" s="467"/>
      <c r="DF761" s="440"/>
      <c r="EB761" s="436"/>
      <c r="EC761" s="120"/>
      <c r="ED761" s="120"/>
      <c r="EE761" s="467"/>
      <c r="EF761" s="440"/>
    </row>
    <row r="762" spans="54:136">
      <c r="BB762" s="436"/>
      <c r="BC762" s="120"/>
      <c r="BD762" s="120"/>
      <c r="BE762" s="467"/>
      <c r="BF762" s="440"/>
      <c r="CB762" s="436"/>
      <c r="CC762" s="120"/>
      <c r="CD762" s="120"/>
      <c r="CE762" s="467"/>
      <c r="CF762" s="440"/>
      <c r="DB762" s="436"/>
      <c r="DC762" s="120"/>
      <c r="DD762" s="120"/>
      <c r="DE762" s="467"/>
      <c r="DF762" s="440"/>
      <c r="EB762" s="436"/>
      <c r="EC762" s="120"/>
      <c r="ED762" s="120"/>
      <c r="EE762" s="467"/>
      <c r="EF762" s="440"/>
    </row>
    <row r="763" spans="54:136">
      <c r="BB763" s="436"/>
      <c r="BC763" s="120"/>
      <c r="BD763" s="120"/>
      <c r="BE763" s="467"/>
      <c r="BF763" s="440"/>
      <c r="CB763" s="436"/>
      <c r="CC763" s="120"/>
      <c r="CD763" s="120"/>
      <c r="CE763" s="467"/>
      <c r="CF763" s="440"/>
      <c r="DB763" s="436"/>
      <c r="DC763" s="120"/>
      <c r="DD763" s="120"/>
      <c r="DE763" s="467"/>
      <c r="DF763" s="440"/>
      <c r="EB763" s="436"/>
      <c r="EC763" s="120"/>
      <c r="ED763" s="120"/>
      <c r="EE763" s="467"/>
      <c r="EF763" s="440"/>
    </row>
    <row r="764" spans="54:136">
      <c r="BB764" s="436"/>
      <c r="BC764" s="120"/>
      <c r="BD764" s="120"/>
      <c r="BE764" s="467"/>
      <c r="BF764" s="440"/>
      <c r="CB764" s="436"/>
      <c r="CC764" s="120"/>
      <c r="CD764" s="120"/>
      <c r="CE764" s="467"/>
      <c r="CF764" s="440"/>
      <c r="DB764" s="436"/>
      <c r="DC764" s="120"/>
      <c r="DD764" s="120"/>
      <c r="DE764" s="467"/>
      <c r="DF764" s="440"/>
      <c r="EB764" s="436"/>
      <c r="EC764" s="120"/>
      <c r="ED764" s="120"/>
      <c r="EE764" s="467"/>
      <c r="EF764" s="440"/>
    </row>
    <row r="765" spans="54:136">
      <c r="BB765" s="436"/>
      <c r="BC765" s="120"/>
      <c r="BD765" s="120"/>
      <c r="BE765" s="467"/>
      <c r="BF765" s="440"/>
      <c r="CB765" s="436"/>
      <c r="CC765" s="120"/>
      <c r="CD765" s="120"/>
      <c r="CE765" s="467"/>
      <c r="CF765" s="440"/>
      <c r="DB765" s="436"/>
      <c r="DC765" s="120"/>
      <c r="DD765" s="120"/>
      <c r="DE765" s="467"/>
      <c r="DF765" s="440"/>
      <c r="EB765" s="436"/>
      <c r="EC765" s="120"/>
      <c r="ED765" s="120"/>
      <c r="EE765" s="467"/>
      <c r="EF765" s="440"/>
    </row>
    <row r="766" spans="54:136">
      <c r="BB766" s="436"/>
      <c r="BC766" s="120"/>
      <c r="BD766" s="120"/>
      <c r="BE766" s="467"/>
      <c r="BF766" s="440"/>
      <c r="CB766" s="436"/>
      <c r="CC766" s="120"/>
      <c r="CD766" s="120"/>
      <c r="CE766" s="467"/>
      <c r="CF766" s="440"/>
      <c r="DB766" s="436"/>
      <c r="DC766" s="120"/>
      <c r="DD766" s="120"/>
      <c r="DE766" s="467"/>
      <c r="DF766" s="440"/>
      <c r="EB766" s="436"/>
      <c r="EC766" s="120"/>
      <c r="ED766" s="120"/>
      <c r="EE766" s="467"/>
      <c r="EF766" s="440"/>
    </row>
    <row r="767" spans="54:136">
      <c r="BB767" s="456"/>
      <c r="BC767" s="457"/>
      <c r="BD767" s="457"/>
      <c r="BE767" s="477"/>
      <c r="BF767" s="458"/>
      <c r="CB767" s="456"/>
      <c r="CC767" s="457"/>
      <c r="CD767" s="457"/>
      <c r="CE767" s="477"/>
      <c r="CF767" s="458"/>
      <c r="DB767" s="456"/>
      <c r="DC767" s="457"/>
      <c r="DD767" s="457"/>
      <c r="DE767" s="477"/>
      <c r="DF767" s="458"/>
      <c r="EB767" s="456"/>
      <c r="EC767" s="457"/>
      <c r="ED767" s="457"/>
      <c r="EE767" s="477"/>
      <c r="EF767" s="458"/>
    </row>
    <row r="768" spans="54:136">
      <c r="BB768" s="456"/>
      <c r="BC768" s="457"/>
      <c r="BD768" s="457"/>
      <c r="BE768" s="457"/>
      <c r="BF768" s="458"/>
      <c r="CB768" s="456"/>
      <c r="CC768" s="457"/>
      <c r="CD768" s="457"/>
      <c r="CE768" s="457"/>
      <c r="CF768" s="458"/>
      <c r="DB768" s="456"/>
      <c r="DC768" s="457"/>
      <c r="DD768" s="457"/>
      <c r="DE768" s="457"/>
      <c r="DF768" s="458"/>
      <c r="EB768" s="456"/>
      <c r="EC768" s="457"/>
      <c r="ED768" s="457"/>
      <c r="EE768" s="457"/>
      <c r="EF768" s="458"/>
    </row>
    <row r="769" spans="54:136">
      <c r="BB769" s="449" t="s">
        <v>475</v>
      </c>
      <c r="BC769" s="120"/>
      <c r="BD769" s="120"/>
      <c r="BE769" s="120"/>
      <c r="BF769" s="440"/>
      <c r="CB769" s="449" t="s">
        <v>475</v>
      </c>
      <c r="CC769" s="120"/>
      <c r="CD769" s="120"/>
      <c r="CE769" s="120"/>
      <c r="CF769" s="440"/>
      <c r="DB769" s="449" t="s">
        <v>475</v>
      </c>
      <c r="DC769" s="120"/>
      <c r="DD769" s="120"/>
      <c r="DE769" s="120"/>
      <c r="DF769" s="440"/>
      <c r="EB769" s="449" t="s">
        <v>475</v>
      </c>
      <c r="EC769" s="120"/>
      <c r="ED769" s="120"/>
      <c r="EE769" s="120"/>
      <c r="EF769" s="440"/>
    </row>
    <row r="770" spans="54:136">
      <c r="BB770" s="436" t="s">
        <v>509</v>
      </c>
      <c r="BC770" s="120"/>
      <c r="BD770" s="120"/>
      <c r="BE770" s="120"/>
      <c r="BF770" s="440"/>
      <c r="CB770" s="436" t="s">
        <v>509</v>
      </c>
      <c r="CC770" s="120"/>
      <c r="CD770" s="120"/>
      <c r="CE770" s="120"/>
      <c r="CF770" s="440"/>
      <c r="DB770" s="436" t="s">
        <v>509</v>
      </c>
      <c r="DC770" s="120"/>
      <c r="DD770" s="120"/>
      <c r="DE770" s="120"/>
      <c r="DF770" s="440"/>
      <c r="EB770" s="436" t="s">
        <v>509</v>
      </c>
      <c r="EC770" s="120"/>
      <c r="ED770" s="120"/>
      <c r="EE770" s="120"/>
      <c r="EF770" s="440"/>
    </row>
    <row r="771" spans="54:136">
      <c r="BB771" s="436" t="s">
        <v>510</v>
      </c>
      <c r="BC771" s="120"/>
      <c r="BD771" s="120"/>
      <c r="BE771" s="120"/>
      <c r="BF771" s="440"/>
      <c r="CB771" s="436" t="s">
        <v>510</v>
      </c>
      <c r="CC771" s="120"/>
      <c r="CD771" s="120"/>
      <c r="CE771" s="120"/>
      <c r="CF771" s="440"/>
      <c r="DB771" s="436" t="s">
        <v>510</v>
      </c>
      <c r="DC771" s="120"/>
      <c r="DD771" s="120"/>
      <c r="DE771" s="120"/>
      <c r="DF771" s="440"/>
      <c r="EB771" s="436" t="s">
        <v>510</v>
      </c>
      <c r="EC771" s="120"/>
      <c r="ED771" s="120"/>
      <c r="EE771" s="120"/>
      <c r="EF771" s="440"/>
    </row>
    <row r="772" spans="54:136">
      <c r="BB772" s="436"/>
      <c r="BC772" s="120"/>
      <c r="BD772" s="120"/>
      <c r="BE772" s="120"/>
      <c r="BF772" s="440"/>
      <c r="CB772" s="436"/>
      <c r="CC772" s="120"/>
      <c r="CD772" s="120"/>
      <c r="CE772" s="120"/>
      <c r="CF772" s="440"/>
      <c r="DB772" s="436"/>
      <c r="DC772" s="120"/>
      <c r="DD772" s="120"/>
      <c r="DE772" s="120"/>
      <c r="DF772" s="440"/>
      <c r="EB772" s="436"/>
      <c r="EC772" s="120"/>
      <c r="ED772" s="120"/>
      <c r="EE772" s="120"/>
      <c r="EF772" s="440"/>
    </row>
    <row r="773" spans="54:136">
      <c r="BB773" s="436"/>
      <c r="BC773" s="120"/>
      <c r="BD773" s="120"/>
      <c r="BE773" s="120"/>
      <c r="BF773" s="440"/>
      <c r="CB773" s="436"/>
      <c r="CC773" s="120"/>
      <c r="CD773" s="120"/>
      <c r="CE773" s="120"/>
      <c r="CF773" s="440"/>
      <c r="DB773" s="436"/>
      <c r="DC773" s="120"/>
      <c r="DD773" s="120"/>
      <c r="DE773" s="120"/>
      <c r="DF773" s="440"/>
      <c r="EB773" s="436"/>
      <c r="EC773" s="120"/>
      <c r="ED773" s="120"/>
      <c r="EE773" s="120"/>
      <c r="EF773" s="440"/>
    </row>
    <row r="774" spans="54:136">
      <c r="BB774" s="436"/>
      <c r="BC774" s="120"/>
      <c r="BD774" s="120"/>
      <c r="BE774" s="120"/>
      <c r="BF774" s="440"/>
      <c r="CB774" s="436"/>
      <c r="CC774" s="120"/>
      <c r="CD774" s="120"/>
      <c r="CE774" s="120"/>
      <c r="CF774" s="440"/>
      <c r="DB774" s="436"/>
      <c r="DC774" s="120"/>
      <c r="DD774" s="120"/>
      <c r="DE774" s="120"/>
      <c r="DF774" s="440"/>
      <c r="EB774" s="436"/>
      <c r="EC774" s="120"/>
      <c r="ED774" s="120"/>
      <c r="EE774" s="120"/>
      <c r="EF774" s="440"/>
    </row>
    <row r="775" spans="54:136">
      <c r="BB775" s="436"/>
      <c r="BC775" s="120"/>
      <c r="BD775" s="120"/>
      <c r="BE775" s="120"/>
      <c r="BF775" s="440"/>
      <c r="CB775" s="436"/>
      <c r="CC775" s="120"/>
      <c r="CD775" s="120"/>
      <c r="CE775" s="120"/>
      <c r="CF775" s="440"/>
      <c r="DB775" s="436"/>
      <c r="DC775" s="120"/>
      <c r="DD775" s="120"/>
      <c r="DE775" s="120"/>
      <c r="DF775" s="440"/>
      <c r="EB775" s="436"/>
      <c r="EC775" s="120"/>
      <c r="ED775" s="120"/>
      <c r="EE775" s="120"/>
      <c r="EF775" s="440"/>
    </row>
    <row r="776" spans="54:136">
      <c r="BB776" s="436" t="s">
        <v>511</v>
      </c>
      <c r="BC776" s="120">
        <v>0</v>
      </c>
      <c r="BD776" s="120" t="s">
        <v>512</v>
      </c>
      <c r="BE776" s="120"/>
      <c r="BF776" s="440"/>
      <c r="CB776" s="436" t="s">
        <v>511</v>
      </c>
      <c r="CC776" s="120">
        <v>0</v>
      </c>
      <c r="CD776" s="120" t="s">
        <v>512</v>
      </c>
      <c r="CE776" s="120"/>
      <c r="CF776" s="440"/>
      <c r="DB776" s="436" t="s">
        <v>511</v>
      </c>
      <c r="DC776" s="120">
        <v>0</v>
      </c>
      <c r="DD776" s="120" t="s">
        <v>512</v>
      </c>
      <c r="DE776" s="120"/>
      <c r="DF776" s="440"/>
      <c r="EB776" s="436" t="s">
        <v>511</v>
      </c>
      <c r="EC776" s="120">
        <v>0</v>
      </c>
      <c r="ED776" s="120" t="s">
        <v>512</v>
      </c>
      <c r="EE776" s="120"/>
      <c r="EF776" s="440"/>
    </row>
    <row r="777" spans="54:136">
      <c r="BB777" s="436" t="s">
        <v>513</v>
      </c>
      <c r="BC777" s="120">
        <v>0</v>
      </c>
      <c r="BD777" s="120" t="s">
        <v>512</v>
      </c>
      <c r="BE777" s="120"/>
      <c r="BF777" s="440"/>
      <c r="CB777" s="436" t="s">
        <v>513</v>
      </c>
      <c r="CC777" s="120">
        <v>0</v>
      </c>
      <c r="CD777" s="120" t="s">
        <v>512</v>
      </c>
      <c r="CE777" s="120"/>
      <c r="CF777" s="440"/>
      <c r="DB777" s="436" t="s">
        <v>513</v>
      </c>
      <c r="DC777" s="120">
        <v>0</v>
      </c>
      <c r="DD777" s="120" t="s">
        <v>512</v>
      </c>
      <c r="DE777" s="120"/>
      <c r="DF777" s="440"/>
      <c r="EB777" s="436" t="s">
        <v>513</v>
      </c>
      <c r="EC777" s="120">
        <v>0</v>
      </c>
      <c r="ED777" s="120" t="s">
        <v>512</v>
      </c>
      <c r="EE777" s="120"/>
      <c r="EF777" s="440"/>
    </row>
    <row r="778" spans="54:136">
      <c r="BB778" s="456"/>
      <c r="BC778" s="457"/>
      <c r="BD778" s="457"/>
      <c r="BE778" s="457"/>
      <c r="BF778" s="458"/>
      <c r="CB778" s="456"/>
      <c r="CC778" s="457"/>
      <c r="CD778" s="457"/>
      <c r="CE778" s="457"/>
      <c r="CF778" s="458"/>
      <c r="DB778" s="456"/>
      <c r="DC778" s="457"/>
      <c r="DD778" s="457"/>
      <c r="DE778" s="457"/>
      <c r="DF778" s="458"/>
      <c r="EB778" s="456"/>
      <c r="EC778" s="457"/>
      <c r="ED778" s="457"/>
      <c r="EE778" s="457"/>
      <c r="EF778" s="458"/>
    </row>
    <row r="779" spans="54:136">
      <c r="BB779" s="449" t="s">
        <v>461</v>
      </c>
      <c r="BC779" s="120"/>
      <c r="BD779" s="120"/>
      <c r="BE779" s="120"/>
      <c r="BF779" s="440"/>
      <c r="CB779" s="449" t="s">
        <v>461</v>
      </c>
      <c r="CC779" s="120"/>
      <c r="CD779" s="120"/>
      <c r="CE779" s="120"/>
      <c r="CF779" s="440"/>
      <c r="DB779" s="449" t="s">
        <v>461</v>
      </c>
      <c r="DC779" s="120"/>
      <c r="DD779" s="120"/>
      <c r="DE779" s="120"/>
      <c r="DF779" s="440"/>
      <c r="EB779" s="449" t="s">
        <v>461</v>
      </c>
      <c r="EC779" s="120"/>
      <c r="ED779" s="120"/>
      <c r="EE779" s="120"/>
      <c r="EF779" s="440"/>
    </row>
    <row r="780" spans="54:136">
      <c r="BB780" s="436" t="s">
        <v>514</v>
      </c>
      <c r="BC780" s="120">
        <f>VLOOKUP(BB708,'Unit Ops'!$B$140:$K$209,10,FALSE)</f>
        <v>24</v>
      </c>
      <c r="BD780" s="120" t="s">
        <v>515</v>
      </c>
      <c r="BE780" s="120"/>
      <c r="BF780" s="440"/>
      <c r="CB780" s="436" t="s">
        <v>514</v>
      </c>
      <c r="CC780" s="120">
        <f>VLOOKUP(CB708,'Unit Ops'!$B$140:$K$209,10,FALSE)</f>
        <v>6</v>
      </c>
      <c r="CD780" s="120" t="s">
        <v>515</v>
      </c>
      <c r="CE780" s="120"/>
      <c r="CF780" s="440"/>
      <c r="DB780" s="436" t="s">
        <v>514</v>
      </c>
      <c r="DC780" s="120">
        <f>VLOOKUP(DB708,'Unit Ops'!$B$140:$K$209,10,FALSE)</f>
        <v>6</v>
      </c>
      <c r="DD780" s="120" t="s">
        <v>515</v>
      </c>
      <c r="DE780" s="120"/>
      <c r="DF780" s="440"/>
      <c r="EB780" s="436" t="s">
        <v>514</v>
      </c>
      <c r="EC780" s="120">
        <f>VLOOKUP(EB708,'Unit Ops'!$B$140:$K$209,10,FALSE)</f>
        <v>6</v>
      </c>
      <c r="ED780" s="120" t="s">
        <v>515</v>
      </c>
      <c r="EE780" s="120"/>
      <c r="EF780" s="440"/>
    </row>
    <row r="781" spans="54:136">
      <c r="BB781" s="436" t="s">
        <v>516</v>
      </c>
      <c r="BC781" s="120">
        <v>0</v>
      </c>
      <c r="BD781" s="120" t="s">
        <v>515</v>
      </c>
      <c r="BE781" s="120"/>
      <c r="BF781" s="440"/>
      <c r="CB781" s="436" t="s">
        <v>516</v>
      </c>
      <c r="CC781" s="120">
        <v>0</v>
      </c>
      <c r="CD781" s="120" t="s">
        <v>515</v>
      </c>
      <c r="CE781" s="120"/>
      <c r="CF781" s="440"/>
      <c r="DB781" s="436" t="s">
        <v>516</v>
      </c>
      <c r="DC781" s="120">
        <v>0</v>
      </c>
      <c r="DD781" s="120" t="s">
        <v>515</v>
      </c>
      <c r="DE781" s="120"/>
      <c r="DF781" s="440"/>
      <c r="EB781" s="436" t="s">
        <v>516</v>
      </c>
      <c r="EC781" s="120">
        <v>0</v>
      </c>
      <c r="ED781" s="120" t="s">
        <v>515</v>
      </c>
      <c r="EE781" s="120"/>
      <c r="EF781" s="440"/>
    </row>
    <row r="782" spans="54:136">
      <c r="BB782" s="436"/>
      <c r="BC782" s="120"/>
      <c r="BD782" s="120"/>
      <c r="BE782" s="120"/>
      <c r="BF782" s="440"/>
      <c r="CB782" s="436"/>
      <c r="CC782" s="120"/>
      <c r="CD782" s="120"/>
      <c r="CE782" s="120"/>
      <c r="CF782" s="440"/>
      <c r="DB782" s="436"/>
      <c r="DC782" s="120"/>
      <c r="DD782" s="120"/>
      <c r="DE782" s="120"/>
      <c r="DF782" s="440"/>
      <c r="EB782" s="436"/>
      <c r="EC782" s="120"/>
      <c r="ED782" s="120"/>
      <c r="EE782" s="120"/>
      <c r="EF782" s="440"/>
    </row>
    <row r="783" spans="54:136">
      <c r="BB783" s="436"/>
      <c r="BC783" s="120"/>
      <c r="BD783" s="120"/>
      <c r="BE783" s="120"/>
      <c r="BF783" s="440"/>
      <c r="CB783" s="436"/>
      <c r="CC783" s="120"/>
      <c r="CD783" s="120"/>
      <c r="CE783" s="120"/>
      <c r="CF783" s="440"/>
      <c r="DB783" s="436"/>
      <c r="DC783" s="120"/>
      <c r="DD783" s="120"/>
      <c r="DE783" s="120"/>
      <c r="DF783" s="440"/>
      <c r="EB783" s="436"/>
      <c r="EC783" s="120"/>
      <c r="ED783" s="120"/>
      <c r="EE783" s="120"/>
      <c r="EF783" s="440"/>
    </row>
    <row r="784" spans="54:136">
      <c r="BB784" s="436"/>
      <c r="BC784" s="120"/>
      <c r="BD784" s="120"/>
      <c r="BE784" s="120"/>
      <c r="BF784" s="440"/>
      <c r="CB784" s="436"/>
      <c r="CC784" s="120"/>
      <c r="CD784" s="120"/>
      <c r="CE784" s="120"/>
      <c r="CF784" s="440"/>
      <c r="DB784" s="436"/>
      <c r="DC784" s="120"/>
      <c r="DD784" s="120"/>
      <c r="DE784" s="120"/>
      <c r="DF784" s="440"/>
      <c r="EB784" s="436"/>
      <c r="EC784" s="120"/>
      <c r="ED784" s="120"/>
      <c r="EE784" s="120"/>
      <c r="EF784" s="440"/>
    </row>
    <row r="785" spans="54:136">
      <c r="BB785" s="436"/>
      <c r="BC785" s="120"/>
      <c r="BD785" s="120"/>
      <c r="BE785" s="120"/>
      <c r="BF785" s="440"/>
      <c r="CB785" s="436"/>
      <c r="CC785" s="120"/>
      <c r="CD785" s="120"/>
      <c r="CE785" s="120"/>
      <c r="CF785" s="440"/>
      <c r="DB785" s="436"/>
      <c r="DC785" s="120"/>
      <c r="DD785" s="120"/>
      <c r="DE785" s="120"/>
      <c r="DF785" s="440"/>
      <c r="EB785" s="436"/>
      <c r="EC785" s="120"/>
      <c r="ED785" s="120"/>
      <c r="EE785" s="120"/>
      <c r="EF785" s="440"/>
    </row>
    <row r="786" spans="54:136">
      <c r="BB786" s="436"/>
      <c r="BC786" s="120"/>
      <c r="BD786" s="120"/>
      <c r="BE786" s="120"/>
      <c r="BF786" s="440"/>
      <c r="CB786" s="436"/>
      <c r="CC786" s="120"/>
      <c r="CD786" s="120"/>
      <c r="CE786" s="120"/>
      <c r="CF786" s="440"/>
      <c r="DB786" s="436"/>
      <c r="DC786" s="120"/>
      <c r="DD786" s="120"/>
      <c r="DE786" s="120"/>
      <c r="DF786" s="440"/>
      <c r="EB786" s="436"/>
      <c r="EC786" s="120"/>
      <c r="ED786" s="120"/>
      <c r="EE786" s="120"/>
      <c r="EF786" s="440"/>
    </row>
    <row r="787" spans="54:136">
      <c r="BB787" s="436" t="s">
        <v>464</v>
      </c>
      <c r="BC787" s="120"/>
      <c r="BD787" s="120"/>
      <c r="BE787" s="120"/>
      <c r="BF787" s="440"/>
      <c r="CB787" s="436" t="s">
        <v>464</v>
      </c>
      <c r="CC787" s="120"/>
      <c r="CD787" s="120"/>
      <c r="CE787" s="120"/>
      <c r="CF787" s="440"/>
      <c r="DB787" s="436" t="s">
        <v>464</v>
      </c>
      <c r="DC787" s="120"/>
      <c r="DD787" s="120"/>
      <c r="DE787" s="120"/>
      <c r="DF787" s="440"/>
      <c r="EB787" s="436" t="s">
        <v>464</v>
      </c>
      <c r="EC787" s="120"/>
      <c r="ED787" s="120"/>
      <c r="EE787" s="120"/>
      <c r="EF787" s="440"/>
    </row>
    <row r="788" spans="54:136">
      <c r="BB788" s="456"/>
      <c r="BC788" s="457"/>
      <c r="BD788" s="457"/>
      <c r="BE788" s="457"/>
      <c r="BF788" s="458"/>
      <c r="CB788" s="456"/>
      <c r="CC788" s="457"/>
      <c r="CD788" s="457"/>
      <c r="CE788" s="457"/>
      <c r="CF788" s="458"/>
      <c r="DB788" s="456"/>
      <c r="DC788" s="457"/>
      <c r="DD788" s="457"/>
      <c r="DE788" s="457"/>
      <c r="DF788" s="458"/>
      <c r="EB788" s="456"/>
      <c r="EC788" s="457"/>
      <c r="ED788" s="457"/>
      <c r="EE788" s="457"/>
      <c r="EF788" s="458"/>
    </row>
    <row r="789" spans="54:136">
      <c r="BB789" s="449" t="s">
        <v>472</v>
      </c>
      <c r="BC789" s="467" t="s">
        <v>517</v>
      </c>
      <c r="BD789" s="120" t="s">
        <v>518</v>
      </c>
      <c r="BE789" s="467" t="s">
        <v>519</v>
      </c>
      <c r="BF789" s="440" t="s">
        <v>518</v>
      </c>
      <c r="CB789" s="449" t="s">
        <v>472</v>
      </c>
      <c r="CC789" s="467" t="s">
        <v>517</v>
      </c>
      <c r="CD789" s="120" t="s">
        <v>518</v>
      </c>
      <c r="CE789" s="467" t="s">
        <v>519</v>
      </c>
      <c r="CF789" s="440" t="s">
        <v>518</v>
      </c>
      <c r="DB789" s="449" t="s">
        <v>472</v>
      </c>
      <c r="DC789" s="467" t="s">
        <v>517</v>
      </c>
      <c r="DD789" s="120" t="s">
        <v>518</v>
      </c>
      <c r="DE789" s="467" t="s">
        <v>519</v>
      </c>
      <c r="DF789" s="440" t="s">
        <v>518</v>
      </c>
      <c r="EB789" s="449" t="s">
        <v>472</v>
      </c>
      <c r="EC789" s="467" t="s">
        <v>517</v>
      </c>
      <c r="ED789" s="120" t="s">
        <v>518</v>
      </c>
      <c r="EE789" s="467" t="s">
        <v>519</v>
      </c>
      <c r="EF789" s="440" t="s">
        <v>518</v>
      </c>
    </row>
    <row r="790" spans="54:136">
      <c r="BB790" s="436" t="s">
        <v>520</v>
      </c>
      <c r="BC790" s="120"/>
      <c r="BD790" s="120"/>
      <c r="BE790" s="472">
        <f>((VLOOKUP(BB708,'Unit Ops'!$B$140:$J$209,3,FALSE)*BC710^VLOOKUP(BB708,'Unit Ops'!$B$140:$J$209,4,FALSE)+VLOOKUP(BB708,'Unit Ops'!$B$140:$J$209,5,FALSE))*VLOOKUP(BB708,'Unit Ops'!$B$140:$J$209,6,FALSE))*IF(VLOOKUP(BB708,'Unit Ops'!$B$140:$L$209,11,FALSE)=1,1,2)</f>
        <v>14651926.67659927</v>
      </c>
      <c r="BF790" s="490">
        <f>$C$7</f>
        <v>2022</v>
      </c>
      <c r="CB790" s="436" t="s">
        <v>520</v>
      </c>
      <c r="CC790" s="120"/>
      <c r="CD790" s="120"/>
      <c r="CE790" s="472">
        <f>((VLOOKUP(CB708,'Unit Ops'!$B$140:$J$209,3,FALSE)*CC710^VLOOKUP(CB708,'Unit Ops'!$B$140:$J$209,4,FALSE)+VLOOKUP(CB708,'Unit Ops'!$B$140:$J$209,5,FALSE))*VLOOKUP(CB708,'Unit Ops'!$B$140:$J$209,6,FALSE))*IF(VLOOKUP(CB708,'Unit Ops'!$B$140:$L$209,11,FALSE)=1,1,2)</f>
        <v>782707.85207714408</v>
      </c>
      <c r="CF790" s="490">
        <f>$C$7</f>
        <v>2022</v>
      </c>
      <c r="DB790" s="436" t="s">
        <v>520</v>
      </c>
      <c r="DC790" s="120"/>
      <c r="DD790" s="120"/>
      <c r="DE790" s="472">
        <f>((VLOOKUP(DB708,'Unit Ops'!$B$140:$J$209,3,FALSE)*DC710^VLOOKUP(DB708,'Unit Ops'!$B$140:$J$209,4,FALSE)+VLOOKUP(DB708,'Unit Ops'!$B$140:$J$209,5,FALSE))*VLOOKUP(DB708,'Unit Ops'!$B$140:$J$209,6,FALSE))*IF(VLOOKUP(DB708,'Unit Ops'!$B$140:$L$209,11,FALSE)=1,1,2)</f>
        <v>245040.79152924838</v>
      </c>
      <c r="DF790" s="490">
        <f>$C$7</f>
        <v>2022</v>
      </c>
      <c r="EB790" s="436" t="s">
        <v>520</v>
      </c>
      <c r="EC790" s="120"/>
      <c r="ED790" s="120"/>
      <c r="EE790" s="472">
        <f>((VLOOKUP(EB708,'Unit Ops'!$B$140:$J$209,3,FALSE)*EC710^VLOOKUP(EB708,'Unit Ops'!$B$140:$J$209,4,FALSE)+VLOOKUP(EB708,'Unit Ops'!$B$140:$J$209,5,FALSE))*VLOOKUP(EB708,'Unit Ops'!$B$140:$J$209,6,FALSE))*IF(VLOOKUP(EB708,'Unit Ops'!$B$140:$L$209,11,FALSE)=1,1,2)</f>
        <v>782707.85207714408</v>
      </c>
      <c r="EF790" s="490">
        <f>$C$7</f>
        <v>2022</v>
      </c>
    </row>
    <row r="791" spans="54:136">
      <c r="BB791" s="436"/>
      <c r="BC791" s="120"/>
      <c r="BD791" s="120"/>
      <c r="BE791" s="120"/>
      <c r="BF791" s="440"/>
      <c r="CB791" s="436"/>
      <c r="CC791" s="120"/>
      <c r="CD791" s="120"/>
      <c r="CE791" s="120"/>
      <c r="CF791" s="440"/>
      <c r="DB791" s="436"/>
      <c r="DC791" s="120"/>
      <c r="DD791" s="120"/>
      <c r="DE791" s="120"/>
      <c r="DF791" s="440"/>
      <c r="EB791" s="436"/>
      <c r="EC791" s="120"/>
      <c r="ED791" s="120"/>
      <c r="EE791" s="120"/>
      <c r="EF791" s="440"/>
    </row>
    <row r="792" spans="54:136">
      <c r="BB792" s="436"/>
      <c r="BC792" s="120"/>
      <c r="BD792" s="120"/>
      <c r="BE792" s="120"/>
      <c r="BF792" s="440"/>
      <c r="CB792" s="436"/>
      <c r="CC792" s="120"/>
      <c r="CD792" s="120"/>
      <c r="CE792" s="120"/>
      <c r="CF792" s="440"/>
      <c r="DB792" s="436"/>
      <c r="DC792" s="120"/>
      <c r="DD792" s="120"/>
      <c r="DE792" s="120"/>
      <c r="DF792" s="440"/>
      <c r="EB792" s="436"/>
      <c r="EC792" s="120"/>
      <c r="ED792" s="120"/>
      <c r="EE792" s="120"/>
      <c r="EF792" s="440"/>
    </row>
    <row r="793" spans="54:136">
      <c r="BB793" s="436"/>
      <c r="BC793" s="120"/>
      <c r="BD793" s="120"/>
      <c r="BE793" s="120"/>
      <c r="BF793" s="440"/>
      <c r="CB793" s="436"/>
      <c r="CC793" s="120"/>
      <c r="CD793" s="120"/>
      <c r="CE793" s="120"/>
      <c r="CF793" s="440"/>
      <c r="DB793" s="436"/>
      <c r="DC793" s="120"/>
      <c r="DD793" s="120"/>
      <c r="DE793" s="120"/>
      <c r="DF793" s="440"/>
      <c r="EB793" s="436"/>
      <c r="EC793" s="120"/>
      <c r="ED793" s="120"/>
      <c r="EE793" s="120"/>
      <c r="EF793" s="440"/>
    </row>
    <row r="794" spans="54:136">
      <c r="BB794" s="436"/>
      <c r="BC794" s="120"/>
      <c r="BD794" s="120"/>
      <c r="BE794" s="120"/>
      <c r="BF794" s="440"/>
      <c r="CB794" s="436"/>
      <c r="CC794" s="120"/>
      <c r="CD794" s="120"/>
      <c r="CE794" s="120"/>
      <c r="CF794" s="440"/>
      <c r="DB794" s="436"/>
      <c r="DC794" s="120"/>
      <c r="DD794" s="120"/>
      <c r="DE794" s="120"/>
      <c r="DF794" s="440"/>
      <c r="EB794" s="436"/>
      <c r="EC794" s="120"/>
      <c r="ED794" s="120"/>
      <c r="EE794" s="120"/>
      <c r="EF794" s="440"/>
    </row>
    <row r="795" spans="54:136">
      <c r="BB795" s="436"/>
      <c r="BC795" s="120"/>
      <c r="BD795" s="120"/>
      <c r="BE795" s="120"/>
      <c r="BF795" s="440"/>
      <c r="CB795" s="436"/>
      <c r="CC795" s="120"/>
      <c r="CD795" s="120"/>
      <c r="CE795" s="120"/>
      <c r="CF795" s="440"/>
      <c r="DB795" s="436"/>
      <c r="DC795" s="120"/>
      <c r="DD795" s="120"/>
      <c r="DE795" s="120"/>
      <c r="DF795" s="440"/>
      <c r="EB795" s="436"/>
      <c r="EC795" s="120"/>
      <c r="ED795" s="120"/>
      <c r="EE795" s="120"/>
      <c r="EF795" s="440"/>
    </row>
    <row r="796" spans="54:136">
      <c r="BB796" s="436"/>
      <c r="BC796" s="120"/>
      <c r="BD796" s="120"/>
      <c r="BE796" s="120"/>
      <c r="BF796" s="440"/>
      <c r="CB796" s="436"/>
      <c r="CC796" s="120"/>
      <c r="CD796" s="120"/>
      <c r="CE796" s="120"/>
      <c r="CF796" s="440"/>
      <c r="DB796" s="436"/>
      <c r="DC796" s="120"/>
      <c r="DD796" s="120"/>
      <c r="DE796" s="120"/>
      <c r="DF796" s="440"/>
      <c r="EB796" s="436"/>
      <c r="EC796" s="120"/>
      <c r="ED796" s="120"/>
      <c r="EE796" s="120"/>
      <c r="EF796" s="440"/>
    </row>
    <row r="797" spans="54:136">
      <c r="BB797" s="436"/>
      <c r="BC797" s="120"/>
      <c r="BD797" s="120"/>
      <c r="BE797" s="120"/>
      <c r="BF797" s="440"/>
      <c r="CB797" s="436"/>
      <c r="CC797" s="120"/>
      <c r="CD797" s="120"/>
      <c r="CE797" s="120"/>
      <c r="CF797" s="440"/>
      <c r="DB797" s="436"/>
      <c r="DC797" s="120"/>
      <c r="DD797" s="120"/>
      <c r="DE797" s="120"/>
      <c r="DF797" s="440"/>
      <c r="EB797" s="436"/>
      <c r="EC797" s="120"/>
      <c r="ED797" s="120"/>
      <c r="EE797" s="120"/>
      <c r="EF797" s="440"/>
    </row>
    <row r="798" spans="54:136">
      <c r="BB798" s="436"/>
      <c r="BC798" s="120"/>
      <c r="BD798" s="120"/>
      <c r="BE798" s="120"/>
      <c r="BF798" s="440"/>
      <c r="CB798" s="436"/>
      <c r="CC798" s="120"/>
      <c r="CD798" s="120"/>
      <c r="CE798" s="120"/>
      <c r="CF798" s="440"/>
      <c r="DB798" s="436"/>
      <c r="DC798" s="120"/>
      <c r="DD798" s="120"/>
      <c r="DE798" s="120"/>
      <c r="DF798" s="440"/>
      <c r="EB798" s="436"/>
      <c r="EC798" s="120"/>
      <c r="ED798" s="120"/>
      <c r="EE798" s="120"/>
      <c r="EF798" s="440"/>
    </row>
    <row r="799" spans="54:136">
      <c r="BB799" s="436"/>
      <c r="BC799" s="120"/>
      <c r="BD799" s="120"/>
      <c r="BE799" s="120"/>
      <c r="BF799" s="440"/>
      <c r="CB799" s="436"/>
      <c r="CC799" s="120"/>
      <c r="CD799" s="120"/>
      <c r="CE799" s="120"/>
      <c r="CF799" s="440"/>
      <c r="DB799" s="436"/>
      <c r="DC799" s="120"/>
      <c r="DD799" s="120"/>
      <c r="DE799" s="120"/>
      <c r="DF799" s="440"/>
      <c r="EB799" s="436"/>
      <c r="EC799" s="120"/>
      <c r="ED799" s="120"/>
      <c r="EE799" s="120"/>
      <c r="EF799" s="440"/>
    </row>
    <row r="800" spans="54:136">
      <c r="BB800" s="436"/>
      <c r="BC800" s="120"/>
      <c r="BD800" s="120"/>
      <c r="BE800" s="120"/>
      <c r="BF800" s="440"/>
      <c r="CB800" s="436"/>
      <c r="CC800" s="120"/>
      <c r="CD800" s="120"/>
      <c r="CE800" s="120"/>
      <c r="CF800" s="440"/>
      <c r="DB800" s="436"/>
      <c r="DC800" s="120"/>
      <c r="DD800" s="120"/>
      <c r="DE800" s="120"/>
      <c r="DF800" s="440"/>
      <c r="EB800" s="436"/>
      <c r="EC800" s="120"/>
      <c r="ED800" s="120"/>
      <c r="EE800" s="120"/>
      <c r="EF800" s="440"/>
    </row>
    <row r="801" spans="53:137">
      <c r="BB801" s="436"/>
      <c r="BC801" s="120"/>
      <c r="BD801" s="120"/>
      <c r="BE801" s="120"/>
      <c r="BF801" s="440"/>
      <c r="CB801" s="436"/>
      <c r="CC801" s="120"/>
      <c r="CD801" s="120"/>
      <c r="CE801" s="120"/>
      <c r="CF801" s="440"/>
      <c r="DB801" s="436"/>
      <c r="DC801" s="120"/>
      <c r="DD801" s="120"/>
      <c r="DE801" s="120"/>
      <c r="DF801" s="440"/>
      <c r="EB801" s="436"/>
      <c r="EC801" s="120"/>
      <c r="ED801" s="120"/>
      <c r="EE801" s="120"/>
      <c r="EF801" s="440"/>
    </row>
    <row r="802" spans="53:137">
      <c r="BB802" s="436"/>
      <c r="BC802" s="120"/>
      <c r="BD802" s="120"/>
      <c r="BE802" s="120"/>
      <c r="BF802" s="440"/>
      <c r="CB802" s="436"/>
      <c r="CC802" s="120"/>
      <c r="CD802" s="120"/>
      <c r="CE802" s="120"/>
      <c r="CF802" s="440"/>
      <c r="DB802" s="436"/>
      <c r="DC802" s="120"/>
      <c r="DD802" s="120"/>
      <c r="DE802" s="120"/>
      <c r="DF802" s="440"/>
      <c r="EB802" s="436"/>
      <c r="EC802" s="120"/>
      <c r="ED802" s="120"/>
      <c r="EE802" s="120"/>
      <c r="EF802" s="440"/>
    </row>
    <row r="803" spans="53:137">
      <c r="BB803" s="436"/>
      <c r="BC803" s="120"/>
      <c r="BD803" s="120"/>
      <c r="BE803" s="120"/>
      <c r="BF803" s="440"/>
      <c r="CB803" s="436"/>
      <c r="CC803" s="120"/>
      <c r="CD803" s="120"/>
      <c r="CE803" s="120"/>
      <c r="CF803" s="440"/>
      <c r="DB803" s="436"/>
      <c r="DC803" s="120"/>
      <c r="DD803" s="120"/>
      <c r="DE803" s="120"/>
      <c r="DF803" s="440"/>
      <c r="EB803" s="436"/>
      <c r="EC803" s="120"/>
      <c r="ED803" s="120"/>
      <c r="EE803" s="120"/>
      <c r="EF803" s="440"/>
    </row>
    <row r="804" spans="53:137" ht="14.5" thickBot="1">
      <c r="BB804" s="492"/>
      <c r="BC804" s="493"/>
      <c r="BD804" s="493"/>
      <c r="BE804" s="493"/>
      <c r="BF804" s="453"/>
      <c r="CB804" s="492"/>
      <c r="CC804" s="493"/>
      <c r="CD804" s="493"/>
      <c r="CE804" s="493"/>
      <c r="CF804" s="453"/>
      <c r="DB804" s="492"/>
      <c r="DC804" s="493"/>
      <c r="DD804" s="493"/>
      <c r="DE804" s="493"/>
      <c r="DF804" s="453"/>
      <c r="EB804" s="492"/>
      <c r="EC804" s="493"/>
      <c r="ED804" s="493"/>
      <c r="EE804" s="493"/>
      <c r="EF804" s="453"/>
    </row>
    <row r="807" spans="53:137" ht="14.5" thickBot="1"/>
    <row r="808" spans="53:137">
      <c r="BA808" s="114" t="s">
        <v>478</v>
      </c>
      <c r="BB808" s="431" t="str">
        <f>BB57</f>
        <v>Gas treatment</v>
      </c>
      <c r="BC808" s="432"/>
      <c r="BD808" s="433"/>
      <c r="BE808" s="434"/>
      <c r="BF808" s="435"/>
      <c r="BG808" s="409"/>
      <c r="CA808" s="114" t="s">
        <v>478</v>
      </c>
      <c r="CB808" s="431" t="str">
        <f>CB57</f>
        <v>Filter press</v>
      </c>
      <c r="CC808" s="432"/>
      <c r="CD808" s="433"/>
      <c r="CE808" s="434"/>
      <c r="CF808" s="435"/>
      <c r="CG808" s="409"/>
      <c r="DA808" s="114" t="s">
        <v>478</v>
      </c>
      <c r="DB808" s="431" t="str">
        <f>DB57</f>
        <v>Froth flotation cell</v>
      </c>
      <c r="DC808" s="432"/>
      <c r="DD808" s="433"/>
      <c r="DE808" s="434"/>
      <c r="DF808" s="435"/>
      <c r="DG808" s="409"/>
      <c r="EA808" s="114" t="s">
        <v>478</v>
      </c>
      <c r="EB808" s="431" t="str">
        <f>EB59</f>
        <v>Filter press</v>
      </c>
      <c r="EC808" s="432"/>
      <c r="ED808" s="433"/>
      <c r="EE808" s="434"/>
      <c r="EF808" s="435"/>
      <c r="EG808" s="409"/>
    </row>
    <row r="809" spans="53:137">
      <c r="BA809" s="114" t="s">
        <v>5</v>
      </c>
      <c r="BB809" s="436" t="s">
        <v>1</v>
      </c>
      <c r="BC809" s="437">
        <f>BC$25/BC$22/BC$21*VLOOKUP(BB808,'Unit Ops'!$B$140:$J$209,2,FALSE)</f>
        <v>0.92592592592592593</v>
      </c>
      <c r="BD809" s="438" t="s">
        <v>586</v>
      </c>
      <c r="BE809" s="1027">
        <f>BC809*BC$310*BC$311</f>
        <v>10000</v>
      </c>
      <c r="BF809" s="439" t="s">
        <v>585</v>
      </c>
      <c r="BG809" s="409"/>
      <c r="CA809" s="114" t="s">
        <v>5</v>
      </c>
      <c r="CB809" s="436" t="s">
        <v>1</v>
      </c>
      <c r="CC809" s="437">
        <f>CC$25/CC$22/CC$21*VLOOKUP(CB808,'Unit Ops'!$B$140:$J$209,2,FALSE)</f>
        <v>0.45662100456621002</v>
      </c>
      <c r="CD809" s="438" t="s">
        <v>586</v>
      </c>
      <c r="CE809" s="1027">
        <f>CC809*CC$310*CC$311</f>
        <v>5000</v>
      </c>
      <c r="CF809" s="439" t="s">
        <v>585</v>
      </c>
      <c r="CG809" s="409"/>
      <c r="DA809" s="114" t="s">
        <v>5</v>
      </c>
      <c r="DB809" s="436" t="s">
        <v>1</v>
      </c>
      <c r="DC809" s="437">
        <f>DC$25/DC$22/DC$21*VLOOKUP(DB808,'Unit Ops'!$B$140:$J$209,2,FALSE)*SUM(DC28:DC35)/0.15</f>
        <v>3.7283950617283952</v>
      </c>
      <c r="DD809" s="438" t="s">
        <v>1944</v>
      </c>
      <c r="DE809" s="1027">
        <f>DC809*DC$310*DC$311</f>
        <v>40266.666666666672</v>
      </c>
      <c r="DF809" s="439" t="s">
        <v>585</v>
      </c>
      <c r="DG809" s="409"/>
      <c r="EA809" s="114" t="s">
        <v>5</v>
      </c>
      <c r="EB809" s="436" t="s">
        <v>1</v>
      </c>
      <c r="EC809" s="437">
        <f>EC$26/EC$23/EC$22*VLOOKUP(EB808,'Unit Ops'!$B$140:$J$209,2,FALSE)</f>
        <v>0.65104166666666663</v>
      </c>
      <c r="ED809" s="438" t="s">
        <v>586</v>
      </c>
      <c r="EE809" s="1027">
        <f>EC809*EC$310*EC$311</f>
        <v>5000</v>
      </c>
      <c r="EF809" s="439" t="s">
        <v>585</v>
      </c>
      <c r="EG809" s="409"/>
    </row>
    <row r="810" spans="53:137">
      <c r="BA810" s="114" t="str">
        <f>$BB$54</f>
        <v>Hopper</v>
      </c>
      <c r="BB810" s="436" t="s">
        <v>505</v>
      </c>
      <c r="BC810" s="437">
        <f>ROUNDUP(BC809*IF(VLOOKUP(BB808,'Unit Ops'!$B$140:$L$209,11,FALSE)=1,1.5,0.75),1)</f>
        <v>1.4000000000000001</v>
      </c>
      <c r="BD810" s="438" t="s">
        <v>586</v>
      </c>
      <c r="BE810" s="120">
        <f>BC810*BC$310*BC$311</f>
        <v>15120.000000000002</v>
      </c>
      <c r="BF810" s="439" t="s">
        <v>585</v>
      </c>
      <c r="BG810" s="409"/>
      <c r="CA810" s="114" t="str">
        <f>$CB$54</f>
        <v>Conveyor</v>
      </c>
      <c r="CB810" s="436" t="s">
        <v>505</v>
      </c>
      <c r="CC810" s="437">
        <f>ROUNDUP(CC809*IF(VLOOKUP(CB808,'Unit Ops'!$B$140:$L$209,11,FALSE)=1,1.5,0.75),1)</f>
        <v>0.7</v>
      </c>
      <c r="CD810" s="438" t="s">
        <v>586</v>
      </c>
      <c r="CE810" s="120">
        <f>CC810*CC$310*CC$311</f>
        <v>7665</v>
      </c>
      <c r="CF810" s="439" t="s">
        <v>585</v>
      </c>
      <c r="CG810" s="409"/>
      <c r="DA810" s="114" t="str">
        <f>$DB$54</f>
        <v>Conveyor</v>
      </c>
      <c r="DB810" s="436" t="s">
        <v>505</v>
      </c>
      <c r="DC810" s="437">
        <f>ROUNDUP(DC809*IF(VLOOKUP(DB808,'Unit Ops'!$B$140:$L$209,11,FALSE)=1,1.5,0.75),1)</f>
        <v>2.8000000000000003</v>
      </c>
      <c r="DD810" s="438" t="s">
        <v>1944</v>
      </c>
      <c r="DE810" s="120">
        <f>DC810*DC$310*DC$311</f>
        <v>30240.000000000004</v>
      </c>
      <c r="DF810" s="439" t="s">
        <v>585</v>
      </c>
      <c r="DG810" s="409"/>
      <c r="EA810" s="114" t="str">
        <f>$EB$56</f>
        <v>Conveyor</v>
      </c>
      <c r="EB810" s="436" t="s">
        <v>505</v>
      </c>
      <c r="EC810" s="437">
        <f>ROUNDUP(EC809*IF(VLOOKUP(EB808,'Unit Ops'!$B$140:$L$209,11,FALSE)=1,1.5,0.75),1)</f>
        <v>1</v>
      </c>
      <c r="ED810" s="438" t="s">
        <v>586</v>
      </c>
      <c r="EE810" s="120">
        <f>EC810*EC$310*EC$311</f>
        <v>7680</v>
      </c>
      <c r="EF810" s="439" t="s">
        <v>585</v>
      </c>
      <c r="EG810" s="409"/>
    </row>
    <row r="811" spans="53:137">
      <c r="BA811" s="114" t="str">
        <f>$BB$55</f>
        <v>Conveyor</v>
      </c>
      <c r="BB811" s="441" t="s">
        <v>521</v>
      </c>
      <c r="BC811" s="442">
        <f>BC809/BC810</f>
        <v>0.66137566137566128</v>
      </c>
      <c r="BD811" s="438"/>
      <c r="BE811" s="443"/>
      <c r="BF811" s="440"/>
      <c r="BG811" s="409"/>
      <c r="CA811" s="114" t="str">
        <f>$CB$55</f>
        <v>Leaching tank</v>
      </c>
      <c r="CB811" s="441" t="s">
        <v>521</v>
      </c>
      <c r="CC811" s="442">
        <f>CC809/CC810</f>
        <v>0.65231572080887146</v>
      </c>
      <c r="CD811" s="438"/>
      <c r="CE811" s="443"/>
      <c r="CF811" s="440"/>
      <c r="CG811" s="409"/>
      <c r="DA811" s="114" t="str">
        <f>$DB$55</f>
        <v>Froth flotation cell</v>
      </c>
      <c r="DB811" s="441" t="s">
        <v>521</v>
      </c>
      <c r="DC811" s="442">
        <f>DC809/DC810</f>
        <v>1.3315696649029982</v>
      </c>
      <c r="DD811" s="438"/>
      <c r="DE811" s="443"/>
      <c r="DF811" s="440"/>
      <c r="DG811" s="409"/>
      <c r="EA811" s="114" t="str">
        <f>$EB$57</f>
        <v>Leaching tank</v>
      </c>
      <c r="EB811" s="441" t="s">
        <v>521</v>
      </c>
      <c r="EC811" s="442">
        <f>EC809/EC810</f>
        <v>0.65104166666666663</v>
      </c>
      <c r="ED811" s="438"/>
      <c r="EE811" s="443"/>
      <c r="EF811" s="440"/>
      <c r="EG811" s="409"/>
    </row>
    <row r="812" spans="53:137">
      <c r="BA812" s="114" t="str">
        <f>$BB$56</f>
        <v>Smelter</v>
      </c>
      <c r="BB812" s="441" t="s">
        <v>506</v>
      </c>
      <c r="BC812" s="445"/>
      <c r="BD812" s="438" t="s">
        <v>454</v>
      </c>
      <c r="BE812" s="443"/>
      <c r="BF812" s="440"/>
      <c r="BG812" s="409"/>
      <c r="CA812" s="114" t="str">
        <f>$CB$56</f>
        <v>Mixing tank</v>
      </c>
      <c r="CB812" s="441" t="s">
        <v>506</v>
      </c>
      <c r="CC812" s="445"/>
      <c r="CD812" s="438" t="s">
        <v>454</v>
      </c>
      <c r="CE812" s="443"/>
      <c r="CF812" s="440"/>
      <c r="CG812" s="409"/>
      <c r="DA812" s="114" t="str">
        <f>$DB$56</f>
        <v>Filter press</v>
      </c>
      <c r="DB812" s="441" t="s">
        <v>506</v>
      </c>
      <c r="DC812" s="445"/>
      <c r="DD812" s="438" t="s">
        <v>454</v>
      </c>
      <c r="DE812" s="443"/>
      <c r="DF812" s="440"/>
      <c r="DG812" s="409"/>
      <c r="EA812" s="114" t="str">
        <f>$EB$58</f>
        <v>Mixing tank</v>
      </c>
      <c r="EB812" s="441" t="s">
        <v>506</v>
      </c>
      <c r="EC812" s="445"/>
      <c r="ED812" s="438" t="s">
        <v>454</v>
      </c>
      <c r="EE812" s="443"/>
      <c r="EF812" s="440"/>
      <c r="EG812" s="409"/>
    </row>
    <row r="813" spans="53:137">
      <c r="BA813" s="114" t="str">
        <f>$BB$57</f>
        <v>Gas treatment</v>
      </c>
      <c r="BB813" s="436" t="s">
        <v>507</v>
      </c>
      <c r="BC813" s="225">
        <f>(VLOOKUP(BB808,'Unit Ops'!$B$140:$J$209,7,FALSE)*BC810^VLOOKUP(BB808,'Unit Ops'!$B$140:$J$209,8,FALSE)+VLOOKUP(BB808,'Unit Ops'!$B$140:$J$209,9,FALSE))*IF(VLOOKUP(BB808,'Unit Ops'!$B$140:$L$209,11,FALSE)=1,1,2)</f>
        <v>1000</v>
      </c>
      <c r="BD813" s="446" t="s">
        <v>454</v>
      </c>
      <c r="BE813" s="443"/>
      <c r="BF813" s="440"/>
      <c r="BG813" s="409"/>
      <c r="CA813" s="114" t="str">
        <f>$CB$57</f>
        <v>Filter press</v>
      </c>
      <c r="CB813" s="436" t="s">
        <v>507</v>
      </c>
      <c r="CC813" s="225">
        <f>(VLOOKUP(CB808,'Unit Ops'!$B$140:$J$209,7,FALSE)*CC810^VLOOKUP(CB808,'Unit Ops'!$B$140:$J$209,8,FALSE)+VLOOKUP(CB808,'Unit Ops'!$B$140:$J$209,9,FALSE))*IF(VLOOKUP(CB808,'Unit Ops'!$B$140:$L$209,11,FALSE)=1,1,2)</f>
        <v>14.914000000000001</v>
      </c>
      <c r="CD813" s="446" t="s">
        <v>454</v>
      </c>
      <c r="CE813" s="443"/>
      <c r="CF813" s="440"/>
      <c r="CG813" s="409"/>
      <c r="DA813" s="114" t="str">
        <f>$DB$57</f>
        <v>Froth flotation cell</v>
      </c>
      <c r="DB813" s="436" t="s">
        <v>507</v>
      </c>
      <c r="DC813" s="225">
        <f>(VLOOKUP(DB808,'Unit Ops'!$B$140:$J$209,7,FALSE)*DC810^VLOOKUP(DB808,'Unit Ops'!$B$140:$J$209,8,FALSE)+VLOOKUP(DB808,'Unit Ops'!$B$140:$J$209,9,FALSE))*IF(VLOOKUP(DB808,'Unit Ops'!$B$140:$L$209,11,FALSE)=1,1,2)</f>
        <v>1.8391437526824013</v>
      </c>
      <c r="DD813" s="446" t="s">
        <v>454</v>
      </c>
      <c r="DE813" s="443"/>
      <c r="DF813" s="440"/>
      <c r="DG813" s="409"/>
      <c r="EA813" s="114" t="str">
        <f>$EB$59</f>
        <v>Filter press</v>
      </c>
      <c r="EB813" s="436" t="s">
        <v>507</v>
      </c>
      <c r="EC813" s="225">
        <f>(VLOOKUP(EB808,'Unit Ops'!$B$140:$J$209,7,FALSE)*EC810^VLOOKUP(EB808,'Unit Ops'!$B$140:$J$209,8,FALSE)+VLOOKUP(EB808,'Unit Ops'!$B$140:$J$209,9,FALSE))*IF(VLOOKUP(EB808,'Unit Ops'!$B$140:$L$209,11,FALSE)=1,1,2)</f>
        <v>14.914000000000001</v>
      </c>
      <c r="ED813" s="446" t="s">
        <v>454</v>
      </c>
      <c r="EE813" s="443"/>
      <c r="EF813" s="440"/>
      <c r="EG813" s="409"/>
    </row>
    <row r="814" spans="53:137">
      <c r="BA814" s="114" t="str">
        <f>$BB$58</f>
        <v>Conveyor</v>
      </c>
      <c r="BB814" s="441"/>
      <c r="BC814" s="445"/>
      <c r="BD814" s="447"/>
      <c r="BE814" s="443"/>
      <c r="BF814" s="440"/>
      <c r="BG814" s="482"/>
      <c r="CA814" s="114" t="str">
        <f>$CB$58</f>
        <v>Solvent extraction unit</v>
      </c>
      <c r="CB814" s="441"/>
      <c r="CC814" s="445"/>
      <c r="CD814" s="447"/>
      <c r="CE814" s="443"/>
      <c r="CF814" s="440"/>
      <c r="CG814" s="482"/>
      <c r="DA814" s="114" t="str">
        <f>$DB$58</f>
        <v>Filter press</v>
      </c>
      <c r="DB814" s="441"/>
      <c r="DC814" s="445"/>
      <c r="DD814" s="447"/>
      <c r="DE814" s="443"/>
      <c r="DF814" s="440"/>
      <c r="DG814" s="482"/>
      <c r="EA814" s="114" t="str">
        <f>$EB$60</f>
        <v>Solvent extraction unit</v>
      </c>
      <c r="EB814" s="441"/>
      <c r="EC814" s="445"/>
      <c r="ED814" s="447"/>
      <c r="EE814" s="443"/>
      <c r="EF814" s="440"/>
      <c r="EG814" s="482"/>
    </row>
    <row r="815" spans="53:137">
      <c r="BA815" s="114" t="str">
        <f>$BB$59</f>
        <v>Granulator</v>
      </c>
      <c r="BB815" s="441"/>
      <c r="BC815" s="445"/>
      <c r="BD815" s="447"/>
      <c r="BE815" s="443"/>
      <c r="BF815" s="440"/>
      <c r="BG815" s="409"/>
      <c r="CA815" s="114" t="str">
        <f>$CB$59</f>
        <v>Solvent extraction unit</v>
      </c>
      <c r="CB815" s="441"/>
      <c r="CC815" s="445"/>
      <c r="CD815" s="447"/>
      <c r="CE815" s="443"/>
      <c r="CF815" s="440"/>
      <c r="CG815" s="409"/>
      <c r="DA815" s="114" t="str">
        <f>$DB$59</f>
        <v>Dryer</v>
      </c>
      <c r="DB815" s="441"/>
      <c r="DC815" s="445"/>
      <c r="DD815" s="447"/>
      <c r="DE815" s="443"/>
      <c r="DF815" s="440"/>
      <c r="DG815" s="409"/>
      <c r="EA815" s="114" t="str">
        <f>$EB$61</f>
        <v>Solvent extraction unit</v>
      </c>
      <c r="EB815" s="441"/>
      <c r="EC815" s="445"/>
      <c r="ED815" s="447"/>
      <c r="EE815" s="443"/>
      <c r="EF815" s="440"/>
      <c r="EG815" s="409"/>
    </row>
    <row r="816" spans="53:137">
      <c r="BA816" s="114" t="str">
        <f>$BB$60</f>
        <v>Leaching tank</v>
      </c>
      <c r="BB816" s="449"/>
      <c r="BC816" s="445"/>
      <c r="BD816" s="447"/>
      <c r="BE816" s="443"/>
      <c r="BF816" s="440"/>
      <c r="BG816" s="409"/>
      <c r="CA816" s="114" t="str">
        <f>$CB$60</f>
        <v>Solvent extraction unit</v>
      </c>
      <c r="CB816" s="449"/>
      <c r="CC816" s="445"/>
      <c r="CD816" s="447"/>
      <c r="CE816" s="443"/>
      <c r="CF816" s="440"/>
      <c r="CG816" s="409"/>
      <c r="DA816" s="114" t="str">
        <f>$DB$60</f>
        <v>Ball mill</v>
      </c>
      <c r="DB816" s="449"/>
      <c r="DC816" s="445"/>
      <c r="DD816" s="447"/>
      <c r="DE816" s="443"/>
      <c r="DF816" s="440"/>
      <c r="DG816" s="409"/>
      <c r="EA816" s="114" t="str">
        <f>$EB$62</f>
        <v>Solvent extraction unit</v>
      </c>
      <c r="EB816" s="449"/>
      <c r="EC816" s="445"/>
      <c r="ED816" s="447"/>
      <c r="EE816" s="443"/>
      <c r="EF816" s="440"/>
      <c r="EG816" s="409"/>
    </row>
    <row r="817" spans="53:137" ht="14.5" thickBot="1">
      <c r="BA817" s="114" t="str">
        <f>$BB$61</f>
        <v>Solvent extraction unit</v>
      </c>
      <c r="BB817" s="450"/>
      <c r="BC817" s="451"/>
      <c r="BD817" s="451"/>
      <c r="BE817" s="452"/>
      <c r="BF817" s="453"/>
      <c r="BG817" s="502"/>
      <c r="CA817" s="114" t="str">
        <f>$CB$61</f>
        <v>Evaporator</v>
      </c>
      <c r="CB817" s="450"/>
      <c r="CC817" s="451"/>
      <c r="CD817" s="451"/>
      <c r="CE817" s="452"/>
      <c r="CF817" s="453"/>
      <c r="CG817" s="502"/>
      <c r="DA817" s="114" t="str">
        <f>$DB$61</f>
        <v>Furnace+saggar handling system</v>
      </c>
      <c r="DB817" s="450"/>
      <c r="DC817" s="451"/>
      <c r="DD817" s="451"/>
      <c r="DE817" s="452"/>
      <c r="DF817" s="453"/>
      <c r="DG817" s="502"/>
      <c r="EA817" s="114" t="str">
        <f>$EB$63</f>
        <v>Evaporator</v>
      </c>
      <c r="EB817" s="450"/>
      <c r="EC817" s="451"/>
      <c r="ED817" s="451"/>
      <c r="EE817" s="452"/>
      <c r="EF817" s="453"/>
      <c r="EG817" s="502"/>
    </row>
    <row r="818" spans="53:137">
      <c r="BA818" s="114" t="str">
        <f>$BB$62</f>
        <v>Electrowinning cell</v>
      </c>
      <c r="BB818" s="449" t="s">
        <v>470</v>
      </c>
      <c r="BC818" s="120"/>
      <c r="BD818" s="454"/>
      <c r="BE818" s="120"/>
      <c r="BF818" s="440"/>
      <c r="CA818" s="114" t="str">
        <f>$CB$62</f>
        <v>Precipitation tank</v>
      </c>
      <c r="CB818" s="449" t="s">
        <v>470</v>
      </c>
      <c r="CC818" s="120"/>
      <c r="CD818" s="454"/>
      <c r="CE818" s="120"/>
      <c r="CF818" s="440"/>
      <c r="DA818" s="114" t="str">
        <f>$DB$62</f>
        <v>Water treatment</v>
      </c>
      <c r="DB818" s="449" t="s">
        <v>470</v>
      </c>
      <c r="DC818" s="120"/>
      <c r="DD818" s="454"/>
      <c r="DE818" s="120"/>
      <c r="DF818" s="440"/>
      <c r="EA818" s="114" t="str">
        <f>$EB$64</f>
        <v>Precipitation tank</v>
      </c>
      <c r="EB818" s="449" t="s">
        <v>470</v>
      </c>
      <c r="EC818" s="120"/>
      <c r="ED818" s="454"/>
      <c r="EE818" s="120"/>
      <c r="EF818" s="440"/>
    </row>
    <row r="819" spans="53:137" ht="14.5" customHeight="1">
      <c r="BA819" s="114" t="str">
        <f>$BB$63</f>
        <v>Solvent extraction unit</v>
      </c>
      <c r="BB819" s="1698"/>
      <c r="BC819" s="1699"/>
      <c r="BD819" s="1699"/>
      <c r="BE819" s="1699"/>
      <c r="BF819" s="1700"/>
      <c r="BG819" s="503"/>
      <c r="CA819" s="114" t="str">
        <f>$CB$63</f>
        <v>Centrifuge</v>
      </c>
      <c r="CB819" s="1698"/>
      <c r="CC819" s="1699"/>
      <c r="CD819" s="1699"/>
      <c r="CE819" s="1699"/>
      <c r="CF819" s="1700"/>
      <c r="CG819" s="503"/>
      <c r="DA819" s="114" t="str">
        <f>$DB$63</f>
        <v>Wheel loader</v>
      </c>
      <c r="DB819" s="1698"/>
      <c r="DC819" s="1699"/>
      <c r="DD819" s="1699"/>
      <c r="DE819" s="1699"/>
      <c r="DF819" s="1700"/>
      <c r="DG819" s="503"/>
      <c r="EA819" s="114" t="str">
        <f>$EB$65</f>
        <v>Centrifuge</v>
      </c>
      <c r="EB819" s="1698"/>
      <c r="EC819" s="1699"/>
      <c r="ED819" s="1699"/>
      <c r="EE819" s="1699"/>
      <c r="EF819" s="1700"/>
      <c r="EG819" s="503"/>
    </row>
    <row r="820" spans="53:137">
      <c r="BA820" s="114" t="str">
        <f>$BB$64</f>
        <v>Solvent extraction unit</v>
      </c>
      <c r="BB820" s="436"/>
      <c r="BC820" s="120"/>
      <c r="BD820" s="455"/>
      <c r="BE820" s="120"/>
      <c r="BF820" s="440"/>
      <c r="BG820" s="503"/>
      <c r="CA820" s="114" t="str">
        <f>$CB$64</f>
        <v>Dryer</v>
      </c>
      <c r="CB820" s="436"/>
      <c r="CC820" s="120"/>
      <c r="CD820" s="455"/>
      <c r="CE820" s="120"/>
      <c r="CF820" s="440"/>
      <c r="CG820" s="503"/>
      <c r="DA820" s="114" t="str">
        <f>$DB$64</f>
        <v>Select Equipment</v>
      </c>
      <c r="DB820" s="436"/>
      <c r="DC820" s="120"/>
      <c r="DD820" s="455"/>
      <c r="DE820" s="120"/>
      <c r="DF820" s="440"/>
      <c r="DG820" s="503"/>
      <c r="EA820" s="114" t="str">
        <f>$EB$66</f>
        <v>Dryer</v>
      </c>
      <c r="EB820" s="436"/>
      <c r="EC820" s="120"/>
      <c r="ED820" s="455"/>
      <c r="EE820" s="120"/>
      <c r="EF820" s="440"/>
      <c r="EG820" s="503"/>
    </row>
    <row r="821" spans="53:137">
      <c r="BA821" s="114" t="str">
        <f>$BB$65</f>
        <v>Wheel loader</v>
      </c>
      <c r="BB821" s="436"/>
      <c r="BC821" s="120"/>
      <c r="BD821" s="455"/>
      <c r="BE821" s="120"/>
      <c r="BF821" s="440"/>
      <c r="BG821" s="503"/>
      <c r="CA821" s="114" t="str">
        <f>$CB$65</f>
        <v>Water treatment</v>
      </c>
      <c r="CB821" s="436"/>
      <c r="CC821" s="120"/>
      <c r="CD821" s="455"/>
      <c r="CE821" s="120"/>
      <c r="CF821" s="440"/>
      <c r="CG821" s="503"/>
      <c r="DA821" s="114" t="str">
        <f>$DB$65</f>
        <v>Select Equipment</v>
      </c>
      <c r="DB821" s="436"/>
      <c r="DC821" s="120"/>
      <c r="DD821" s="455"/>
      <c r="DE821" s="120"/>
      <c r="DF821" s="440"/>
      <c r="DG821" s="503"/>
      <c r="EA821" s="114" t="str">
        <f>$EB$67</f>
        <v>Water treatment</v>
      </c>
      <c r="EB821" s="436"/>
      <c r="EC821" s="120"/>
      <c r="ED821" s="455"/>
      <c r="EE821" s="120"/>
      <c r="EF821" s="440"/>
      <c r="EG821" s="503"/>
    </row>
    <row r="822" spans="53:137">
      <c r="BA822" s="114" t="str">
        <f>$BB$66</f>
        <v>Water treatment</v>
      </c>
      <c r="BB822" s="456"/>
      <c r="BC822" s="457"/>
      <c r="BD822" s="457"/>
      <c r="BE822" s="457"/>
      <c r="BF822" s="458"/>
      <c r="BG822" s="314"/>
      <c r="CA822" s="114" t="str">
        <f>$CB$66</f>
        <v>Wheel loader</v>
      </c>
      <c r="CB822" s="456"/>
      <c r="CC822" s="457"/>
      <c r="CD822" s="457"/>
      <c r="CE822" s="457"/>
      <c r="CF822" s="458"/>
      <c r="CG822" s="314"/>
      <c r="DA822" s="114" t="str">
        <f>$DB$66</f>
        <v>Select Equipment</v>
      </c>
      <c r="DB822" s="456"/>
      <c r="DC822" s="457"/>
      <c r="DD822" s="457"/>
      <c r="DE822" s="457"/>
      <c r="DF822" s="458"/>
      <c r="DG822" s="314"/>
      <c r="EA822" s="114" t="str">
        <f>$EB$68</f>
        <v>Wheel loader</v>
      </c>
      <c r="EB822" s="456"/>
      <c r="EC822" s="457"/>
      <c r="ED822" s="457"/>
      <c r="EE822" s="457"/>
      <c r="EF822" s="458"/>
      <c r="EG822" s="314"/>
    </row>
    <row r="823" spans="53:137">
      <c r="BA823" s="114" t="str">
        <f>$BB$67</f>
        <v>Select Equipment</v>
      </c>
      <c r="BB823" s="449" t="s">
        <v>471</v>
      </c>
      <c r="BC823" s="120"/>
      <c r="BD823" s="454"/>
      <c r="BE823" s="120"/>
      <c r="BF823" s="440"/>
      <c r="BG823" s="409"/>
      <c r="CA823" s="114" t="str">
        <f>$CB$67</f>
        <v>Select Equipment</v>
      </c>
      <c r="CB823" s="449" t="s">
        <v>471</v>
      </c>
      <c r="CC823" s="120"/>
      <c r="CD823" s="454"/>
      <c r="CE823" s="120"/>
      <c r="CF823" s="440"/>
      <c r="CG823" s="409"/>
      <c r="DA823" s="114" t="str">
        <f>$DB$67</f>
        <v>Select Equipment</v>
      </c>
      <c r="DB823" s="449" t="s">
        <v>471</v>
      </c>
      <c r="DC823" s="120"/>
      <c r="DD823" s="454"/>
      <c r="DE823" s="120"/>
      <c r="DF823" s="440"/>
      <c r="DG823" s="409"/>
      <c r="EA823" s="114" t="str">
        <f>$EB$69</f>
        <v>Select Equipment</v>
      </c>
      <c r="EB823" s="449" t="s">
        <v>471</v>
      </c>
      <c r="EC823" s="120"/>
      <c r="ED823" s="454"/>
      <c r="EE823" s="120"/>
      <c r="EF823" s="440"/>
      <c r="EG823" s="409"/>
    </row>
    <row r="824" spans="53:137">
      <c r="BA824" s="114" t="str">
        <f>$BB$68</f>
        <v>Select Equipment</v>
      </c>
      <c r="BB824" s="436" t="s">
        <v>577</v>
      </c>
      <c r="BC824" s="225">
        <f>BC813*IF(BC811&gt;1,1,BC811)</f>
        <v>661.37566137566125</v>
      </c>
      <c r="BD824" s="446" t="s">
        <v>454</v>
      </c>
      <c r="BE824" s="120"/>
      <c r="BF824" s="440"/>
      <c r="BG824" s="409"/>
      <c r="CA824" s="114" t="str">
        <f>$CB$68</f>
        <v>Select Equipment</v>
      </c>
      <c r="CB824" s="436" t="s">
        <v>577</v>
      </c>
      <c r="CC824" s="225">
        <f>CC813*IF(CC811&gt;1,1,CC811)</f>
        <v>9.7286366601435095</v>
      </c>
      <c r="CD824" s="446" t="s">
        <v>454</v>
      </c>
      <c r="CE824" s="120"/>
      <c r="CF824" s="440"/>
      <c r="CG824" s="409"/>
      <c r="DA824" s="114" t="str">
        <f>$DB$68</f>
        <v>Select Equipment</v>
      </c>
      <c r="DB824" s="436" t="s">
        <v>577</v>
      </c>
      <c r="DC824" s="225">
        <f>DC813*IF(DC811&gt;1,1,DC811)</f>
        <v>1.8391437526824013</v>
      </c>
      <c r="DD824" s="446" t="s">
        <v>454</v>
      </c>
      <c r="DE824" s="120"/>
      <c r="DF824" s="440"/>
      <c r="DG824" s="409"/>
      <c r="EA824" s="114" t="str">
        <f>$EB$70</f>
        <v>Select Equipment</v>
      </c>
      <c r="EB824" s="436" t="s">
        <v>577</v>
      </c>
      <c r="EC824" s="225">
        <f>EC813*IF(EC811&gt;1,1,EC811)</f>
        <v>9.7096354166666679</v>
      </c>
      <c r="ED824" s="446" t="s">
        <v>454</v>
      </c>
      <c r="EE824" s="120"/>
      <c r="EF824" s="440"/>
      <c r="EG824" s="409"/>
    </row>
    <row r="825" spans="53:137">
      <c r="BA825" s="114" t="str">
        <f>$BB$69</f>
        <v>Select Equipment</v>
      </c>
      <c r="BB825" s="436" t="s">
        <v>578</v>
      </c>
      <c r="BC825" s="225"/>
      <c r="BD825" s="446" t="s">
        <v>579</v>
      </c>
      <c r="BE825" s="120"/>
      <c r="BF825" s="440"/>
      <c r="BG825" s="409"/>
      <c r="CA825" s="114" t="str">
        <f>$CB$69</f>
        <v>Select Equipment</v>
      </c>
      <c r="CB825" s="436" t="s">
        <v>578</v>
      </c>
      <c r="CC825" s="225"/>
      <c r="CD825" s="446" t="s">
        <v>579</v>
      </c>
      <c r="CE825" s="120"/>
      <c r="CF825" s="440"/>
      <c r="CG825" s="409"/>
      <c r="DA825" s="114" t="str">
        <f>$DB$69</f>
        <v>Select Equipment</v>
      </c>
      <c r="DB825" s="436" t="s">
        <v>578</v>
      </c>
      <c r="DC825" s="225"/>
      <c r="DD825" s="446" t="s">
        <v>579</v>
      </c>
      <c r="DE825" s="120"/>
      <c r="DF825" s="440"/>
      <c r="DG825" s="409"/>
      <c r="EA825" s="114" t="str">
        <f>$EB$71</f>
        <v>Select Equipment</v>
      </c>
      <c r="EB825" s="436" t="s">
        <v>578</v>
      </c>
      <c r="EC825" s="225"/>
      <c r="ED825" s="446" t="s">
        <v>579</v>
      </c>
      <c r="EE825" s="120"/>
      <c r="EF825" s="440"/>
      <c r="EG825" s="409"/>
    </row>
    <row r="826" spans="53:137">
      <c r="BA826" s="114" t="str">
        <f>$BB$70</f>
        <v>Select Equipment</v>
      </c>
      <c r="BB826" s="436"/>
      <c r="BC826" s="120"/>
      <c r="BD826" s="446"/>
      <c r="BE826" s="120"/>
      <c r="BF826" s="440"/>
      <c r="BG826" s="409"/>
      <c r="CA826" s="114" t="str">
        <f>$CB$70</f>
        <v>Select Equipment</v>
      </c>
      <c r="CB826" s="436"/>
      <c r="CC826" s="120"/>
      <c r="CD826" s="446"/>
      <c r="CE826" s="120"/>
      <c r="CF826" s="440"/>
      <c r="CG826" s="409"/>
      <c r="DA826" s="114" t="str">
        <f>$DB$70</f>
        <v>Select Equipment</v>
      </c>
      <c r="DB826" s="436"/>
      <c r="DC826" s="120"/>
      <c r="DD826" s="446"/>
      <c r="DE826" s="120"/>
      <c r="DF826" s="440"/>
      <c r="DG826" s="409"/>
      <c r="EA826" s="114" t="str">
        <f>$EB$72</f>
        <v>Select Equipment</v>
      </c>
      <c r="EB826" s="436"/>
      <c r="EC826" s="120"/>
      <c r="ED826" s="446"/>
      <c r="EE826" s="120"/>
      <c r="EF826" s="440"/>
      <c r="EG826" s="409"/>
    </row>
    <row r="827" spans="53:137">
      <c r="BA827" s="114" t="str">
        <f>$BB$71</f>
        <v>Select Equipment</v>
      </c>
      <c r="BB827" s="436" t="s">
        <v>8</v>
      </c>
      <c r="BC827" s="120"/>
      <c r="BD827" s="459" t="s">
        <v>564</v>
      </c>
      <c r="BE827" s="120"/>
      <c r="BF827" s="440"/>
      <c r="BG827" s="409"/>
      <c r="CA827" s="114" t="str">
        <f>$CB$71</f>
        <v>Select Equipment</v>
      </c>
      <c r="CB827" s="436" t="s">
        <v>8</v>
      </c>
      <c r="CC827" s="120"/>
      <c r="CD827" s="459" t="s">
        <v>564</v>
      </c>
      <c r="CE827" s="120"/>
      <c r="CF827" s="440"/>
      <c r="CG827" s="409"/>
      <c r="DA827" s="114" t="str">
        <f>$DB$71</f>
        <v>Select Equipment</v>
      </c>
      <c r="DB827" s="436" t="s">
        <v>8</v>
      </c>
      <c r="DC827" s="120"/>
      <c r="DD827" s="459" t="s">
        <v>564</v>
      </c>
      <c r="DE827" s="120"/>
      <c r="DF827" s="440"/>
      <c r="DG827" s="409"/>
      <c r="EA827" s="114" t="str">
        <f>$EB$73</f>
        <v>Select Equipment</v>
      </c>
      <c r="EB827" s="436" t="s">
        <v>8</v>
      </c>
      <c r="EC827" s="120"/>
      <c r="ED827" s="459" t="s">
        <v>564</v>
      </c>
      <c r="EE827" s="120"/>
      <c r="EF827" s="440"/>
      <c r="EG827" s="409"/>
    </row>
    <row r="828" spans="53:137">
      <c r="BA828" s="114" t="str">
        <f>$BB$72</f>
        <v>Select Equipment</v>
      </c>
      <c r="BB828" s="436"/>
      <c r="BC828" s="120"/>
      <c r="BD828" s="459"/>
      <c r="BE828" s="120"/>
      <c r="BF828" s="440"/>
      <c r="BG828" s="409"/>
      <c r="CA828" s="114" t="str">
        <f>$CB$72</f>
        <v>Select Equipment</v>
      </c>
      <c r="CB828" s="436"/>
      <c r="CC828" s="120"/>
      <c r="CD828" s="459"/>
      <c r="CE828" s="120"/>
      <c r="CF828" s="440"/>
      <c r="CG828" s="409"/>
      <c r="DA828" s="114" t="str">
        <f>$DB$72</f>
        <v>Select Equipment</v>
      </c>
      <c r="DB828" s="436"/>
      <c r="DC828" s="120"/>
      <c r="DD828" s="459"/>
      <c r="DE828" s="120"/>
      <c r="DF828" s="440"/>
      <c r="DG828" s="409"/>
      <c r="EA828" s="114" t="str">
        <f>$EB$74</f>
        <v>Select Equipment</v>
      </c>
      <c r="EB828" s="436"/>
      <c r="EC828" s="120"/>
      <c r="ED828" s="459"/>
      <c r="EE828" s="120"/>
      <c r="EF828" s="440"/>
      <c r="EG828" s="409"/>
    </row>
    <row r="829" spans="53:137">
      <c r="BA829" s="114" t="str">
        <f>$BB$73</f>
        <v>Select Equipment</v>
      </c>
      <c r="BB829" s="436" t="s">
        <v>7</v>
      </c>
      <c r="BC829" s="120"/>
      <c r="BD829" s="459" t="s">
        <v>564</v>
      </c>
      <c r="BE829" s="120"/>
      <c r="BF829" s="440"/>
      <c r="BG829" s="409"/>
      <c r="CA829" s="114" t="str">
        <f>$CB$73</f>
        <v>Select Equipment</v>
      </c>
      <c r="CB829" s="436" t="s">
        <v>7</v>
      </c>
      <c r="CC829" s="120"/>
      <c r="CD829" s="459" t="s">
        <v>564</v>
      </c>
      <c r="CE829" s="120"/>
      <c r="CF829" s="440"/>
      <c r="CG829" s="409"/>
      <c r="DA829" s="114" t="str">
        <f>$DB$73</f>
        <v>Select Equipment</v>
      </c>
      <c r="DB829" s="436" t="s">
        <v>7</v>
      </c>
      <c r="DC829" s="120"/>
      <c r="DD829" s="459" t="s">
        <v>564</v>
      </c>
      <c r="DE829" s="120"/>
      <c r="DF829" s="440"/>
      <c r="DG829" s="409"/>
      <c r="EA829" s="114" t="str">
        <f>$EB$75</f>
        <v>Select Equipment</v>
      </c>
      <c r="EB829" s="436" t="s">
        <v>7</v>
      </c>
      <c r="EC829" s="120"/>
      <c r="ED829" s="459" t="s">
        <v>564</v>
      </c>
      <c r="EE829" s="120"/>
      <c r="EF829" s="440"/>
      <c r="EG829" s="409"/>
    </row>
    <row r="830" spans="53:137">
      <c r="BA830" s="114" t="str">
        <f>$BB$74</f>
        <v>Select Equipment</v>
      </c>
      <c r="BB830" s="436"/>
      <c r="BC830" s="120"/>
      <c r="BD830" s="459"/>
      <c r="BE830" s="120"/>
      <c r="BF830" s="440"/>
      <c r="BG830" s="409"/>
      <c r="CA830" s="114" t="str">
        <f>$CB$74</f>
        <v>Select Equipment</v>
      </c>
      <c r="CB830" s="436"/>
      <c r="CC830" s="120"/>
      <c r="CD830" s="459"/>
      <c r="CE830" s="120"/>
      <c r="CF830" s="440"/>
      <c r="CG830" s="409"/>
      <c r="DA830" s="114" t="str">
        <f>$DB$74</f>
        <v>Select Equipment</v>
      </c>
      <c r="DB830" s="436"/>
      <c r="DC830" s="120"/>
      <c r="DD830" s="459"/>
      <c r="DE830" s="120"/>
      <c r="DF830" s="440"/>
      <c r="DG830" s="409"/>
      <c r="EA830" s="114" t="str">
        <f>$EB$76</f>
        <v>Select Equipment</v>
      </c>
      <c r="EB830" s="436"/>
      <c r="EC830" s="120"/>
      <c r="ED830" s="459"/>
      <c r="EE830" s="120"/>
      <c r="EF830" s="440"/>
      <c r="EG830" s="409"/>
    </row>
    <row r="831" spans="53:137">
      <c r="BA831" s="114" t="str">
        <f>$BB$75</f>
        <v>Select Equipment</v>
      </c>
      <c r="BB831" s="436" t="s">
        <v>9</v>
      </c>
      <c r="BC831" s="120"/>
      <c r="BD831" s="459" t="s">
        <v>564</v>
      </c>
      <c r="BE831" s="120"/>
      <c r="BF831" s="440"/>
      <c r="BG831" s="409"/>
      <c r="CA831" s="114" t="str">
        <f>$CB$75</f>
        <v>Select Equipment</v>
      </c>
      <c r="CB831" s="436" t="s">
        <v>9</v>
      </c>
      <c r="CC831" s="120"/>
      <c r="CD831" s="459" t="s">
        <v>564</v>
      </c>
      <c r="CE831" s="120"/>
      <c r="CF831" s="440"/>
      <c r="CG831" s="409"/>
      <c r="DA831" s="114" t="str">
        <f>$DB$75</f>
        <v>Select Equipment</v>
      </c>
      <c r="DB831" s="436" t="s">
        <v>9</v>
      </c>
      <c r="DC831" s="120"/>
      <c r="DD831" s="459" t="s">
        <v>564</v>
      </c>
      <c r="DE831" s="120"/>
      <c r="DF831" s="440"/>
      <c r="DG831" s="409"/>
      <c r="EA831" s="114" t="str">
        <f>$EB$77</f>
        <v>Select Equipment</v>
      </c>
      <c r="EB831" s="436" t="s">
        <v>9</v>
      </c>
      <c r="EC831" s="120"/>
      <c r="ED831" s="459" t="s">
        <v>564</v>
      </c>
      <c r="EE831" s="120"/>
      <c r="EF831" s="440"/>
      <c r="EG831" s="409"/>
    </row>
    <row r="832" spans="53:137">
      <c r="BA832" s="114" t="str">
        <f>$BB$76</f>
        <v>Select Equipment</v>
      </c>
      <c r="BB832" s="436"/>
      <c r="BC832" s="120"/>
      <c r="BD832" s="459"/>
      <c r="BE832" s="120"/>
      <c r="BF832" s="440"/>
      <c r="BG832" s="409"/>
      <c r="CA832" s="114" t="str">
        <f>$CB$76</f>
        <v>Select Equipment</v>
      </c>
      <c r="CB832" s="436"/>
      <c r="CC832" s="120"/>
      <c r="CD832" s="459"/>
      <c r="CE832" s="120"/>
      <c r="CF832" s="440"/>
      <c r="CG832" s="409"/>
      <c r="DA832" s="114" t="str">
        <f>$DB$76</f>
        <v>Select Equipment</v>
      </c>
      <c r="DB832" s="436"/>
      <c r="DC832" s="120"/>
      <c r="DD832" s="459"/>
      <c r="DE832" s="120"/>
      <c r="DF832" s="440"/>
      <c r="DG832" s="409"/>
      <c r="EA832" s="114" t="str">
        <f>$EB$78</f>
        <v>Select Equipment</v>
      </c>
      <c r="EB832" s="436"/>
      <c r="EC832" s="120"/>
      <c r="ED832" s="459"/>
      <c r="EE832" s="120"/>
      <c r="EF832" s="440"/>
      <c r="EG832" s="409"/>
    </row>
    <row r="833" spans="53:137">
      <c r="BA833" s="114" t="str">
        <f>$BB$77</f>
        <v>Select Equipment</v>
      </c>
      <c r="BB833" s="436" t="s">
        <v>324</v>
      </c>
      <c r="BC833" s="120"/>
      <c r="BD833" s="459" t="s">
        <v>564</v>
      </c>
      <c r="BE833" s="120"/>
      <c r="BF833" s="440" t="s">
        <v>569</v>
      </c>
      <c r="BG833" s="409"/>
      <c r="CA833" s="114" t="str">
        <f>$CB$77</f>
        <v>Select Equipment</v>
      </c>
      <c r="CB833" s="436" t="s">
        <v>324</v>
      </c>
      <c r="CC833" s="120"/>
      <c r="CD833" s="459" t="s">
        <v>564</v>
      </c>
      <c r="CE833" s="120"/>
      <c r="CF833" s="440" t="s">
        <v>569</v>
      </c>
      <c r="CG833" s="409"/>
      <c r="DA833" s="114" t="str">
        <f>$DB$77</f>
        <v>Select Equipment</v>
      </c>
      <c r="DB833" s="436" t="s">
        <v>324</v>
      </c>
      <c r="DC833" s="120"/>
      <c r="DD833" s="459" t="s">
        <v>564</v>
      </c>
      <c r="DE833" s="120"/>
      <c r="DF833" s="440" t="s">
        <v>569</v>
      </c>
      <c r="DG833" s="409"/>
      <c r="EA833" s="114" t="str">
        <f>$EB$79</f>
        <v>Select Equipment</v>
      </c>
      <c r="EB833" s="436" t="s">
        <v>324</v>
      </c>
      <c r="EC833" s="120"/>
      <c r="ED833" s="459" t="s">
        <v>564</v>
      </c>
      <c r="EE833" s="120"/>
      <c r="EF833" s="440" t="s">
        <v>569</v>
      </c>
      <c r="EG833" s="409"/>
    </row>
    <row r="834" spans="53:137">
      <c r="BA834" s="114" t="str">
        <f>$BB$78</f>
        <v>Select Equipment</v>
      </c>
      <c r="BB834" s="436"/>
      <c r="BC834" s="120"/>
      <c r="BD834" s="468"/>
      <c r="BE834" s="469"/>
      <c r="BF834" s="440"/>
      <c r="BG834" s="409"/>
      <c r="CA834" s="114" t="str">
        <f>$CB$78</f>
        <v>Select Equipment</v>
      </c>
      <c r="CB834" s="436"/>
      <c r="CC834" s="120"/>
      <c r="CD834" s="468"/>
      <c r="CE834" s="469"/>
      <c r="CF834" s="440"/>
      <c r="CG834" s="409"/>
      <c r="DA834" s="114" t="str">
        <f>$DB$78</f>
        <v>Select Equipment</v>
      </c>
      <c r="DB834" s="436"/>
      <c r="DC834" s="120"/>
      <c r="DD834" s="468"/>
      <c r="DE834" s="469"/>
      <c r="DF834" s="440"/>
      <c r="DG834" s="409"/>
      <c r="EA834" s="114" t="str">
        <f>$EB$80</f>
        <v>Select Equipment</v>
      </c>
      <c r="EB834" s="436"/>
      <c r="EC834" s="120"/>
      <c r="ED834" s="468"/>
      <c r="EE834" s="469"/>
      <c r="EF834" s="440"/>
      <c r="EG834" s="409"/>
    </row>
    <row r="835" spans="53:137">
      <c r="BA835" s="114" t="str">
        <f>$BB$79</f>
        <v>Select Equipment</v>
      </c>
      <c r="BB835" s="436" t="s">
        <v>374</v>
      </c>
      <c r="BC835" s="120"/>
      <c r="BD835" s="459" t="s">
        <v>564</v>
      </c>
      <c r="BE835" s="469"/>
      <c r="BF835" s="440" t="s">
        <v>569</v>
      </c>
      <c r="BG835" s="409"/>
      <c r="CA835" s="114" t="str">
        <f>$CB$79</f>
        <v>Select Equipment</v>
      </c>
      <c r="CB835" s="436" t="s">
        <v>374</v>
      </c>
      <c r="CC835" s="120"/>
      <c r="CD835" s="459" t="s">
        <v>564</v>
      </c>
      <c r="CE835" s="469"/>
      <c r="CF835" s="440" t="s">
        <v>569</v>
      </c>
      <c r="CG835" s="409"/>
      <c r="DA835" s="114" t="str">
        <f>$DB$79</f>
        <v>Select Equipment</v>
      </c>
      <c r="DB835" s="436" t="s">
        <v>374</v>
      </c>
      <c r="DC835" s="120"/>
      <c r="DD835" s="459" t="s">
        <v>564</v>
      </c>
      <c r="DE835" s="469"/>
      <c r="DF835" s="440" t="s">
        <v>569</v>
      </c>
      <c r="DG835" s="409"/>
      <c r="EA835" s="114" t="str">
        <f>$EB$81</f>
        <v>Select Equipment</v>
      </c>
      <c r="EB835" s="436" t="s">
        <v>374</v>
      </c>
      <c r="EC835" s="120"/>
      <c r="ED835" s="459" t="s">
        <v>564</v>
      </c>
      <c r="EE835" s="469"/>
      <c r="EF835" s="440" t="s">
        <v>569</v>
      </c>
      <c r="EG835" s="409"/>
    </row>
    <row r="836" spans="53:137">
      <c r="BA836" s="114" t="str">
        <f>$BB$80</f>
        <v>Select Equipment</v>
      </c>
      <c r="BB836" s="436"/>
      <c r="BC836" s="120"/>
      <c r="BD836" s="472"/>
      <c r="BE836" s="473"/>
      <c r="BF836" s="440"/>
      <c r="BG836" s="409"/>
      <c r="CA836" s="114" t="str">
        <f>$CB$80</f>
        <v>Select Equipment</v>
      </c>
      <c r="CB836" s="436"/>
      <c r="CC836" s="120"/>
      <c r="CD836" s="472"/>
      <c r="CE836" s="473"/>
      <c r="CF836" s="440"/>
      <c r="CG836" s="409"/>
      <c r="DA836" s="114" t="str">
        <f>$DB$80</f>
        <v>Select Equipment</v>
      </c>
      <c r="DB836" s="436"/>
      <c r="DC836" s="120"/>
      <c r="DD836" s="472"/>
      <c r="DE836" s="473"/>
      <c r="DF836" s="440"/>
      <c r="DG836" s="409"/>
      <c r="EA836" s="114" t="str">
        <f>$EB$82</f>
        <v>Select Equipment</v>
      </c>
      <c r="EB836" s="436"/>
      <c r="EC836" s="120"/>
      <c r="ED836" s="472"/>
      <c r="EE836" s="473"/>
      <c r="EF836" s="440"/>
      <c r="EG836" s="409"/>
    </row>
    <row r="837" spans="53:137">
      <c r="BA837" s="114" t="str">
        <f>$BB$81</f>
        <v>Select Equipment</v>
      </c>
      <c r="BB837" s="436" t="s">
        <v>580</v>
      </c>
      <c r="BC837" s="120"/>
      <c r="BD837" s="459" t="s">
        <v>564</v>
      </c>
      <c r="BE837" s="473"/>
      <c r="BF837" s="440" t="s">
        <v>569</v>
      </c>
      <c r="BG837" s="119"/>
      <c r="CA837" s="114" t="str">
        <f>$CB$81</f>
        <v>Select Equipment</v>
      </c>
      <c r="CB837" s="436" t="s">
        <v>580</v>
      </c>
      <c r="CC837" s="120"/>
      <c r="CD837" s="459" t="s">
        <v>564</v>
      </c>
      <c r="CE837" s="473"/>
      <c r="CF837" s="440" t="s">
        <v>569</v>
      </c>
      <c r="CG837" s="119"/>
      <c r="DA837" s="114" t="str">
        <f>$DB$81</f>
        <v>Select Equipment</v>
      </c>
      <c r="DB837" s="436" t="s">
        <v>580</v>
      </c>
      <c r="DC837" s="120"/>
      <c r="DD837" s="459" t="s">
        <v>564</v>
      </c>
      <c r="DE837" s="473"/>
      <c r="DF837" s="440" t="s">
        <v>569</v>
      </c>
      <c r="DG837" s="119"/>
      <c r="EA837" s="114" t="str">
        <f>$EB$83</f>
        <v>Select Equipment</v>
      </c>
      <c r="EB837" s="436" t="s">
        <v>580</v>
      </c>
      <c r="EC837" s="120"/>
      <c r="ED837" s="459" t="s">
        <v>564</v>
      </c>
      <c r="EE837" s="473"/>
      <c r="EF837" s="440" t="s">
        <v>569</v>
      </c>
      <c r="EG837" s="119"/>
    </row>
    <row r="838" spans="53:137">
      <c r="BA838" s="114" t="str">
        <f>$BB$82</f>
        <v>Select Equipment</v>
      </c>
      <c r="BB838" s="476"/>
      <c r="BC838" s="477"/>
      <c r="BD838" s="478"/>
      <c r="BE838" s="479"/>
      <c r="BF838" s="458"/>
      <c r="BG838" s="503"/>
      <c r="CA838" s="114" t="str">
        <f>$CB$82</f>
        <v>Select Equipment</v>
      </c>
      <c r="CB838" s="476"/>
      <c r="CC838" s="477"/>
      <c r="CD838" s="478"/>
      <c r="CE838" s="479"/>
      <c r="CF838" s="458"/>
      <c r="CG838" s="503"/>
      <c r="DA838" s="114" t="str">
        <f>$DB$82</f>
        <v>Select Equipment</v>
      </c>
      <c r="DB838" s="476"/>
      <c r="DC838" s="477"/>
      <c r="DD838" s="478"/>
      <c r="DE838" s="479"/>
      <c r="DF838" s="458"/>
      <c r="DG838" s="503"/>
      <c r="EA838" s="114" t="str">
        <f>$EB$84</f>
        <v>Select Equipment</v>
      </c>
      <c r="EB838" s="476"/>
      <c r="EC838" s="477"/>
      <c r="ED838" s="478"/>
      <c r="EE838" s="479"/>
      <c r="EF838" s="458"/>
      <c r="EG838" s="503"/>
    </row>
    <row r="839" spans="53:137">
      <c r="BA839" s="114" t="str">
        <f>$BB$83</f>
        <v>Select Equipment</v>
      </c>
      <c r="BB839" s="449" t="s">
        <v>473</v>
      </c>
      <c r="BC839" s="467" t="s">
        <v>508</v>
      </c>
      <c r="BD839" s="480"/>
      <c r="BE839" s="481" t="s">
        <v>308</v>
      </c>
      <c r="BF839" s="440"/>
      <c r="BG839" s="496"/>
      <c r="CA839" s="114" t="str">
        <f>$CB$83</f>
        <v>Select Equipment</v>
      </c>
      <c r="CB839" s="449" t="s">
        <v>473</v>
      </c>
      <c r="CC839" s="467" t="s">
        <v>508</v>
      </c>
      <c r="CD839" s="480"/>
      <c r="CE839" s="481" t="s">
        <v>308</v>
      </c>
      <c r="CF839" s="440"/>
      <c r="CG839" s="496"/>
      <c r="DA839" s="114" t="str">
        <f>$DB$83</f>
        <v>Select Equipment</v>
      </c>
      <c r="DB839" s="449" t="s">
        <v>473</v>
      </c>
      <c r="DC839" s="467" t="s">
        <v>508</v>
      </c>
      <c r="DD839" s="480"/>
      <c r="DE839" s="481" t="s">
        <v>308</v>
      </c>
      <c r="DF839" s="440"/>
      <c r="DG839" s="496"/>
      <c r="EA839" s="114" t="str">
        <f>$EB$85</f>
        <v>Select Equipment</v>
      </c>
      <c r="EB839" s="449" t="s">
        <v>473</v>
      </c>
      <c r="EC839" s="467" t="s">
        <v>508</v>
      </c>
      <c r="ED839" s="480"/>
      <c r="EE839" s="481" t="s">
        <v>308</v>
      </c>
      <c r="EF839" s="440"/>
      <c r="EG839" s="496"/>
    </row>
    <row r="840" spans="53:137">
      <c r="BB840" s="436"/>
      <c r="BC840" s="483"/>
      <c r="BD840" s="480"/>
      <c r="BE840" s="484"/>
      <c r="BF840" s="440"/>
      <c r="BG840" s="474"/>
      <c r="CB840" s="436"/>
      <c r="CC840" s="483"/>
      <c r="CD840" s="480"/>
      <c r="CE840" s="484"/>
      <c r="CF840" s="440"/>
      <c r="CG840" s="474"/>
      <c r="DB840" s="436"/>
      <c r="DC840" s="483"/>
      <c r="DD840" s="480"/>
      <c r="DE840" s="484"/>
      <c r="DF840" s="440"/>
      <c r="DG840" s="474"/>
      <c r="EB840" s="436"/>
      <c r="EC840" s="483"/>
      <c r="ED840" s="480"/>
      <c r="EE840" s="484"/>
      <c r="EF840" s="440"/>
      <c r="EG840" s="474"/>
    </row>
    <row r="841" spans="53:137">
      <c r="BB841" s="436"/>
      <c r="BC841" s="120"/>
      <c r="BD841" s="223"/>
      <c r="BE841" s="467"/>
      <c r="BF841" s="440"/>
      <c r="BG841" s="474"/>
      <c r="CB841" s="436"/>
      <c r="CC841" s="120"/>
      <c r="CD841" s="223"/>
      <c r="CE841" s="467"/>
      <c r="CF841" s="440"/>
      <c r="CG841" s="474"/>
      <c r="DB841" s="436"/>
      <c r="DC841" s="120"/>
      <c r="DD841" s="223"/>
      <c r="DE841" s="467"/>
      <c r="DF841" s="440"/>
      <c r="DG841" s="474"/>
      <c r="EB841" s="436"/>
      <c r="EC841" s="120"/>
      <c r="ED841" s="223"/>
      <c r="EE841" s="467"/>
      <c r="EF841" s="440"/>
      <c r="EG841" s="474"/>
    </row>
    <row r="842" spans="53:137">
      <c r="BB842" s="436"/>
      <c r="BC842" s="120"/>
      <c r="BD842" s="466"/>
      <c r="BE842" s="467"/>
      <c r="BF842" s="440"/>
      <c r="BG842" s="482"/>
      <c r="CB842" s="436"/>
      <c r="CC842" s="120"/>
      <c r="CD842" s="466"/>
      <c r="CE842" s="467"/>
      <c r="CF842" s="440"/>
      <c r="CG842" s="482"/>
      <c r="DB842" s="436"/>
      <c r="DC842" s="120"/>
      <c r="DD842" s="466"/>
      <c r="DE842" s="467"/>
      <c r="DF842" s="440"/>
      <c r="DG842" s="482"/>
      <c r="EB842" s="436"/>
      <c r="EC842" s="120"/>
      <c r="ED842" s="466"/>
      <c r="EE842" s="467"/>
      <c r="EF842" s="440"/>
      <c r="EG842" s="482"/>
    </row>
    <row r="843" spans="53:137">
      <c r="BB843" s="436"/>
      <c r="BC843" s="120"/>
      <c r="BD843" s="223"/>
      <c r="BE843" s="467"/>
      <c r="BF843" s="440"/>
      <c r="BG843" s="496"/>
      <c r="BJ843" s="504"/>
      <c r="BK843" s="504"/>
      <c r="BL843" s="504"/>
      <c r="BM843" s="504"/>
      <c r="CB843" s="436"/>
      <c r="CC843" s="120"/>
      <c r="CD843" s="223"/>
      <c r="CE843" s="467"/>
      <c r="CF843" s="440"/>
      <c r="CG843" s="496"/>
      <c r="DB843" s="436"/>
      <c r="DC843" s="120"/>
      <c r="DD843" s="223"/>
      <c r="DE843" s="467"/>
      <c r="DF843" s="440"/>
      <c r="DG843" s="496"/>
      <c r="EB843" s="436"/>
      <c r="EC843" s="120"/>
      <c r="ED843" s="223"/>
      <c r="EE843" s="467"/>
      <c r="EF843" s="440"/>
      <c r="EG843" s="496"/>
    </row>
    <row r="844" spans="53:137">
      <c r="BB844" s="436"/>
      <c r="BC844" s="120"/>
      <c r="BD844" s="223"/>
      <c r="BE844" s="467"/>
      <c r="BF844" s="440"/>
      <c r="BG844" s="505"/>
      <c r="BJ844" s="506"/>
      <c r="BK844" s="506"/>
      <c r="BL844" s="506"/>
      <c r="BM844" s="506"/>
      <c r="CB844" s="436"/>
      <c r="CC844" s="120"/>
      <c r="CD844" s="223"/>
      <c r="CE844" s="467"/>
      <c r="CF844" s="440"/>
      <c r="CG844" s="505"/>
      <c r="DB844" s="436"/>
      <c r="DC844" s="120"/>
      <c r="DD844" s="223"/>
      <c r="DE844" s="467"/>
      <c r="DF844" s="440"/>
      <c r="DG844" s="505"/>
      <c r="EB844" s="436"/>
      <c r="EC844" s="120"/>
      <c r="ED844" s="223"/>
      <c r="EE844" s="467"/>
      <c r="EF844" s="440"/>
      <c r="EG844" s="505"/>
    </row>
    <row r="845" spans="53:137">
      <c r="BB845" s="436"/>
      <c r="BC845" s="120"/>
      <c r="BD845" s="471"/>
      <c r="BE845" s="467"/>
      <c r="BF845" s="440"/>
      <c r="BG845" s="507"/>
      <c r="BJ845" s="506"/>
      <c r="BK845" s="506"/>
      <c r="BL845" s="506"/>
      <c r="BM845" s="506"/>
      <c r="CB845" s="436"/>
      <c r="CC845" s="120"/>
      <c r="CD845" s="471"/>
      <c r="CE845" s="467"/>
      <c r="CF845" s="440"/>
      <c r="CG845" s="507"/>
      <c r="DB845" s="436"/>
      <c r="DC845" s="120"/>
      <c r="DD845" s="471"/>
      <c r="DE845" s="467"/>
      <c r="DF845" s="440"/>
      <c r="DG845" s="507"/>
      <c r="EB845" s="436"/>
      <c r="EC845" s="120"/>
      <c r="ED845" s="471"/>
      <c r="EE845" s="467"/>
      <c r="EF845" s="440"/>
      <c r="EG845" s="507"/>
    </row>
    <row r="846" spans="53:137">
      <c r="BB846" s="436"/>
      <c r="BC846" s="120"/>
      <c r="BD846" s="223"/>
      <c r="BE846" s="467"/>
      <c r="BF846" s="440"/>
      <c r="BG846" s="266"/>
      <c r="BJ846" s="506"/>
      <c r="BK846" s="506"/>
      <c r="BL846" s="506"/>
      <c r="BM846" s="506"/>
      <c r="CB846" s="436"/>
      <c r="CC846" s="120"/>
      <c r="CD846" s="223"/>
      <c r="CE846" s="467"/>
      <c r="CF846" s="440"/>
      <c r="CG846" s="266"/>
      <c r="DB846" s="436"/>
      <c r="DC846" s="120"/>
      <c r="DD846" s="223"/>
      <c r="DE846" s="467"/>
      <c r="DF846" s="440"/>
      <c r="DG846" s="266"/>
      <c r="EB846" s="436"/>
      <c r="EC846" s="120"/>
      <c r="ED846" s="223"/>
      <c r="EE846" s="467"/>
      <c r="EF846" s="440"/>
      <c r="EG846" s="266"/>
    </row>
    <row r="847" spans="53:137">
      <c r="BB847" s="436"/>
      <c r="BC847" s="120"/>
      <c r="BD847" s="475"/>
      <c r="BE847" s="467"/>
      <c r="BF847" s="440"/>
      <c r="BG847" s="507"/>
      <c r="BJ847" s="506"/>
      <c r="BK847" s="506"/>
      <c r="BL847" s="506"/>
      <c r="BM847" s="506"/>
      <c r="CB847" s="436"/>
      <c r="CC847" s="120"/>
      <c r="CD847" s="475"/>
      <c r="CE847" s="467"/>
      <c r="CF847" s="440"/>
      <c r="CG847" s="507"/>
      <c r="DB847" s="436"/>
      <c r="DC847" s="120"/>
      <c r="DD847" s="475"/>
      <c r="DE847" s="467"/>
      <c r="DF847" s="440"/>
      <c r="DG847" s="507"/>
      <c r="EB847" s="436"/>
      <c r="EC847" s="120"/>
      <c r="ED847" s="475"/>
      <c r="EE847" s="467"/>
      <c r="EF847" s="440"/>
      <c r="EG847" s="507"/>
    </row>
    <row r="848" spans="53:137">
      <c r="BB848" s="436"/>
      <c r="BC848" s="120"/>
      <c r="BD848" s="223"/>
      <c r="BE848" s="467"/>
      <c r="BF848" s="440"/>
      <c r="BG848" s="507"/>
      <c r="BJ848" s="506"/>
      <c r="BK848" s="506"/>
      <c r="BL848" s="506"/>
      <c r="BM848" s="506"/>
      <c r="CB848" s="436"/>
      <c r="CC848" s="120"/>
      <c r="CD848" s="223"/>
      <c r="CE848" s="467"/>
      <c r="CF848" s="440"/>
      <c r="CG848" s="507"/>
      <c r="DB848" s="436"/>
      <c r="DC848" s="120"/>
      <c r="DD848" s="223"/>
      <c r="DE848" s="467"/>
      <c r="DF848" s="440"/>
      <c r="DG848" s="507"/>
      <c r="EB848" s="436"/>
      <c r="EC848" s="120"/>
      <c r="ED848" s="223"/>
      <c r="EE848" s="467"/>
      <c r="EF848" s="440"/>
      <c r="EG848" s="507"/>
    </row>
    <row r="849" spans="54:137">
      <c r="BB849" s="436"/>
      <c r="BC849" s="120"/>
      <c r="BD849" s="223"/>
      <c r="BE849" s="467"/>
      <c r="BF849" s="440"/>
      <c r="BG849" s="507"/>
      <c r="BJ849" s="506"/>
      <c r="BK849" s="506"/>
      <c r="BL849" s="506"/>
      <c r="BM849" s="506"/>
      <c r="CB849" s="436"/>
      <c r="CC849" s="120"/>
      <c r="CD849" s="223"/>
      <c r="CE849" s="467"/>
      <c r="CF849" s="440"/>
      <c r="CG849" s="507"/>
      <c r="DB849" s="436"/>
      <c r="DC849" s="120"/>
      <c r="DD849" s="223"/>
      <c r="DE849" s="467"/>
      <c r="DF849" s="440"/>
      <c r="DG849" s="507"/>
      <c r="EB849" s="436"/>
      <c r="EC849" s="120"/>
      <c r="ED849" s="223"/>
      <c r="EE849" s="467"/>
      <c r="EF849" s="440"/>
      <c r="EG849" s="507"/>
    </row>
    <row r="850" spans="54:137">
      <c r="BB850" s="436"/>
      <c r="BC850" s="120"/>
      <c r="BD850" s="223"/>
      <c r="BE850" s="467"/>
      <c r="BF850" s="440"/>
      <c r="BG850" s="507"/>
      <c r="BJ850" s="506"/>
      <c r="BK850" s="506"/>
      <c r="BL850" s="506"/>
      <c r="BM850" s="506"/>
      <c r="CB850" s="436"/>
      <c r="CC850" s="120"/>
      <c r="CD850" s="223"/>
      <c r="CE850" s="467"/>
      <c r="CF850" s="440"/>
      <c r="CG850" s="507"/>
      <c r="DB850" s="436"/>
      <c r="DC850" s="120"/>
      <c r="DD850" s="223"/>
      <c r="DE850" s="467"/>
      <c r="DF850" s="440"/>
      <c r="DG850" s="507"/>
      <c r="EB850" s="436"/>
      <c r="EC850" s="120"/>
      <c r="ED850" s="223"/>
      <c r="EE850" s="467"/>
      <c r="EF850" s="440"/>
      <c r="EG850" s="507"/>
    </row>
    <row r="851" spans="54:137">
      <c r="BB851" s="436"/>
      <c r="BC851" s="120"/>
      <c r="BD851" s="223"/>
      <c r="BE851" s="467"/>
      <c r="BF851" s="440"/>
      <c r="BG851" s="508"/>
      <c r="BJ851" s="506"/>
      <c r="BK851" s="506"/>
      <c r="BL851" s="506"/>
      <c r="BM851" s="506"/>
      <c r="CB851" s="436"/>
      <c r="CC851" s="120"/>
      <c r="CD851" s="223"/>
      <c r="CE851" s="467"/>
      <c r="CF851" s="440"/>
      <c r="CG851" s="508"/>
      <c r="DB851" s="436"/>
      <c r="DC851" s="120"/>
      <c r="DD851" s="223"/>
      <c r="DE851" s="467"/>
      <c r="DF851" s="440"/>
      <c r="DG851" s="508"/>
      <c r="EB851" s="436"/>
      <c r="EC851" s="120"/>
      <c r="ED851" s="223"/>
      <c r="EE851" s="467"/>
      <c r="EF851" s="440"/>
      <c r="EG851" s="508"/>
    </row>
    <row r="852" spans="54:137">
      <c r="BB852" s="436"/>
      <c r="BC852" s="120"/>
      <c r="BD852" s="120"/>
      <c r="BE852" s="467"/>
      <c r="BF852" s="440"/>
      <c r="BG852" s="507"/>
      <c r="BJ852" s="506"/>
      <c r="BK852" s="506"/>
      <c r="BL852" s="506"/>
      <c r="BM852" s="506"/>
      <c r="CB852" s="436"/>
      <c r="CC852" s="120"/>
      <c r="CD852" s="120"/>
      <c r="CE852" s="467"/>
      <c r="CF852" s="440"/>
      <c r="CG852" s="507"/>
      <c r="DB852" s="436"/>
      <c r="DC852" s="120"/>
      <c r="DD852" s="120"/>
      <c r="DE852" s="467"/>
      <c r="DF852" s="440"/>
      <c r="DG852" s="507"/>
      <c r="EB852" s="436"/>
      <c r="EC852" s="120"/>
      <c r="ED852" s="120"/>
      <c r="EE852" s="467"/>
      <c r="EF852" s="440"/>
      <c r="EG852" s="507"/>
    </row>
    <row r="853" spans="54:137">
      <c r="BB853" s="456"/>
      <c r="BC853" s="457"/>
      <c r="BD853" s="457"/>
      <c r="BE853" s="477"/>
      <c r="BF853" s="458"/>
      <c r="BG853" s="266"/>
      <c r="BJ853" s="506"/>
      <c r="BK853" s="506"/>
      <c r="BL853" s="506"/>
      <c r="BM853" s="506"/>
      <c r="CB853" s="456"/>
      <c r="CC853" s="457"/>
      <c r="CD853" s="457"/>
      <c r="CE853" s="477"/>
      <c r="CF853" s="458"/>
      <c r="CG853" s="266"/>
      <c r="DB853" s="456"/>
      <c r="DC853" s="457"/>
      <c r="DD853" s="457"/>
      <c r="DE853" s="477"/>
      <c r="DF853" s="458"/>
      <c r="DG853" s="266"/>
      <c r="EB853" s="456"/>
      <c r="EC853" s="457"/>
      <c r="ED853" s="457"/>
      <c r="EE853" s="477"/>
      <c r="EF853" s="458"/>
      <c r="EG853" s="266"/>
    </row>
    <row r="854" spans="54:137">
      <c r="BB854" s="449" t="s">
        <v>474</v>
      </c>
      <c r="BC854" s="120"/>
      <c r="BD854" s="120" t="s">
        <v>1</v>
      </c>
      <c r="BE854" s="310" t="s">
        <v>307</v>
      </c>
      <c r="BF854" s="440"/>
      <c r="BG854" s="119"/>
      <c r="BJ854" s="506"/>
      <c r="BK854" s="506"/>
      <c r="BL854" s="506"/>
      <c r="BM854" s="506"/>
      <c r="CB854" s="449" t="s">
        <v>474</v>
      </c>
      <c r="CC854" s="120"/>
      <c r="CD854" s="120" t="s">
        <v>1</v>
      </c>
      <c r="CE854" s="310" t="s">
        <v>307</v>
      </c>
      <c r="CF854" s="440"/>
      <c r="CG854" s="119"/>
      <c r="DB854" s="449" t="s">
        <v>474</v>
      </c>
      <c r="DC854" s="120"/>
      <c r="DD854" s="120" t="s">
        <v>1</v>
      </c>
      <c r="DE854" s="310" t="s">
        <v>307</v>
      </c>
      <c r="DF854" s="440"/>
      <c r="DG854" s="119"/>
      <c r="EB854" s="449" t="s">
        <v>474</v>
      </c>
      <c r="EC854" s="120"/>
      <c r="ED854" s="120" t="s">
        <v>1</v>
      </c>
      <c r="EE854" s="310" t="s">
        <v>307</v>
      </c>
      <c r="EF854" s="440"/>
      <c r="EG854" s="119"/>
    </row>
    <row r="855" spans="54:137">
      <c r="BB855" s="436"/>
      <c r="BC855" s="223"/>
      <c r="BD855" s="480"/>
      <c r="BE855" s="484"/>
      <c r="BF855" s="440"/>
      <c r="BG855" s="509"/>
      <c r="BJ855" s="506"/>
      <c r="BK855" s="506"/>
      <c r="BL855" s="506"/>
      <c r="BM855" s="506"/>
      <c r="CB855" s="436"/>
      <c r="CC855" s="223"/>
      <c r="CD855" s="480"/>
      <c r="CE855" s="484"/>
      <c r="CF855" s="440"/>
      <c r="CG855" s="509"/>
      <c r="DB855" s="436"/>
      <c r="DC855" s="223"/>
      <c r="DD855" s="480"/>
      <c r="DE855" s="484"/>
      <c r="DF855" s="440"/>
      <c r="DG855" s="509"/>
      <c r="EB855" s="436"/>
      <c r="EC855" s="223"/>
      <c r="ED855" s="480"/>
      <c r="EE855" s="484"/>
      <c r="EF855" s="440"/>
      <c r="EG855" s="509"/>
    </row>
    <row r="856" spans="54:137">
      <c r="BB856" s="436"/>
      <c r="BC856" s="120"/>
      <c r="BD856" s="120"/>
      <c r="BE856" s="467"/>
      <c r="BF856" s="440"/>
      <c r="BG856" s="510"/>
      <c r="BJ856" s="506"/>
      <c r="BK856" s="506"/>
      <c r="BL856" s="506"/>
      <c r="BM856" s="506"/>
      <c r="CB856" s="436"/>
      <c r="CC856" s="120"/>
      <c r="CD856" s="120"/>
      <c r="CE856" s="467"/>
      <c r="CF856" s="440"/>
      <c r="CG856" s="510"/>
      <c r="DB856" s="436"/>
      <c r="DC856" s="120"/>
      <c r="DD856" s="120"/>
      <c r="DE856" s="467"/>
      <c r="DF856" s="440"/>
      <c r="DG856" s="510"/>
      <c r="EB856" s="436"/>
      <c r="EC856" s="120"/>
      <c r="ED856" s="120"/>
      <c r="EE856" s="467"/>
      <c r="EF856" s="440"/>
      <c r="EG856" s="510"/>
    </row>
    <row r="857" spans="54:137">
      <c r="BB857" s="436"/>
      <c r="BC857" s="120"/>
      <c r="BD857" s="120"/>
      <c r="BE857" s="467"/>
      <c r="BF857" s="440"/>
      <c r="BG857" s="509"/>
      <c r="BJ857" s="506"/>
      <c r="BK857" s="506"/>
      <c r="BL857" s="506"/>
      <c r="BM857" s="506"/>
      <c r="CB857" s="436"/>
      <c r="CC857" s="120"/>
      <c r="CD857" s="120"/>
      <c r="CE857" s="467"/>
      <c r="CF857" s="440"/>
      <c r="CG857" s="509"/>
      <c r="DB857" s="436"/>
      <c r="DC857" s="120"/>
      <c r="DD857" s="120"/>
      <c r="DE857" s="467"/>
      <c r="DF857" s="440"/>
      <c r="DG857" s="509"/>
      <c r="EB857" s="436"/>
      <c r="EC857" s="120"/>
      <c r="ED857" s="120"/>
      <c r="EE857" s="467"/>
      <c r="EF857" s="440"/>
      <c r="EG857" s="509"/>
    </row>
    <row r="858" spans="54:137">
      <c r="BB858" s="436"/>
      <c r="BC858" s="120"/>
      <c r="BD858" s="120"/>
      <c r="BE858" s="467"/>
      <c r="BF858" s="440"/>
      <c r="BG858" s="510"/>
      <c r="BJ858" s="506"/>
      <c r="BK858" s="506"/>
      <c r="BL858" s="506"/>
      <c r="BM858" s="506"/>
      <c r="CB858" s="436"/>
      <c r="CC858" s="120"/>
      <c r="CD858" s="120"/>
      <c r="CE858" s="467"/>
      <c r="CF858" s="440"/>
      <c r="CG858" s="510"/>
      <c r="DB858" s="436"/>
      <c r="DC858" s="120"/>
      <c r="DD858" s="120"/>
      <c r="DE858" s="467"/>
      <c r="DF858" s="440"/>
      <c r="DG858" s="510"/>
      <c r="EB858" s="436"/>
      <c r="EC858" s="120"/>
      <c r="ED858" s="120"/>
      <c r="EE858" s="467"/>
      <c r="EF858" s="440"/>
      <c r="EG858" s="510"/>
    </row>
    <row r="859" spans="54:137">
      <c r="BB859" s="436"/>
      <c r="BC859" s="120"/>
      <c r="BD859" s="120"/>
      <c r="BE859" s="467"/>
      <c r="BF859" s="440"/>
      <c r="BG859" s="510"/>
      <c r="BJ859" s="506"/>
      <c r="BK859" s="506"/>
      <c r="BL859" s="506"/>
      <c r="BM859" s="506"/>
      <c r="CB859" s="436"/>
      <c r="CC859" s="120"/>
      <c r="CD859" s="120"/>
      <c r="CE859" s="467"/>
      <c r="CF859" s="440"/>
      <c r="CG859" s="510"/>
      <c r="DB859" s="436"/>
      <c r="DC859" s="120"/>
      <c r="DD859" s="120"/>
      <c r="DE859" s="467"/>
      <c r="DF859" s="440"/>
      <c r="DG859" s="510"/>
      <c r="EB859" s="436"/>
      <c r="EC859" s="120"/>
      <c r="ED859" s="120"/>
      <c r="EE859" s="467"/>
      <c r="EF859" s="440"/>
      <c r="EG859" s="510"/>
    </row>
    <row r="860" spans="54:137">
      <c r="BB860" s="436"/>
      <c r="BC860" s="120"/>
      <c r="BD860" s="120"/>
      <c r="BE860" s="467"/>
      <c r="BF860" s="440"/>
      <c r="BG860" s="511"/>
      <c r="BJ860" s="506"/>
      <c r="BK860" s="506"/>
      <c r="BL860" s="506"/>
      <c r="BM860" s="506"/>
      <c r="CB860" s="436"/>
      <c r="CC860" s="120"/>
      <c r="CD860" s="120"/>
      <c r="CE860" s="467"/>
      <c r="CF860" s="440"/>
      <c r="CG860" s="511"/>
      <c r="DB860" s="436"/>
      <c r="DC860" s="120"/>
      <c r="DD860" s="120"/>
      <c r="DE860" s="467"/>
      <c r="DF860" s="440"/>
      <c r="DG860" s="511"/>
      <c r="EB860" s="436"/>
      <c r="EC860" s="120"/>
      <c r="ED860" s="120"/>
      <c r="EE860" s="467"/>
      <c r="EF860" s="440"/>
      <c r="EG860" s="511"/>
    </row>
    <row r="861" spans="54:137">
      <c r="BB861" s="436"/>
      <c r="BC861" s="120"/>
      <c r="BD861" s="120"/>
      <c r="BE861" s="467"/>
      <c r="BF861" s="440"/>
      <c r="BG861" s="511"/>
      <c r="BJ861" s="506"/>
      <c r="BK861" s="506"/>
      <c r="BL861" s="506"/>
      <c r="BM861" s="506"/>
      <c r="CB861" s="436"/>
      <c r="CC861" s="120"/>
      <c r="CD861" s="120"/>
      <c r="CE861" s="467"/>
      <c r="CF861" s="440"/>
      <c r="CG861" s="511"/>
      <c r="DB861" s="436"/>
      <c r="DC861" s="120"/>
      <c r="DD861" s="120"/>
      <c r="DE861" s="467"/>
      <c r="DF861" s="440"/>
      <c r="DG861" s="511"/>
      <c r="EB861" s="436"/>
      <c r="EC861" s="120"/>
      <c r="ED861" s="120"/>
      <c r="EE861" s="467"/>
      <c r="EF861" s="440"/>
      <c r="EG861" s="511"/>
    </row>
    <row r="862" spans="54:137">
      <c r="BB862" s="436"/>
      <c r="BC862" s="120"/>
      <c r="BD862" s="120"/>
      <c r="BE862" s="467"/>
      <c r="BF862" s="440"/>
      <c r="BG862" s="470"/>
      <c r="BJ862" s="506"/>
      <c r="BK862" s="506"/>
      <c r="BL862" s="506"/>
      <c r="BM862" s="506"/>
      <c r="CB862" s="436"/>
      <c r="CC862" s="120"/>
      <c r="CD862" s="120"/>
      <c r="CE862" s="467"/>
      <c r="CF862" s="440"/>
      <c r="CG862" s="470"/>
      <c r="DB862" s="436"/>
      <c r="DC862" s="120"/>
      <c r="DD862" s="120"/>
      <c r="DE862" s="467"/>
      <c r="DF862" s="440"/>
      <c r="DG862" s="470"/>
      <c r="EB862" s="436"/>
      <c r="EC862" s="120"/>
      <c r="ED862" s="120"/>
      <c r="EE862" s="467"/>
      <c r="EF862" s="440"/>
      <c r="EG862" s="470"/>
    </row>
    <row r="863" spans="54:137">
      <c r="BB863" s="436"/>
      <c r="BC863" s="120"/>
      <c r="BD863" s="120"/>
      <c r="BE863" s="467"/>
      <c r="BF863" s="440"/>
      <c r="BG863" s="510"/>
      <c r="BJ863" s="506"/>
      <c r="BK863" s="506"/>
      <c r="BL863" s="506"/>
      <c r="BM863" s="506"/>
      <c r="CB863" s="436"/>
      <c r="CC863" s="120"/>
      <c r="CD863" s="120"/>
      <c r="CE863" s="467"/>
      <c r="CF863" s="440"/>
      <c r="CG863" s="510"/>
      <c r="DB863" s="436"/>
      <c r="DC863" s="120"/>
      <c r="DD863" s="120"/>
      <c r="DE863" s="467"/>
      <c r="DF863" s="440"/>
      <c r="DG863" s="510"/>
      <c r="EB863" s="436"/>
      <c r="EC863" s="120"/>
      <c r="ED863" s="120"/>
      <c r="EE863" s="467"/>
      <c r="EF863" s="440"/>
      <c r="EG863" s="510"/>
    </row>
    <row r="864" spans="54:137">
      <c r="BB864" s="436"/>
      <c r="BC864" s="120"/>
      <c r="BD864" s="120"/>
      <c r="BE864" s="467"/>
      <c r="BF864" s="440"/>
      <c r="BG864" s="496"/>
      <c r="BJ864" s="506"/>
      <c r="BK864" s="506"/>
      <c r="BL864" s="506"/>
      <c r="BM864" s="506"/>
      <c r="CB864" s="436"/>
      <c r="CC864" s="120"/>
      <c r="CD864" s="120"/>
      <c r="CE864" s="467"/>
      <c r="CF864" s="440"/>
      <c r="CG864" s="496"/>
      <c r="DB864" s="436"/>
      <c r="DC864" s="120"/>
      <c r="DD864" s="120"/>
      <c r="DE864" s="467"/>
      <c r="DF864" s="440"/>
      <c r="DG864" s="496"/>
      <c r="EB864" s="436"/>
      <c r="EC864" s="120"/>
      <c r="ED864" s="120"/>
      <c r="EE864" s="467"/>
      <c r="EF864" s="440"/>
      <c r="EG864" s="496"/>
    </row>
    <row r="865" spans="54:137">
      <c r="BB865" s="436"/>
      <c r="BC865" s="120"/>
      <c r="BD865" s="120"/>
      <c r="BE865" s="467"/>
      <c r="BF865" s="440"/>
      <c r="BG865" s="511"/>
      <c r="BJ865" s="506"/>
      <c r="BK865" s="506"/>
      <c r="BL865" s="506"/>
      <c r="BM865" s="506"/>
      <c r="CB865" s="436"/>
      <c r="CC865" s="120"/>
      <c r="CD865" s="120"/>
      <c r="CE865" s="467"/>
      <c r="CF865" s="440"/>
      <c r="CG865" s="511"/>
      <c r="DB865" s="436"/>
      <c r="DC865" s="120"/>
      <c r="DD865" s="120"/>
      <c r="DE865" s="467"/>
      <c r="DF865" s="440"/>
      <c r="DG865" s="511"/>
      <c r="EB865" s="436"/>
      <c r="EC865" s="120"/>
      <c r="ED865" s="120"/>
      <c r="EE865" s="467"/>
      <c r="EF865" s="440"/>
      <c r="EG865" s="511"/>
    </row>
    <row r="866" spans="54:137">
      <c r="BB866" s="436"/>
      <c r="BC866" s="120"/>
      <c r="BD866" s="120"/>
      <c r="BE866" s="467"/>
      <c r="BF866" s="440"/>
      <c r="BG866" s="496"/>
      <c r="BJ866" s="506"/>
      <c r="BK866" s="506"/>
      <c r="BL866" s="506"/>
      <c r="BM866" s="506"/>
      <c r="CB866" s="436"/>
      <c r="CC866" s="120"/>
      <c r="CD866" s="120"/>
      <c r="CE866" s="467"/>
      <c r="CF866" s="440"/>
      <c r="CG866" s="496"/>
      <c r="DB866" s="436"/>
      <c r="DC866" s="120"/>
      <c r="DD866" s="120"/>
      <c r="DE866" s="467"/>
      <c r="DF866" s="440"/>
      <c r="DG866" s="496"/>
      <c r="EB866" s="436"/>
      <c r="EC866" s="120"/>
      <c r="ED866" s="120"/>
      <c r="EE866" s="467"/>
      <c r="EF866" s="440"/>
      <c r="EG866" s="496"/>
    </row>
    <row r="867" spans="54:137">
      <c r="BB867" s="456"/>
      <c r="BC867" s="457"/>
      <c r="BD867" s="457"/>
      <c r="BE867" s="477"/>
      <c r="BF867" s="458"/>
      <c r="BG867" s="482"/>
      <c r="BJ867" s="506"/>
      <c r="BK867" s="506"/>
      <c r="BL867" s="506"/>
      <c r="BM867" s="506"/>
      <c r="CB867" s="456"/>
      <c r="CC867" s="457"/>
      <c r="CD867" s="457"/>
      <c r="CE867" s="477"/>
      <c r="CF867" s="458"/>
      <c r="CG867" s="482"/>
      <c r="DB867" s="456"/>
      <c r="DC867" s="457"/>
      <c r="DD867" s="457"/>
      <c r="DE867" s="477"/>
      <c r="DF867" s="458"/>
      <c r="DG867" s="482"/>
      <c r="EB867" s="456"/>
      <c r="EC867" s="457"/>
      <c r="ED867" s="457"/>
      <c r="EE867" s="477"/>
      <c r="EF867" s="458"/>
      <c r="EG867" s="482"/>
    </row>
    <row r="868" spans="54:137">
      <c r="BB868" s="456"/>
      <c r="BC868" s="457"/>
      <c r="BD868" s="457"/>
      <c r="BE868" s="457"/>
      <c r="BF868" s="458"/>
      <c r="BG868" s="499"/>
      <c r="BJ868" s="506"/>
      <c r="BK868" s="506"/>
      <c r="BL868" s="506"/>
      <c r="BM868" s="506"/>
      <c r="CB868" s="456"/>
      <c r="CC868" s="457"/>
      <c r="CD868" s="457"/>
      <c r="CE868" s="457"/>
      <c r="CF868" s="458"/>
      <c r="CG868" s="499"/>
      <c r="DB868" s="456"/>
      <c r="DC868" s="457"/>
      <c r="DD868" s="457"/>
      <c r="DE868" s="457"/>
      <c r="DF868" s="458"/>
      <c r="DG868" s="499"/>
      <c r="EB868" s="456"/>
      <c r="EC868" s="457"/>
      <c r="ED868" s="457"/>
      <c r="EE868" s="457"/>
      <c r="EF868" s="458"/>
      <c r="EG868" s="499"/>
    </row>
    <row r="869" spans="54:137">
      <c r="BB869" s="449" t="s">
        <v>475</v>
      </c>
      <c r="BC869" s="120"/>
      <c r="BD869" s="120"/>
      <c r="BE869" s="120"/>
      <c r="BF869" s="440"/>
      <c r="BG869" s="496"/>
      <c r="BJ869" s="506"/>
      <c r="BK869" s="506"/>
      <c r="BL869" s="506"/>
      <c r="BM869" s="506"/>
      <c r="CB869" s="449" t="s">
        <v>475</v>
      </c>
      <c r="CC869" s="120"/>
      <c r="CD869" s="120"/>
      <c r="CE869" s="120"/>
      <c r="CF869" s="440"/>
      <c r="CG869" s="496"/>
      <c r="DB869" s="449" t="s">
        <v>475</v>
      </c>
      <c r="DC869" s="120"/>
      <c r="DD869" s="120"/>
      <c r="DE869" s="120"/>
      <c r="DF869" s="440"/>
      <c r="DG869" s="496"/>
      <c r="EB869" s="449" t="s">
        <v>475</v>
      </c>
      <c r="EC869" s="120"/>
      <c r="ED869" s="120"/>
      <c r="EE869" s="120"/>
      <c r="EF869" s="440"/>
      <c r="EG869" s="496"/>
    </row>
    <row r="870" spans="54:137">
      <c r="BB870" s="436" t="s">
        <v>509</v>
      </c>
      <c r="BC870" s="120"/>
      <c r="BD870" s="120"/>
      <c r="BE870" s="120"/>
      <c r="BF870" s="440"/>
      <c r="BG870" s="496"/>
      <c r="BJ870" s="506"/>
      <c r="BK870" s="506"/>
      <c r="BL870" s="506"/>
      <c r="BM870" s="506"/>
      <c r="CB870" s="436" t="s">
        <v>509</v>
      </c>
      <c r="CC870" s="120"/>
      <c r="CD870" s="120"/>
      <c r="CE870" s="120"/>
      <c r="CF870" s="440"/>
      <c r="CG870" s="496"/>
      <c r="DB870" s="436" t="s">
        <v>509</v>
      </c>
      <c r="DC870" s="120"/>
      <c r="DD870" s="120"/>
      <c r="DE870" s="120"/>
      <c r="DF870" s="440"/>
      <c r="DG870" s="496"/>
      <c r="EB870" s="436" t="s">
        <v>509</v>
      </c>
      <c r="EC870" s="120"/>
      <c r="ED870" s="120"/>
      <c r="EE870" s="120"/>
      <c r="EF870" s="440"/>
      <c r="EG870" s="496"/>
    </row>
    <row r="871" spans="54:137">
      <c r="BB871" s="436" t="s">
        <v>510</v>
      </c>
      <c r="BC871" s="120"/>
      <c r="BD871" s="120"/>
      <c r="BE871" s="120"/>
      <c r="BF871" s="440"/>
      <c r="BG871" s="512"/>
      <c r="BJ871" s="506"/>
      <c r="BK871" s="506"/>
      <c r="BL871" s="506"/>
      <c r="BM871" s="506"/>
      <c r="CB871" s="436" t="s">
        <v>510</v>
      </c>
      <c r="CC871" s="120"/>
      <c r="CD871" s="120"/>
      <c r="CE871" s="120"/>
      <c r="CF871" s="440"/>
      <c r="CG871" s="512"/>
      <c r="DB871" s="436" t="s">
        <v>510</v>
      </c>
      <c r="DC871" s="120"/>
      <c r="DD871" s="120"/>
      <c r="DE871" s="120"/>
      <c r="DF871" s="440"/>
      <c r="DG871" s="512"/>
      <c r="EB871" s="436" t="s">
        <v>510</v>
      </c>
      <c r="EC871" s="120"/>
      <c r="ED871" s="120"/>
      <c r="EE871" s="120"/>
      <c r="EF871" s="440"/>
      <c r="EG871" s="512"/>
    </row>
    <row r="872" spans="54:137">
      <c r="BB872" s="436"/>
      <c r="BC872" s="120"/>
      <c r="BD872" s="120"/>
      <c r="BE872" s="120"/>
      <c r="BF872" s="440"/>
      <c r="BG872" s="499"/>
      <c r="BJ872" s="506"/>
      <c r="BK872" s="506"/>
      <c r="BL872" s="506"/>
      <c r="BM872" s="506"/>
      <c r="CB872" s="436"/>
      <c r="CC872" s="120"/>
      <c r="CD872" s="120"/>
      <c r="CE872" s="120"/>
      <c r="CF872" s="440"/>
      <c r="CG872" s="499"/>
      <c r="DB872" s="436"/>
      <c r="DC872" s="120"/>
      <c r="DD872" s="120"/>
      <c r="DE872" s="120"/>
      <c r="DF872" s="440"/>
      <c r="DG872" s="499"/>
      <c r="EB872" s="436"/>
      <c r="EC872" s="120"/>
      <c r="ED872" s="120"/>
      <c r="EE872" s="120"/>
      <c r="EF872" s="440"/>
      <c r="EG872" s="499"/>
    </row>
    <row r="873" spans="54:137">
      <c r="BB873" s="436"/>
      <c r="BC873" s="120"/>
      <c r="BD873" s="120"/>
      <c r="BE873" s="120"/>
      <c r="BF873" s="440"/>
      <c r="BG873" s="499"/>
      <c r="BJ873" s="506"/>
      <c r="BK873" s="506"/>
      <c r="BL873" s="506"/>
      <c r="BM873" s="506"/>
      <c r="CB873" s="436"/>
      <c r="CC873" s="120"/>
      <c r="CD873" s="120"/>
      <c r="CE873" s="120"/>
      <c r="CF873" s="440"/>
      <c r="CG873" s="499"/>
      <c r="DB873" s="436"/>
      <c r="DC873" s="120"/>
      <c r="DD873" s="120"/>
      <c r="DE873" s="120"/>
      <c r="DF873" s="440"/>
      <c r="DG873" s="499"/>
      <c r="EB873" s="436"/>
      <c r="EC873" s="120"/>
      <c r="ED873" s="120"/>
      <c r="EE873" s="120"/>
      <c r="EF873" s="440"/>
      <c r="EG873" s="499"/>
    </row>
    <row r="874" spans="54:137">
      <c r="BB874" s="436"/>
      <c r="BC874" s="120"/>
      <c r="BD874" s="120"/>
      <c r="BE874" s="120"/>
      <c r="BF874" s="440"/>
      <c r="BJ874" s="506"/>
      <c r="BK874" s="506"/>
      <c r="BL874" s="506"/>
      <c r="BM874" s="506"/>
      <c r="CB874" s="436"/>
      <c r="CC874" s="120"/>
      <c r="CD874" s="120"/>
      <c r="CE874" s="120"/>
      <c r="CF874" s="440"/>
      <c r="DB874" s="436"/>
      <c r="DC874" s="120"/>
      <c r="DD874" s="120"/>
      <c r="DE874" s="120"/>
      <c r="DF874" s="440"/>
      <c r="EB874" s="436"/>
      <c r="EC874" s="120"/>
      <c r="ED874" s="120"/>
      <c r="EE874" s="120"/>
      <c r="EF874" s="440"/>
    </row>
    <row r="875" spans="54:137">
      <c r="BB875" s="436"/>
      <c r="BC875" s="120"/>
      <c r="BD875" s="120"/>
      <c r="BE875" s="120"/>
      <c r="BF875" s="440"/>
      <c r="BJ875" s="506"/>
      <c r="BK875" s="506"/>
      <c r="BL875" s="506"/>
      <c r="BM875" s="506"/>
      <c r="CB875" s="436"/>
      <c r="CC875" s="120"/>
      <c r="CD875" s="120"/>
      <c r="CE875" s="120"/>
      <c r="CF875" s="440"/>
      <c r="DB875" s="436"/>
      <c r="DC875" s="120"/>
      <c r="DD875" s="120"/>
      <c r="DE875" s="120"/>
      <c r="DF875" s="440"/>
      <c r="EB875" s="436"/>
      <c r="EC875" s="120"/>
      <c r="ED875" s="120"/>
      <c r="EE875" s="120"/>
      <c r="EF875" s="440"/>
    </row>
    <row r="876" spans="54:137">
      <c r="BB876" s="436" t="s">
        <v>511</v>
      </c>
      <c r="BC876" s="120">
        <v>0</v>
      </c>
      <c r="BD876" s="120" t="s">
        <v>512</v>
      </c>
      <c r="BE876" s="120"/>
      <c r="BF876" s="440"/>
      <c r="BJ876" s="506"/>
      <c r="BK876" s="506"/>
      <c r="BL876" s="506"/>
      <c r="BM876" s="506"/>
      <c r="CB876" s="436" t="s">
        <v>511</v>
      </c>
      <c r="CC876" s="120">
        <v>0</v>
      </c>
      <c r="CD876" s="120" t="s">
        <v>512</v>
      </c>
      <c r="CE876" s="120"/>
      <c r="CF876" s="440"/>
      <c r="DB876" s="436" t="s">
        <v>511</v>
      </c>
      <c r="DC876" s="120">
        <v>0</v>
      </c>
      <c r="DD876" s="120" t="s">
        <v>512</v>
      </c>
      <c r="DE876" s="120"/>
      <c r="DF876" s="440"/>
      <c r="EB876" s="436" t="s">
        <v>511</v>
      </c>
      <c r="EC876" s="120">
        <v>0</v>
      </c>
      <c r="ED876" s="120" t="s">
        <v>512</v>
      </c>
      <c r="EE876" s="120"/>
      <c r="EF876" s="440"/>
    </row>
    <row r="877" spans="54:137">
      <c r="BB877" s="436" t="s">
        <v>513</v>
      </c>
      <c r="BC877" s="120">
        <v>0</v>
      </c>
      <c r="BD877" s="120" t="s">
        <v>512</v>
      </c>
      <c r="BE877" s="120"/>
      <c r="BF877" s="440"/>
      <c r="BJ877" s="506"/>
      <c r="BK877" s="506"/>
      <c r="BL877" s="506"/>
      <c r="BM877" s="506"/>
      <c r="CB877" s="436" t="s">
        <v>513</v>
      </c>
      <c r="CC877" s="120">
        <v>0</v>
      </c>
      <c r="CD877" s="120" t="s">
        <v>512</v>
      </c>
      <c r="CE877" s="120"/>
      <c r="CF877" s="440"/>
      <c r="DB877" s="436" t="s">
        <v>513</v>
      </c>
      <c r="DC877" s="120">
        <v>0</v>
      </c>
      <c r="DD877" s="120" t="s">
        <v>512</v>
      </c>
      <c r="DE877" s="120"/>
      <c r="DF877" s="440"/>
      <c r="EB877" s="436" t="s">
        <v>513</v>
      </c>
      <c r="EC877" s="120">
        <v>0</v>
      </c>
      <c r="ED877" s="120" t="s">
        <v>512</v>
      </c>
      <c r="EE877" s="120"/>
      <c r="EF877" s="440"/>
    </row>
    <row r="878" spans="54:137">
      <c r="BB878" s="456"/>
      <c r="BC878" s="457"/>
      <c r="BD878" s="457"/>
      <c r="BE878" s="457"/>
      <c r="BF878" s="458"/>
      <c r="BJ878" s="506"/>
      <c r="BK878" s="506"/>
      <c r="BL878" s="506"/>
      <c r="BM878" s="506"/>
      <c r="CB878" s="456"/>
      <c r="CC878" s="457"/>
      <c r="CD878" s="457"/>
      <c r="CE878" s="457"/>
      <c r="CF878" s="458"/>
      <c r="DB878" s="456"/>
      <c r="DC878" s="457"/>
      <c r="DD878" s="457"/>
      <c r="DE878" s="457"/>
      <c r="DF878" s="458"/>
      <c r="EB878" s="456"/>
      <c r="EC878" s="457"/>
      <c r="ED878" s="457"/>
      <c r="EE878" s="457"/>
      <c r="EF878" s="458"/>
    </row>
    <row r="879" spans="54:137">
      <c r="BB879" s="449" t="s">
        <v>461</v>
      </c>
      <c r="BC879" s="120"/>
      <c r="BD879" s="120"/>
      <c r="BE879" s="120"/>
      <c r="BF879" s="440"/>
      <c r="BJ879" s="506"/>
      <c r="BK879" s="506"/>
      <c r="BL879" s="506"/>
      <c r="BM879" s="506"/>
      <c r="CB879" s="449" t="s">
        <v>461</v>
      </c>
      <c r="CC879" s="120"/>
      <c r="CD879" s="120"/>
      <c r="CE879" s="120"/>
      <c r="CF879" s="440"/>
      <c r="DB879" s="449" t="s">
        <v>461</v>
      </c>
      <c r="DC879" s="120"/>
      <c r="DD879" s="120"/>
      <c r="DE879" s="120"/>
      <c r="DF879" s="440"/>
      <c r="EB879" s="449" t="s">
        <v>461</v>
      </c>
      <c r="EC879" s="120"/>
      <c r="ED879" s="120"/>
      <c r="EE879" s="120"/>
      <c r="EF879" s="440"/>
    </row>
    <row r="880" spans="54:137">
      <c r="BB880" s="436" t="s">
        <v>514</v>
      </c>
      <c r="BC880" s="120">
        <f>VLOOKUP(BB808,'Unit Ops'!$B$140:$K$209,10,FALSE)</f>
        <v>12</v>
      </c>
      <c r="BD880" s="120" t="s">
        <v>515</v>
      </c>
      <c r="BE880" s="120"/>
      <c r="BF880" s="440"/>
      <c r="BJ880" s="506"/>
      <c r="BK880" s="506"/>
      <c r="BL880" s="506"/>
      <c r="BM880" s="506"/>
      <c r="CB880" s="436" t="s">
        <v>514</v>
      </c>
      <c r="CC880" s="120">
        <f>VLOOKUP(CB808,'Unit Ops'!$B$140:$K$209,10,FALSE)</f>
        <v>6</v>
      </c>
      <c r="CD880" s="120" t="s">
        <v>515</v>
      </c>
      <c r="CE880" s="120"/>
      <c r="CF880" s="440"/>
      <c r="DB880" s="436" t="s">
        <v>514</v>
      </c>
      <c r="DC880" s="120">
        <f>VLOOKUP(DB808,'Unit Ops'!$B$140:$K$209,10,FALSE)</f>
        <v>6</v>
      </c>
      <c r="DD880" s="120" t="s">
        <v>515</v>
      </c>
      <c r="DE880" s="120"/>
      <c r="DF880" s="440"/>
      <c r="EB880" s="436" t="s">
        <v>514</v>
      </c>
      <c r="EC880" s="120">
        <f>VLOOKUP(EB808,'Unit Ops'!$B$140:$K$209,10,FALSE)</f>
        <v>6</v>
      </c>
      <c r="ED880" s="120" t="s">
        <v>515</v>
      </c>
      <c r="EE880" s="120"/>
      <c r="EF880" s="440"/>
    </row>
    <row r="881" spans="54:136">
      <c r="BB881" s="436" t="s">
        <v>516</v>
      </c>
      <c r="BC881" s="120">
        <v>0</v>
      </c>
      <c r="BD881" s="120" t="s">
        <v>515</v>
      </c>
      <c r="BE881" s="120"/>
      <c r="BF881" s="440"/>
      <c r="BJ881" s="506"/>
      <c r="BK881" s="506"/>
      <c r="BL881" s="506"/>
      <c r="BM881" s="506"/>
      <c r="CB881" s="436" t="s">
        <v>516</v>
      </c>
      <c r="CC881" s="120">
        <v>0</v>
      </c>
      <c r="CD881" s="120" t="s">
        <v>515</v>
      </c>
      <c r="CE881" s="120"/>
      <c r="CF881" s="440"/>
      <c r="DB881" s="436" t="s">
        <v>516</v>
      </c>
      <c r="DC881" s="120">
        <v>0</v>
      </c>
      <c r="DD881" s="120" t="s">
        <v>515</v>
      </c>
      <c r="DE881" s="120"/>
      <c r="DF881" s="440"/>
      <c r="EB881" s="436" t="s">
        <v>516</v>
      </c>
      <c r="EC881" s="120">
        <v>0</v>
      </c>
      <c r="ED881" s="120" t="s">
        <v>515</v>
      </c>
      <c r="EE881" s="120"/>
      <c r="EF881" s="440"/>
    </row>
    <row r="882" spans="54:136">
      <c r="BB882" s="436"/>
      <c r="BC882" s="120"/>
      <c r="BD882" s="120"/>
      <c r="BE882" s="120"/>
      <c r="BF882" s="440"/>
      <c r="BJ882" s="506"/>
      <c r="BK882" s="506"/>
      <c r="BL882" s="506"/>
      <c r="BM882" s="506"/>
      <c r="CB882" s="436"/>
      <c r="CC882" s="120"/>
      <c r="CD882" s="120"/>
      <c r="CE882" s="120"/>
      <c r="CF882" s="440"/>
      <c r="DB882" s="436"/>
      <c r="DC882" s="120"/>
      <c r="DD882" s="120"/>
      <c r="DE882" s="120"/>
      <c r="DF882" s="440"/>
      <c r="EB882" s="436"/>
      <c r="EC882" s="120"/>
      <c r="ED882" s="120"/>
      <c r="EE882" s="120"/>
      <c r="EF882" s="440"/>
    </row>
    <row r="883" spans="54:136">
      <c r="BB883" s="436"/>
      <c r="BC883" s="120"/>
      <c r="BD883" s="120"/>
      <c r="BE883" s="120"/>
      <c r="BF883" s="440"/>
      <c r="BJ883" s="506"/>
      <c r="BK883" s="506"/>
      <c r="BL883" s="506"/>
      <c r="BM883" s="506"/>
      <c r="CB883" s="436"/>
      <c r="CC883" s="120"/>
      <c r="CD883" s="120"/>
      <c r="CE883" s="120"/>
      <c r="CF883" s="440"/>
      <c r="DB883" s="436"/>
      <c r="DC883" s="120"/>
      <c r="DD883" s="120"/>
      <c r="DE883" s="120"/>
      <c r="DF883" s="440"/>
      <c r="EB883" s="436"/>
      <c r="EC883" s="120"/>
      <c r="ED883" s="120"/>
      <c r="EE883" s="120"/>
      <c r="EF883" s="440"/>
    </row>
    <row r="884" spans="54:136">
      <c r="BB884" s="436"/>
      <c r="BC884" s="120"/>
      <c r="BD884" s="120"/>
      <c r="BE884" s="120"/>
      <c r="BF884" s="440"/>
      <c r="BJ884" s="506"/>
      <c r="BK884" s="506"/>
      <c r="BL884" s="506"/>
      <c r="BM884" s="506"/>
      <c r="CB884" s="436"/>
      <c r="CC884" s="120"/>
      <c r="CD884" s="120"/>
      <c r="CE884" s="120"/>
      <c r="CF884" s="440"/>
      <c r="DB884" s="436"/>
      <c r="DC884" s="120"/>
      <c r="DD884" s="120"/>
      <c r="DE884" s="120"/>
      <c r="DF884" s="440"/>
      <c r="EB884" s="436"/>
      <c r="EC884" s="120"/>
      <c r="ED884" s="120"/>
      <c r="EE884" s="120"/>
      <c r="EF884" s="440"/>
    </row>
    <row r="885" spans="54:136">
      <c r="BB885" s="436"/>
      <c r="BC885" s="120"/>
      <c r="BD885" s="120"/>
      <c r="BE885" s="120"/>
      <c r="BF885" s="440"/>
      <c r="BJ885" s="506"/>
      <c r="BK885" s="506"/>
      <c r="BL885" s="506"/>
      <c r="BM885" s="506"/>
      <c r="CB885" s="436"/>
      <c r="CC885" s="120"/>
      <c r="CD885" s="120"/>
      <c r="CE885" s="120"/>
      <c r="CF885" s="440"/>
      <c r="DB885" s="436"/>
      <c r="DC885" s="120"/>
      <c r="DD885" s="120"/>
      <c r="DE885" s="120"/>
      <c r="DF885" s="440"/>
      <c r="EB885" s="436"/>
      <c r="EC885" s="120"/>
      <c r="ED885" s="120"/>
      <c r="EE885" s="120"/>
      <c r="EF885" s="440"/>
    </row>
    <row r="886" spans="54:136">
      <c r="BB886" s="436"/>
      <c r="BC886" s="120"/>
      <c r="BD886" s="120"/>
      <c r="BE886" s="120"/>
      <c r="BF886" s="440"/>
      <c r="BJ886" s="506"/>
      <c r="BK886" s="506"/>
      <c r="BL886" s="506"/>
      <c r="BM886" s="506"/>
      <c r="CB886" s="436"/>
      <c r="CC886" s="120"/>
      <c r="CD886" s="120"/>
      <c r="CE886" s="120"/>
      <c r="CF886" s="440"/>
      <c r="DB886" s="436"/>
      <c r="DC886" s="120"/>
      <c r="DD886" s="120"/>
      <c r="DE886" s="120"/>
      <c r="DF886" s="440"/>
      <c r="EB886" s="436"/>
      <c r="EC886" s="120"/>
      <c r="ED886" s="120"/>
      <c r="EE886" s="120"/>
      <c r="EF886" s="440"/>
    </row>
    <row r="887" spans="54:136">
      <c r="BB887" s="436" t="s">
        <v>464</v>
      </c>
      <c r="BC887" s="120"/>
      <c r="BD887" s="120"/>
      <c r="BE887" s="120"/>
      <c r="BF887" s="440"/>
      <c r="BJ887" s="506"/>
      <c r="BK887" s="506"/>
      <c r="BL887" s="506"/>
      <c r="BM887" s="506"/>
      <c r="CB887" s="436" t="s">
        <v>464</v>
      </c>
      <c r="CC887" s="120"/>
      <c r="CD887" s="120"/>
      <c r="CE887" s="120"/>
      <c r="CF887" s="440"/>
      <c r="DB887" s="436" t="s">
        <v>464</v>
      </c>
      <c r="DC887" s="120"/>
      <c r="DD887" s="120"/>
      <c r="DE887" s="120"/>
      <c r="DF887" s="440"/>
      <c r="EB887" s="436" t="s">
        <v>464</v>
      </c>
      <c r="EC887" s="120"/>
      <c r="ED887" s="120"/>
      <c r="EE887" s="120"/>
      <c r="EF887" s="440"/>
    </row>
    <row r="888" spans="54:136">
      <c r="BB888" s="456"/>
      <c r="BC888" s="457"/>
      <c r="BD888" s="457"/>
      <c r="BE888" s="457"/>
      <c r="BF888" s="458"/>
      <c r="BJ888" s="506"/>
      <c r="BK888" s="506"/>
      <c r="BL888" s="506"/>
      <c r="BM888" s="506"/>
      <c r="CB888" s="456"/>
      <c r="CC888" s="457"/>
      <c r="CD888" s="457"/>
      <c r="CE888" s="457"/>
      <c r="CF888" s="458"/>
      <c r="DB888" s="456"/>
      <c r="DC888" s="457"/>
      <c r="DD888" s="457"/>
      <c r="DE888" s="457"/>
      <c r="DF888" s="458"/>
      <c r="EB888" s="456"/>
      <c r="EC888" s="457"/>
      <c r="ED888" s="457"/>
      <c r="EE888" s="457"/>
      <c r="EF888" s="458"/>
    </row>
    <row r="889" spans="54:136">
      <c r="BB889" s="449" t="s">
        <v>472</v>
      </c>
      <c r="BC889" s="467" t="s">
        <v>517</v>
      </c>
      <c r="BD889" s="120" t="s">
        <v>518</v>
      </c>
      <c r="BE889" s="467" t="s">
        <v>519</v>
      </c>
      <c r="BF889" s="440" t="s">
        <v>518</v>
      </c>
      <c r="BJ889" s="506"/>
      <c r="BK889" s="506"/>
      <c r="BL889" s="506"/>
      <c r="BM889" s="506"/>
      <c r="CB889" s="449" t="s">
        <v>472</v>
      </c>
      <c r="CC889" s="467" t="s">
        <v>517</v>
      </c>
      <c r="CD889" s="120" t="s">
        <v>518</v>
      </c>
      <c r="CE889" s="467" t="s">
        <v>519</v>
      </c>
      <c r="CF889" s="440" t="s">
        <v>518</v>
      </c>
      <c r="DB889" s="449" t="s">
        <v>472</v>
      </c>
      <c r="DC889" s="467" t="s">
        <v>517</v>
      </c>
      <c r="DD889" s="120" t="s">
        <v>518</v>
      </c>
      <c r="DE889" s="467" t="s">
        <v>519</v>
      </c>
      <c r="DF889" s="440" t="s">
        <v>518</v>
      </c>
      <c r="EB889" s="449" t="s">
        <v>472</v>
      </c>
      <c r="EC889" s="467" t="s">
        <v>517</v>
      </c>
      <c r="ED889" s="120" t="s">
        <v>518</v>
      </c>
      <c r="EE889" s="467" t="s">
        <v>519</v>
      </c>
      <c r="EF889" s="440" t="s">
        <v>518</v>
      </c>
    </row>
    <row r="890" spans="54:136">
      <c r="BB890" s="436" t="s">
        <v>520</v>
      </c>
      <c r="BC890" s="120"/>
      <c r="BD890" s="120"/>
      <c r="BE890" s="472">
        <f>((VLOOKUP(BB808,'Unit Ops'!$B$140:$J$209,3,FALSE)*BC810^VLOOKUP(BB808,'Unit Ops'!$B$140:$J$209,4,FALSE)+VLOOKUP(BB808,'Unit Ops'!$B$140:$J$209,5,FALSE))*VLOOKUP(BB808,'Unit Ops'!$B$140:$J$209,6,FALSE))*IF(VLOOKUP(BB808,'Unit Ops'!$B$140:$L$209,11,FALSE)=1,1,2)</f>
        <v>1000000</v>
      </c>
      <c r="BF890" s="490">
        <f>$C$7</f>
        <v>2022</v>
      </c>
      <c r="BJ890" s="506"/>
      <c r="BK890" s="506"/>
      <c r="BL890" s="506"/>
      <c r="BM890" s="506"/>
      <c r="CB890" s="436" t="s">
        <v>520</v>
      </c>
      <c r="CC890" s="120"/>
      <c r="CD890" s="120"/>
      <c r="CE890" s="472">
        <f>((VLOOKUP(CB808,'Unit Ops'!$B$140:$J$209,3,FALSE)*CC810^VLOOKUP(CB808,'Unit Ops'!$B$140:$J$209,4,FALSE)+VLOOKUP(CB808,'Unit Ops'!$B$140:$J$209,5,FALSE))*VLOOKUP(CB808,'Unit Ops'!$B$140:$J$209,6,FALSE))*IF(VLOOKUP(CB808,'Unit Ops'!$B$140:$L$209,11,FALSE)=1,1,2)</f>
        <v>245040.79152924838</v>
      </c>
      <c r="CF890" s="490">
        <f>$C$7</f>
        <v>2022</v>
      </c>
      <c r="DB890" s="436" t="s">
        <v>520</v>
      </c>
      <c r="DC890" s="120"/>
      <c r="DD890" s="120"/>
      <c r="DE890" s="472">
        <f>(((VLOOKUP(DB808,'Unit Ops'!$B$140:$J$209,3,FALSE)*DC810^VLOOKUP(DB808,'Unit Ops'!$B$140:$J$209,4,FALSE)+VLOOKUP(DB808,'Unit Ops'!$B$140:$J$209,5,FALSE))*VLOOKUP(DB808,'Unit Ops'!$B$140:$J$209,6,FALSE))*IF(VLOOKUP(DB808,'Unit Ops'!$B$140:$L$209,11,FALSE)=1,1,2))*(COUNTIF(DB126:DB130,"&lt;&gt;Select Output")-1)</f>
        <v>59164.506636590653</v>
      </c>
      <c r="DF890" s="490">
        <f>$C$7</f>
        <v>2022</v>
      </c>
      <c r="EB890" s="436" t="s">
        <v>520</v>
      </c>
      <c r="EC890" s="120"/>
      <c r="ED890" s="120"/>
      <c r="EE890" s="472">
        <f>((VLOOKUP(EB808,'Unit Ops'!$B$140:$J$209,3,FALSE)*EC810^VLOOKUP(EB808,'Unit Ops'!$B$140:$J$209,4,FALSE)+VLOOKUP(EB808,'Unit Ops'!$B$140:$J$209,5,FALSE))*VLOOKUP(EB808,'Unit Ops'!$B$140:$J$209,6,FALSE))*IF(VLOOKUP(EB808,'Unit Ops'!$B$140:$L$209,11,FALSE)=1,1,2)</f>
        <v>245040.79152924838</v>
      </c>
      <c r="EF890" s="490">
        <f>$C$7</f>
        <v>2022</v>
      </c>
    </row>
    <row r="891" spans="54:136">
      <c r="BB891" s="436"/>
      <c r="BC891" s="120"/>
      <c r="BD891" s="120"/>
      <c r="BE891" s="120"/>
      <c r="BF891" s="440"/>
      <c r="BJ891" s="506"/>
      <c r="BK891" s="506"/>
      <c r="BL891" s="506"/>
      <c r="BM891" s="506"/>
      <c r="CB891" s="436"/>
      <c r="CC891" s="120"/>
      <c r="CD891" s="120"/>
      <c r="CE891" s="120"/>
      <c r="CF891" s="440"/>
      <c r="DB891" s="436"/>
      <c r="DC891" s="120"/>
      <c r="DD891" s="120"/>
      <c r="DE891" s="120"/>
      <c r="DF891" s="440"/>
      <c r="EB891" s="436"/>
      <c r="EC891" s="120"/>
      <c r="ED891" s="120"/>
      <c r="EE891" s="120"/>
      <c r="EF891" s="440"/>
    </row>
    <row r="892" spans="54:136">
      <c r="BB892" s="436"/>
      <c r="BC892" s="120"/>
      <c r="BD892" s="120"/>
      <c r="BE892" s="120"/>
      <c r="BF892" s="440"/>
      <c r="BJ892" s="506"/>
      <c r="BK892" s="506"/>
      <c r="BL892" s="506"/>
      <c r="BM892" s="506"/>
      <c r="CB892" s="436"/>
      <c r="CC892" s="120"/>
      <c r="CD892" s="120"/>
      <c r="CE892" s="120"/>
      <c r="CF892" s="440"/>
      <c r="DB892" s="436"/>
      <c r="DC892" s="120"/>
      <c r="DD892" s="120"/>
      <c r="DE892" s="120"/>
      <c r="DF892" s="440"/>
      <c r="EB892" s="436"/>
      <c r="EC892" s="120"/>
      <c r="ED892" s="120"/>
      <c r="EE892" s="120"/>
      <c r="EF892" s="440"/>
    </row>
    <row r="893" spans="54:136">
      <c r="BB893" s="436"/>
      <c r="BC893" s="120"/>
      <c r="BD893" s="120"/>
      <c r="BE893" s="120"/>
      <c r="BF893" s="440"/>
      <c r="BJ893" s="506"/>
      <c r="BK893" s="506"/>
      <c r="BL893" s="506"/>
      <c r="BM893" s="506"/>
      <c r="CB893" s="436"/>
      <c r="CC893" s="120"/>
      <c r="CD893" s="120"/>
      <c r="CE893" s="120"/>
      <c r="CF893" s="440"/>
      <c r="DB893" s="436"/>
      <c r="DC893" s="120"/>
      <c r="DD893" s="120"/>
      <c r="DE893" s="120"/>
      <c r="DF893" s="440"/>
      <c r="EB893" s="436"/>
      <c r="EC893" s="120"/>
      <c r="ED893" s="120"/>
      <c r="EE893" s="120"/>
      <c r="EF893" s="440"/>
    </row>
    <row r="894" spans="54:136">
      <c r="BB894" s="436"/>
      <c r="BC894" s="120"/>
      <c r="BD894" s="120"/>
      <c r="BE894" s="120"/>
      <c r="BF894" s="440"/>
      <c r="BJ894" s="513"/>
      <c r="BK894" s="513"/>
      <c r="BL894" s="513"/>
      <c r="BM894" s="513"/>
      <c r="CB894" s="436"/>
      <c r="CC894" s="120"/>
      <c r="CD894" s="120"/>
      <c r="CE894" s="120"/>
      <c r="CF894" s="440"/>
      <c r="DB894" s="436"/>
      <c r="DC894" s="120"/>
      <c r="DD894" s="120"/>
      <c r="DE894" s="120"/>
      <c r="DF894" s="440"/>
      <c r="EB894" s="436"/>
      <c r="EC894" s="120"/>
      <c r="ED894" s="120"/>
      <c r="EE894" s="120"/>
      <c r="EF894" s="440"/>
    </row>
    <row r="895" spans="54:136">
      <c r="BB895" s="436"/>
      <c r="BC895" s="120"/>
      <c r="BD895" s="120"/>
      <c r="BE895" s="120"/>
      <c r="BF895" s="440"/>
      <c r="BJ895" s="420"/>
      <c r="BK895" s="420"/>
      <c r="BL895" s="420"/>
      <c r="BM895" s="420"/>
      <c r="CB895" s="436"/>
      <c r="CC895" s="120"/>
      <c r="CD895" s="120"/>
      <c r="CE895" s="120"/>
      <c r="CF895" s="440"/>
      <c r="DB895" s="436"/>
      <c r="DC895" s="120"/>
      <c r="DD895" s="120"/>
      <c r="DE895" s="120"/>
      <c r="DF895" s="440"/>
      <c r="EB895" s="436"/>
      <c r="EC895" s="120"/>
      <c r="ED895" s="120"/>
      <c r="EE895" s="120"/>
      <c r="EF895" s="440"/>
    </row>
    <row r="896" spans="54:136">
      <c r="BB896" s="436"/>
      <c r="BC896" s="120"/>
      <c r="BD896" s="120"/>
      <c r="BE896" s="120"/>
      <c r="BF896" s="440"/>
      <c r="CB896" s="436"/>
      <c r="CC896" s="120"/>
      <c r="CD896" s="120"/>
      <c r="CE896" s="120"/>
      <c r="CF896" s="440"/>
      <c r="DB896" s="436"/>
      <c r="DC896" s="120"/>
      <c r="DD896" s="120"/>
      <c r="DE896" s="120"/>
      <c r="DF896" s="440"/>
      <c r="EB896" s="436"/>
      <c r="EC896" s="120"/>
      <c r="ED896" s="120"/>
      <c r="EE896" s="120"/>
      <c r="EF896" s="440"/>
    </row>
    <row r="897" spans="53:137">
      <c r="BB897" s="436"/>
      <c r="BC897" s="120"/>
      <c r="BD897" s="120"/>
      <c r="BE897" s="120"/>
      <c r="BF897" s="440"/>
      <c r="CB897" s="436"/>
      <c r="CC897" s="120"/>
      <c r="CD897" s="120"/>
      <c r="CE897" s="120"/>
      <c r="CF897" s="440"/>
      <c r="DB897" s="436"/>
      <c r="DC897" s="120"/>
      <c r="DD897" s="120"/>
      <c r="DE897" s="120"/>
      <c r="DF897" s="440"/>
      <c r="EB897" s="436"/>
      <c r="EC897" s="120"/>
      <c r="ED897" s="120"/>
      <c r="EE897" s="120"/>
      <c r="EF897" s="440"/>
    </row>
    <row r="898" spans="53:137">
      <c r="BB898" s="436"/>
      <c r="BC898" s="120"/>
      <c r="BD898" s="120"/>
      <c r="BE898" s="120"/>
      <c r="BF898" s="440"/>
      <c r="CB898" s="436"/>
      <c r="CC898" s="120"/>
      <c r="CD898" s="120"/>
      <c r="CE898" s="120"/>
      <c r="CF898" s="440"/>
      <c r="DB898" s="436"/>
      <c r="DC898" s="120"/>
      <c r="DD898" s="120"/>
      <c r="DE898" s="120"/>
      <c r="DF898" s="440"/>
      <c r="EB898" s="436"/>
      <c r="EC898" s="120"/>
      <c r="ED898" s="120"/>
      <c r="EE898" s="120"/>
      <c r="EF898" s="440"/>
    </row>
    <row r="899" spans="53:137">
      <c r="BB899" s="436"/>
      <c r="BC899" s="120"/>
      <c r="BD899" s="120"/>
      <c r="BE899" s="120"/>
      <c r="BF899" s="440"/>
      <c r="CB899" s="436"/>
      <c r="CC899" s="120"/>
      <c r="CD899" s="120"/>
      <c r="CE899" s="120"/>
      <c r="CF899" s="440"/>
      <c r="DB899" s="436"/>
      <c r="DC899" s="120"/>
      <c r="DD899" s="120"/>
      <c r="DE899" s="120"/>
      <c r="DF899" s="440"/>
      <c r="EB899" s="436"/>
      <c r="EC899" s="120"/>
      <c r="ED899" s="120"/>
      <c r="EE899" s="120"/>
      <c r="EF899" s="440"/>
    </row>
    <row r="900" spans="53:137">
      <c r="BB900" s="436"/>
      <c r="BC900" s="120"/>
      <c r="BD900" s="120"/>
      <c r="BE900" s="120"/>
      <c r="BF900" s="440"/>
      <c r="CB900" s="436"/>
      <c r="CC900" s="120"/>
      <c r="CD900" s="120"/>
      <c r="CE900" s="120"/>
      <c r="CF900" s="440"/>
      <c r="DB900" s="436"/>
      <c r="DC900" s="120"/>
      <c r="DD900" s="120"/>
      <c r="DE900" s="120"/>
      <c r="DF900" s="440"/>
      <c r="EB900" s="436"/>
      <c r="EC900" s="120"/>
      <c r="ED900" s="120"/>
      <c r="EE900" s="120"/>
      <c r="EF900" s="440"/>
    </row>
    <row r="901" spans="53:137">
      <c r="BB901" s="436"/>
      <c r="BC901" s="120"/>
      <c r="BD901" s="120"/>
      <c r="BE901" s="120"/>
      <c r="BF901" s="440"/>
      <c r="CB901" s="436"/>
      <c r="CC901" s="120"/>
      <c r="CD901" s="120"/>
      <c r="CE901" s="120"/>
      <c r="CF901" s="440"/>
      <c r="DB901" s="436"/>
      <c r="DC901" s="120"/>
      <c r="DD901" s="120"/>
      <c r="DE901" s="120"/>
      <c r="DF901" s="440"/>
      <c r="EB901" s="436"/>
      <c r="EC901" s="120"/>
      <c r="ED901" s="120"/>
      <c r="EE901" s="120"/>
      <c r="EF901" s="440"/>
    </row>
    <row r="902" spans="53:137">
      <c r="BB902" s="436"/>
      <c r="BC902" s="120"/>
      <c r="BD902" s="120"/>
      <c r="BE902" s="120"/>
      <c r="BF902" s="440"/>
      <c r="CB902" s="436"/>
      <c r="CC902" s="120"/>
      <c r="CD902" s="120"/>
      <c r="CE902" s="120"/>
      <c r="CF902" s="440"/>
      <c r="DB902" s="436"/>
      <c r="DC902" s="120"/>
      <c r="DD902" s="120"/>
      <c r="DE902" s="120"/>
      <c r="DF902" s="440"/>
      <c r="EB902" s="436"/>
      <c r="EC902" s="120"/>
      <c r="ED902" s="120"/>
      <c r="EE902" s="120"/>
      <c r="EF902" s="440"/>
    </row>
    <row r="903" spans="53:137">
      <c r="BB903" s="436"/>
      <c r="BC903" s="120"/>
      <c r="BD903" s="120"/>
      <c r="BE903" s="120"/>
      <c r="BF903" s="440"/>
      <c r="CB903" s="436"/>
      <c r="CC903" s="120"/>
      <c r="CD903" s="120"/>
      <c r="CE903" s="120"/>
      <c r="CF903" s="440"/>
      <c r="DB903" s="436"/>
      <c r="DC903" s="120"/>
      <c r="DD903" s="120"/>
      <c r="DE903" s="120"/>
      <c r="DF903" s="440"/>
      <c r="EB903" s="436"/>
      <c r="EC903" s="120"/>
      <c r="ED903" s="120"/>
      <c r="EE903" s="120"/>
      <c r="EF903" s="440"/>
    </row>
    <row r="904" spans="53:137" ht="14.5" thickBot="1">
      <c r="BB904" s="492"/>
      <c r="BC904" s="493"/>
      <c r="BD904" s="493"/>
      <c r="BE904" s="493"/>
      <c r="BF904" s="453"/>
      <c r="CB904" s="492"/>
      <c r="CC904" s="493"/>
      <c r="CD904" s="493"/>
      <c r="CE904" s="493"/>
      <c r="CF904" s="453"/>
      <c r="DB904" s="492"/>
      <c r="DC904" s="493"/>
      <c r="DD904" s="493"/>
      <c r="DE904" s="493"/>
      <c r="DF904" s="453"/>
      <c r="EB904" s="492"/>
      <c r="EC904" s="493"/>
      <c r="ED904" s="493"/>
      <c r="EE904" s="493"/>
      <c r="EF904" s="453"/>
    </row>
    <row r="907" spans="53:137" ht="14.5" thickBot="1"/>
    <row r="908" spans="53:137">
      <c r="BA908" s="114" t="s">
        <v>478</v>
      </c>
      <c r="BB908" s="431" t="str">
        <f>BB58</f>
        <v>Conveyor</v>
      </c>
      <c r="BC908" s="432"/>
      <c r="BD908" s="433"/>
      <c r="BE908" s="434"/>
      <c r="BF908" s="435"/>
      <c r="BG908" s="507"/>
      <c r="CA908" s="114" t="s">
        <v>478</v>
      </c>
      <c r="CB908" s="431" t="str">
        <f>CB58</f>
        <v>Solvent extraction unit</v>
      </c>
      <c r="CC908" s="432"/>
      <c r="CD908" s="433"/>
      <c r="CE908" s="434"/>
      <c r="CF908" s="435"/>
      <c r="CG908" s="507"/>
      <c r="DA908" s="114" t="s">
        <v>478</v>
      </c>
      <c r="DB908" s="431" t="str">
        <f>DB58</f>
        <v>Filter press</v>
      </c>
      <c r="DC908" s="432"/>
      <c r="DD908" s="433"/>
      <c r="DE908" s="434"/>
      <c r="DF908" s="435"/>
      <c r="DG908" s="507"/>
      <c r="EA908" s="114" t="s">
        <v>478</v>
      </c>
      <c r="EB908" s="431" t="str">
        <f>EB60</f>
        <v>Solvent extraction unit</v>
      </c>
      <c r="EC908" s="432"/>
      <c r="ED908" s="433"/>
      <c r="EE908" s="434"/>
      <c r="EF908" s="435"/>
      <c r="EG908" s="507"/>
    </row>
    <row r="909" spans="53:137">
      <c r="BA909" s="114" t="s">
        <v>5</v>
      </c>
      <c r="BB909" s="436" t="s">
        <v>1</v>
      </c>
      <c r="BC909" s="437">
        <f>BC$25/BC$22/BC$21*VLOOKUP(BB908,'Unit Ops'!$B$140:$J$209,2,FALSE)</f>
        <v>0.92592592592592593</v>
      </c>
      <c r="BD909" s="438" t="s">
        <v>586</v>
      </c>
      <c r="BE909" s="1027">
        <f>BC909*BC$310*BC$311</f>
        <v>10000</v>
      </c>
      <c r="BF909" s="439" t="s">
        <v>585</v>
      </c>
      <c r="BG909" s="119"/>
      <c r="CA909" s="114" t="s">
        <v>5</v>
      </c>
      <c r="CB909" s="436" t="s">
        <v>1</v>
      </c>
      <c r="CC909" s="437">
        <f>CC$25/CC$22/CC$21*VLOOKUP(CB908,'Unit Ops'!$B$140:$J$209,2,FALSE)</f>
        <v>0.91324200913242004</v>
      </c>
      <c r="CD909" s="438" t="s">
        <v>586</v>
      </c>
      <c r="CE909" s="1027">
        <f>CC909*CC$310*CC$311</f>
        <v>10000</v>
      </c>
      <c r="CF909" s="439" t="s">
        <v>585</v>
      </c>
      <c r="CG909" s="119"/>
      <c r="DA909" s="114" t="s">
        <v>5</v>
      </c>
      <c r="DB909" s="436" t="s">
        <v>1</v>
      </c>
      <c r="DC909" s="437">
        <f>DC$25/DC$22/DC$21*VLOOKUP(DB908,'Unit Ops'!$B$140:$J$209,2,FALSE)*SUM(DC28:DC35)/COUNTIF(DB126:DB130,"&lt;&gt;Select Output")</f>
        <v>9.3209876543209877E-2</v>
      </c>
      <c r="DD909" s="438" t="s">
        <v>586</v>
      </c>
      <c r="DE909" s="1027">
        <f>DC909*DC$310*DC$311</f>
        <v>1006.6666666666666</v>
      </c>
      <c r="DF909" s="439" t="s">
        <v>585</v>
      </c>
      <c r="DG909" s="119"/>
      <c r="EA909" s="114" t="s">
        <v>5</v>
      </c>
      <c r="EB909" s="436" t="s">
        <v>1</v>
      </c>
      <c r="EC909" s="437">
        <f>EC$26/EC$23/EC$22*VLOOKUP(EB908,'Unit Ops'!$B$140:$J$209,2,FALSE)</f>
        <v>1.3020833333333333</v>
      </c>
      <c r="ED909" s="438" t="s">
        <v>586</v>
      </c>
      <c r="EE909" s="1027">
        <f>EC909*EC$310*EC$311</f>
        <v>10000</v>
      </c>
      <c r="EF909" s="439" t="s">
        <v>585</v>
      </c>
      <c r="EG909" s="119"/>
    </row>
    <row r="910" spans="53:137">
      <c r="BA910" s="114" t="str">
        <f>$BB$54</f>
        <v>Hopper</v>
      </c>
      <c r="BB910" s="436" t="s">
        <v>505</v>
      </c>
      <c r="BC910" s="437">
        <f>ROUNDUP(BC909*IF(VLOOKUP(BB908,'Unit Ops'!$B$140:$L$209,11,FALSE)=1,1.5,0.75),1)</f>
        <v>0.7</v>
      </c>
      <c r="BD910" s="438" t="s">
        <v>586</v>
      </c>
      <c r="BE910" s="120">
        <f>BC910*BC$310*BC$311</f>
        <v>7560</v>
      </c>
      <c r="BF910" s="439" t="s">
        <v>585</v>
      </c>
      <c r="BG910" s="460"/>
      <c r="CA910" s="114" t="str">
        <f>$CB$54</f>
        <v>Conveyor</v>
      </c>
      <c r="CB910" s="436" t="s">
        <v>505</v>
      </c>
      <c r="CC910" s="437">
        <f>ROUNDUP(CC909*IF(VLOOKUP(CB908,'Unit Ops'!$B$140:$L$209,11,FALSE)=1,1.5,0.75),1)</f>
        <v>0.7</v>
      </c>
      <c r="CD910" s="438" t="s">
        <v>586</v>
      </c>
      <c r="CE910" s="120">
        <f>CC910*CC$310*CC$311</f>
        <v>7665</v>
      </c>
      <c r="CF910" s="439" t="s">
        <v>585</v>
      </c>
      <c r="CG910" s="460"/>
      <c r="DA910" s="114" t="str">
        <f>$DB$54</f>
        <v>Conveyor</v>
      </c>
      <c r="DB910" s="436" t="s">
        <v>505</v>
      </c>
      <c r="DC910" s="437">
        <f>ROUNDUP(DC909*IF(VLOOKUP(DB908,'Unit Ops'!$B$140:$L$209,11,FALSE)=1,1.5,0.75),1)</f>
        <v>0.2</v>
      </c>
      <c r="DD910" s="438" t="s">
        <v>586</v>
      </c>
      <c r="DE910" s="120">
        <f>DC910*DC$310*DC$311</f>
        <v>2160</v>
      </c>
      <c r="DF910" s="439" t="s">
        <v>585</v>
      </c>
      <c r="DG910" s="460"/>
      <c r="EA910" s="114" t="str">
        <f>$EB$56</f>
        <v>Conveyor</v>
      </c>
      <c r="EB910" s="436" t="s">
        <v>505</v>
      </c>
      <c r="EC910" s="437">
        <f>ROUNDUP(EC909*IF(VLOOKUP(EB908,'Unit Ops'!$B$140:$L$209,11,FALSE)=1,1.5,0.75),1)</f>
        <v>1</v>
      </c>
      <c r="ED910" s="438" t="s">
        <v>586</v>
      </c>
      <c r="EE910" s="120">
        <f>EC910*EC$310*EC$311</f>
        <v>7680</v>
      </c>
      <c r="EF910" s="439" t="s">
        <v>585</v>
      </c>
      <c r="EG910" s="460"/>
    </row>
    <row r="911" spans="53:137">
      <c r="BA911" s="114" t="str">
        <f>$BB$55</f>
        <v>Conveyor</v>
      </c>
      <c r="BB911" s="441" t="s">
        <v>521</v>
      </c>
      <c r="BC911" s="442">
        <f>BC909/BC910</f>
        <v>1.3227513227513228</v>
      </c>
      <c r="BD911" s="438"/>
      <c r="BE911" s="443"/>
      <c r="BF911" s="440"/>
      <c r="BG911" s="409"/>
      <c r="CA911" s="114" t="str">
        <f>$CB$55</f>
        <v>Leaching tank</v>
      </c>
      <c r="CB911" s="441" t="s">
        <v>521</v>
      </c>
      <c r="CC911" s="442">
        <f>CC909/CC910</f>
        <v>1.3046314416177429</v>
      </c>
      <c r="CD911" s="438"/>
      <c r="CE911" s="443"/>
      <c r="CF911" s="440"/>
      <c r="CG911" s="409"/>
      <c r="DA911" s="114" t="str">
        <f>$DB$55</f>
        <v>Froth flotation cell</v>
      </c>
      <c r="DB911" s="441" t="s">
        <v>521</v>
      </c>
      <c r="DC911" s="442">
        <f>DC909/DC910</f>
        <v>0.46604938271604934</v>
      </c>
      <c r="DD911" s="438"/>
      <c r="DE911" s="443"/>
      <c r="DF911" s="440"/>
      <c r="DG911" s="409"/>
      <c r="EA911" s="114" t="str">
        <f>$EB$57</f>
        <v>Leaching tank</v>
      </c>
      <c r="EB911" s="441" t="s">
        <v>521</v>
      </c>
      <c r="EC911" s="442">
        <f>EC909/EC910</f>
        <v>1.3020833333333333</v>
      </c>
      <c r="ED911" s="438"/>
      <c r="EE911" s="443"/>
      <c r="EF911" s="440"/>
      <c r="EG911" s="409"/>
    </row>
    <row r="912" spans="53:137">
      <c r="BA912" s="114" t="str">
        <f>$BB$56</f>
        <v>Smelter</v>
      </c>
      <c r="BB912" s="441" t="s">
        <v>506</v>
      </c>
      <c r="BC912" s="445"/>
      <c r="BD912" s="438" t="s">
        <v>454</v>
      </c>
      <c r="BE912" s="443"/>
      <c r="BF912" s="440"/>
      <c r="BG912" s="409"/>
      <c r="CA912" s="114" t="str">
        <f>$CB$56</f>
        <v>Mixing tank</v>
      </c>
      <c r="CB912" s="441" t="s">
        <v>506</v>
      </c>
      <c r="CC912" s="445"/>
      <c r="CD912" s="438" t="s">
        <v>454</v>
      </c>
      <c r="CE912" s="443"/>
      <c r="CF912" s="440"/>
      <c r="CG912" s="409"/>
      <c r="DA912" s="114" t="str">
        <f>$DB$56</f>
        <v>Filter press</v>
      </c>
      <c r="DB912" s="441" t="s">
        <v>506</v>
      </c>
      <c r="DC912" s="445"/>
      <c r="DD912" s="438" t="s">
        <v>454</v>
      </c>
      <c r="DE912" s="443"/>
      <c r="DF912" s="440"/>
      <c r="DG912" s="409"/>
      <c r="EA912" s="114" t="str">
        <f>$EB$58</f>
        <v>Mixing tank</v>
      </c>
      <c r="EB912" s="441" t="s">
        <v>506</v>
      </c>
      <c r="EC912" s="445"/>
      <c r="ED912" s="438" t="s">
        <v>454</v>
      </c>
      <c r="EE912" s="443"/>
      <c r="EF912" s="440"/>
      <c r="EG912" s="409"/>
    </row>
    <row r="913" spans="53:137">
      <c r="BA913" s="114" t="str">
        <f>$BB$57</f>
        <v>Gas treatment</v>
      </c>
      <c r="BB913" s="436" t="s">
        <v>507</v>
      </c>
      <c r="BC913" s="225">
        <f>(VLOOKUP(BB908,'Unit Ops'!$B$140:$J$209,7,FALSE)*BC910^VLOOKUP(BB908,'Unit Ops'!$B$140:$J$209,8,FALSE)+VLOOKUP(BB908,'Unit Ops'!$B$140:$J$209,9,FALSE))*IF(VLOOKUP(BB908,'Unit Ops'!$B$140:$L$209,11,FALSE)=1,1,2)</f>
        <v>29.828000000000003</v>
      </c>
      <c r="BD913" s="446" t="s">
        <v>454</v>
      </c>
      <c r="BE913" s="443"/>
      <c r="BF913" s="440"/>
      <c r="BG913" s="409"/>
      <c r="CA913" s="114" t="str">
        <f>$CB$57</f>
        <v>Filter press</v>
      </c>
      <c r="CB913" s="436" t="s">
        <v>507</v>
      </c>
      <c r="CC913" s="225">
        <f>(VLOOKUP(CB908,'Unit Ops'!$B$140:$J$209,7,FALSE)*CC910^VLOOKUP(CB908,'Unit Ops'!$B$140:$J$209,8,FALSE)+VLOOKUP(CB908,'Unit Ops'!$B$140:$J$209,9,FALSE))*IF(VLOOKUP(CB908,'Unit Ops'!$B$140:$L$209,11,FALSE)=1,1,2)</f>
        <v>20.8796</v>
      </c>
      <c r="CD913" s="446" t="s">
        <v>454</v>
      </c>
      <c r="CE913" s="443"/>
      <c r="CF913" s="440"/>
      <c r="CG913" s="409"/>
      <c r="DA913" s="114" t="str">
        <f>$DB$57</f>
        <v>Froth flotation cell</v>
      </c>
      <c r="DB913" s="436" t="s">
        <v>507</v>
      </c>
      <c r="DC913" s="225">
        <f>(VLOOKUP(DB908,'Unit Ops'!$B$140:$J$209,7,FALSE)*DC910^VLOOKUP(DB908,'Unit Ops'!$B$140:$J$209,8,FALSE)+VLOOKUP(DB908,'Unit Ops'!$B$140:$J$209,9,FALSE))*IF(VLOOKUP(DB908,'Unit Ops'!$B$140:$L$209,11,FALSE)=1,1,2)</f>
        <v>14.914000000000001</v>
      </c>
      <c r="DD913" s="446" t="s">
        <v>454</v>
      </c>
      <c r="DE913" s="443"/>
      <c r="DF913" s="440"/>
      <c r="DG913" s="409"/>
      <c r="EA913" s="114" t="str">
        <f>$EB$59</f>
        <v>Filter press</v>
      </c>
      <c r="EB913" s="436" t="s">
        <v>507</v>
      </c>
      <c r="EC913" s="225">
        <f>(VLOOKUP(EB908,'Unit Ops'!$B$140:$J$209,7,FALSE)*EC910^VLOOKUP(EB908,'Unit Ops'!$B$140:$J$209,8,FALSE)+VLOOKUP(EB908,'Unit Ops'!$B$140:$J$209,9,FALSE))*IF(VLOOKUP(EB908,'Unit Ops'!$B$140:$L$209,11,FALSE)=1,1,2)</f>
        <v>29.828000000000003</v>
      </c>
      <c r="ED913" s="446" t="s">
        <v>454</v>
      </c>
      <c r="EE913" s="443"/>
      <c r="EF913" s="440"/>
      <c r="EG913" s="409"/>
    </row>
    <row r="914" spans="53:137">
      <c r="BA914" s="114" t="str">
        <f>$BB$58</f>
        <v>Conveyor</v>
      </c>
      <c r="BB914" s="441"/>
      <c r="BC914" s="445"/>
      <c r="BD914" s="447"/>
      <c r="BE914" s="443"/>
      <c r="BF914" s="440"/>
      <c r="BG914" s="482"/>
      <c r="CA914" s="114" t="str">
        <f>$CB$58</f>
        <v>Solvent extraction unit</v>
      </c>
      <c r="CB914" s="441"/>
      <c r="CC914" s="445"/>
      <c r="CD914" s="447"/>
      <c r="CE914" s="443"/>
      <c r="CF914" s="440"/>
      <c r="CG914" s="482"/>
      <c r="DA914" s="114" t="str">
        <f>$DB$58</f>
        <v>Filter press</v>
      </c>
      <c r="DB914" s="441"/>
      <c r="DC914" s="445"/>
      <c r="DD914" s="447"/>
      <c r="DE914" s="443"/>
      <c r="DF914" s="440"/>
      <c r="DG914" s="482"/>
      <c r="EA914" s="114" t="str">
        <f>$EB$60</f>
        <v>Solvent extraction unit</v>
      </c>
      <c r="EB914" s="441"/>
      <c r="EC914" s="445"/>
      <c r="ED914" s="447"/>
      <c r="EE914" s="443"/>
      <c r="EF914" s="440"/>
      <c r="EG914" s="482"/>
    </row>
    <row r="915" spans="53:137">
      <c r="BA915" s="114" t="str">
        <f>$BB$59</f>
        <v>Granulator</v>
      </c>
      <c r="BB915" s="441"/>
      <c r="BC915" s="445"/>
      <c r="BD915" s="447"/>
      <c r="BE915" s="443"/>
      <c r="BF915" s="440"/>
      <c r="BG915" s="465"/>
      <c r="CA915" s="114" t="str">
        <f>$CB$59</f>
        <v>Solvent extraction unit</v>
      </c>
      <c r="CB915" s="441"/>
      <c r="CC915" s="445"/>
      <c r="CD915" s="447"/>
      <c r="CE915" s="443"/>
      <c r="CF915" s="440"/>
      <c r="CG915" s="465"/>
      <c r="DA915" s="114" t="str">
        <f>$DB$59</f>
        <v>Dryer</v>
      </c>
      <c r="DB915" s="441"/>
      <c r="DC915" s="445"/>
      <c r="DD915" s="447"/>
      <c r="DE915" s="443"/>
      <c r="DF915" s="440"/>
      <c r="DG915" s="465"/>
      <c r="EA915" s="114" t="str">
        <f>$EB$61</f>
        <v>Solvent extraction unit</v>
      </c>
      <c r="EB915" s="441"/>
      <c r="EC915" s="445"/>
      <c r="ED915" s="447"/>
      <c r="EE915" s="443"/>
      <c r="EF915" s="440"/>
      <c r="EG915" s="465"/>
    </row>
    <row r="916" spans="53:137">
      <c r="BA916" s="114" t="str">
        <f>$BB$60</f>
        <v>Leaching tank</v>
      </c>
      <c r="BB916" s="449"/>
      <c r="BC916" s="445"/>
      <c r="BD916" s="447"/>
      <c r="BE916" s="443"/>
      <c r="BF916" s="440"/>
      <c r="BG916" s="499"/>
      <c r="CA916" s="114" t="str">
        <f>$CB$60</f>
        <v>Solvent extraction unit</v>
      </c>
      <c r="CB916" s="449"/>
      <c r="CC916" s="445"/>
      <c r="CD916" s="447"/>
      <c r="CE916" s="443"/>
      <c r="CF916" s="440"/>
      <c r="CG916" s="499"/>
      <c r="DA916" s="114" t="str">
        <f>$DB$60</f>
        <v>Ball mill</v>
      </c>
      <c r="DB916" s="449"/>
      <c r="DC916" s="445"/>
      <c r="DD916" s="447"/>
      <c r="DE916" s="443"/>
      <c r="DF916" s="440"/>
      <c r="DG916" s="499"/>
      <c r="EA916" s="114" t="str">
        <f>$EB$62</f>
        <v>Solvent extraction unit</v>
      </c>
      <c r="EB916" s="449"/>
      <c r="EC916" s="445"/>
      <c r="ED916" s="447"/>
      <c r="EE916" s="443"/>
      <c r="EF916" s="440"/>
      <c r="EG916" s="499"/>
    </row>
    <row r="917" spans="53:137" ht="14.5" thickBot="1">
      <c r="BA917" s="114" t="str">
        <f>$BB$61</f>
        <v>Solvent extraction unit</v>
      </c>
      <c r="BB917" s="450"/>
      <c r="BC917" s="451"/>
      <c r="BD917" s="451"/>
      <c r="BE917" s="452"/>
      <c r="BF917" s="453"/>
      <c r="BG917" s="409"/>
      <c r="CA917" s="114" t="str">
        <f>$CB$61</f>
        <v>Evaporator</v>
      </c>
      <c r="CB917" s="450"/>
      <c r="CC917" s="451"/>
      <c r="CD917" s="451"/>
      <c r="CE917" s="452"/>
      <c r="CF917" s="453"/>
      <c r="CG917" s="409"/>
      <c r="DA917" s="114" t="str">
        <f>$DB$61</f>
        <v>Furnace+saggar handling system</v>
      </c>
      <c r="DB917" s="450"/>
      <c r="DC917" s="451"/>
      <c r="DD917" s="451"/>
      <c r="DE917" s="452"/>
      <c r="DF917" s="453"/>
      <c r="DG917" s="409"/>
      <c r="EA917" s="114" t="str">
        <f>$EB$63</f>
        <v>Evaporator</v>
      </c>
      <c r="EB917" s="450"/>
      <c r="EC917" s="451"/>
      <c r="ED917" s="451"/>
      <c r="EE917" s="452"/>
      <c r="EF917" s="453"/>
      <c r="EG917" s="409"/>
    </row>
    <row r="918" spans="53:137">
      <c r="BA918" s="114" t="str">
        <f>$BB$62</f>
        <v>Electrowinning cell</v>
      </c>
      <c r="BB918" s="449" t="s">
        <v>470</v>
      </c>
      <c r="BC918" s="120"/>
      <c r="BD918" s="454"/>
      <c r="BE918" s="120"/>
      <c r="BF918" s="440"/>
      <c r="BG918" s="503"/>
      <c r="CA918" s="114" t="str">
        <f>$CB$62</f>
        <v>Precipitation tank</v>
      </c>
      <c r="CB918" s="449" t="s">
        <v>470</v>
      </c>
      <c r="CC918" s="120"/>
      <c r="CD918" s="454"/>
      <c r="CE918" s="120"/>
      <c r="CF918" s="440"/>
      <c r="CG918" s="503"/>
      <c r="DA918" s="114" t="str">
        <f>$DB$62</f>
        <v>Water treatment</v>
      </c>
      <c r="DB918" s="449" t="s">
        <v>470</v>
      </c>
      <c r="DC918" s="120"/>
      <c r="DD918" s="454"/>
      <c r="DE918" s="120"/>
      <c r="DF918" s="440"/>
      <c r="DG918" s="503"/>
      <c r="EA918" s="114" t="str">
        <f>$EB$64</f>
        <v>Precipitation tank</v>
      </c>
      <c r="EB918" s="449" t="s">
        <v>470</v>
      </c>
      <c r="EC918" s="120"/>
      <c r="ED918" s="454"/>
      <c r="EE918" s="120"/>
      <c r="EF918" s="440"/>
      <c r="EG918" s="503"/>
    </row>
    <row r="919" spans="53:137" ht="14.5" customHeight="1">
      <c r="BA919" s="114" t="str">
        <f>$BB$63</f>
        <v>Solvent extraction unit</v>
      </c>
      <c r="BB919" s="1698"/>
      <c r="BC919" s="1699"/>
      <c r="BD919" s="1699"/>
      <c r="BE919" s="1699"/>
      <c r="BF919" s="1700"/>
      <c r="BG919" s="503"/>
      <c r="CA919" s="114" t="str">
        <f>$CB$63</f>
        <v>Centrifuge</v>
      </c>
      <c r="CB919" s="1698"/>
      <c r="CC919" s="1699"/>
      <c r="CD919" s="1699"/>
      <c r="CE919" s="1699"/>
      <c r="CF919" s="1700"/>
      <c r="CG919" s="503"/>
      <c r="DA919" s="114" t="str">
        <f>$DB$63</f>
        <v>Wheel loader</v>
      </c>
      <c r="DB919" s="1698"/>
      <c r="DC919" s="1699"/>
      <c r="DD919" s="1699"/>
      <c r="DE919" s="1699"/>
      <c r="DF919" s="1700"/>
      <c r="DG919" s="503"/>
      <c r="EA919" s="114" t="str">
        <f>$EB$65</f>
        <v>Centrifuge</v>
      </c>
      <c r="EB919" s="1698"/>
      <c r="EC919" s="1699"/>
      <c r="ED919" s="1699"/>
      <c r="EE919" s="1699"/>
      <c r="EF919" s="1700"/>
      <c r="EG919" s="503"/>
    </row>
    <row r="920" spans="53:137">
      <c r="BA920" s="114" t="str">
        <f>$BB$64</f>
        <v>Solvent extraction unit</v>
      </c>
      <c r="BB920" s="436"/>
      <c r="BC920" s="120"/>
      <c r="BD920" s="455"/>
      <c r="BE920" s="120"/>
      <c r="BF920" s="440"/>
      <c r="BG920" s="503"/>
      <c r="CA920" s="114" t="str">
        <f>$CB$64</f>
        <v>Dryer</v>
      </c>
      <c r="CB920" s="436"/>
      <c r="CC920" s="120"/>
      <c r="CD920" s="455"/>
      <c r="CE920" s="120"/>
      <c r="CF920" s="440"/>
      <c r="CG920" s="503"/>
      <c r="DA920" s="114" t="str">
        <f>$DB$64</f>
        <v>Select Equipment</v>
      </c>
      <c r="DB920" s="436"/>
      <c r="DC920" s="120"/>
      <c r="DD920" s="455"/>
      <c r="DE920" s="120"/>
      <c r="DF920" s="440"/>
      <c r="DG920" s="503"/>
      <c r="EA920" s="114" t="str">
        <f>$EB$66</f>
        <v>Dryer</v>
      </c>
      <c r="EB920" s="436"/>
      <c r="EC920" s="120"/>
      <c r="ED920" s="455"/>
      <c r="EE920" s="120"/>
      <c r="EF920" s="440"/>
      <c r="EG920" s="503"/>
    </row>
    <row r="921" spans="53:137">
      <c r="BA921" s="114" t="str">
        <f>$BB$65</f>
        <v>Wheel loader</v>
      </c>
      <c r="BB921" s="436"/>
      <c r="BC921" s="120"/>
      <c r="BD921" s="455"/>
      <c r="BE921" s="120"/>
      <c r="BF921" s="440"/>
      <c r="BG921" s="503"/>
      <c r="CA921" s="114" t="str">
        <f>$CB$65</f>
        <v>Water treatment</v>
      </c>
      <c r="CB921" s="436"/>
      <c r="CC921" s="120"/>
      <c r="CD921" s="455"/>
      <c r="CE921" s="120"/>
      <c r="CF921" s="440"/>
      <c r="CG921" s="503"/>
      <c r="DA921" s="114" t="str">
        <f>$DB$65</f>
        <v>Select Equipment</v>
      </c>
      <c r="DB921" s="436"/>
      <c r="DC921" s="120"/>
      <c r="DD921" s="455"/>
      <c r="DE921" s="120"/>
      <c r="DF921" s="440"/>
      <c r="DG921" s="503"/>
      <c r="EA921" s="114" t="str">
        <f>$EB$67</f>
        <v>Water treatment</v>
      </c>
      <c r="EB921" s="436"/>
      <c r="EC921" s="120"/>
      <c r="ED921" s="455"/>
      <c r="EE921" s="120"/>
      <c r="EF921" s="440"/>
      <c r="EG921" s="503"/>
    </row>
    <row r="922" spans="53:137">
      <c r="BA922" s="114" t="str">
        <f>$BB$66</f>
        <v>Water treatment</v>
      </c>
      <c r="BB922" s="456"/>
      <c r="BC922" s="457"/>
      <c r="BD922" s="457"/>
      <c r="BE922" s="457"/>
      <c r="BF922" s="458"/>
      <c r="CA922" s="114" t="str">
        <f>$CB$66</f>
        <v>Wheel loader</v>
      </c>
      <c r="CB922" s="456"/>
      <c r="CC922" s="457"/>
      <c r="CD922" s="457"/>
      <c r="CE922" s="457"/>
      <c r="CF922" s="458"/>
      <c r="DA922" s="114" t="str">
        <f>$DB$66</f>
        <v>Select Equipment</v>
      </c>
      <c r="DB922" s="456"/>
      <c r="DC922" s="457"/>
      <c r="DD922" s="457"/>
      <c r="DE922" s="457"/>
      <c r="DF922" s="458"/>
      <c r="EA922" s="114" t="str">
        <f>$EB$68</f>
        <v>Wheel loader</v>
      </c>
      <c r="EB922" s="456"/>
      <c r="EC922" s="457"/>
      <c r="ED922" s="457"/>
      <c r="EE922" s="457"/>
      <c r="EF922" s="458"/>
    </row>
    <row r="923" spans="53:137">
      <c r="BA923" s="114" t="str">
        <f>$BB$67</f>
        <v>Select Equipment</v>
      </c>
      <c r="BB923" s="449" t="s">
        <v>471</v>
      </c>
      <c r="BC923" s="120"/>
      <c r="BD923" s="454"/>
      <c r="BE923" s="120"/>
      <c r="BF923" s="440"/>
      <c r="CA923" s="114" t="str">
        <f>$CB$67</f>
        <v>Select Equipment</v>
      </c>
      <c r="CB923" s="449" t="s">
        <v>471</v>
      </c>
      <c r="CC923" s="120"/>
      <c r="CD923" s="454"/>
      <c r="CE923" s="120"/>
      <c r="CF923" s="440"/>
      <c r="DA923" s="114" t="str">
        <f>$DB$67</f>
        <v>Select Equipment</v>
      </c>
      <c r="DB923" s="449" t="s">
        <v>471</v>
      </c>
      <c r="DC923" s="120"/>
      <c r="DD923" s="454"/>
      <c r="DE923" s="120"/>
      <c r="DF923" s="440"/>
      <c r="EA923" s="114" t="str">
        <f>$EB$69</f>
        <v>Select Equipment</v>
      </c>
      <c r="EB923" s="449" t="s">
        <v>471</v>
      </c>
      <c r="EC923" s="120"/>
      <c r="ED923" s="454"/>
      <c r="EE923" s="120"/>
      <c r="EF923" s="440"/>
    </row>
    <row r="924" spans="53:137">
      <c r="BA924" s="114" t="str">
        <f>$BB$68</f>
        <v>Select Equipment</v>
      </c>
      <c r="BB924" s="436" t="s">
        <v>577</v>
      </c>
      <c r="BC924" s="225">
        <f>BC913*IF(BC911&gt;1,1,BC911)</f>
        <v>29.828000000000003</v>
      </c>
      <c r="BD924" s="446" t="s">
        <v>454</v>
      </c>
      <c r="BE924" s="120"/>
      <c r="BF924" s="440"/>
      <c r="BG924" s="409"/>
      <c r="CA924" s="114" t="str">
        <f>$CB$68</f>
        <v>Select Equipment</v>
      </c>
      <c r="CB924" s="436" t="s">
        <v>577</v>
      </c>
      <c r="CC924" s="225">
        <f>CC913*IF(CC911&gt;1,1,CC911)</f>
        <v>20.8796</v>
      </c>
      <c r="CD924" s="446" t="s">
        <v>454</v>
      </c>
      <c r="CE924" s="120"/>
      <c r="CF924" s="440"/>
      <c r="CG924" s="409"/>
      <c r="DA924" s="114" t="str">
        <f>$DB$68</f>
        <v>Select Equipment</v>
      </c>
      <c r="DB924" s="436" t="s">
        <v>577</v>
      </c>
      <c r="DC924" s="225">
        <f>DC913*IF(DC911&gt;1,1,DC911)</f>
        <v>6.9506604938271606</v>
      </c>
      <c r="DD924" s="446" t="s">
        <v>454</v>
      </c>
      <c r="DE924" s="120"/>
      <c r="DF924" s="440"/>
      <c r="DG924" s="409"/>
      <c r="EA924" s="114" t="str">
        <f>$EB$70</f>
        <v>Select Equipment</v>
      </c>
      <c r="EB924" s="436" t="s">
        <v>577</v>
      </c>
      <c r="EC924" s="225">
        <f>EC913*IF(EC911&gt;1,1,EC911)</f>
        <v>29.828000000000003</v>
      </c>
      <c r="ED924" s="446" t="s">
        <v>454</v>
      </c>
      <c r="EE924" s="120"/>
      <c r="EF924" s="440"/>
      <c r="EG924" s="409"/>
    </row>
    <row r="925" spans="53:137">
      <c r="BA925" s="114" t="str">
        <f>$BB$69</f>
        <v>Select Equipment</v>
      </c>
      <c r="BB925" s="436" t="s">
        <v>578</v>
      </c>
      <c r="BC925" s="225"/>
      <c r="BD925" s="446" t="s">
        <v>579</v>
      </c>
      <c r="BE925" s="120"/>
      <c r="BF925" s="440"/>
      <c r="BG925" s="409"/>
      <c r="CA925" s="114" t="str">
        <f>$CB$69</f>
        <v>Select Equipment</v>
      </c>
      <c r="CB925" s="436" t="s">
        <v>578</v>
      </c>
      <c r="CC925" s="225"/>
      <c r="CD925" s="446" t="s">
        <v>579</v>
      </c>
      <c r="CE925" s="120"/>
      <c r="CF925" s="440"/>
      <c r="CG925" s="409"/>
      <c r="DA925" s="114" t="str">
        <f>$DB$69</f>
        <v>Select Equipment</v>
      </c>
      <c r="DB925" s="436" t="s">
        <v>578</v>
      </c>
      <c r="DC925" s="225"/>
      <c r="DD925" s="446" t="s">
        <v>579</v>
      </c>
      <c r="DE925" s="120"/>
      <c r="DF925" s="440"/>
      <c r="DG925" s="409"/>
      <c r="EA925" s="114" t="str">
        <f>$EB$71</f>
        <v>Select Equipment</v>
      </c>
      <c r="EB925" s="436" t="s">
        <v>578</v>
      </c>
      <c r="EC925" s="225"/>
      <c r="ED925" s="446" t="s">
        <v>579</v>
      </c>
      <c r="EE925" s="120"/>
      <c r="EF925" s="440"/>
      <c r="EG925" s="409"/>
    </row>
    <row r="926" spans="53:137">
      <c r="BA926" s="114" t="str">
        <f>$BB$70</f>
        <v>Select Equipment</v>
      </c>
      <c r="BB926" s="436"/>
      <c r="BC926" s="120"/>
      <c r="BD926" s="446"/>
      <c r="BE926" s="120"/>
      <c r="BF926" s="440"/>
      <c r="BG926" s="409"/>
      <c r="CA926" s="114" t="str">
        <f>$CB$70</f>
        <v>Select Equipment</v>
      </c>
      <c r="CB926" s="436"/>
      <c r="CC926" s="120"/>
      <c r="CD926" s="446"/>
      <c r="CE926" s="120"/>
      <c r="CF926" s="440"/>
      <c r="CG926" s="409"/>
      <c r="DA926" s="114" t="str">
        <f>$DB$70</f>
        <v>Select Equipment</v>
      </c>
      <c r="DB926" s="436"/>
      <c r="DC926" s="120"/>
      <c r="DD926" s="446"/>
      <c r="DE926" s="120"/>
      <c r="DF926" s="440"/>
      <c r="DG926" s="409"/>
      <c r="EA926" s="114" t="str">
        <f>$EB$72</f>
        <v>Select Equipment</v>
      </c>
      <c r="EB926" s="436"/>
      <c r="EC926" s="120"/>
      <c r="ED926" s="446"/>
      <c r="EE926" s="120"/>
      <c r="EF926" s="440"/>
      <c r="EG926" s="409"/>
    </row>
    <row r="927" spans="53:137">
      <c r="BA927" s="114" t="str">
        <f>$BB$71</f>
        <v>Select Equipment</v>
      </c>
      <c r="BB927" s="436" t="s">
        <v>8</v>
      </c>
      <c r="BC927" s="120"/>
      <c r="BD927" s="459" t="s">
        <v>564</v>
      </c>
      <c r="BE927" s="120"/>
      <c r="BF927" s="440"/>
      <c r="BG927" s="409"/>
      <c r="CA927" s="114" t="str">
        <f>$CB$71</f>
        <v>Select Equipment</v>
      </c>
      <c r="CB927" s="436" t="s">
        <v>8</v>
      </c>
      <c r="CC927" s="120"/>
      <c r="CD927" s="459" t="s">
        <v>564</v>
      </c>
      <c r="CE927" s="120"/>
      <c r="CF927" s="440"/>
      <c r="CG927" s="409"/>
      <c r="DA927" s="114" t="str">
        <f>$DB$71</f>
        <v>Select Equipment</v>
      </c>
      <c r="DB927" s="436" t="s">
        <v>8</v>
      </c>
      <c r="DC927" s="120"/>
      <c r="DD927" s="459" t="s">
        <v>564</v>
      </c>
      <c r="DE927" s="120"/>
      <c r="DF927" s="440"/>
      <c r="DG927" s="409"/>
      <c r="EA927" s="114" t="str">
        <f>$EB$73</f>
        <v>Select Equipment</v>
      </c>
      <c r="EB927" s="436" t="s">
        <v>8</v>
      </c>
      <c r="EC927" s="120"/>
      <c r="ED927" s="459" t="s">
        <v>564</v>
      </c>
      <c r="EE927" s="120"/>
      <c r="EF927" s="440"/>
      <c r="EG927" s="409"/>
    </row>
    <row r="928" spans="53:137">
      <c r="BA928" s="114" t="str">
        <f>$BB$72</f>
        <v>Select Equipment</v>
      </c>
      <c r="BB928" s="436"/>
      <c r="BC928" s="120"/>
      <c r="BD928" s="459"/>
      <c r="BE928" s="120"/>
      <c r="BF928" s="440"/>
      <c r="BG928" s="409"/>
      <c r="CA928" s="114" t="str">
        <f>$CB$72</f>
        <v>Select Equipment</v>
      </c>
      <c r="CB928" s="436"/>
      <c r="CC928" s="120"/>
      <c r="CD928" s="459"/>
      <c r="CE928" s="120"/>
      <c r="CF928" s="440"/>
      <c r="CG928" s="409"/>
      <c r="DA928" s="114" t="str">
        <f>$DB$72</f>
        <v>Select Equipment</v>
      </c>
      <c r="DB928" s="436"/>
      <c r="DC928" s="120"/>
      <c r="DD928" s="459"/>
      <c r="DE928" s="120"/>
      <c r="DF928" s="440"/>
      <c r="DG928" s="409"/>
      <c r="EA928" s="114" t="str">
        <f>$EB$74</f>
        <v>Select Equipment</v>
      </c>
      <c r="EB928" s="436"/>
      <c r="EC928" s="120"/>
      <c r="ED928" s="459"/>
      <c r="EE928" s="120"/>
      <c r="EF928" s="440"/>
      <c r="EG928" s="409"/>
    </row>
    <row r="929" spans="53:137">
      <c r="BA929" s="114" t="str">
        <f>$BB$73</f>
        <v>Select Equipment</v>
      </c>
      <c r="BB929" s="436" t="s">
        <v>7</v>
      </c>
      <c r="BC929" s="120"/>
      <c r="BD929" s="459" t="s">
        <v>564</v>
      </c>
      <c r="BE929" s="120"/>
      <c r="BF929" s="440"/>
      <c r="BG929" s="474"/>
      <c r="CA929" s="114" t="str">
        <f>$CB$73</f>
        <v>Select Equipment</v>
      </c>
      <c r="CB929" s="436" t="s">
        <v>7</v>
      </c>
      <c r="CC929" s="120"/>
      <c r="CD929" s="459" t="s">
        <v>564</v>
      </c>
      <c r="CE929" s="120"/>
      <c r="CF929" s="440"/>
      <c r="CG929" s="474"/>
      <c r="DA929" s="114" t="str">
        <f>$DB$73</f>
        <v>Select Equipment</v>
      </c>
      <c r="DB929" s="436" t="s">
        <v>7</v>
      </c>
      <c r="DC929" s="120"/>
      <c r="DD929" s="459" t="s">
        <v>564</v>
      </c>
      <c r="DE929" s="120"/>
      <c r="DF929" s="440"/>
      <c r="DG929" s="474"/>
      <c r="EA929" s="114" t="str">
        <f>$EB$75</f>
        <v>Select Equipment</v>
      </c>
      <c r="EB929" s="436" t="s">
        <v>7</v>
      </c>
      <c r="EC929" s="120"/>
      <c r="ED929" s="459" t="s">
        <v>564</v>
      </c>
      <c r="EE929" s="120"/>
      <c r="EF929" s="440"/>
      <c r="EG929" s="474"/>
    </row>
    <row r="930" spans="53:137">
      <c r="BA930" s="114" t="str">
        <f>$BB$74</f>
        <v>Select Equipment</v>
      </c>
      <c r="BB930" s="436"/>
      <c r="BC930" s="120"/>
      <c r="BD930" s="459"/>
      <c r="BE930" s="120"/>
      <c r="BF930" s="440"/>
      <c r="BG930" s="474"/>
      <c r="CA930" s="114" t="str">
        <f>$CB$74</f>
        <v>Select Equipment</v>
      </c>
      <c r="CB930" s="436"/>
      <c r="CC930" s="120"/>
      <c r="CD930" s="459"/>
      <c r="CE930" s="120"/>
      <c r="CF930" s="440"/>
      <c r="CG930" s="474"/>
      <c r="DA930" s="114" t="str">
        <f>$DB$74</f>
        <v>Select Equipment</v>
      </c>
      <c r="DB930" s="436"/>
      <c r="DC930" s="120"/>
      <c r="DD930" s="459"/>
      <c r="DE930" s="120"/>
      <c r="DF930" s="440"/>
      <c r="DG930" s="474"/>
      <c r="EA930" s="114" t="str">
        <f>$EB$76</f>
        <v>Select Equipment</v>
      </c>
      <c r="EB930" s="436"/>
      <c r="EC930" s="120"/>
      <c r="ED930" s="459"/>
      <c r="EE930" s="120"/>
      <c r="EF930" s="440"/>
      <c r="EG930" s="474"/>
    </row>
    <row r="931" spans="53:137">
      <c r="BA931" s="114" t="str">
        <f>$BB$75</f>
        <v>Select Equipment</v>
      </c>
      <c r="BB931" s="436" t="s">
        <v>9</v>
      </c>
      <c r="BC931" s="120"/>
      <c r="BD931" s="459" t="s">
        <v>564</v>
      </c>
      <c r="BE931" s="120"/>
      <c r="BF931" s="440"/>
      <c r="BG931" s="474"/>
      <c r="CA931" s="114" t="str">
        <f>$CB$75</f>
        <v>Select Equipment</v>
      </c>
      <c r="CB931" s="436" t="s">
        <v>9</v>
      </c>
      <c r="CC931" s="120"/>
      <c r="CD931" s="459" t="s">
        <v>564</v>
      </c>
      <c r="CE931" s="120"/>
      <c r="CF931" s="440"/>
      <c r="CG931" s="474"/>
      <c r="DA931" s="114" t="str">
        <f>$DB$75</f>
        <v>Select Equipment</v>
      </c>
      <c r="DB931" s="436" t="s">
        <v>9</v>
      </c>
      <c r="DC931" s="120"/>
      <c r="DD931" s="459" t="s">
        <v>564</v>
      </c>
      <c r="DE931" s="120"/>
      <c r="DF931" s="440"/>
      <c r="DG931" s="474"/>
      <c r="EA931" s="114" t="str">
        <f>$EB$77</f>
        <v>Select Equipment</v>
      </c>
      <c r="EB931" s="436" t="s">
        <v>9</v>
      </c>
      <c r="EC931" s="120"/>
      <c r="ED931" s="459" t="s">
        <v>564</v>
      </c>
      <c r="EE931" s="120"/>
      <c r="EF931" s="440"/>
      <c r="EG931" s="474"/>
    </row>
    <row r="932" spans="53:137">
      <c r="BA932" s="114" t="str">
        <f>$BB$76</f>
        <v>Select Equipment</v>
      </c>
      <c r="BB932" s="436"/>
      <c r="BC932" s="120"/>
      <c r="BD932" s="459"/>
      <c r="BE932" s="120"/>
      <c r="BF932" s="440"/>
      <c r="BG932" s="505"/>
      <c r="CA932" s="114" t="str">
        <f>$CB$76</f>
        <v>Select Equipment</v>
      </c>
      <c r="CB932" s="436"/>
      <c r="CC932" s="120"/>
      <c r="CD932" s="459"/>
      <c r="CE932" s="120"/>
      <c r="CF932" s="440"/>
      <c r="CG932" s="505"/>
      <c r="DA932" s="114" t="str">
        <f>$DB$76</f>
        <v>Select Equipment</v>
      </c>
      <c r="DB932" s="436"/>
      <c r="DC932" s="120"/>
      <c r="DD932" s="459"/>
      <c r="DE932" s="120"/>
      <c r="DF932" s="440"/>
      <c r="DG932" s="505"/>
      <c r="EA932" s="114" t="str">
        <f>$EB$78</f>
        <v>Select Equipment</v>
      </c>
      <c r="EB932" s="436"/>
      <c r="EC932" s="120"/>
      <c r="ED932" s="459"/>
      <c r="EE932" s="120"/>
      <c r="EF932" s="440"/>
      <c r="EG932" s="505"/>
    </row>
    <row r="933" spans="53:137">
      <c r="BA933" s="114" t="str">
        <f>$BB$77</f>
        <v>Select Equipment</v>
      </c>
      <c r="BB933" s="436" t="s">
        <v>324</v>
      </c>
      <c r="BC933" s="120"/>
      <c r="BD933" s="459" t="s">
        <v>564</v>
      </c>
      <c r="BE933" s="120"/>
      <c r="BF933" s="440" t="s">
        <v>569</v>
      </c>
      <c r="BG933" s="474"/>
      <c r="CA933" s="114" t="str">
        <f>$CB$77</f>
        <v>Select Equipment</v>
      </c>
      <c r="CB933" s="436" t="s">
        <v>324</v>
      </c>
      <c r="CC933" s="120"/>
      <c r="CD933" s="459" t="s">
        <v>564</v>
      </c>
      <c r="CE933" s="120"/>
      <c r="CF933" s="440" t="s">
        <v>569</v>
      </c>
      <c r="CG933" s="474"/>
      <c r="DA933" s="114" t="str">
        <f>$DB$77</f>
        <v>Select Equipment</v>
      </c>
      <c r="DB933" s="436" t="s">
        <v>324</v>
      </c>
      <c r="DC933" s="120"/>
      <c r="DD933" s="459" t="s">
        <v>564</v>
      </c>
      <c r="DE933" s="120"/>
      <c r="DF933" s="440" t="s">
        <v>569</v>
      </c>
      <c r="DG933" s="474"/>
      <c r="EA933" s="114" t="str">
        <f>$EB$79</f>
        <v>Select Equipment</v>
      </c>
      <c r="EB933" s="436" t="s">
        <v>324</v>
      </c>
      <c r="EC933" s="120"/>
      <c r="ED933" s="459" t="s">
        <v>564</v>
      </c>
      <c r="EE933" s="120"/>
      <c r="EF933" s="440" t="s">
        <v>569</v>
      </c>
      <c r="EG933" s="474"/>
    </row>
    <row r="934" spans="53:137">
      <c r="BA934" s="114" t="str">
        <f>$BB$78</f>
        <v>Select Equipment</v>
      </c>
      <c r="BB934" s="436"/>
      <c r="BC934" s="120"/>
      <c r="BD934" s="468"/>
      <c r="BE934" s="469"/>
      <c r="BF934" s="440"/>
      <c r="BG934" s="474"/>
      <c r="CA934" s="114" t="str">
        <f>$CB$78</f>
        <v>Select Equipment</v>
      </c>
      <c r="CB934" s="436"/>
      <c r="CC934" s="120"/>
      <c r="CD934" s="468"/>
      <c r="CE934" s="469"/>
      <c r="CF934" s="440"/>
      <c r="CG934" s="474"/>
      <c r="DA934" s="114" t="str">
        <f>$DB$78</f>
        <v>Select Equipment</v>
      </c>
      <c r="DB934" s="436"/>
      <c r="DC934" s="120"/>
      <c r="DD934" s="468"/>
      <c r="DE934" s="469"/>
      <c r="DF934" s="440"/>
      <c r="DG934" s="474"/>
      <c r="EA934" s="114" t="str">
        <f>$EB$80</f>
        <v>Select Equipment</v>
      </c>
      <c r="EB934" s="436"/>
      <c r="EC934" s="120"/>
      <c r="ED934" s="468"/>
      <c r="EE934" s="469"/>
      <c r="EF934" s="440"/>
      <c r="EG934" s="474"/>
    </row>
    <row r="935" spans="53:137">
      <c r="BA935" s="114" t="str">
        <f>$BB$79</f>
        <v>Select Equipment</v>
      </c>
      <c r="BB935" s="436" t="s">
        <v>374</v>
      </c>
      <c r="BC935" s="120"/>
      <c r="BD935" s="459" t="s">
        <v>564</v>
      </c>
      <c r="BE935" s="469"/>
      <c r="BF935" s="440" t="s">
        <v>569</v>
      </c>
      <c r="BG935" s="409"/>
      <c r="CA935" s="114" t="str">
        <f>$CB$79</f>
        <v>Select Equipment</v>
      </c>
      <c r="CB935" s="436" t="s">
        <v>374</v>
      </c>
      <c r="CC935" s="120"/>
      <c r="CD935" s="459" t="s">
        <v>564</v>
      </c>
      <c r="CE935" s="469"/>
      <c r="CF935" s="440" t="s">
        <v>569</v>
      </c>
      <c r="CG935" s="409"/>
      <c r="DA935" s="114" t="str">
        <f>$DB$79</f>
        <v>Select Equipment</v>
      </c>
      <c r="DB935" s="436" t="s">
        <v>374</v>
      </c>
      <c r="DC935" s="120"/>
      <c r="DD935" s="459" t="s">
        <v>564</v>
      </c>
      <c r="DE935" s="469"/>
      <c r="DF935" s="440" t="s">
        <v>569</v>
      </c>
      <c r="DG935" s="409"/>
      <c r="EA935" s="114" t="str">
        <f>$EB$81</f>
        <v>Select Equipment</v>
      </c>
      <c r="EB935" s="436" t="s">
        <v>374</v>
      </c>
      <c r="EC935" s="120"/>
      <c r="ED935" s="459" t="s">
        <v>564</v>
      </c>
      <c r="EE935" s="469"/>
      <c r="EF935" s="440" t="s">
        <v>569</v>
      </c>
      <c r="EG935" s="409"/>
    </row>
    <row r="936" spans="53:137">
      <c r="BA936" s="114" t="str">
        <f>$BB$80</f>
        <v>Select Equipment</v>
      </c>
      <c r="BB936" s="436"/>
      <c r="BC936" s="120"/>
      <c r="BD936" s="472"/>
      <c r="BE936" s="473"/>
      <c r="BF936" s="440"/>
      <c r="CA936" s="114" t="str">
        <f>$CB$80</f>
        <v>Select Equipment</v>
      </c>
      <c r="CB936" s="436"/>
      <c r="CC936" s="120"/>
      <c r="CD936" s="472"/>
      <c r="CE936" s="473"/>
      <c r="CF936" s="440"/>
      <c r="DA936" s="114" t="str">
        <f>$DB$80</f>
        <v>Select Equipment</v>
      </c>
      <c r="DB936" s="436"/>
      <c r="DC936" s="120"/>
      <c r="DD936" s="472"/>
      <c r="DE936" s="473"/>
      <c r="DF936" s="440"/>
      <c r="EA936" s="114" t="str">
        <f>$EB$82</f>
        <v>Select Equipment</v>
      </c>
      <c r="EB936" s="436"/>
      <c r="EC936" s="120"/>
      <c r="ED936" s="472"/>
      <c r="EE936" s="473"/>
      <c r="EF936" s="440"/>
    </row>
    <row r="937" spans="53:137">
      <c r="BA937" s="114" t="str">
        <f>$BB$81</f>
        <v>Select Equipment</v>
      </c>
      <c r="BB937" s="436" t="s">
        <v>580</v>
      </c>
      <c r="BC937" s="120"/>
      <c r="BD937" s="459" t="s">
        <v>564</v>
      </c>
      <c r="BE937" s="473"/>
      <c r="BF937" s="440" t="s">
        <v>569</v>
      </c>
      <c r="CA937" s="114" t="str">
        <f>$CB$81</f>
        <v>Select Equipment</v>
      </c>
      <c r="CB937" s="436" t="s">
        <v>580</v>
      </c>
      <c r="CC937" s="120"/>
      <c r="CD937" s="459" t="s">
        <v>564</v>
      </c>
      <c r="CE937" s="473"/>
      <c r="CF937" s="440" t="s">
        <v>569</v>
      </c>
      <c r="DA937" s="114" t="str">
        <f>$DB$81</f>
        <v>Select Equipment</v>
      </c>
      <c r="DB937" s="436" t="s">
        <v>580</v>
      </c>
      <c r="DC937" s="120"/>
      <c r="DD937" s="459" t="s">
        <v>564</v>
      </c>
      <c r="DE937" s="473"/>
      <c r="DF937" s="440" t="s">
        <v>569</v>
      </c>
      <c r="EA937" s="114" t="str">
        <f>$EB$83</f>
        <v>Select Equipment</v>
      </c>
      <c r="EB937" s="436" t="s">
        <v>580</v>
      </c>
      <c r="EC937" s="120"/>
      <c r="ED937" s="459" t="s">
        <v>564</v>
      </c>
      <c r="EE937" s="473"/>
      <c r="EF937" s="440" t="s">
        <v>569</v>
      </c>
    </row>
    <row r="938" spans="53:137">
      <c r="BA938" s="114" t="str">
        <f>$BB$82</f>
        <v>Select Equipment</v>
      </c>
      <c r="BB938" s="476"/>
      <c r="BC938" s="477"/>
      <c r="BD938" s="478"/>
      <c r="BE938" s="479"/>
      <c r="BF938" s="458"/>
      <c r="CA938" s="114" t="str">
        <f>$CB$82</f>
        <v>Select Equipment</v>
      </c>
      <c r="CB938" s="476"/>
      <c r="CC938" s="477"/>
      <c r="CD938" s="478"/>
      <c r="CE938" s="479"/>
      <c r="CF938" s="458"/>
      <c r="DA938" s="114" t="str">
        <f>$DB$82</f>
        <v>Select Equipment</v>
      </c>
      <c r="DB938" s="476"/>
      <c r="DC938" s="477"/>
      <c r="DD938" s="478"/>
      <c r="DE938" s="479"/>
      <c r="DF938" s="458"/>
      <c r="EA938" s="114" t="str">
        <f>$EB$84</f>
        <v>Select Equipment</v>
      </c>
      <c r="EB938" s="476"/>
      <c r="EC938" s="477"/>
      <c r="ED938" s="478"/>
      <c r="EE938" s="479"/>
      <c r="EF938" s="458"/>
    </row>
    <row r="939" spans="53:137">
      <c r="BA939" s="114" t="str">
        <f>$BB$83</f>
        <v>Select Equipment</v>
      </c>
      <c r="BB939" s="449" t="s">
        <v>473</v>
      </c>
      <c r="BC939" s="467" t="s">
        <v>508</v>
      </c>
      <c r="BD939" s="480"/>
      <c r="BE939" s="481" t="s">
        <v>308</v>
      </c>
      <c r="BF939" s="440"/>
      <c r="CA939" s="114" t="str">
        <f>$CB$83</f>
        <v>Select Equipment</v>
      </c>
      <c r="CB939" s="449" t="s">
        <v>473</v>
      </c>
      <c r="CC939" s="467" t="s">
        <v>508</v>
      </c>
      <c r="CD939" s="480"/>
      <c r="CE939" s="481" t="s">
        <v>308</v>
      </c>
      <c r="CF939" s="440"/>
      <c r="DA939" s="114" t="str">
        <f>$DB$83</f>
        <v>Select Equipment</v>
      </c>
      <c r="DB939" s="449" t="s">
        <v>473</v>
      </c>
      <c r="DC939" s="467" t="s">
        <v>508</v>
      </c>
      <c r="DD939" s="480"/>
      <c r="DE939" s="481" t="s">
        <v>308</v>
      </c>
      <c r="DF939" s="440"/>
      <c r="EA939" s="114" t="str">
        <f>$EB$85</f>
        <v>Select Equipment</v>
      </c>
      <c r="EB939" s="449" t="s">
        <v>473</v>
      </c>
      <c r="EC939" s="467" t="s">
        <v>508</v>
      </c>
      <c r="ED939" s="480"/>
      <c r="EE939" s="481" t="s">
        <v>308</v>
      </c>
      <c r="EF939" s="440"/>
    </row>
    <row r="940" spans="53:137">
      <c r="BB940" s="436"/>
      <c r="BC940" s="483"/>
      <c r="BD940" s="480"/>
      <c r="BE940" s="484"/>
      <c r="BF940" s="440"/>
      <c r="CB940" s="436"/>
      <c r="CC940" s="483"/>
      <c r="CD940" s="480"/>
      <c r="CE940" s="484"/>
      <c r="CF940" s="440"/>
      <c r="DB940" s="436"/>
      <c r="DC940" s="483"/>
      <c r="DD940" s="480"/>
      <c r="DE940" s="484"/>
      <c r="DF940" s="440"/>
      <c r="EB940" s="436"/>
      <c r="EC940" s="483"/>
      <c r="ED940" s="480"/>
      <c r="EE940" s="484"/>
      <c r="EF940" s="440"/>
    </row>
    <row r="941" spans="53:137">
      <c r="BB941" s="436"/>
      <c r="BC941" s="120"/>
      <c r="BD941" s="223"/>
      <c r="BE941" s="467"/>
      <c r="BF941" s="440"/>
      <c r="CB941" s="436"/>
      <c r="CC941" s="120"/>
      <c r="CD941" s="223"/>
      <c r="CE941" s="467"/>
      <c r="CF941" s="440"/>
      <c r="DB941" s="436"/>
      <c r="DC941" s="120"/>
      <c r="DD941" s="223"/>
      <c r="DE941" s="467"/>
      <c r="DF941" s="440"/>
      <c r="EB941" s="436"/>
      <c r="EC941" s="120"/>
      <c r="ED941" s="223"/>
      <c r="EE941" s="467"/>
      <c r="EF941" s="440"/>
    </row>
    <row r="942" spans="53:137">
      <c r="BB942" s="436"/>
      <c r="BC942" s="120"/>
      <c r="BD942" s="466"/>
      <c r="BE942" s="467"/>
      <c r="BF942" s="440"/>
      <c r="CB942" s="436"/>
      <c r="CC942" s="120"/>
      <c r="CD942" s="466"/>
      <c r="CE942" s="467"/>
      <c r="CF942" s="440"/>
      <c r="DB942" s="436"/>
      <c r="DC942" s="120"/>
      <c r="DD942" s="466"/>
      <c r="DE942" s="467"/>
      <c r="DF942" s="440"/>
      <c r="EB942" s="436"/>
      <c r="EC942" s="120"/>
      <c r="ED942" s="466"/>
      <c r="EE942" s="467"/>
      <c r="EF942" s="440"/>
    </row>
    <row r="943" spans="53:137">
      <c r="BB943" s="436"/>
      <c r="BC943" s="120"/>
      <c r="BD943" s="223"/>
      <c r="BE943" s="467"/>
      <c r="BF943" s="440"/>
      <c r="CB943" s="436"/>
      <c r="CC943" s="120"/>
      <c r="CD943" s="223"/>
      <c r="CE943" s="467"/>
      <c r="CF943" s="440"/>
      <c r="DB943" s="436"/>
      <c r="DC943" s="120"/>
      <c r="DD943" s="223"/>
      <c r="DE943" s="467"/>
      <c r="DF943" s="440"/>
      <c r="EB943" s="436"/>
      <c r="EC943" s="120"/>
      <c r="ED943" s="223"/>
      <c r="EE943" s="467"/>
      <c r="EF943" s="440"/>
    </row>
    <row r="944" spans="53:137">
      <c r="BB944" s="436"/>
      <c r="BC944" s="120"/>
      <c r="BD944" s="223"/>
      <c r="BE944" s="467"/>
      <c r="BF944" s="440"/>
      <c r="CB944" s="436"/>
      <c r="CC944" s="120"/>
      <c r="CD944" s="223"/>
      <c r="CE944" s="467"/>
      <c r="CF944" s="440"/>
      <c r="DB944" s="436"/>
      <c r="DC944" s="120"/>
      <c r="DD944" s="223"/>
      <c r="DE944" s="467"/>
      <c r="DF944" s="440"/>
      <c r="EB944" s="436"/>
      <c r="EC944" s="120"/>
      <c r="ED944" s="223"/>
      <c r="EE944" s="467"/>
      <c r="EF944" s="440"/>
    </row>
    <row r="945" spans="54:136">
      <c r="BB945" s="436"/>
      <c r="BC945" s="120"/>
      <c r="BD945" s="471"/>
      <c r="BE945" s="467"/>
      <c r="BF945" s="440"/>
      <c r="CB945" s="436"/>
      <c r="CC945" s="120"/>
      <c r="CD945" s="471"/>
      <c r="CE945" s="467"/>
      <c r="CF945" s="440"/>
      <c r="DB945" s="436"/>
      <c r="DC945" s="120"/>
      <c r="DD945" s="471"/>
      <c r="DE945" s="467"/>
      <c r="DF945" s="440"/>
      <c r="EB945" s="436"/>
      <c r="EC945" s="120"/>
      <c r="ED945" s="471"/>
      <c r="EE945" s="467"/>
      <c r="EF945" s="440"/>
    </row>
    <row r="946" spans="54:136">
      <c r="BB946" s="436"/>
      <c r="BC946" s="120"/>
      <c r="BD946" s="223"/>
      <c r="BE946" s="467"/>
      <c r="BF946" s="440"/>
      <c r="CB946" s="436"/>
      <c r="CC946" s="120"/>
      <c r="CD946" s="223"/>
      <c r="CE946" s="467"/>
      <c r="CF946" s="440"/>
      <c r="DB946" s="436"/>
      <c r="DC946" s="120"/>
      <c r="DD946" s="223"/>
      <c r="DE946" s="467"/>
      <c r="DF946" s="440"/>
      <c r="EB946" s="436"/>
      <c r="EC946" s="120"/>
      <c r="ED946" s="223"/>
      <c r="EE946" s="467"/>
      <c r="EF946" s="440"/>
    </row>
    <row r="947" spans="54:136">
      <c r="BB947" s="436"/>
      <c r="BC947" s="120"/>
      <c r="BD947" s="475"/>
      <c r="BE947" s="467"/>
      <c r="BF947" s="440"/>
      <c r="CB947" s="436"/>
      <c r="CC947" s="120"/>
      <c r="CD947" s="475"/>
      <c r="CE947" s="467"/>
      <c r="CF947" s="440"/>
      <c r="DB947" s="436"/>
      <c r="DC947" s="120"/>
      <c r="DD947" s="475"/>
      <c r="DE947" s="467"/>
      <c r="DF947" s="440"/>
      <c r="EB947" s="436"/>
      <c r="EC947" s="120"/>
      <c r="ED947" s="475"/>
      <c r="EE947" s="467"/>
      <c r="EF947" s="440"/>
    </row>
    <row r="948" spans="54:136">
      <c r="BB948" s="436"/>
      <c r="BC948" s="120"/>
      <c r="BD948" s="223"/>
      <c r="BE948" s="467"/>
      <c r="BF948" s="440"/>
      <c r="CB948" s="436"/>
      <c r="CC948" s="120"/>
      <c r="CD948" s="223"/>
      <c r="CE948" s="467"/>
      <c r="CF948" s="440"/>
      <c r="DB948" s="436"/>
      <c r="DC948" s="120"/>
      <c r="DD948" s="223"/>
      <c r="DE948" s="467"/>
      <c r="DF948" s="440"/>
      <c r="EB948" s="436"/>
      <c r="EC948" s="120"/>
      <c r="ED948" s="223"/>
      <c r="EE948" s="467"/>
      <c r="EF948" s="440"/>
    </row>
    <row r="949" spans="54:136">
      <c r="BB949" s="436"/>
      <c r="BC949" s="120"/>
      <c r="BD949" s="223"/>
      <c r="BE949" s="467"/>
      <c r="BF949" s="440"/>
      <c r="CB949" s="436"/>
      <c r="CC949" s="120"/>
      <c r="CD949" s="223"/>
      <c r="CE949" s="467"/>
      <c r="CF949" s="440"/>
      <c r="DB949" s="436"/>
      <c r="DC949" s="120"/>
      <c r="DD949" s="223"/>
      <c r="DE949" s="467"/>
      <c r="DF949" s="440"/>
      <c r="EB949" s="436"/>
      <c r="EC949" s="120"/>
      <c r="ED949" s="223"/>
      <c r="EE949" s="467"/>
      <c r="EF949" s="440"/>
    </row>
    <row r="950" spans="54:136">
      <c r="BB950" s="436"/>
      <c r="BC950" s="120"/>
      <c r="BD950" s="223"/>
      <c r="BE950" s="467"/>
      <c r="BF950" s="440"/>
      <c r="CB950" s="436"/>
      <c r="CC950" s="120"/>
      <c r="CD950" s="223"/>
      <c r="CE950" s="467"/>
      <c r="CF950" s="440"/>
      <c r="DB950" s="436"/>
      <c r="DC950" s="120"/>
      <c r="DD950" s="223"/>
      <c r="DE950" s="467"/>
      <c r="DF950" s="440"/>
      <c r="EB950" s="436"/>
      <c r="EC950" s="120"/>
      <c r="ED950" s="223"/>
      <c r="EE950" s="467"/>
      <c r="EF950" s="440"/>
    </row>
    <row r="951" spans="54:136">
      <c r="BB951" s="436"/>
      <c r="BC951" s="120"/>
      <c r="BD951" s="223"/>
      <c r="BE951" s="467"/>
      <c r="BF951" s="440"/>
      <c r="CB951" s="436"/>
      <c r="CC951" s="120"/>
      <c r="CD951" s="223"/>
      <c r="CE951" s="467"/>
      <c r="CF951" s="440"/>
      <c r="DB951" s="436"/>
      <c r="DC951" s="120"/>
      <c r="DD951" s="223"/>
      <c r="DE951" s="467"/>
      <c r="DF951" s="440"/>
      <c r="EB951" s="436"/>
      <c r="EC951" s="120"/>
      <c r="ED951" s="223"/>
      <c r="EE951" s="467"/>
      <c r="EF951" s="440"/>
    </row>
    <row r="952" spans="54:136">
      <c r="BB952" s="436"/>
      <c r="BC952" s="120"/>
      <c r="BD952" s="120"/>
      <c r="BE952" s="467"/>
      <c r="BF952" s="440"/>
      <c r="CB952" s="436"/>
      <c r="CC952" s="120"/>
      <c r="CD952" s="120"/>
      <c r="CE952" s="467"/>
      <c r="CF952" s="440"/>
      <c r="DB952" s="436"/>
      <c r="DC952" s="120"/>
      <c r="DD952" s="120"/>
      <c r="DE952" s="467"/>
      <c r="DF952" s="440"/>
      <c r="EB952" s="436"/>
      <c r="EC952" s="120"/>
      <c r="ED952" s="120"/>
      <c r="EE952" s="467"/>
      <c r="EF952" s="440"/>
    </row>
    <row r="953" spans="54:136">
      <c r="BB953" s="456"/>
      <c r="BC953" s="457"/>
      <c r="BD953" s="457"/>
      <c r="BE953" s="477"/>
      <c r="BF953" s="458"/>
      <c r="CB953" s="456"/>
      <c r="CC953" s="457"/>
      <c r="CD953" s="457"/>
      <c r="CE953" s="477"/>
      <c r="CF953" s="458"/>
      <c r="DB953" s="456"/>
      <c r="DC953" s="457"/>
      <c r="DD953" s="457"/>
      <c r="DE953" s="477"/>
      <c r="DF953" s="458"/>
      <c r="EB953" s="456"/>
      <c r="EC953" s="457"/>
      <c r="ED953" s="457"/>
      <c r="EE953" s="477"/>
      <c r="EF953" s="458"/>
    </row>
    <row r="954" spans="54:136">
      <c r="BB954" s="449" t="s">
        <v>474</v>
      </c>
      <c r="BC954" s="120"/>
      <c r="BD954" s="120" t="s">
        <v>1</v>
      </c>
      <c r="BE954" s="310" t="s">
        <v>307</v>
      </c>
      <c r="BF954" s="440"/>
      <c r="CB954" s="449" t="s">
        <v>474</v>
      </c>
      <c r="CC954" s="120"/>
      <c r="CD954" s="120" t="s">
        <v>1</v>
      </c>
      <c r="CE954" s="310" t="s">
        <v>307</v>
      </c>
      <c r="CF954" s="440"/>
      <c r="DB954" s="449" t="s">
        <v>474</v>
      </c>
      <c r="DC954" s="120"/>
      <c r="DD954" s="120" t="s">
        <v>1</v>
      </c>
      <c r="DE954" s="310" t="s">
        <v>307</v>
      </c>
      <c r="DF954" s="440"/>
      <c r="EB954" s="449" t="s">
        <v>474</v>
      </c>
      <c r="EC954" s="120"/>
      <c r="ED954" s="120" t="s">
        <v>1</v>
      </c>
      <c r="EE954" s="310" t="s">
        <v>307</v>
      </c>
      <c r="EF954" s="440"/>
    </row>
    <row r="955" spans="54:136">
      <c r="BB955" s="436"/>
      <c r="BC955" s="223"/>
      <c r="BD955" s="480"/>
      <c r="BE955" s="484"/>
      <c r="BF955" s="440"/>
      <c r="CB955" s="436"/>
      <c r="CC955" s="223"/>
      <c r="CD955" s="480"/>
      <c r="CE955" s="484"/>
      <c r="CF955" s="440"/>
      <c r="DB955" s="436"/>
      <c r="DC955" s="223"/>
      <c r="DD955" s="480"/>
      <c r="DE955" s="484"/>
      <c r="DF955" s="440"/>
      <c r="EB955" s="436"/>
      <c r="EC955" s="223"/>
      <c r="ED955" s="480"/>
      <c r="EE955" s="484"/>
      <c r="EF955" s="440"/>
    </row>
    <row r="956" spans="54:136">
      <c r="BB956" s="436"/>
      <c r="BC956" s="120"/>
      <c r="BD956" s="120"/>
      <c r="BE956" s="467"/>
      <c r="BF956" s="440"/>
      <c r="CB956" s="436"/>
      <c r="CC956" s="120"/>
      <c r="CD956" s="120"/>
      <c r="CE956" s="467"/>
      <c r="CF956" s="440"/>
      <c r="DB956" s="436"/>
      <c r="DC956" s="120"/>
      <c r="DD956" s="120"/>
      <c r="DE956" s="467"/>
      <c r="DF956" s="440"/>
      <c r="EB956" s="436"/>
      <c r="EC956" s="120"/>
      <c r="ED956" s="120"/>
      <c r="EE956" s="467"/>
      <c r="EF956" s="440"/>
    </row>
    <row r="957" spans="54:136">
      <c r="BB957" s="436"/>
      <c r="BC957" s="120"/>
      <c r="BD957" s="120"/>
      <c r="BE957" s="467"/>
      <c r="BF957" s="440"/>
      <c r="CB957" s="436"/>
      <c r="CC957" s="120"/>
      <c r="CD957" s="120"/>
      <c r="CE957" s="467"/>
      <c r="CF957" s="440"/>
      <c r="DB957" s="436"/>
      <c r="DC957" s="120"/>
      <c r="DD957" s="120"/>
      <c r="DE957" s="467"/>
      <c r="DF957" s="440"/>
      <c r="EB957" s="436"/>
      <c r="EC957" s="120"/>
      <c r="ED957" s="120"/>
      <c r="EE957" s="467"/>
      <c r="EF957" s="440"/>
    </row>
    <row r="958" spans="54:136">
      <c r="BB958" s="436"/>
      <c r="BC958" s="120"/>
      <c r="BD958" s="120"/>
      <c r="BE958" s="467"/>
      <c r="BF958" s="440"/>
      <c r="CB958" s="436"/>
      <c r="CC958" s="120"/>
      <c r="CD958" s="120"/>
      <c r="CE958" s="467"/>
      <c r="CF958" s="440"/>
      <c r="DB958" s="436"/>
      <c r="DC958" s="120"/>
      <c r="DD958" s="120"/>
      <c r="DE958" s="467"/>
      <c r="DF958" s="440"/>
      <c r="EB958" s="436"/>
      <c r="EC958" s="120"/>
      <c r="ED958" s="120"/>
      <c r="EE958" s="467"/>
      <c r="EF958" s="440"/>
    </row>
    <row r="959" spans="54:136">
      <c r="BB959" s="436"/>
      <c r="BC959" s="120"/>
      <c r="BD959" s="120"/>
      <c r="BE959" s="467"/>
      <c r="BF959" s="440"/>
      <c r="CB959" s="436"/>
      <c r="CC959" s="120"/>
      <c r="CD959" s="120"/>
      <c r="CE959" s="467"/>
      <c r="CF959" s="440"/>
      <c r="DB959" s="436"/>
      <c r="DC959" s="120"/>
      <c r="DD959" s="120"/>
      <c r="DE959" s="467"/>
      <c r="DF959" s="440"/>
      <c r="EB959" s="436"/>
      <c r="EC959" s="120"/>
      <c r="ED959" s="120"/>
      <c r="EE959" s="467"/>
      <c r="EF959" s="440"/>
    </row>
    <row r="960" spans="54:136">
      <c r="BB960" s="436"/>
      <c r="BC960" s="120"/>
      <c r="BD960" s="120"/>
      <c r="BE960" s="467"/>
      <c r="BF960" s="440"/>
      <c r="CB960" s="436"/>
      <c r="CC960" s="120"/>
      <c r="CD960" s="120"/>
      <c r="CE960" s="467"/>
      <c r="CF960" s="440"/>
      <c r="DB960" s="436"/>
      <c r="DC960" s="120"/>
      <c r="DD960" s="120"/>
      <c r="DE960" s="467"/>
      <c r="DF960" s="440"/>
      <c r="EB960" s="436"/>
      <c r="EC960" s="120"/>
      <c r="ED960" s="120"/>
      <c r="EE960" s="467"/>
      <c r="EF960" s="440"/>
    </row>
    <row r="961" spans="54:136">
      <c r="BB961" s="436"/>
      <c r="BC961" s="120"/>
      <c r="BD961" s="120"/>
      <c r="BE961" s="467"/>
      <c r="BF961" s="440"/>
      <c r="CB961" s="436"/>
      <c r="CC961" s="120"/>
      <c r="CD961" s="120"/>
      <c r="CE961" s="467"/>
      <c r="CF961" s="440"/>
      <c r="DB961" s="436"/>
      <c r="DC961" s="120"/>
      <c r="DD961" s="120"/>
      <c r="DE961" s="467"/>
      <c r="DF961" s="440"/>
      <c r="EB961" s="436"/>
      <c r="EC961" s="120"/>
      <c r="ED961" s="120"/>
      <c r="EE961" s="467"/>
      <c r="EF961" s="440"/>
    </row>
    <row r="962" spans="54:136">
      <c r="BB962" s="436"/>
      <c r="BC962" s="120"/>
      <c r="BD962" s="120"/>
      <c r="BE962" s="467"/>
      <c r="BF962" s="440"/>
      <c r="CB962" s="436"/>
      <c r="CC962" s="120"/>
      <c r="CD962" s="120"/>
      <c r="CE962" s="467"/>
      <c r="CF962" s="440"/>
      <c r="DB962" s="436"/>
      <c r="DC962" s="120"/>
      <c r="DD962" s="120"/>
      <c r="DE962" s="467"/>
      <c r="DF962" s="440"/>
      <c r="EB962" s="436"/>
      <c r="EC962" s="120"/>
      <c r="ED962" s="120"/>
      <c r="EE962" s="467"/>
      <c r="EF962" s="440"/>
    </row>
    <row r="963" spans="54:136">
      <c r="BB963" s="436"/>
      <c r="BC963" s="120"/>
      <c r="BD963" s="120"/>
      <c r="BE963" s="467"/>
      <c r="BF963" s="440"/>
      <c r="CB963" s="436"/>
      <c r="CC963" s="120"/>
      <c r="CD963" s="120"/>
      <c r="CE963" s="467"/>
      <c r="CF963" s="440"/>
      <c r="DB963" s="436"/>
      <c r="DC963" s="120"/>
      <c r="DD963" s="120"/>
      <c r="DE963" s="467"/>
      <c r="DF963" s="440"/>
      <c r="EB963" s="436"/>
      <c r="EC963" s="120"/>
      <c r="ED963" s="120"/>
      <c r="EE963" s="467"/>
      <c r="EF963" s="440"/>
    </row>
    <row r="964" spans="54:136">
      <c r="BB964" s="436"/>
      <c r="BC964" s="120"/>
      <c r="BD964" s="120"/>
      <c r="BE964" s="467"/>
      <c r="BF964" s="440"/>
      <c r="CB964" s="436"/>
      <c r="CC964" s="120"/>
      <c r="CD964" s="120"/>
      <c r="CE964" s="467"/>
      <c r="CF964" s="440"/>
      <c r="DB964" s="436"/>
      <c r="DC964" s="120"/>
      <c r="DD964" s="120"/>
      <c r="DE964" s="467"/>
      <c r="DF964" s="440"/>
      <c r="EB964" s="436"/>
      <c r="EC964" s="120"/>
      <c r="ED964" s="120"/>
      <c r="EE964" s="467"/>
      <c r="EF964" s="440"/>
    </row>
    <row r="965" spans="54:136">
      <c r="BB965" s="436"/>
      <c r="BC965" s="120"/>
      <c r="BD965" s="120"/>
      <c r="BE965" s="467"/>
      <c r="BF965" s="440"/>
      <c r="CB965" s="436"/>
      <c r="CC965" s="120"/>
      <c r="CD965" s="120"/>
      <c r="CE965" s="467"/>
      <c r="CF965" s="440"/>
      <c r="DB965" s="436"/>
      <c r="DC965" s="120"/>
      <c r="DD965" s="120"/>
      <c r="DE965" s="467"/>
      <c r="DF965" s="440"/>
      <c r="EB965" s="436"/>
      <c r="EC965" s="120"/>
      <c r="ED965" s="120"/>
      <c r="EE965" s="467"/>
      <c r="EF965" s="440"/>
    </row>
    <row r="966" spans="54:136">
      <c r="BB966" s="436"/>
      <c r="BC966" s="120"/>
      <c r="BD966" s="120"/>
      <c r="BE966" s="467"/>
      <c r="BF966" s="440"/>
      <c r="CB966" s="436"/>
      <c r="CC966" s="120"/>
      <c r="CD966" s="120"/>
      <c r="CE966" s="467"/>
      <c r="CF966" s="440"/>
      <c r="DB966" s="436"/>
      <c r="DC966" s="120"/>
      <c r="DD966" s="120"/>
      <c r="DE966" s="467"/>
      <c r="DF966" s="440"/>
      <c r="EB966" s="436"/>
      <c r="EC966" s="120"/>
      <c r="ED966" s="120"/>
      <c r="EE966" s="467"/>
      <c r="EF966" s="440"/>
    </row>
    <row r="967" spans="54:136">
      <c r="BB967" s="456"/>
      <c r="BC967" s="457"/>
      <c r="BD967" s="457"/>
      <c r="BE967" s="477"/>
      <c r="BF967" s="458"/>
      <c r="CB967" s="456"/>
      <c r="CC967" s="457"/>
      <c r="CD967" s="457"/>
      <c r="CE967" s="477"/>
      <c r="CF967" s="458"/>
      <c r="DB967" s="456"/>
      <c r="DC967" s="457"/>
      <c r="DD967" s="457"/>
      <c r="DE967" s="477"/>
      <c r="DF967" s="458"/>
      <c r="EB967" s="456"/>
      <c r="EC967" s="457"/>
      <c r="ED967" s="457"/>
      <c r="EE967" s="477"/>
      <c r="EF967" s="458"/>
    </row>
    <row r="968" spans="54:136">
      <c r="BB968" s="456"/>
      <c r="BC968" s="457"/>
      <c r="BD968" s="457"/>
      <c r="BE968" s="457"/>
      <c r="BF968" s="458"/>
      <c r="CB968" s="456"/>
      <c r="CC968" s="457"/>
      <c r="CD968" s="457"/>
      <c r="CE968" s="457"/>
      <c r="CF968" s="458"/>
      <c r="DB968" s="456"/>
      <c r="DC968" s="457"/>
      <c r="DD968" s="457"/>
      <c r="DE968" s="457"/>
      <c r="DF968" s="458"/>
      <c r="EB968" s="456"/>
      <c r="EC968" s="457"/>
      <c r="ED968" s="457"/>
      <c r="EE968" s="457"/>
      <c r="EF968" s="458"/>
    </row>
    <row r="969" spans="54:136">
      <c r="BB969" s="449" t="s">
        <v>475</v>
      </c>
      <c r="BC969" s="120"/>
      <c r="BD969" s="120"/>
      <c r="BE969" s="120"/>
      <c r="BF969" s="440"/>
      <c r="CB969" s="449" t="s">
        <v>475</v>
      </c>
      <c r="CC969" s="120"/>
      <c r="CD969" s="120"/>
      <c r="CE969" s="120"/>
      <c r="CF969" s="440"/>
      <c r="DB969" s="449" t="s">
        <v>475</v>
      </c>
      <c r="DC969" s="120"/>
      <c r="DD969" s="120"/>
      <c r="DE969" s="120"/>
      <c r="DF969" s="440"/>
      <c r="EB969" s="449" t="s">
        <v>475</v>
      </c>
      <c r="EC969" s="120"/>
      <c r="ED969" s="120"/>
      <c r="EE969" s="120"/>
      <c r="EF969" s="440"/>
    </row>
    <row r="970" spans="54:136">
      <c r="BB970" s="436" t="s">
        <v>509</v>
      </c>
      <c r="BC970" s="120"/>
      <c r="BD970" s="120"/>
      <c r="BE970" s="120"/>
      <c r="BF970" s="440"/>
      <c r="CB970" s="436" t="s">
        <v>509</v>
      </c>
      <c r="CC970" s="120"/>
      <c r="CD970" s="120"/>
      <c r="CE970" s="120"/>
      <c r="CF970" s="440"/>
      <c r="DB970" s="436" t="s">
        <v>509</v>
      </c>
      <c r="DC970" s="120"/>
      <c r="DD970" s="120"/>
      <c r="DE970" s="120"/>
      <c r="DF970" s="440"/>
      <c r="EB970" s="436" t="s">
        <v>509</v>
      </c>
      <c r="EC970" s="120"/>
      <c r="ED970" s="120"/>
      <c r="EE970" s="120"/>
      <c r="EF970" s="440"/>
    </row>
    <row r="971" spans="54:136">
      <c r="BB971" s="436" t="s">
        <v>510</v>
      </c>
      <c r="BC971" s="120"/>
      <c r="BD971" s="120"/>
      <c r="BE971" s="120"/>
      <c r="BF971" s="440"/>
      <c r="CB971" s="436" t="s">
        <v>510</v>
      </c>
      <c r="CC971" s="120"/>
      <c r="CD971" s="120"/>
      <c r="CE971" s="120"/>
      <c r="CF971" s="440"/>
      <c r="DB971" s="436" t="s">
        <v>510</v>
      </c>
      <c r="DC971" s="120"/>
      <c r="DD971" s="120"/>
      <c r="DE971" s="120"/>
      <c r="DF971" s="440"/>
      <c r="EB971" s="436" t="s">
        <v>510</v>
      </c>
      <c r="EC971" s="120"/>
      <c r="ED971" s="120"/>
      <c r="EE971" s="120"/>
      <c r="EF971" s="440"/>
    </row>
    <row r="972" spans="54:136">
      <c r="BB972" s="436"/>
      <c r="BC972" s="120"/>
      <c r="BD972" s="120"/>
      <c r="BE972" s="120"/>
      <c r="BF972" s="440"/>
      <c r="CB972" s="436"/>
      <c r="CC972" s="120"/>
      <c r="CD972" s="120"/>
      <c r="CE972" s="120"/>
      <c r="CF972" s="440"/>
      <c r="DB972" s="436"/>
      <c r="DC972" s="120"/>
      <c r="DD972" s="120"/>
      <c r="DE972" s="120"/>
      <c r="DF972" s="440"/>
      <c r="EB972" s="436"/>
      <c r="EC972" s="120"/>
      <c r="ED972" s="120"/>
      <c r="EE972" s="120"/>
      <c r="EF972" s="440"/>
    </row>
    <row r="973" spans="54:136">
      <c r="BB973" s="436"/>
      <c r="BC973" s="120"/>
      <c r="BD973" s="120"/>
      <c r="BE973" s="120"/>
      <c r="BF973" s="440"/>
      <c r="CB973" s="436"/>
      <c r="CC973" s="120"/>
      <c r="CD973" s="120"/>
      <c r="CE973" s="120"/>
      <c r="CF973" s="440"/>
      <c r="DB973" s="436"/>
      <c r="DC973" s="120"/>
      <c r="DD973" s="120"/>
      <c r="DE973" s="120"/>
      <c r="DF973" s="440"/>
      <c r="EB973" s="436"/>
      <c r="EC973" s="120"/>
      <c r="ED973" s="120"/>
      <c r="EE973" s="120"/>
      <c r="EF973" s="440"/>
    </row>
    <row r="974" spans="54:136">
      <c r="BB974" s="436"/>
      <c r="BC974" s="120"/>
      <c r="BD974" s="120"/>
      <c r="BE974" s="120"/>
      <c r="BF974" s="440"/>
      <c r="CB974" s="436"/>
      <c r="CC974" s="120"/>
      <c r="CD974" s="120"/>
      <c r="CE974" s="120"/>
      <c r="CF974" s="440"/>
      <c r="DB974" s="436"/>
      <c r="DC974" s="120"/>
      <c r="DD974" s="120"/>
      <c r="DE974" s="120"/>
      <c r="DF974" s="440"/>
      <c r="EB974" s="436"/>
      <c r="EC974" s="120"/>
      <c r="ED974" s="120"/>
      <c r="EE974" s="120"/>
      <c r="EF974" s="440"/>
    </row>
    <row r="975" spans="54:136">
      <c r="BB975" s="436"/>
      <c r="BC975" s="120"/>
      <c r="BD975" s="120"/>
      <c r="BE975" s="120"/>
      <c r="BF975" s="440"/>
      <c r="CB975" s="436"/>
      <c r="CC975" s="120"/>
      <c r="CD975" s="120"/>
      <c r="CE975" s="120"/>
      <c r="CF975" s="440"/>
      <c r="DB975" s="436"/>
      <c r="DC975" s="120"/>
      <c r="DD975" s="120"/>
      <c r="DE975" s="120"/>
      <c r="DF975" s="440"/>
      <c r="EB975" s="436"/>
      <c r="EC975" s="120"/>
      <c r="ED975" s="120"/>
      <c r="EE975" s="120"/>
      <c r="EF975" s="440"/>
    </row>
    <row r="976" spans="54:136">
      <c r="BB976" s="436" t="s">
        <v>511</v>
      </c>
      <c r="BC976" s="120">
        <v>0</v>
      </c>
      <c r="BD976" s="120" t="s">
        <v>512</v>
      </c>
      <c r="BE976" s="120"/>
      <c r="BF976" s="440"/>
      <c r="CB976" s="436" t="s">
        <v>511</v>
      </c>
      <c r="CC976" s="120">
        <v>0</v>
      </c>
      <c r="CD976" s="120" t="s">
        <v>512</v>
      </c>
      <c r="CE976" s="120"/>
      <c r="CF976" s="440"/>
      <c r="DB976" s="436" t="s">
        <v>511</v>
      </c>
      <c r="DC976" s="120">
        <v>0</v>
      </c>
      <c r="DD976" s="120" t="s">
        <v>512</v>
      </c>
      <c r="DE976" s="120"/>
      <c r="DF976" s="440"/>
      <c r="EB976" s="436" t="s">
        <v>511</v>
      </c>
      <c r="EC976" s="120">
        <v>0</v>
      </c>
      <c r="ED976" s="120" t="s">
        <v>512</v>
      </c>
      <c r="EE976" s="120"/>
      <c r="EF976" s="440"/>
    </row>
    <row r="977" spans="54:136">
      <c r="BB977" s="436" t="s">
        <v>513</v>
      </c>
      <c r="BC977" s="120">
        <v>0</v>
      </c>
      <c r="BD977" s="120" t="s">
        <v>512</v>
      </c>
      <c r="BE977" s="120"/>
      <c r="BF977" s="440"/>
      <c r="CB977" s="436" t="s">
        <v>513</v>
      </c>
      <c r="CC977" s="120">
        <v>0</v>
      </c>
      <c r="CD977" s="120" t="s">
        <v>512</v>
      </c>
      <c r="CE977" s="120"/>
      <c r="CF977" s="440"/>
      <c r="DB977" s="436" t="s">
        <v>513</v>
      </c>
      <c r="DC977" s="120">
        <v>0</v>
      </c>
      <c r="DD977" s="120" t="s">
        <v>512</v>
      </c>
      <c r="DE977" s="120"/>
      <c r="DF977" s="440"/>
      <c r="EB977" s="436" t="s">
        <v>513</v>
      </c>
      <c r="EC977" s="120">
        <v>0</v>
      </c>
      <c r="ED977" s="120" t="s">
        <v>512</v>
      </c>
      <c r="EE977" s="120"/>
      <c r="EF977" s="440"/>
    </row>
    <row r="978" spans="54:136">
      <c r="BB978" s="456"/>
      <c r="BC978" s="457"/>
      <c r="BD978" s="457"/>
      <c r="BE978" s="457"/>
      <c r="BF978" s="458"/>
      <c r="CB978" s="456"/>
      <c r="CC978" s="457"/>
      <c r="CD978" s="457"/>
      <c r="CE978" s="457"/>
      <c r="CF978" s="458"/>
      <c r="DB978" s="456"/>
      <c r="DC978" s="457"/>
      <c r="DD978" s="457"/>
      <c r="DE978" s="457"/>
      <c r="DF978" s="458"/>
      <c r="EB978" s="456"/>
      <c r="EC978" s="457"/>
      <c r="ED978" s="457"/>
      <c r="EE978" s="457"/>
      <c r="EF978" s="458"/>
    </row>
    <row r="979" spans="54:136">
      <c r="BB979" s="449" t="s">
        <v>461</v>
      </c>
      <c r="BC979" s="120"/>
      <c r="BD979" s="120"/>
      <c r="BE979" s="120"/>
      <c r="BF979" s="440"/>
      <c r="CB979" s="449" t="s">
        <v>461</v>
      </c>
      <c r="CC979" s="120"/>
      <c r="CD979" s="120"/>
      <c r="CE979" s="120"/>
      <c r="CF979" s="440"/>
      <c r="DB979" s="449" t="s">
        <v>461</v>
      </c>
      <c r="DC979" s="120"/>
      <c r="DD979" s="120"/>
      <c r="DE979" s="120"/>
      <c r="DF979" s="440"/>
      <c r="EB979" s="449" t="s">
        <v>461</v>
      </c>
      <c r="EC979" s="120"/>
      <c r="ED979" s="120"/>
      <c r="EE979" s="120"/>
      <c r="EF979" s="440"/>
    </row>
    <row r="980" spans="54:136">
      <c r="BB980" s="436" t="s">
        <v>514</v>
      </c>
      <c r="BC980" s="120">
        <f>VLOOKUP(BB908,'Unit Ops'!$B$140:$K$209,10,FALSE)</f>
        <v>2</v>
      </c>
      <c r="BD980" s="120" t="s">
        <v>515</v>
      </c>
      <c r="BE980" s="120"/>
      <c r="BF980" s="440"/>
      <c r="CB980" s="436" t="s">
        <v>514</v>
      </c>
      <c r="CC980" s="120">
        <f>VLOOKUP(CB908,'Unit Ops'!$B$140:$K$209,10,FALSE)</f>
        <v>12</v>
      </c>
      <c r="CD980" s="120" t="s">
        <v>515</v>
      </c>
      <c r="CE980" s="120"/>
      <c r="CF980" s="440"/>
      <c r="DB980" s="436" t="s">
        <v>514</v>
      </c>
      <c r="DC980" s="120">
        <f>VLOOKUP(DB908,'Unit Ops'!$B$140:$K$209,10,FALSE)</f>
        <v>6</v>
      </c>
      <c r="DD980" s="120" t="s">
        <v>515</v>
      </c>
      <c r="DE980" s="120"/>
      <c r="DF980" s="440"/>
      <c r="EB980" s="436" t="s">
        <v>514</v>
      </c>
      <c r="EC980" s="120">
        <f>VLOOKUP(EB908,'Unit Ops'!$B$140:$K$209,10,FALSE)</f>
        <v>12</v>
      </c>
      <c r="ED980" s="120" t="s">
        <v>515</v>
      </c>
      <c r="EE980" s="120"/>
      <c r="EF980" s="440"/>
    </row>
    <row r="981" spans="54:136">
      <c r="BB981" s="436" t="s">
        <v>516</v>
      </c>
      <c r="BC981" s="120">
        <v>0</v>
      </c>
      <c r="BD981" s="120" t="s">
        <v>515</v>
      </c>
      <c r="BE981" s="120"/>
      <c r="BF981" s="440"/>
      <c r="CB981" s="436" t="s">
        <v>516</v>
      </c>
      <c r="CC981" s="120">
        <v>0</v>
      </c>
      <c r="CD981" s="120" t="s">
        <v>515</v>
      </c>
      <c r="CE981" s="120"/>
      <c r="CF981" s="440"/>
      <c r="DB981" s="436" t="s">
        <v>516</v>
      </c>
      <c r="DC981" s="120">
        <v>0</v>
      </c>
      <c r="DD981" s="120" t="s">
        <v>515</v>
      </c>
      <c r="DE981" s="120"/>
      <c r="DF981" s="440"/>
      <c r="EB981" s="436" t="s">
        <v>516</v>
      </c>
      <c r="EC981" s="120">
        <v>0</v>
      </c>
      <c r="ED981" s="120" t="s">
        <v>515</v>
      </c>
      <c r="EE981" s="120"/>
      <c r="EF981" s="440"/>
    </row>
    <row r="982" spans="54:136">
      <c r="BB982" s="436"/>
      <c r="BC982" s="120"/>
      <c r="BD982" s="120"/>
      <c r="BE982" s="120"/>
      <c r="BF982" s="440"/>
      <c r="CB982" s="436"/>
      <c r="CC982" s="120"/>
      <c r="CD982" s="120"/>
      <c r="CE982" s="120"/>
      <c r="CF982" s="440"/>
      <c r="DB982" s="436"/>
      <c r="DC982" s="120"/>
      <c r="DD982" s="120"/>
      <c r="DE982" s="120"/>
      <c r="DF982" s="440"/>
      <c r="EB982" s="436"/>
      <c r="EC982" s="120"/>
      <c r="ED982" s="120"/>
      <c r="EE982" s="120"/>
      <c r="EF982" s="440"/>
    </row>
    <row r="983" spans="54:136">
      <c r="BB983" s="436"/>
      <c r="BC983" s="120"/>
      <c r="BD983" s="120"/>
      <c r="BE983" s="120"/>
      <c r="BF983" s="440"/>
      <c r="CB983" s="436"/>
      <c r="CC983" s="120"/>
      <c r="CD983" s="120"/>
      <c r="CE983" s="120"/>
      <c r="CF983" s="440"/>
      <c r="DB983" s="436"/>
      <c r="DC983" s="120"/>
      <c r="DD983" s="120"/>
      <c r="DE983" s="120"/>
      <c r="DF983" s="440"/>
      <c r="EB983" s="436"/>
      <c r="EC983" s="120"/>
      <c r="ED983" s="120"/>
      <c r="EE983" s="120"/>
      <c r="EF983" s="440"/>
    </row>
    <row r="984" spans="54:136">
      <c r="BB984" s="436"/>
      <c r="BC984" s="120"/>
      <c r="BD984" s="120"/>
      <c r="BE984" s="120"/>
      <c r="BF984" s="440"/>
      <c r="CB984" s="436"/>
      <c r="CC984" s="120"/>
      <c r="CD984" s="120"/>
      <c r="CE984" s="120"/>
      <c r="CF984" s="440"/>
      <c r="DB984" s="436"/>
      <c r="DC984" s="120"/>
      <c r="DD984" s="120"/>
      <c r="DE984" s="120"/>
      <c r="DF984" s="440"/>
      <c r="EB984" s="436"/>
      <c r="EC984" s="120"/>
      <c r="ED984" s="120"/>
      <c r="EE984" s="120"/>
      <c r="EF984" s="440"/>
    </row>
    <row r="985" spans="54:136">
      <c r="BB985" s="436"/>
      <c r="BC985" s="120"/>
      <c r="BD985" s="120"/>
      <c r="BE985" s="120"/>
      <c r="BF985" s="440"/>
      <c r="CB985" s="436"/>
      <c r="CC985" s="120"/>
      <c r="CD985" s="120"/>
      <c r="CE985" s="120"/>
      <c r="CF985" s="440"/>
      <c r="DB985" s="436"/>
      <c r="DC985" s="120"/>
      <c r="DD985" s="120"/>
      <c r="DE985" s="120"/>
      <c r="DF985" s="440"/>
      <c r="EB985" s="436"/>
      <c r="EC985" s="120"/>
      <c r="ED985" s="120"/>
      <c r="EE985" s="120"/>
      <c r="EF985" s="440"/>
    </row>
    <row r="986" spans="54:136">
      <c r="BB986" s="436"/>
      <c r="BC986" s="120"/>
      <c r="BD986" s="120"/>
      <c r="BE986" s="120"/>
      <c r="BF986" s="440"/>
      <c r="CB986" s="436"/>
      <c r="CC986" s="120"/>
      <c r="CD986" s="120"/>
      <c r="CE986" s="120"/>
      <c r="CF986" s="440"/>
      <c r="DB986" s="436"/>
      <c r="DC986" s="120"/>
      <c r="DD986" s="120"/>
      <c r="DE986" s="120"/>
      <c r="DF986" s="440"/>
      <c r="EB986" s="436"/>
      <c r="EC986" s="120"/>
      <c r="ED986" s="120"/>
      <c r="EE986" s="120"/>
      <c r="EF986" s="440"/>
    </row>
    <row r="987" spans="54:136">
      <c r="BB987" s="436" t="s">
        <v>464</v>
      </c>
      <c r="BC987" s="120"/>
      <c r="BD987" s="120"/>
      <c r="BE987" s="120"/>
      <c r="BF987" s="440"/>
      <c r="CB987" s="436" t="s">
        <v>464</v>
      </c>
      <c r="CC987" s="120"/>
      <c r="CD987" s="120"/>
      <c r="CE987" s="120"/>
      <c r="CF987" s="440"/>
      <c r="DB987" s="436" t="s">
        <v>464</v>
      </c>
      <c r="DC987" s="120"/>
      <c r="DD987" s="120"/>
      <c r="DE987" s="120"/>
      <c r="DF987" s="440"/>
      <c r="EB987" s="436" t="s">
        <v>464</v>
      </c>
      <c r="EC987" s="120"/>
      <c r="ED987" s="120"/>
      <c r="EE987" s="120"/>
      <c r="EF987" s="440"/>
    </row>
    <row r="988" spans="54:136">
      <c r="BB988" s="456"/>
      <c r="BC988" s="457"/>
      <c r="BD988" s="457"/>
      <c r="BE988" s="457"/>
      <c r="BF988" s="458"/>
      <c r="CB988" s="456"/>
      <c r="CC988" s="457"/>
      <c r="CD988" s="457"/>
      <c r="CE988" s="457"/>
      <c r="CF988" s="458"/>
      <c r="DB988" s="456"/>
      <c r="DC988" s="457"/>
      <c r="DD988" s="457"/>
      <c r="DE988" s="457"/>
      <c r="DF988" s="458"/>
      <c r="EB988" s="456"/>
      <c r="EC988" s="457"/>
      <c r="ED988" s="457"/>
      <c r="EE988" s="457"/>
      <c r="EF988" s="458"/>
    </row>
    <row r="989" spans="54:136">
      <c r="BB989" s="449" t="s">
        <v>472</v>
      </c>
      <c r="BC989" s="467" t="s">
        <v>517</v>
      </c>
      <c r="BD989" s="120" t="s">
        <v>518</v>
      </c>
      <c r="BE989" s="467" t="s">
        <v>519</v>
      </c>
      <c r="BF989" s="440" t="s">
        <v>518</v>
      </c>
      <c r="CB989" s="449" t="s">
        <v>472</v>
      </c>
      <c r="CC989" s="467" t="s">
        <v>517</v>
      </c>
      <c r="CD989" s="120" t="s">
        <v>518</v>
      </c>
      <c r="CE989" s="467" t="s">
        <v>519</v>
      </c>
      <c r="CF989" s="440" t="s">
        <v>518</v>
      </c>
      <c r="DB989" s="449" t="s">
        <v>472</v>
      </c>
      <c r="DC989" s="467" t="s">
        <v>517</v>
      </c>
      <c r="DD989" s="120" t="s">
        <v>518</v>
      </c>
      <c r="DE989" s="467" t="s">
        <v>519</v>
      </c>
      <c r="DF989" s="440" t="s">
        <v>518</v>
      </c>
      <c r="EB989" s="449" t="s">
        <v>472</v>
      </c>
      <c r="EC989" s="467" t="s">
        <v>517</v>
      </c>
      <c r="ED989" s="120" t="s">
        <v>518</v>
      </c>
      <c r="EE989" s="467" t="s">
        <v>519</v>
      </c>
      <c r="EF989" s="440" t="s">
        <v>518</v>
      </c>
    </row>
    <row r="990" spans="54:136">
      <c r="BB990" s="436" t="s">
        <v>520</v>
      </c>
      <c r="BC990" s="120"/>
      <c r="BD990" s="120"/>
      <c r="BE990" s="472">
        <f>((VLOOKUP(BB908,'Unit Ops'!$B$140:$J$209,3,FALSE)*BC910^VLOOKUP(BB908,'Unit Ops'!$B$140:$J$209,4,FALSE)+VLOOKUP(BB908,'Unit Ops'!$B$140:$J$209,5,FALSE))*VLOOKUP(BB908,'Unit Ops'!$B$140:$J$209,6,FALSE))*IF(VLOOKUP(BB908,'Unit Ops'!$B$140:$L$209,11,FALSE)=1,1,2)</f>
        <v>58073.251171671582</v>
      </c>
      <c r="BF990" s="490">
        <f>$C$7</f>
        <v>2022</v>
      </c>
      <c r="CB990" s="436" t="s">
        <v>520</v>
      </c>
      <c r="CC990" s="120"/>
      <c r="CD990" s="120"/>
      <c r="CE990" s="472">
        <f>((VLOOKUP(CB908,'Unit Ops'!$B$140:$J$209,3,FALSE)*CC910^VLOOKUP(CB908,'Unit Ops'!$B$140:$J$209,4,FALSE)+VLOOKUP(CB908,'Unit Ops'!$B$140:$J$209,5,FALSE))*VLOOKUP(CB908,'Unit Ops'!$B$140:$J$209,6,FALSE))*IF(VLOOKUP(CB908,'Unit Ops'!$B$140:$L$209,11,FALSE)=1,1,2)</f>
        <v>1144168.7662890728</v>
      </c>
      <c r="CF990" s="490">
        <f>$C$7</f>
        <v>2022</v>
      </c>
      <c r="DB990" s="436" t="s">
        <v>520</v>
      </c>
      <c r="DC990" s="120"/>
      <c r="DD990" s="120"/>
      <c r="DE990" s="472">
        <f>((VLOOKUP(DB908,'Unit Ops'!$B$140:$J$209,3,FALSE)*DC910^VLOOKUP(DB908,'Unit Ops'!$B$140:$J$209,4,FALSE)+VLOOKUP(DB908,'Unit Ops'!$B$140:$J$209,5,FALSE))*VLOOKUP(DB908,'Unit Ops'!$B$140:$J$209,6,FALSE))*IF(VLOOKUP(DB908,'Unit Ops'!$B$140:$L$209,11,FALSE)=1,1,2)*COUNTIF(DB126:DB130,"&lt;&gt;Select Output")</f>
        <v>735122.37458774517</v>
      </c>
      <c r="DF990" s="490">
        <f>$C$7</f>
        <v>2022</v>
      </c>
      <c r="EB990" s="436" t="s">
        <v>520</v>
      </c>
      <c r="EC990" s="120"/>
      <c r="ED990" s="120"/>
      <c r="EE990" s="472">
        <f>((VLOOKUP(EB908,'Unit Ops'!$B$140:$J$209,3,FALSE)*EC910^VLOOKUP(EB908,'Unit Ops'!$B$140:$J$209,4,FALSE)+VLOOKUP(EB908,'Unit Ops'!$B$140:$J$209,5,FALSE))*VLOOKUP(EB908,'Unit Ops'!$B$140:$J$209,6,FALSE))*IF(VLOOKUP(EB908,'Unit Ops'!$B$140:$L$209,11,FALSE)=1,1,2)</f>
        <v>1342460.9338656482</v>
      </c>
      <c r="EF990" s="490">
        <f>$C$7</f>
        <v>2022</v>
      </c>
    </row>
    <row r="991" spans="54:136">
      <c r="BB991" s="436"/>
      <c r="BC991" s="120"/>
      <c r="BD991" s="120"/>
      <c r="BE991" s="120"/>
      <c r="BF991" s="440"/>
      <c r="CB991" s="436"/>
      <c r="CC991" s="120"/>
      <c r="CD991" s="120"/>
      <c r="CE991" s="120"/>
      <c r="CF991" s="440"/>
      <c r="DB991" s="436"/>
      <c r="DC991" s="120"/>
      <c r="DD991" s="120"/>
      <c r="DE991" s="120"/>
      <c r="DF991" s="440"/>
      <c r="EB991" s="436"/>
      <c r="EC991" s="120"/>
      <c r="ED991" s="120"/>
      <c r="EE991" s="120"/>
      <c r="EF991" s="440"/>
    </row>
    <row r="992" spans="54:136">
      <c r="BB992" s="436"/>
      <c r="BC992" s="120"/>
      <c r="BD992" s="120"/>
      <c r="BE992" s="120"/>
      <c r="BF992" s="440"/>
      <c r="CB992" s="436"/>
      <c r="CC992" s="120"/>
      <c r="CD992" s="120"/>
      <c r="CE992" s="120"/>
      <c r="CF992" s="440"/>
      <c r="DB992" s="436"/>
      <c r="DC992" s="120"/>
      <c r="DD992" s="120"/>
      <c r="DE992" s="120"/>
      <c r="DF992" s="440"/>
      <c r="EB992" s="436"/>
      <c r="EC992" s="120"/>
      <c r="ED992" s="120"/>
      <c r="EE992" s="120"/>
      <c r="EF992" s="440"/>
    </row>
    <row r="993" spans="53:137">
      <c r="BB993" s="436"/>
      <c r="BC993" s="120"/>
      <c r="BD993" s="120"/>
      <c r="BE993" s="120"/>
      <c r="BF993" s="440"/>
      <c r="CB993" s="436"/>
      <c r="CC993" s="120"/>
      <c r="CD993" s="120"/>
      <c r="CE993" s="120"/>
      <c r="CF993" s="440"/>
      <c r="DB993" s="436"/>
      <c r="DC993" s="120"/>
      <c r="DD993" s="120"/>
      <c r="DE993" s="120"/>
      <c r="DF993" s="440"/>
      <c r="EB993" s="436"/>
      <c r="EC993" s="120"/>
      <c r="ED993" s="120"/>
      <c r="EE993" s="120"/>
      <c r="EF993" s="440"/>
    </row>
    <row r="994" spans="53:137">
      <c r="BB994" s="436"/>
      <c r="BC994" s="120"/>
      <c r="BD994" s="120"/>
      <c r="BE994" s="120"/>
      <c r="BF994" s="440"/>
      <c r="CB994" s="436"/>
      <c r="CC994" s="120"/>
      <c r="CD994" s="120"/>
      <c r="CE994" s="120"/>
      <c r="CF994" s="440"/>
      <c r="DB994" s="436"/>
      <c r="DC994" s="120"/>
      <c r="DD994" s="120"/>
      <c r="DE994" s="120"/>
      <c r="DF994" s="440"/>
      <c r="EB994" s="436"/>
      <c r="EC994" s="120"/>
      <c r="ED994" s="120"/>
      <c r="EE994" s="120"/>
      <c r="EF994" s="440"/>
    </row>
    <row r="995" spans="53:137">
      <c r="BB995" s="436"/>
      <c r="BC995" s="120"/>
      <c r="BD995" s="120"/>
      <c r="BE995" s="120"/>
      <c r="BF995" s="440"/>
      <c r="CB995" s="436"/>
      <c r="CC995" s="120"/>
      <c r="CD995" s="120"/>
      <c r="CE995" s="120"/>
      <c r="CF995" s="440"/>
      <c r="DB995" s="436"/>
      <c r="DC995" s="120"/>
      <c r="DD995" s="120"/>
      <c r="DE995" s="120"/>
      <c r="DF995" s="440"/>
      <c r="EB995" s="436"/>
      <c r="EC995" s="120"/>
      <c r="ED995" s="120"/>
      <c r="EE995" s="120"/>
      <c r="EF995" s="440"/>
    </row>
    <row r="996" spans="53:137">
      <c r="BB996" s="436"/>
      <c r="BC996" s="120"/>
      <c r="BD996" s="120"/>
      <c r="BE996" s="120"/>
      <c r="BF996" s="440"/>
      <c r="CB996" s="436"/>
      <c r="CC996" s="120"/>
      <c r="CD996" s="120"/>
      <c r="CE996" s="120"/>
      <c r="CF996" s="440"/>
      <c r="DB996" s="436"/>
      <c r="DC996" s="120"/>
      <c r="DD996" s="120"/>
      <c r="DE996" s="120"/>
      <c r="DF996" s="440"/>
      <c r="EB996" s="436"/>
      <c r="EC996" s="120"/>
      <c r="ED996" s="120"/>
      <c r="EE996" s="120"/>
      <c r="EF996" s="440"/>
    </row>
    <row r="997" spans="53:137">
      <c r="BB997" s="436"/>
      <c r="BC997" s="120"/>
      <c r="BD997" s="120"/>
      <c r="BE997" s="120"/>
      <c r="BF997" s="440"/>
      <c r="CB997" s="436"/>
      <c r="CC997" s="120"/>
      <c r="CD997" s="120"/>
      <c r="CE997" s="120"/>
      <c r="CF997" s="440"/>
      <c r="DB997" s="436"/>
      <c r="DC997" s="120"/>
      <c r="DD997" s="120"/>
      <c r="DE997" s="120"/>
      <c r="DF997" s="440"/>
      <c r="EB997" s="436"/>
      <c r="EC997" s="120"/>
      <c r="ED997" s="120"/>
      <c r="EE997" s="120"/>
      <c r="EF997" s="440"/>
    </row>
    <row r="998" spans="53:137">
      <c r="BB998" s="436"/>
      <c r="BC998" s="120"/>
      <c r="BD998" s="120"/>
      <c r="BE998" s="120"/>
      <c r="BF998" s="440"/>
      <c r="CB998" s="436"/>
      <c r="CC998" s="120"/>
      <c r="CD998" s="120"/>
      <c r="CE998" s="120"/>
      <c r="CF998" s="440"/>
      <c r="DB998" s="436"/>
      <c r="DC998" s="120"/>
      <c r="DD998" s="120"/>
      <c r="DE998" s="120"/>
      <c r="DF998" s="440"/>
      <c r="EB998" s="436"/>
      <c r="EC998" s="120"/>
      <c r="ED998" s="120"/>
      <c r="EE998" s="120"/>
      <c r="EF998" s="440"/>
    </row>
    <row r="999" spans="53:137">
      <c r="BB999" s="436"/>
      <c r="BC999" s="120"/>
      <c r="BD999" s="120"/>
      <c r="BE999" s="120"/>
      <c r="BF999" s="440"/>
      <c r="CB999" s="436"/>
      <c r="CC999" s="120"/>
      <c r="CD999" s="120"/>
      <c r="CE999" s="120"/>
      <c r="CF999" s="440"/>
      <c r="DB999" s="436"/>
      <c r="DC999" s="120"/>
      <c r="DD999" s="120"/>
      <c r="DE999" s="120"/>
      <c r="DF999" s="440"/>
      <c r="EB999" s="436"/>
      <c r="EC999" s="120"/>
      <c r="ED999" s="120"/>
      <c r="EE999" s="120"/>
      <c r="EF999" s="440"/>
    </row>
    <row r="1000" spans="53:137">
      <c r="BB1000" s="436"/>
      <c r="BC1000" s="120"/>
      <c r="BD1000" s="120"/>
      <c r="BE1000" s="120"/>
      <c r="BF1000" s="440"/>
      <c r="CB1000" s="436"/>
      <c r="CC1000" s="120"/>
      <c r="CD1000" s="120"/>
      <c r="CE1000" s="120"/>
      <c r="CF1000" s="440"/>
      <c r="DB1000" s="436"/>
      <c r="DC1000" s="120"/>
      <c r="DD1000" s="120"/>
      <c r="DE1000" s="120"/>
      <c r="DF1000" s="440"/>
      <c r="EB1000" s="436"/>
      <c r="EC1000" s="120"/>
      <c r="ED1000" s="120"/>
      <c r="EE1000" s="120"/>
      <c r="EF1000" s="440"/>
    </row>
    <row r="1001" spans="53:137">
      <c r="BB1001" s="436"/>
      <c r="BC1001" s="120"/>
      <c r="BD1001" s="120"/>
      <c r="BE1001" s="120"/>
      <c r="BF1001" s="440"/>
      <c r="CB1001" s="436"/>
      <c r="CC1001" s="120"/>
      <c r="CD1001" s="120"/>
      <c r="CE1001" s="120"/>
      <c r="CF1001" s="440"/>
      <c r="DB1001" s="436"/>
      <c r="DC1001" s="120"/>
      <c r="DD1001" s="120"/>
      <c r="DE1001" s="120"/>
      <c r="DF1001" s="440"/>
      <c r="EB1001" s="436"/>
      <c r="EC1001" s="120"/>
      <c r="ED1001" s="120"/>
      <c r="EE1001" s="120"/>
      <c r="EF1001" s="440"/>
    </row>
    <row r="1002" spans="53:137">
      <c r="BB1002" s="436"/>
      <c r="BC1002" s="120"/>
      <c r="BD1002" s="120"/>
      <c r="BE1002" s="120"/>
      <c r="BF1002" s="440"/>
      <c r="CB1002" s="436"/>
      <c r="CC1002" s="120"/>
      <c r="CD1002" s="120"/>
      <c r="CE1002" s="120"/>
      <c r="CF1002" s="440"/>
      <c r="DB1002" s="436"/>
      <c r="DC1002" s="120"/>
      <c r="DD1002" s="120"/>
      <c r="DE1002" s="120"/>
      <c r="DF1002" s="440"/>
      <c r="EB1002" s="436"/>
      <c r="EC1002" s="120"/>
      <c r="ED1002" s="120"/>
      <c r="EE1002" s="120"/>
      <c r="EF1002" s="440"/>
    </row>
    <row r="1003" spans="53:137">
      <c r="BB1003" s="436"/>
      <c r="BC1003" s="120"/>
      <c r="BD1003" s="120"/>
      <c r="BE1003" s="120"/>
      <c r="BF1003" s="440"/>
      <c r="CB1003" s="436"/>
      <c r="CC1003" s="120"/>
      <c r="CD1003" s="120"/>
      <c r="CE1003" s="120"/>
      <c r="CF1003" s="440"/>
      <c r="DB1003" s="436"/>
      <c r="DC1003" s="120"/>
      <c r="DD1003" s="120"/>
      <c r="DE1003" s="120"/>
      <c r="DF1003" s="440"/>
      <c r="EB1003" s="436"/>
      <c r="EC1003" s="120"/>
      <c r="ED1003" s="120"/>
      <c r="EE1003" s="120"/>
      <c r="EF1003" s="440"/>
    </row>
    <row r="1004" spans="53:137" ht="14.5" thickBot="1">
      <c r="BB1004" s="492"/>
      <c r="BC1004" s="493"/>
      <c r="BD1004" s="493"/>
      <c r="BE1004" s="493"/>
      <c r="BF1004" s="453"/>
      <c r="CB1004" s="492"/>
      <c r="CC1004" s="493"/>
      <c r="CD1004" s="493"/>
      <c r="CE1004" s="493"/>
      <c r="CF1004" s="453"/>
      <c r="DB1004" s="492"/>
      <c r="DC1004" s="493"/>
      <c r="DD1004" s="493"/>
      <c r="DE1004" s="493"/>
      <c r="DF1004" s="453"/>
      <c r="EB1004" s="492"/>
      <c r="EC1004" s="493"/>
      <c r="ED1004" s="493"/>
      <c r="EE1004" s="493"/>
      <c r="EF1004" s="453"/>
    </row>
    <row r="1007" spans="53:137" ht="14.5" thickBot="1"/>
    <row r="1008" spans="53:137">
      <c r="BA1008" s="114" t="s">
        <v>478</v>
      </c>
      <c r="BB1008" s="431" t="str">
        <f>BB59</f>
        <v>Granulator</v>
      </c>
      <c r="BC1008" s="432"/>
      <c r="BD1008" s="433"/>
      <c r="BE1008" s="434"/>
      <c r="BF1008" s="435"/>
      <c r="BG1008" s="409"/>
      <c r="CA1008" s="114" t="s">
        <v>478</v>
      </c>
      <c r="CB1008" s="431" t="str">
        <f>CB59</f>
        <v>Solvent extraction unit</v>
      </c>
      <c r="CC1008" s="432"/>
      <c r="CD1008" s="433"/>
      <c r="CE1008" s="434"/>
      <c r="CF1008" s="435"/>
      <c r="CG1008" s="409"/>
      <c r="DA1008" s="114" t="s">
        <v>478</v>
      </c>
      <c r="DB1008" s="431" t="str">
        <f>DB59</f>
        <v>Dryer</v>
      </c>
      <c r="DC1008" s="432"/>
      <c r="DD1008" s="433"/>
      <c r="DE1008" s="434"/>
      <c r="DF1008" s="435"/>
      <c r="DG1008" s="409"/>
      <c r="EA1008" s="114" t="s">
        <v>478</v>
      </c>
      <c r="EB1008" s="431" t="str">
        <f>EB61</f>
        <v>Solvent extraction unit</v>
      </c>
      <c r="EC1008" s="432"/>
      <c r="ED1008" s="433"/>
      <c r="EE1008" s="434"/>
      <c r="EF1008" s="435"/>
      <c r="EG1008" s="409"/>
    </row>
    <row r="1009" spans="53:137">
      <c r="BA1009" s="114" t="s">
        <v>5</v>
      </c>
      <c r="BB1009" s="436" t="s">
        <v>1</v>
      </c>
      <c r="BC1009" s="437">
        <f>BC$25/BC$22/BC$21*VLOOKUP(BB1008,'Unit Ops'!$B$140:$J$209,2,FALSE)</f>
        <v>0.92592592592592593</v>
      </c>
      <c r="BD1009" s="438" t="s">
        <v>586</v>
      </c>
      <c r="BE1009" s="1027">
        <f>BC1009*BC$310*BC$311</f>
        <v>10000</v>
      </c>
      <c r="BF1009" s="439" t="s">
        <v>585</v>
      </c>
      <c r="BG1009" s="496"/>
      <c r="CA1009" s="114" t="s">
        <v>5</v>
      </c>
      <c r="CB1009" s="436" t="s">
        <v>1</v>
      </c>
      <c r="CC1009" s="437">
        <f>CC$25/CC$22/CC$21*VLOOKUP(CB1008,'Unit Ops'!$B$140:$J$209,2,FALSE)</f>
        <v>0.91324200913242004</v>
      </c>
      <c r="CD1009" s="438" t="s">
        <v>586</v>
      </c>
      <c r="CE1009" s="1027">
        <f>CC1009*CC$310*CC$311</f>
        <v>10000</v>
      </c>
      <c r="CF1009" s="439" t="s">
        <v>585</v>
      </c>
      <c r="CG1009" s="496"/>
      <c r="DA1009" s="114" t="s">
        <v>5</v>
      </c>
      <c r="DB1009" s="436" t="s">
        <v>1</v>
      </c>
      <c r="DC1009" s="437">
        <f>DC$25/DC$22/DC$21*VLOOKUP(DB1008,'Unit Ops'!$B$140:$J$209,2,FALSE)*SUM(DC28:DC35)/COUNTIF(DB126:DB130,"&lt;&gt;Select Output")</f>
        <v>7.4567901234567899E-2</v>
      </c>
      <c r="DD1009" s="438" t="s">
        <v>586</v>
      </c>
      <c r="DE1009" s="1027">
        <f>DC1009*DC$310*DC$311</f>
        <v>805.33333333333326</v>
      </c>
      <c r="DF1009" s="439" t="s">
        <v>585</v>
      </c>
      <c r="DG1009" s="496"/>
      <c r="EA1009" s="114" t="s">
        <v>5</v>
      </c>
      <c r="EB1009" s="436" t="s">
        <v>1</v>
      </c>
      <c r="EC1009" s="437">
        <f>EC$26/EC$23/EC$22*VLOOKUP(EB1008,'Unit Ops'!$B$140:$J$209,2,FALSE)</f>
        <v>1.3020833333333333</v>
      </c>
      <c r="ED1009" s="438" t="s">
        <v>586</v>
      </c>
      <c r="EE1009" s="1027">
        <f>EC1009*EC$310*EC$311</f>
        <v>10000</v>
      </c>
      <c r="EF1009" s="439" t="s">
        <v>585</v>
      </c>
      <c r="EG1009" s="496"/>
    </row>
    <row r="1010" spans="53:137">
      <c r="BA1010" s="114" t="str">
        <f>$BB$54</f>
        <v>Hopper</v>
      </c>
      <c r="BB1010" s="436" t="s">
        <v>505</v>
      </c>
      <c r="BC1010" s="437">
        <f>ROUNDUP(BC1009*IF(VLOOKUP(BB1008,'Unit Ops'!$B$140:$L$209,11,FALSE)=1,1.5,0.75),1)</f>
        <v>0.7</v>
      </c>
      <c r="BD1010" s="438" t="s">
        <v>586</v>
      </c>
      <c r="BE1010" s="120">
        <f>BC1010*BC$310*BC$311</f>
        <v>7560</v>
      </c>
      <c r="BF1010" s="439" t="s">
        <v>585</v>
      </c>
      <c r="BG1010" s="409"/>
      <c r="CA1010" s="114" t="str">
        <f>$CB$54</f>
        <v>Conveyor</v>
      </c>
      <c r="CB1010" s="436" t="s">
        <v>505</v>
      </c>
      <c r="CC1010" s="437">
        <f>ROUNDUP(CC1009*IF(VLOOKUP(CB1008,'Unit Ops'!$B$140:$L$209,11,FALSE)=1,1.5,0.75),1)</f>
        <v>0.7</v>
      </c>
      <c r="CD1010" s="438" t="s">
        <v>586</v>
      </c>
      <c r="CE1010" s="120">
        <f>CC1010*CC$310*CC$311</f>
        <v>7665</v>
      </c>
      <c r="CF1010" s="439" t="s">
        <v>585</v>
      </c>
      <c r="CG1010" s="409"/>
      <c r="DA1010" s="114" t="str">
        <f>$DB$54</f>
        <v>Conveyor</v>
      </c>
      <c r="DB1010" s="436" t="s">
        <v>505</v>
      </c>
      <c r="DC1010" s="437">
        <f>ROUNDUP(DC1009*IF(VLOOKUP(DB1008,'Unit Ops'!$B$140:$L$209,11,FALSE)=1,1.5,0.75),1)</f>
        <v>0.2</v>
      </c>
      <c r="DD1010" s="438" t="s">
        <v>586</v>
      </c>
      <c r="DE1010" s="120">
        <f>DC1010*DC$310*DC$311</f>
        <v>2160</v>
      </c>
      <c r="DF1010" s="439" t="s">
        <v>585</v>
      </c>
      <c r="DG1010" s="409"/>
      <c r="EA1010" s="114" t="str">
        <f>$EB$56</f>
        <v>Conveyor</v>
      </c>
      <c r="EB1010" s="436" t="s">
        <v>505</v>
      </c>
      <c r="EC1010" s="437">
        <f>ROUNDUP(EC1009*IF(VLOOKUP(EB1008,'Unit Ops'!$B$140:$L$209,11,FALSE)=1,1.5,0.75),1)</f>
        <v>1</v>
      </c>
      <c r="ED1010" s="438" t="s">
        <v>586</v>
      </c>
      <c r="EE1010" s="120">
        <f>EC1010*EC$310*EC$311</f>
        <v>7680</v>
      </c>
      <c r="EF1010" s="439" t="s">
        <v>585</v>
      </c>
      <c r="EG1010" s="409"/>
    </row>
    <row r="1011" spans="53:137">
      <c r="BA1011" s="114" t="str">
        <f>$BB$55</f>
        <v>Conveyor</v>
      </c>
      <c r="BB1011" s="441" t="s">
        <v>521</v>
      </c>
      <c r="BC1011" s="442">
        <f>BC1009/BC1010</f>
        <v>1.3227513227513228</v>
      </c>
      <c r="BD1011" s="438"/>
      <c r="BE1011" s="443"/>
      <c r="BF1011" s="440"/>
      <c r="BG1011" s="482"/>
      <c r="CA1011" s="114" t="str">
        <f>$CB$55</f>
        <v>Leaching tank</v>
      </c>
      <c r="CB1011" s="441" t="s">
        <v>521</v>
      </c>
      <c r="CC1011" s="442">
        <f>CC1009/CC1010</f>
        <v>1.3046314416177429</v>
      </c>
      <c r="CD1011" s="438"/>
      <c r="CE1011" s="443"/>
      <c r="CF1011" s="440"/>
      <c r="CG1011" s="482"/>
      <c r="DA1011" s="114" t="str">
        <f>$DB$55</f>
        <v>Froth flotation cell</v>
      </c>
      <c r="DB1011" s="441" t="s">
        <v>521</v>
      </c>
      <c r="DC1011" s="442">
        <f>DC1009/DC1010</f>
        <v>0.37283950617283945</v>
      </c>
      <c r="DD1011" s="438"/>
      <c r="DE1011" s="443"/>
      <c r="DF1011" s="440"/>
      <c r="DG1011" s="482"/>
      <c r="EA1011" s="114" t="str">
        <f>$EB$57</f>
        <v>Leaching tank</v>
      </c>
      <c r="EB1011" s="441" t="s">
        <v>521</v>
      </c>
      <c r="EC1011" s="442">
        <f>EC1009/EC1010</f>
        <v>1.3020833333333333</v>
      </c>
      <c r="ED1011" s="438"/>
      <c r="EE1011" s="443"/>
      <c r="EF1011" s="440"/>
      <c r="EG1011" s="482"/>
    </row>
    <row r="1012" spans="53:137">
      <c r="BA1012" s="114" t="str">
        <f>$BB$56</f>
        <v>Smelter</v>
      </c>
      <c r="BB1012" s="441" t="s">
        <v>506</v>
      </c>
      <c r="BC1012" s="445"/>
      <c r="BD1012" s="438" t="s">
        <v>454</v>
      </c>
      <c r="BE1012" s="443"/>
      <c r="BF1012" s="440"/>
      <c r="BG1012" s="470"/>
      <c r="CA1012" s="114" t="str">
        <f>$CB$56</f>
        <v>Mixing tank</v>
      </c>
      <c r="CB1012" s="441" t="s">
        <v>506</v>
      </c>
      <c r="CC1012" s="445"/>
      <c r="CD1012" s="438" t="s">
        <v>454</v>
      </c>
      <c r="CE1012" s="443"/>
      <c r="CF1012" s="440"/>
      <c r="CG1012" s="470"/>
      <c r="DA1012" s="114" t="str">
        <f>$DB$56</f>
        <v>Filter press</v>
      </c>
      <c r="DB1012" s="441" t="s">
        <v>506</v>
      </c>
      <c r="DC1012" s="445"/>
      <c r="DD1012" s="438" t="s">
        <v>454</v>
      </c>
      <c r="DE1012" s="443"/>
      <c r="DF1012" s="440"/>
      <c r="DG1012" s="470"/>
      <c r="EA1012" s="114" t="str">
        <f>$EB$58</f>
        <v>Mixing tank</v>
      </c>
      <c r="EB1012" s="441" t="s">
        <v>506</v>
      </c>
      <c r="EC1012" s="445"/>
      <c r="ED1012" s="438" t="s">
        <v>454</v>
      </c>
      <c r="EE1012" s="443"/>
      <c r="EF1012" s="440"/>
      <c r="EG1012" s="470"/>
    </row>
    <row r="1013" spans="53:137">
      <c r="BA1013" s="114" t="str">
        <f>$BB$57</f>
        <v>Gas treatment</v>
      </c>
      <c r="BB1013" s="436" t="s">
        <v>507</v>
      </c>
      <c r="BC1013" s="225">
        <f>(VLOOKUP(BB1008,'Unit Ops'!$B$140:$J$209,7,FALSE)*BC1010^VLOOKUP(BB1008,'Unit Ops'!$B$140:$J$209,8,FALSE)+VLOOKUP(BB1008,'Unit Ops'!$B$140:$J$209,9,FALSE))*IF(VLOOKUP(BB1008,'Unit Ops'!$B$140:$L$209,11,FALSE)=1,1,2)</f>
        <v>0.74377999999999989</v>
      </c>
      <c r="BD1013" s="446" t="s">
        <v>454</v>
      </c>
      <c r="BE1013" s="443"/>
      <c r="BF1013" s="440"/>
      <c r="BG1013" s="496"/>
      <c r="CA1013" s="114" t="str">
        <f>$CB$57</f>
        <v>Filter press</v>
      </c>
      <c r="CB1013" s="436" t="s">
        <v>507</v>
      </c>
      <c r="CC1013" s="225">
        <f>(VLOOKUP(CB1008,'Unit Ops'!$B$140:$J$209,7,FALSE)*CC1010^VLOOKUP(CB1008,'Unit Ops'!$B$140:$J$209,8,FALSE)+VLOOKUP(CB1008,'Unit Ops'!$B$140:$J$209,9,FALSE))*IF(VLOOKUP(CB1008,'Unit Ops'!$B$140:$L$209,11,FALSE)=1,1,2)</f>
        <v>20.8796</v>
      </c>
      <c r="CD1013" s="446" t="s">
        <v>454</v>
      </c>
      <c r="CE1013" s="443"/>
      <c r="CF1013" s="440"/>
      <c r="CG1013" s="496"/>
      <c r="DA1013" s="114" t="str">
        <f>$DB$57</f>
        <v>Froth flotation cell</v>
      </c>
      <c r="DB1013" s="436" t="s">
        <v>507</v>
      </c>
      <c r="DC1013" s="225">
        <f>(VLOOKUP(DB1008,'Unit Ops'!$B$140:$J$209,7,FALSE)*DC1010^VLOOKUP(DB1008,'Unit Ops'!$B$140:$J$209,8,FALSE)+VLOOKUP(DB1008,'Unit Ops'!$B$140:$J$209,9,FALSE))*IF(VLOOKUP(DB1008,'Unit Ops'!$B$140:$L$209,11,FALSE)=1,1,2)</f>
        <v>145.74855555555555</v>
      </c>
      <c r="DD1013" s="446" t="s">
        <v>454</v>
      </c>
      <c r="DE1013" s="443"/>
      <c r="DF1013" s="440"/>
      <c r="DG1013" s="496"/>
      <c r="EA1013" s="114" t="str">
        <f>$EB$59</f>
        <v>Filter press</v>
      </c>
      <c r="EB1013" s="436" t="s">
        <v>507</v>
      </c>
      <c r="EC1013" s="225">
        <f>(VLOOKUP(EB1008,'Unit Ops'!$B$140:$J$209,7,FALSE)*EC1010^VLOOKUP(EB1008,'Unit Ops'!$B$140:$J$209,8,FALSE)+VLOOKUP(EB1008,'Unit Ops'!$B$140:$J$209,9,FALSE))*IF(VLOOKUP(EB1008,'Unit Ops'!$B$140:$L$209,11,FALSE)=1,1,2)</f>
        <v>29.828000000000003</v>
      </c>
      <c r="ED1013" s="446" t="s">
        <v>454</v>
      </c>
      <c r="EE1013" s="443"/>
      <c r="EF1013" s="440"/>
      <c r="EG1013" s="496"/>
    </row>
    <row r="1014" spans="53:137">
      <c r="BA1014" s="114" t="str">
        <f>$BB$58</f>
        <v>Conveyor</v>
      </c>
      <c r="BB1014" s="441"/>
      <c r="BC1014" s="445"/>
      <c r="BD1014" s="447"/>
      <c r="BE1014" s="443"/>
      <c r="BF1014" s="440"/>
      <c r="BG1014" s="503"/>
      <c r="CA1014" s="114" t="str">
        <f>$CB$58</f>
        <v>Solvent extraction unit</v>
      </c>
      <c r="CB1014" s="441"/>
      <c r="CC1014" s="445"/>
      <c r="CD1014" s="447"/>
      <c r="CE1014" s="443"/>
      <c r="CF1014" s="440"/>
      <c r="CG1014" s="503"/>
      <c r="DA1014" s="114" t="str">
        <f>$DB$58</f>
        <v>Filter press</v>
      </c>
      <c r="DB1014" s="441"/>
      <c r="DC1014" s="445"/>
      <c r="DD1014" s="447"/>
      <c r="DE1014" s="443"/>
      <c r="DF1014" s="440"/>
      <c r="DG1014" s="503"/>
      <c r="EA1014" s="114" t="str">
        <f>$EB$60</f>
        <v>Solvent extraction unit</v>
      </c>
      <c r="EB1014" s="441"/>
      <c r="EC1014" s="445"/>
      <c r="ED1014" s="447"/>
      <c r="EE1014" s="443"/>
      <c r="EF1014" s="440"/>
      <c r="EG1014" s="503"/>
    </row>
    <row r="1015" spans="53:137">
      <c r="BA1015" s="114" t="str">
        <f>$BB$59</f>
        <v>Granulator</v>
      </c>
      <c r="BB1015" s="441"/>
      <c r="BC1015" s="445"/>
      <c r="BD1015" s="447"/>
      <c r="BE1015" s="443"/>
      <c r="BF1015" s="440"/>
      <c r="BG1015" s="409"/>
      <c r="CA1015" s="114" t="str">
        <f>$CB$59</f>
        <v>Solvent extraction unit</v>
      </c>
      <c r="CB1015" s="441"/>
      <c r="CC1015" s="445"/>
      <c r="CD1015" s="447"/>
      <c r="CE1015" s="443"/>
      <c r="CF1015" s="440"/>
      <c r="CG1015" s="409"/>
      <c r="DA1015" s="114" t="str">
        <f>$DB$59</f>
        <v>Dryer</v>
      </c>
      <c r="DB1015" s="441"/>
      <c r="DC1015" s="445"/>
      <c r="DD1015" s="447"/>
      <c r="DE1015" s="443"/>
      <c r="DF1015" s="440"/>
      <c r="DG1015" s="409"/>
      <c r="EA1015" s="114" t="str">
        <f>$EB$61</f>
        <v>Solvent extraction unit</v>
      </c>
      <c r="EB1015" s="441"/>
      <c r="EC1015" s="445"/>
      <c r="ED1015" s="447"/>
      <c r="EE1015" s="443"/>
      <c r="EF1015" s="440"/>
      <c r="EG1015" s="409"/>
    </row>
    <row r="1016" spans="53:137">
      <c r="BA1016" s="114" t="str">
        <f>$BB$60</f>
        <v>Leaching tank</v>
      </c>
      <c r="BB1016" s="449"/>
      <c r="BC1016" s="445"/>
      <c r="BD1016" s="447"/>
      <c r="BE1016" s="443"/>
      <c r="BF1016" s="440"/>
      <c r="BG1016" s="514"/>
      <c r="CA1016" s="114" t="str">
        <f>$CB$60</f>
        <v>Solvent extraction unit</v>
      </c>
      <c r="CB1016" s="449"/>
      <c r="CC1016" s="445"/>
      <c r="CD1016" s="447"/>
      <c r="CE1016" s="443"/>
      <c r="CF1016" s="440"/>
      <c r="CG1016" s="514"/>
      <c r="DA1016" s="114" t="str">
        <f>$DB$60</f>
        <v>Ball mill</v>
      </c>
      <c r="DB1016" s="449"/>
      <c r="DC1016" s="445"/>
      <c r="DD1016" s="447"/>
      <c r="DE1016" s="443"/>
      <c r="DF1016" s="440"/>
      <c r="DG1016" s="514"/>
      <c r="EA1016" s="114" t="str">
        <f>$EB$62</f>
        <v>Solvent extraction unit</v>
      </c>
      <c r="EB1016" s="449"/>
      <c r="EC1016" s="445"/>
      <c r="ED1016" s="447"/>
      <c r="EE1016" s="443"/>
      <c r="EF1016" s="440"/>
      <c r="EG1016" s="514"/>
    </row>
    <row r="1017" spans="53:137" ht="14.5" thickBot="1">
      <c r="BA1017" s="114" t="str">
        <f>$BB$61</f>
        <v>Solvent extraction unit</v>
      </c>
      <c r="BB1017" s="450"/>
      <c r="BC1017" s="451"/>
      <c r="BD1017" s="451"/>
      <c r="BE1017" s="452"/>
      <c r="BF1017" s="453"/>
      <c r="BG1017" s="514"/>
      <c r="CA1017" s="114" t="str">
        <f>$CB$61</f>
        <v>Evaporator</v>
      </c>
      <c r="CB1017" s="450"/>
      <c r="CC1017" s="451"/>
      <c r="CD1017" s="451"/>
      <c r="CE1017" s="452"/>
      <c r="CF1017" s="453"/>
      <c r="CG1017" s="514"/>
      <c r="DA1017" s="114" t="str">
        <f>$DB$61</f>
        <v>Furnace+saggar handling system</v>
      </c>
      <c r="DB1017" s="450"/>
      <c r="DC1017" s="451"/>
      <c r="DD1017" s="451"/>
      <c r="DE1017" s="452"/>
      <c r="DF1017" s="453"/>
      <c r="DG1017" s="514"/>
      <c r="EA1017" s="114" t="str">
        <f>$EB$63</f>
        <v>Evaporator</v>
      </c>
      <c r="EB1017" s="450"/>
      <c r="EC1017" s="451"/>
      <c r="ED1017" s="451"/>
      <c r="EE1017" s="452"/>
      <c r="EF1017" s="453"/>
      <c r="EG1017" s="514"/>
    </row>
    <row r="1018" spans="53:137">
      <c r="BA1018" s="114" t="str">
        <f>$BB$62</f>
        <v>Electrowinning cell</v>
      </c>
      <c r="BB1018" s="449" t="s">
        <v>470</v>
      </c>
      <c r="BC1018" s="120"/>
      <c r="BD1018" s="454"/>
      <c r="BE1018" s="120"/>
      <c r="BF1018" s="440"/>
      <c r="BG1018" s="474"/>
      <c r="CA1018" s="114" t="str">
        <f>$CB$62</f>
        <v>Precipitation tank</v>
      </c>
      <c r="CB1018" s="449" t="s">
        <v>470</v>
      </c>
      <c r="CC1018" s="120"/>
      <c r="CD1018" s="454"/>
      <c r="CE1018" s="120"/>
      <c r="CF1018" s="440"/>
      <c r="CG1018" s="474"/>
      <c r="DA1018" s="114" t="str">
        <f>$DB$62</f>
        <v>Water treatment</v>
      </c>
      <c r="DB1018" s="449" t="s">
        <v>470</v>
      </c>
      <c r="DC1018" s="120"/>
      <c r="DD1018" s="454"/>
      <c r="DE1018" s="120"/>
      <c r="DF1018" s="440"/>
      <c r="DG1018" s="474"/>
      <c r="EA1018" s="114" t="str">
        <f>$EB$64</f>
        <v>Precipitation tank</v>
      </c>
      <c r="EB1018" s="449" t="s">
        <v>470</v>
      </c>
      <c r="EC1018" s="120"/>
      <c r="ED1018" s="454"/>
      <c r="EE1018" s="120"/>
      <c r="EF1018" s="440"/>
      <c r="EG1018" s="474"/>
    </row>
    <row r="1019" spans="53:137" ht="14.5" customHeight="1">
      <c r="BA1019" s="114" t="str">
        <f>$BB$63</f>
        <v>Solvent extraction unit</v>
      </c>
      <c r="BB1019" s="1698"/>
      <c r="BC1019" s="1699"/>
      <c r="BD1019" s="1699"/>
      <c r="BE1019" s="1699"/>
      <c r="BF1019" s="1700"/>
      <c r="BG1019" s="474"/>
      <c r="CA1019" s="114" t="str">
        <f>$CB$63</f>
        <v>Centrifuge</v>
      </c>
      <c r="CB1019" s="1698"/>
      <c r="CC1019" s="1699"/>
      <c r="CD1019" s="1699"/>
      <c r="CE1019" s="1699"/>
      <c r="CF1019" s="1700"/>
      <c r="CG1019" s="474"/>
      <c r="DA1019" s="114" t="str">
        <f>$DB$63</f>
        <v>Wheel loader</v>
      </c>
      <c r="DB1019" s="1698"/>
      <c r="DC1019" s="1699"/>
      <c r="DD1019" s="1699"/>
      <c r="DE1019" s="1699"/>
      <c r="DF1019" s="1700"/>
      <c r="DG1019" s="474"/>
      <c r="EA1019" s="114" t="str">
        <f>$EB$65</f>
        <v>Centrifuge</v>
      </c>
      <c r="EB1019" s="1698"/>
      <c r="EC1019" s="1699"/>
      <c r="ED1019" s="1699"/>
      <c r="EE1019" s="1699"/>
      <c r="EF1019" s="1700"/>
      <c r="EG1019" s="474"/>
    </row>
    <row r="1020" spans="53:137">
      <c r="BA1020" s="114" t="str">
        <f>$BB$64</f>
        <v>Solvent extraction unit</v>
      </c>
      <c r="BB1020" s="436"/>
      <c r="BC1020" s="120"/>
      <c r="BD1020" s="455"/>
      <c r="BE1020" s="120"/>
      <c r="BF1020" s="440"/>
      <c r="BG1020" s="474"/>
      <c r="CA1020" s="114" t="str">
        <f>$CB$64</f>
        <v>Dryer</v>
      </c>
      <c r="CB1020" s="436"/>
      <c r="CC1020" s="120"/>
      <c r="CD1020" s="455"/>
      <c r="CE1020" s="120"/>
      <c r="CF1020" s="440"/>
      <c r="CG1020" s="474"/>
      <c r="DA1020" s="114" t="str">
        <f>$DB$64</f>
        <v>Select Equipment</v>
      </c>
      <c r="DB1020" s="436"/>
      <c r="DC1020" s="120"/>
      <c r="DD1020" s="455"/>
      <c r="DE1020" s="120"/>
      <c r="DF1020" s="440"/>
      <c r="DG1020" s="474"/>
      <c r="EA1020" s="114" t="str">
        <f>$EB$66</f>
        <v>Dryer</v>
      </c>
      <c r="EB1020" s="436"/>
      <c r="EC1020" s="120"/>
      <c r="ED1020" s="455"/>
      <c r="EE1020" s="120"/>
      <c r="EF1020" s="440"/>
      <c r="EG1020" s="474"/>
    </row>
    <row r="1021" spans="53:137">
      <c r="BA1021" s="114" t="str">
        <f>$BB$65</f>
        <v>Wheel loader</v>
      </c>
      <c r="BB1021" s="436"/>
      <c r="BC1021" s="120"/>
      <c r="BD1021" s="455"/>
      <c r="BE1021" s="120"/>
      <c r="BF1021" s="440"/>
      <c r="BG1021" s="474"/>
      <c r="CA1021" s="114" t="str">
        <f>$CB$65</f>
        <v>Water treatment</v>
      </c>
      <c r="CB1021" s="436"/>
      <c r="CC1021" s="120"/>
      <c r="CD1021" s="455"/>
      <c r="CE1021" s="120"/>
      <c r="CF1021" s="440"/>
      <c r="CG1021" s="474"/>
      <c r="DA1021" s="114" t="str">
        <f>$DB$65</f>
        <v>Select Equipment</v>
      </c>
      <c r="DB1021" s="436"/>
      <c r="DC1021" s="120"/>
      <c r="DD1021" s="455"/>
      <c r="DE1021" s="120"/>
      <c r="DF1021" s="440"/>
      <c r="DG1021" s="474"/>
      <c r="EA1021" s="114" t="str">
        <f>$EB$67</f>
        <v>Water treatment</v>
      </c>
      <c r="EB1021" s="436"/>
      <c r="EC1021" s="120"/>
      <c r="ED1021" s="455"/>
      <c r="EE1021" s="120"/>
      <c r="EF1021" s="440"/>
      <c r="EG1021" s="474"/>
    </row>
    <row r="1022" spans="53:137">
      <c r="BA1022" s="114" t="str">
        <f>$BB$66</f>
        <v>Water treatment</v>
      </c>
      <c r="BB1022" s="456"/>
      <c r="BC1022" s="457"/>
      <c r="BD1022" s="457"/>
      <c r="BE1022" s="457"/>
      <c r="BF1022" s="458"/>
      <c r="BG1022" s="460"/>
      <c r="CA1022" s="114" t="str">
        <f>$CB$66</f>
        <v>Wheel loader</v>
      </c>
      <c r="CB1022" s="456"/>
      <c r="CC1022" s="457"/>
      <c r="CD1022" s="457"/>
      <c r="CE1022" s="457"/>
      <c r="CF1022" s="458"/>
      <c r="CG1022" s="460"/>
      <c r="DA1022" s="114" t="str">
        <f>$DB$66</f>
        <v>Select Equipment</v>
      </c>
      <c r="DB1022" s="456"/>
      <c r="DC1022" s="457"/>
      <c r="DD1022" s="457"/>
      <c r="DE1022" s="457"/>
      <c r="DF1022" s="458"/>
      <c r="DG1022" s="460"/>
      <c r="EA1022" s="114" t="str">
        <f>$EB$68</f>
        <v>Wheel loader</v>
      </c>
      <c r="EB1022" s="456"/>
      <c r="EC1022" s="457"/>
      <c r="ED1022" s="457"/>
      <c r="EE1022" s="457"/>
      <c r="EF1022" s="458"/>
      <c r="EG1022" s="460"/>
    </row>
    <row r="1023" spans="53:137">
      <c r="BA1023" s="114" t="str">
        <f>$BB$67</f>
        <v>Select Equipment</v>
      </c>
      <c r="BB1023" s="449" t="s">
        <v>471</v>
      </c>
      <c r="BC1023" s="120"/>
      <c r="BD1023" s="454"/>
      <c r="BE1023" s="120"/>
      <c r="BF1023" s="440"/>
      <c r="BG1023" s="505"/>
      <c r="CA1023" s="114" t="str">
        <f>$CB$67</f>
        <v>Select Equipment</v>
      </c>
      <c r="CB1023" s="449" t="s">
        <v>471</v>
      </c>
      <c r="CC1023" s="120"/>
      <c r="CD1023" s="454"/>
      <c r="CE1023" s="120"/>
      <c r="CF1023" s="440"/>
      <c r="CG1023" s="505"/>
      <c r="DA1023" s="114" t="str">
        <f>$DB$67</f>
        <v>Select Equipment</v>
      </c>
      <c r="DB1023" s="449" t="s">
        <v>471</v>
      </c>
      <c r="DC1023" s="120"/>
      <c r="DD1023" s="454"/>
      <c r="DE1023" s="120"/>
      <c r="DF1023" s="440"/>
      <c r="DG1023" s="505"/>
      <c r="EA1023" s="114" t="str">
        <f>$EB$69</f>
        <v>Select Equipment</v>
      </c>
      <c r="EB1023" s="449" t="s">
        <v>471</v>
      </c>
      <c r="EC1023" s="120"/>
      <c r="ED1023" s="454"/>
      <c r="EE1023" s="120"/>
      <c r="EF1023" s="440"/>
      <c r="EG1023" s="505"/>
    </row>
    <row r="1024" spans="53:137">
      <c r="BA1024" s="114" t="str">
        <f>$BB$68</f>
        <v>Select Equipment</v>
      </c>
      <c r="BB1024" s="436" t="s">
        <v>577</v>
      </c>
      <c r="BC1024" s="225">
        <f>BC1013*IF(BC1011&gt;1,1,BC1011)</f>
        <v>0.74377999999999989</v>
      </c>
      <c r="BD1024" s="446" t="s">
        <v>454</v>
      </c>
      <c r="BE1024" s="120"/>
      <c r="BF1024" s="440"/>
      <c r="BG1024" s="507"/>
      <c r="CA1024" s="114" t="str">
        <f>$CB$68</f>
        <v>Select Equipment</v>
      </c>
      <c r="CB1024" s="436" t="s">
        <v>577</v>
      </c>
      <c r="CC1024" s="225">
        <f>CC1013*IF(CC1011&gt;1,1,CC1011)</f>
        <v>20.8796</v>
      </c>
      <c r="CD1024" s="446" t="s">
        <v>454</v>
      </c>
      <c r="CE1024" s="120"/>
      <c r="CF1024" s="440"/>
      <c r="CG1024" s="507"/>
      <c r="DA1024" s="114" t="str">
        <f>$DB$68</f>
        <v>Select Equipment</v>
      </c>
      <c r="DB1024" s="436" t="s">
        <v>577</v>
      </c>
      <c r="DC1024" s="225">
        <f>DC1013*IF(DC1011&gt;1,1,DC1011)</f>
        <v>54.340819478737991</v>
      </c>
      <c r="DD1024" s="446" t="s">
        <v>454</v>
      </c>
      <c r="DE1024" s="120"/>
      <c r="DF1024" s="440"/>
      <c r="DG1024" s="507"/>
      <c r="EA1024" s="114" t="str">
        <f>$EB$70</f>
        <v>Select Equipment</v>
      </c>
      <c r="EB1024" s="436" t="s">
        <v>577</v>
      </c>
      <c r="EC1024" s="225">
        <f>EC1013*IF(EC1011&gt;1,1,EC1011)</f>
        <v>29.828000000000003</v>
      </c>
      <c r="ED1024" s="446" t="s">
        <v>454</v>
      </c>
      <c r="EE1024" s="120"/>
      <c r="EF1024" s="440"/>
      <c r="EG1024" s="507"/>
    </row>
    <row r="1025" spans="53:137">
      <c r="BA1025" s="114" t="str">
        <f>$BB$69</f>
        <v>Select Equipment</v>
      </c>
      <c r="BB1025" s="436" t="s">
        <v>578</v>
      </c>
      <c r="BC1025" s="225"/>
      <c r="BD1025" s="446" t="s">
        <v>579</v>
      </c>
      <c r="BE1025" s="120"/>
      <c r="BF1025" s="440"/>
      <c r="BG1025" s="409"/>
      <c r="CA1025" s="114" t="str">
        <f>$CB$69</f>
        <v>Select Equipment</v>
      </c>
      <c r="CB1025" s="436" t="s">
        <v>578</v>
      </c>
      <c r="CC1025" s="225"/>
      <c r="CD1025" s="446" t="s">
        <v>579</v>
      </c>
      <c r="CE1025" s="120"/>
      <c r="CF1025" s="440"/>
      <c r="CG1025" s="409"/>
      <c r="DA1025" s="114" t="str">
        <f>$DB$69</f>
        <v>Select Equipment</v>
      </c>
      <c r="DB1025" s="436" t="s">
        <v>578</v>
      </c>
      <c r="DC1025" s="225"/>
      <c r="DD1025" s="446" t="s">
        <v>579</v>
      </c>
      <c r="DE1025" s="120"/>
      <c r="DF1025" s="440"/>
      <c r="DG1025" s="409"/>
      <c r="EA1025" s="114" t="str">
        <f>$EB$71</f>
        <v>Select Equipment</v>
      </c>
      <c r="EB1025" s="436" t="s">
        <v>578</v>
      </c>
      <c r="EC1025" s="225"/>
      <c r="ED1025" s="446" t="s">
        <v>579</v>
      </c>
      <c r="EE1025" s="120"/>
      <c r="EF1025" s="440"/>
      <c r="EG1025" s="409"/>
    </row>
    <row r="1026" spans="53:137">
      <c r="BA1026" s="114" t="str">
        <f>$BB$70</f>
        <v>Select Equipment</v>
      </c>
      <c r="BB1026" s="436"/>
      <c r="BC1026" s="120"/>
      <c r="BD1026" s="446"/>
      <c r="BE1026" s="120"/>
      <c r="BF1026" s="440"/>
      <c r="CA1026" s="114" t="str">
        <f>$CB$70</f>
        <v>Select Equipment</v>
      </c>
      <c r="CB1026" s="436"/>
      <c r="CC1026" s="120"/>
      <c r="CD1026" s="446"/>
      <c r="CE1026" s="120"/>
      <c r="CF1026" s="440"/>
      <c r="DA1026" s="114" t="str">
        <f>$DB$70</f>
        <v>Select Equipment</v>
      </c>
      <c r="DB1026" s="436"/>
      <c r="DC1026" s="120"/>
      <c r="DD1026" s="446"/>
      <c r="DE1026" s="120"/>
      <c r="DF1026" s="440"/>
      <c r="EA1026" s="114" t="str">
        <f>$EB$72</f>
        <v>Select Equipment</v>
      </c>
      <c r="EB1026" s="436"/>
      <c r="EC1026" s="120"/>
      <c r="ED1026" s="446"/>
      <c r="EE1026" s="120"/>
      <c r="EF1026" s="440"/>
    </row>
    <row r="1027" spans="53:137">
      <c r="BA1027" s="114" t="str">
        <f>$BB$71</f>
        <v>Select Equipment</v>
      </c>
      <c r="BB1027" s="436" t="s">
        <v>8</v>
      </c>
      <c r="BC1027" s="120"/>
      <c r="BD1027" s="459" t="s">
        <v>564</v>
      </c>
      <c r="BE1027" s="120"/>
      <c r="BF1027" s="440"/>
      <c r="CA1027" s="114" t="str">
        <f>$CB$71</f>
        <v>Select Equipment</v>
      </c>
      <c r="CB1027" s="436" t="s">
        <v>8</v>
      </c>
      <c r="CC1027" s="120"/>
      <c r="CD1027" s="459" t="s">
        <v>564</v>
      </c>
      <c r="CE1027" s="120"/>
      <c r="CF1027" s="440"/>
      <c r="DA1027" s="114" t="str">
        <f>$DB$71</f>
        <v>Select Equipment</v>
      </c>
      <c r="DB1027" s="436" t="s">
        <v>8</v>
      </c>
      <c r="DC1027" s="120"/>
      <c r="DD1027" s="459" t="s">
        <v>564</v>
      </c>
      <c r="DE1027" s="120"/>
      <c r="DF1027" s="440"/>
      <c r="EA1027" s="114" t="str">
        <f>$EB$73</f>
        <v>Select Equipment</v>
      </c>
      <c r="EB1027" s="436" t="s">
        <v>8</v>
      </c>
      <c r="EC1027" s="120"/>
      <c r="ED1027" s="459" t="s">
        <v>564</v>
      </c>
      <c r="EE1027" s="120"/>
      <c r="EF1027" s="440"/>
    </row>
    <row r="1028" spans="53:137">
      <c r="BA1028" s="114" t="str">
        <f>$BB$72</f>
        <v>Select Equipment</v>
      </c>
      <c r="BB1028" s="436"/>
      <c r="BC1028" s="120"/>
      <c r="BD1028" s="459"/>
      <c r="BE1028" s="120"/>
      <c r="BF1028" s="440"/>
      <c r="CA1028" s="114" t="str">
        <f>$CB$72</f>
        <v>Select Equipment</v>
      </c>
      <c r="CB1028" s="436"/>
      <c r="CC1028" s="120"/>
      <c r="CD1028" s="459"/>
      <c r="CE1028" s="120"/>
      <c r="CF1028" s="440"/>
      <c r="DA1028" s="114" t="str">
        <f>$DB$72</f>
        <v>Select Equipment</v>
      </c>
      <c r="DB1028" s="436"/>
      <c r="DC1028" s="120"/>
      <c r="DD1028" s="459"/>
      <c r="DE1028" s="120"/>
      <c r="DF1028" s="440"/>
      <c r="EA1028" s="114" t="str">
        <f>$EB$74</f>
        <v>Select Equipment</v>
      </c>
      <c r="EB1028" s="436"/>
      <c r="EC1028" s="120"/>
      <c r="ED1028" s="459"/>
      <c r="EE1028" s="120"/>
      <c r="EF1028" s="440"/>
    </row>
    <row r="1029" spans="53:137">
      <c r="BA1029" s="114" t="str">
        <f>$BB$73</f>
        <v>Select Equipment</v>
      </c>
      <c r="BB1029" s="436" t="s">
        <v>7</v>
      </c>
      <c r="BC1029" s="120"/>
      <c r="BD1029" s="459" t="s">
        <v>564</v>
      </c>
      <c r="BE1029" s="120"/>
      <c r="BF1029" s="440"/>
      <c r="CA1029" s="114" t="str">
        <f>$CB$73</f>
        <v>Select Equipment</v>
      </c>
      <c r="CB1029" s="436" t="s">
        <v>7</v>
      </c>
      <c r="CC1029" s="120"/>
      <c r="CD1029" s="459" t="s">
        <v>564</v>
      </c>
      <c r="CE1029" s="120"/>
      <c r="CF1029" s="440"/>
      <c r="DA1029" s="114" t="str">
        <f>$DB$73</f>
        <v>Select Equipment</v>
      </c>
      <c r="DB1029" s="436" t="s">
        <v>7</v>
      </c>
      <c r="DC1029" s="120"/>
      <c r="DD1029" s="459" t="s">
        <v>564</v>
      </c>
      <c r="DE1029" s="120"/>
      <c r="DF1029" s="440"/>
      <c r="EA1029" s="114" t="str">
        <f>$EB$75</f>
        <v>Select Equipment</v>
      </c>
      <c r="EB1029" s="436" t="s">
        <v>7</v>
      </c>
      <c r="EC1029" s="120"/>
      <c r="ED1029" s="459" t="s">
        <v>564</v>
      </c>
      <c r="EE1029" s="120"/>
      <c r="EF1029" s="440"/>
    </row>
    <row r="1030" spans="53:137">
      <c r="BA1030" s="114" t="str">
        <f>$BB$74</f>
        <v>Select Equipment</v>
      </c>
      <c r="BB1030" s="436"/>
      <c r="BC1030" s="120"/>
      <c r="BD1030" s="459"/>
      <c r="BE1030" s="120"/>
      <c r="BF1030" s="440"/>
      <c r="CA1030" s="114" t="str">
        <f>$CB$74</f>
        <v>Select Equipment</v>
      </c>
      <c r="CB1030" s="436"/>
      <c r="CC1030" s="120"/>
      <c r="CD1030" s="459"/>
      <c r="CE1030" s="120"/>
      <c r="CF1030" s="440"/>
      <c r="DA1030" s="114" t="str">
        <f>$DB$74</f>
        <v>Select Equipment</v>
      </c>
      <c r="DB1030" s="436"/>
      <c r="DC1030" s="120"/>
      <c r="DD1030" s="459"/>
      <c r="DE1030" s="120"/>
      <c r="DF1030" s="440"/>
      <c r="EA1030" s="114" t="str">
        <f>$EB$76</f>
        <v>Select Equipment</v>
      </c>
      <c r="EB1030" s="436"/>
      <c r="EC1030" s="120"/>
      <c r="ED1030" s="459"/>
      <c r="EE1030" s="120"/>
      <c r="EF1030" s="440"/>
    </row>
    <row r="1031" spans="53:137">
      <c r="BA1031" s="114" t="str">
        <f>$BB$75</f>
        <v>Select Equipment</v>
      </c>
      <c r="BB1031" s="436" t="s">
        <v>9</v>
      </c>
      <c r="BC1031" s="120"/>
      <c r="BD1031" s="459" t="s">
        <v>564</v>
      </c>
      <c r="BE1031" s="120"/>
      <c r="BF1031" s="440"/>
      <c r="CA1031" s="114" t="str">
        <f>$CB$75</f>
        <v>Select Equipment</v>
      </c>
      <c r="CB1031" s="436" t="s">
        <v>9</v>
      </c>
      <c r="CC1031" s="120"/>
      <c r="CD1031" s="459" t="s">
        <v>564</v>
      </c>
      <c r="CE1031" s="120"/>
      <c r="CF1031" s="440"/>
      <c r="DA1031" s="114" t="str">
        <f>$DB$75</f>
        <v>Select Equipment</v>
      </c>
      <c r="DB1031" s="436" t="s">
        <v>9</v>
      </c>
      <c r="DC1031" s="120"/>
      <c r="DD1031" s="459" t="s">
        <v>564</v>
      </c>
      <c r="DE1031" s="120"/>
      <c r="DF1031" s="440"/>
      <c r="EA1031" s="114" t="str">
        <f>$EB$77</f>
        <v>Select Equipment</v>
      </c>
      <c r="EB1031" s="436" t="s">
        <v>9</v>
      </c>
      <c r="EC1031" s="120"/>
      <c r="ED1031" s="459" t="s">
        <v>564</v>
      </c>
      <c r="EE1031" s="120"/>
      <c r="EF1031" s="440"/>
    </row>
    <row r="1032" spans="53:137">
      <c r="BA1032" s="114" t="str">
        <f>$BB$76</f>
        <v>Select Equipment</v>
      </c>
      <c r="BB1032" s="436"/>
      <c r="BC1032" s="120"/>
      <c r="BD1032" s="459"/>
      <c r="BE1032" s="120"/>
      <c r="BF1032" s="440"/>
      <c r="CA1032" s="114" t="str">
        <f>$CB$76</f>
        <v>Select Equipment</v>
      </c>
      <c r="CB1032" s="436"/>
      <c r="CC1032" s="120"/>
      <c r="CD1032" s="459"/>
      <c r="CE1032" s="120"/>
      <c r="CF1032" s="440"/>
      <c r="DA1032" s="114" t="str">
        <f>$DB$76</f>
        <v>Select Equipment</v>
      </c>
      <c r="DB1032" s="436"/>
      <c r="DC1032" s="120"/>
      <c r="DD1032" s="459"/>
      <c r="DE1032" s="120"/>
      <c r="DF1032" s="440"/>
      <c r="EA1032" s="114" t="str">
        <f>$EB$78</f>
        <v>Select Equipment</v>
      </c>
      <c r="EB1032" s="436"/>
      <c r="EC1032" s="120"/>
      <c r="ED1032" s="459"/>
      <c r="EE1032" s="120"/>
      <c r="EF1032" s="440"/>
    </row>
    <row r="1033" spans="53:137">
      <c r="BA1033" s="114" t="str">
        <f>$BB$77</f>
        <v>Select Equipment</v>
      </c>
      <c r="BB1033" s="436" t="s">
        <v>324</v>
      </c>
      <c r="BC1033" s="120"/>
      <c r="BD1033" s="459" t="s">
        <v>564</v>
      </c>
      <c r="BE1033" s="120"/>
      <c r="BF1033" s="440" t="s">
        <v>569</v>
      </c>
      <c r="CA1033" s="114" t="str">
        <f>$CB$77</f>
        <v>Select Equipment</v>
      </c>
      <c r="CB1033" s="436" t="s">
        <v>324</v>
      </c>
      <c r="CC1033" s="120"/>
      <c r="CD1033" s="459" t="s">
        <v>564</v>
      </c>
      <c r="CE1033" s="120"/>
      <c r="CF1033" s="440" t="s">
        <v>569</v>
      </c>
      <c r="DA1033" s="114" t="str">
        <f>$DB$77</f>
        <v>Select Equipment</v>
      </c>
      <c r="DB1033" s="436" t="s">
        <v>324</v>
      </c>
      <c r="DC1033" s="120"/>
      <c r="DD1033" s="459" t="s">
        <v>564</v>
      </c>
      <c r="DE1033" s="120"/>
      <c r="DF1033" s="440" t="s">
        <v>569</v>
      </c>
      <c r="EA1033" s="114" t="str">
        <f>$EB$79</f>
        <v>Select Equipment</v>
      </c>
      <c r="EB1033" s="436" t="s">
        <v>324</v>
      </c>
      <c r="EC1033" s="120"/>
      <c r="ED1033" s="459" t="s">
        <v>564</v>
      </c>
      <c r="EE1033" s="120"/>
      <c r="EF1033" s="440" t="s">
        <v>569</v>
      </c>
    </row>
    <row r="1034" spans="53:137">
      <c r="BA1034" s="114" t="str">
        <f>$BB$78</f>
        <v>Select Equipment</v>
      </c>
      <c r="BB1034" s="436"/>
      <c r="BC1034" s="120"/>
      <c r="BD1034" s="468"/>
      <c r="BE1034" s="469"/>
      <c r="BF1034" s="440"/>
      <c r="CA1034" s="114" t="str">
        <f>$CB$78</f>
        <v>Select Equipment</v>
      </c>
      <c r="CB1034" s="436"/>
      <c r="CC1034" s="120"/>
      <c r="CD1034" s="468"/>
      <c r="CE1034" s="469"/>
      <c r="CF1034" s="440"/>
      <c r="DA1034" s="114" t="str">
        <f>$DB$78</f>
        <v>Select Equipment</v>
      </c>
      <c r="DB1034" s="436"/>
      <c r="DC1034" s="120"/>
      <c r="DD1034" s="468"/>
      <c r="DE1034" s="469"/>
      <c r="DF1034" s="440"/>
      <c r="EA1034" s="114" t="str">
        <f>$EB$80</f>
        <v>Select Equipment</v>
      </c>
      <c r="EB1034" s="436"/>
      <c r="EC1034" s="120"/>
      <c r="ED1034" s="468"/>
      <c r="EE1034" s="469"/>
      <c r="EF1034" s="440"/>
    </row>
    <row r="1035" spans="53:137">
      <c r="BA1035" s="114" t="str">
        <f>$BB$79</f>
        <v>Select Equipment</v>
      </c>
      <c r="BB1035" s="436" t="s">
        <v>374</v>
      </c>
      <c r="BC1035" s="120"/>
      <c r="BD1035" s="459" t="s">
        <v>564</v>
      </c>
      <c r="BE1035" s="469"/>
      <c r="BF1035" s="440" t="s">
        <v>569</v>
      </c>
      <c r="CA1035" s="114" t="str">
        <f>$CB$79</f>
        <v>Select Equipment</v>
      </c>
      <c r="CB1035" s="436" t="s">
        <v>374</v>
      </c>
      <c r="CC1035" s="120"/>
      <c r="CD1035" s="459" t="s">
        <v>564</v>
      </c>
      <c r="CE1035" s="469"/>
      <c r="CF1035" s="440" t="s">
        <v>569</v>
      </c>
      <c r="DA1035" s="114" t="str">
        <f>$DB$79</f>
        <v>Select Equipment</v>
      </c>
      <c r="DB1035" s="436" t="s">
        <v>374</v>
      </c>
      <c r="DC1035" s="120"/>
      <c r="DD1035" s="459" t="s">
        <v>564</v>
      </c>
      <c r="DE1035" s="469"/>
      <c r="DF1035" s="440" t="s">
        <v>569</v>
      </c>
      <c r="EA1035" s="114" t="str">
        <f>$EB$81</f>
        <v>Select Equipment</v>
      </c>
      <c r="EB1035" s="436" t="s">
        <v>374</v>
      </c>
      <c r="EC1035" s="120"/>
      <c r="ED1035" s="459" t="s">
        <v>564</v>
      </c>
      <c r="EE1035" s="469"/>
      <c r="EF1035" s="440" t="s">
        <v>569</v>
      </c>
    </row>
    <row r="1036" spans="53:137">
      <c r="BA1036" s="114" t="str">
        <f>$BB$80</f>
        <v>Select Equipment</v>
      </c>
      <c r="BB1036" s="436"/>
      <c r="BC1036" s="120"/>
      <c r="BD1036" s="472"/>
      <c r="BE1036" s="473"/>
      <c r="BF1036" s="440"/>
      <c r="CA1036" s="114" t="str">
        <f>$CB$80</f>
        <v>Select Equipment</v>
      </c>
      <c r="CB1036" s="436"/>
      <c r="CC1036" s="120"/>
      <c r="CD1036" s="472"/>
      <c r="CE1036" s="473"/>
      <c r="CF1036" s="440"/>
      <c r="DA1036" s="114" t="str">
        <f>$DB$80</f>
        <v>Select Equipment</v>
      </c>
      <c r="DB1036" s="436"/>
      <c r="DC1036" s="120"/>
      <c r="DD1036" s="472"/>
      <c r="DE1036" s="473"/>
      <c r="DF1036" s="440"/>
      <c r="EA1036" s="114" t="str">
        <f>$EB$82</f>
        <v>Select Equipment</v>
      </c>
      <c r="EB1036" s="436"/>
      <c r="EC1036" s="120"/>
      <c r="ED1036" s="472"/>
      <c r="EE1036" s="473"/>
      <c r="EF1036" s="440"/>
    </row>
    <row r="1037" spans="53:137">
      <c r="BA1037" s="114" t="str">
        <f>$BB$81</f>
        <v>Select Equipment</v>
      </c>
      <c r="BB1037" s="436" t="s">
        <v>580</v>
      </c>
      <c r="BC1037" s="120"/>
      <c r="BD1037" s="459" t="s">
        <v>564</v>
      </c>
      <c r="BE1037" s="473"/>
      <c r="BF1037" s="440" t="s">
        <v>569</v>
      </c>
      <c r="CA1037" s="114" t="str">
        <f>$CB$81</f>
        <v>Select Equipment</v>
      </c>
      <c r="CB1037" s="436" t="s">
        <v>580</v>
      </c>
      <c r="CC1037" s="120"/>
      <c r="CD1037" s="459" t="s">
        <v>564</v>
      </c>
      <c r="CE1037" s="473"/>
      <c r="CF1037" s="440" t="s">
        <v>569</v>
      </c>
      <c r="DA1037" s="114" t="str">
        <f>$DB$81</f>
        <v>Select Equipment</v>
      </c>
      <c r="DB1037" s="436" t="s">
        <v>580</v>
      </c>
      <c r="DC1037" s="120"/>
      <c r="DD1037" s="459" t="s">
        <v>564</v>
      </c>
      <c r="DE1037" s="473"/>
      <c r="DF1037" s="440" t="s">
        <v>569</v>
      </c>
      <c r="EA1037" s="114" t="str">
        <f>$EB$83</f>
        <v>Select Equipment</v>
      </c>
      <c r="EB1037" s="436" t="s">
        <v>580</v>
      </c>
      <c r="EC1037" s="120"/>
      <c r="ED1037" s="459" t="s">
        <v>564</v>
      </c>
      <c r="EE1037" s="473"/>
      <c r="EF1037" s="440" t="s">
        <v>569</v>
      </c>
    </row>
    <row r="1038" spans="53:137">
      <c r="BA1038" s="114" t="str">
        <f>$BB$82</f>
        <v>Select Equipment</v>
      </c>
      <c r="BB1038" s="476"/>
      <c r="BC1038" s="477"/>
      <c r="BD1038" s="478"/>
      <c r="BE1038" s="479"/>
      <c r="BF1038" s="458"/>
      <c r="CA1038" s="114" t="str">
        <f>$CB$82</f>
        <v>Select Equipment</v>
      </c>
      <c r="CB1038" s="476"/>
      <c r="CC1038" s="477"/>
      <c r="CD1038" s="478"/>
      <c r="CE1038" s="479"/>
      <c r="CF1038" s="458"/>
      <c r="DA1038" s="114" t="str">
        <f>$DB$82</f>
        <v>Select Equipment</v>
      </c>
      <c r="DB1038" s="476"/>
      <c r="DC1038" s="477"/>
      <c r="DD1038" s="478"/>
      <c r="DE1038" s="479"/>
      <c r="DF1038" s="458"/>
      <c r="EA1038" s="114" t="str">
        <f>$EB$84</f>
        <v>Select Equipment</v>
      </c>
      <c r="EB1038" s="476"/>
      <c r="EC1038" s="477"/>
      <c r="ED1038" s="478"/>
      <c r="EE1038" s="479"/>
      <c r="EF1038" s="458"/>
    </row>
    <row r="1039" spans="53:137">
      <c r="BA1039" s="114" t="str">
        <f>$BB$83</f>
        <v>Select Equipment</v>
      </c>
      <c r="BB1039" s="449" t="s">
        <v>473</v>
      </c>
      <c r="BC1039" s="467" t="s">
        <v>508</v>
      </c>
      <c r="BD1039" s="480"/>
      <c r="BE1039" s="481" t="s">
        <v>308</v>
      </c>
      <c r="BF1039" s="440"/>
      <c r="CA1039" s="114" t="str">
        <f>$CB$83</f>
        <v>Select Equipment</v>
      </c>
      <c r="CB1039" s="449" t="s">
        <v>473</v>
      </c>
      <c r="CC1039" s="467" t="s">
        <v>508</v>
      </c>
      <c r="CD1039" s="480"/>
      <c r="CE1039" s="481" t="s">
        <v>308</v>
      </c>
      <c r="CF1039" s="440"/>
      <c r="DA1039" s="114" t="str">
        <f>$DB$83</f>
        <v>Select Equipment</v>
      </c>
      <c r="DB1039" s="449" t="s">
        <v>473</v>
      </c>
      <c r="DC1039" s="467" t="s">
        <v>508</v>
      </c>
      <c r="DD1039" s="480"/>
      <c r="DE1039" s="481" t="s">
        <v>308</v>
      </c>
      <c r="DF1039" s="440"/>
      <c r="EA1039" s="114" t="str">
        <f>$EB$85</f>
        <v>Select Equipment</v>
      </c>
      <c r="EB1039" s="449" t="s">
        <v>473</v>
      </c>
      <c r="EC1039" s="467" t="s">
        <v>508</v>
      </c>
      <c r="ED1039" s="480"/>
      <c r="EE1039" s="481" t="s">
        <v>308</v>
      </c>
      <c r="EF1039" s="440"/>
    </row>
    <row r="1040" spans="53:137">
      <c r="BB1040" s="436"/>
      <c r="BC1040" s="483"/>
      <c r="BD1040" s="480"/>
      <c r="BE1040" s="484"/>
      <c r="BF1040" s="440"/>
      <c r="CB1040" s="436"/>
      <c r="CC1040" s="483"/>
      <c r="CD1040" s="480"/>
      <c r="CE1040" s="484"/>
      <c r="CF1040" s="440"/>
      <c r="DB1040" s="436"/>
      <c r="DC1040" s="483"/>
      <c r="DD1040" s="480"/>
      <c r="DE1040" s="484"/>
      <c r="DF1040" s="440"/>
      <c r="EB1040" s="436"/>
      <c r="EC1040" s="483"/>
      <c r="ED1040" s="480"/>
      <c r="EE1040" s="484"/>
      <c r="EF1040" s="440"/>
    </row>
    <row r="1041" spans="54:136">
      <c r="BB1041" s="436"/>
      <c r="BC1041" s="120"/>
      <c r="BD1041" s="223"/>
      <c r="BE1041" s="467"/>
      <c r="BF1041" s="440"/>
      <c r="CB1041" s="436"/>
      <c r="CC1041" s="120"/>
      <c r="CD1041" s="223"/>
      <c r="CE1041" s="467"/>
      <c r="CF1041" s="440"/>
      <c r="DB1041" s="436"/>
      <c r="DC1041" s="120"/>
      <c r="DD1041" s="223"/>
      <c r="DE1041" s="467"/>
      <c r="DF1041" s="440"/>
      <c r="EB1041" s="436"/>
      <c r="EC1041" s="120"/>
      <c r="ED1041" s="223"/>
      <c r="EE1041" s="467"/>
      <c r="EF1041" s="440"/>
    </row>
    <row r="1042" spans="54:136">
      <c r="BB1042" s="436"/>
      <c r="BC1042" s="120"/>
      <c r="BD1042" s="466"/>
      <c r="BE1042" s="467"/>
      <c r="BF1042" s="440"/>
      <c r="CB1042" s="436"/>
      <c r="CC1042" s="120"/>
      <c r="CD1042" s="466"/>
      <c r="CE1042" s="467"/>
      <c r="CF1042" s="440"/>
      <c r="DB1042" s="436"/>
      <c r="DC1042" s="120"/>
      <c r="DD1042" s="466"/>
      <c r="DE1042" s="467"/>
      <c r="DF1042" s="440"/>
      <c r="EB1042" s="436"/>
      <c r="EC1042" s="120"/>
      <c r="ED1042" s="466"/>
      <c r="EE1042" s="467"/>
      <c r="EF1042" s="440"/>
    </row>
    <row r="1043" spans="54:136">
      <c r="BB1043" s="436"/>
      <c r="BC1043" s="120"/>
      <c r="BD1043" s="223"/>
      <c r="BE1043" s="467"/>
      <c r="BF1043" s="440"/>
      <c r="CB1043" s="436"/>
      <c r="CC1043" s="120"/>
      <c r="CD1043" s="223"/>
      <c r="CE1043" s="467"/>
      <c r="CF1043" s="440"/>
      <c r="DB1043" s="436"/>
      <c r="DC1043" s="120"/>
      <c r="DD1043" s="223"/>
      <c r="DE1043" s="467"/>
      <c r="DF1043" s="440"/>
      <c r="EB1043" s="436"/>
      <c r="EC1043" s="120"/>
      <c r="ED1043" s="223"/>
      <c r="EE1043" s="467"/>
      <c r="EF1043" s="440"/>
    </row>
    <row r="1044" spans="54:136">
      <c r="BB1044" s="436"/>
      <c r="BC1044" s="120"/>
      <c r="BD1044" s="223"/>
      <c r="BE1044" s="467"/>
      <c r="BF1044" s="440"/>
      <c r="CB1044" s="436"/>
      <c r="CC1044" s="120"/>
      <c r="CD1044" s="223"/>
      <c r="CE1044" s="467"/>
      <c r="CF1044" s="440"/>
      <c r="DB1044" s="436"/>
      <c r="DC1044" s="120"/>
      <c r="DD1044" s="223"/>
      <c r="DE1044" s="467"/>
      <c r="DF1044" s="440"/>
      <c r="EB1044" s="436"/>
      <c r="EC1044" s="120"/>
      <c r="ED1044" s="223"/>
      <c r="EE1044" s="467"/>
      <c r="EF1044" s="440"/>
    </row>
    <row r="1045" spans="54:136">
      <c r="BB1045" s="436"/>
      <c r="BC1045" s="120"/>
      <c r="BD1045" s="471"/>
      <c r="BE1045" s="467"/>
      <c r="BF1045" s="440"/>
      <c r="CB1045" s="436"/>
      <c r="CC1045" s="120"/>
      <c r="CD1045" s="471"/>
      <c r="CE1045" s="467"/>
      <c r="CF1045" s="440"/>
      <c r="DB1045" s="436"/>
      <c r="DC1045" s="120"/>
      <c r="DD1045" s="471"/>
      <c r="DE1045" s="467"/>
      <c r="DF1045" s="440"/>
      <c r="EB1045" s="436"/>
      <c r="EC1045" s="120"/>
      <c r="ED1045" s="471"/>
      <c r="EE1045" s="467"/>
      <c r="EF1045" s="440"/>
    </row>
    <row r="1046" spans="54:136">
      <c r="BB1046" s="436"/>
      <c r="BC1046" s="120"/>
      <c r="BD1046" s="223"/>
      <c r="BE1046" s="467"/>
      <c r="BF1046" s="440"/>
      <c r="CB1046" s="436"/>
      <c r="CC1046" s="120"/>
      <c r="CD1046" s="223"/>
      <c r="CE1046" s="467"/>
      <c r="CF1046" s="440"/>
      <c r="DB1046" s="436"/>
      <c r="DC1046" s="120"/>
      <c r="DD1046" s="223"/>
      <c r="DE1046" s="467"/>
      <c r="DF1046" s="440"/>
      <c r="EB1046" s="436"/>
      <c r="EC1046" s="120"/>
      <c r="ED1046" s="223"/>
      <c r="EE1046" s="467"/>
      <c r="EF1046" s="440"/>
    </row>
    <row r="1047" spans="54:136">
      <c r="BB1047" s="436"/>
      <c r="BC1047" s="120"/>
      <c r="BD1047" s="475"/>
      <c r="BE1047" s="467"/>
      <c r="BF1047" s="440"/>
      <c r="CB1047" s="436"/>
      <c r="CC1047" s="120"/>
      <c r="CD1047" s="475"/>
      <c r="CE1047" s="467"/>
      <c r="CF1047" s="440"/>
      <c r="DB1047" s="436"/>
      <c r="DC1047" s="120"/>
      <c r="DD1047" s="475"/>
      <c r="DE1047" s="467"/>
      <c r="DF1047" s="440"/>
      <c r="EB1047" s="436"/>
      <c r="EC1047" s="120"/>
      <c r="ED1047" s="475"/>
      <c r="EE1047" s="467"/>
      <c r="EF1047" s="440"/>
    </row>
    <row r="1048" spans="54:136">
      <c r="BB1048" s="436"/>
      <c r="BC1048" s="120"/>
      <c r="BD1048" s="223"/>
      <c r="BE1048" s="467"/>
      <c r="BF1048" s="440"/>
      <c r="CB1048" s="436"/>
      <c r="CC1048" s="120"/>
      <c r="CD1048" s="223"/>
      <c r="CE1048" s="467"/>
      <c r="CF1048" s="440"/>
      <c r="DB1048" s="436"/>
      <c r="DC1048" s="120"/>
      <c r="DD1048" s="223"/>
      <c r="DE1048" s="467"/>
      <c r="DF1048" s="440"/>
      <c r="EB1048" s="436"/>
      <c r="EC1048" s="120"/>
      <c r="ED1048" s="223"/>
      <c r="EE1048" s="467"/>
      <c r="EF1048" s="440"/>
    </row>
    <row r="1049" spans="54:136">
      <c r="BB1049" s="436"/>
      <c r="BC1049" s="120"/>
      <c r="BD1049" s="223"/>
      <c r="BE1049" s="467"/>
      <c r="BF1049" s="440"/>
      <c r="CB1049" s="436"/>
      <c r="CC1049" s="120"/>
      <c r="CD1049" s="223"/>
      <c r="CE1049" s="467"/>
      <c r="CF1049" s="440"/>
      <c r="DB1049" s="436"/>
      <c r="DC1049" s="120"/>
      <c r="DD1049" s="223"/>
      <c r="DE1049" s="467"/>
      <c r="DF1049" s="440"/>
      <c r="EB1049" s="436"/>
      <c r="EC1049" s="120"/>
      <c r="ED1049" s="223"/>
      <c r="EE1049" s="467"/>
      <c r="EF1049" s="440"/>
    </row>
    <row r="1050" spans="54:136">
      <c r="BB1050" s="436"/>
      <c r="BC1050" s="120"/>
      <c r="BD1050" s="223"/>
      <c r="BE1050" s="467"/>
      <c r="BF1050" s="440"/>
      <c r="CB1050" s="436"/>
      <c r="CC1050" s="120"/>
      <c r="CD1050" s="223"/>
      <c r="CE1050" s="467"/>
      <c r="CF1050" s="440"/>
      <c r="DB1050" s="436"/>
      <c r="DC1050" s="120"/>
      <c r="DD1050" s="223"/>
      <c r="DE1050" s="467"/>
      <c r="DF1050" s="440"/>
      <c r="EB1050" s="436"/>
      <c r="EC1050" s="120"/>
      <c r="ED1050" s="223"/>
      <c r="EE1050" s="467"/>
      <c r="EF1050" s="440"/>
    </row>
    <row r="1051" spans="54:136">
      <c r="BB1051" s="436"/>
      <c r="BC1051" s="120"/>
      <c r="BD1051" s="223"/>
      <c r="BE1051" s="467"/>
      <c r="BF1051" s="440"/>
      <c r="CB1051" s="436"/>
      <c r="CC1051" s="120"/>
      <c r="CD1051" s="223"/>
      <c r="CE1051" s="467"/>
      <c r="CF1051" s="440"/>
      <c r="DB1051" s="436"/>
      <c r="DC1051" s="120"/>
      <c r="DD1051" s="223"/>
      <c r="DE1051" s="467"/>
      <c r="DF1051" s="440"/>
      <c r="EB1051" s="436"/>
      <c r="EC1051" s="120"/>
      <c r="ED1051" s="223"/>
      <c r="EE1051" s="467"/>
      <c r="EF1051" s="440"/>
    </row>
    <row r="1052" spans="54:136">
      <c r="BB1052" s="436"/>
      <c r="BC1052" s="120"/>
      <c r="BD1052" s="120"/>
      <c r="BE1052" s="467"/>
      <c r="BF1052" s="440"/>
      <c r="CB1052" s="436"/>
      <c r="CC1052" s="120"/>
      <c r="CD1052" s="120"/>
      <c r="CE1052" s="467"/>
      <c r="CF1052" s="440"/>
      <c r="DB1052" s="436"/>
      <c r="DC1052" s="120"/>
      <c r="DD1052" s="120"/>
      <c r="DE1052" s="467"/>
      <c r="DF1052" s="440"/>
      <c r="EB1052" s="436"/>
      <c r="EC1052" s="120"/>
      <c r="ED1052" s="120"/>
      <c r="EE1052" s="467"/>
      <c r="EF1052" s="440"/>
    </row>
    <row r="1053" spans="54:136">
      <c r="BB1053" s="456"/>
      <c r="BC1053" s="457"/>
      <c r="BD1053" s="457"/>
      <c r="BE1053" s="477"/>
      <c r="BF1053" s="458"/>
      <c r="CB1053" s="456"/>
      <c r="CC1053" s="457"/>
      <c r="CD1053" s="457"/>
      <c r="CE1053" s="477"/>
      <c r="CF1053" s="458"/>
      <c r="DB1053" s="456"/>
      <c r="DC1053" s="457"/>
      <c r="DD1053" s="457"/>
      <c r="DE1053" s="477"/>
      <c r="DF1053" s="458"/>
      <c r="EB1053" s="456"/>
      <c r="EC1053" s="457"/>
      <c r="ED1053" s="457"/>
      <c r="EE1053" s="477"/>
      <c r="EF1053" s="458"/>
    </row>
    <row r="1054" spans="54:136">
      <c r="BB1054" s="449" t="s">
        <v>474</v>
      </c>
      <c r="BC1054" s="120"/>
      <c r="BD1054" s="120" t="s">
        <v>1</v>
      </c>
      <c r="BE1054" s="310" t="s">
        <v>307</v>
      </c>
      <c r="BF1054" s="440"/>
      <c r="CB1054" s="449" t="s">
        <v>474</v>
      </c>
      <c r="CC1054" s="120"/>
      <c r="CD1054" s="120" t="s">
        <v>1</v>
      </c>
      <c r="CE1054" s="310" t="s">
        <v>307</v>
      </c>
      <c r="CF1054" s="440"/>
      <c r="DB1054" s="449" t="s">
        <v>474</v>
      </c>
      <c r="DC1054" s="120"/>
      <c r="DD1054" s="120" t="s">
        <v>1</v>
      </c>
      <c r="DE1054" s="310" t="s">
        <v>307</v>
      </c>
      <c r="DF1054" s="440"/>
      <c r="EB1054" s="449" t="s">
        <v>474</v>
      </c>
      <c r="EC1054" s="120"/>
      <c r="ED1054" s="120" t="s">
        <v>1</v>
      </c>
      <c r="EE1054" s="310" t="s">
        <v>307</v>
      </c>
      <c r="EF1054" s="440"/>
    </row>
    <row r="1055" spans="54:136">
      <c r="BB1055" s="436"/>
      <c r="BC1055" s="223"/>
      <c r="BD1055" s="480"/>
      <c r="BE1055" s="484"/>
      <c r="BF1055" s="440"/>
      <c r="CB1055" s="436"/>
      <c r="CC1055" s="223"/>
      <c r="CD1055" s="480"/>
      <c r="CE1055" s="484"/>
      <c r="CF1055" s="440"/>
      <c r="DB1055" s="436"/>
      <c r="DC1055" s="223"/>
      <c r="DD1055" s="480"/>
      <c r="DE1055" s="484"/>
      <c r="DF1055" s="440"/>
      <c r="EB1055" s="436"/>
      <c r="EC1055" s="223"/>
      <c r="ED1055" s="480"/>
      <c r="EE1055" s="484"/>
      <c r="EF1055" s="440"/>
    </row>
    <row r="1056" spans="54:136">
      <c r="BB1056" s="436"/>
      <c r="BC1056" s="120"/>
      <c r="BD1056" s="120"/>
      <c r="BE1056" s="467"/>
      <c r="BF1056" s="440"/>
      <c r="CB1056" s="436"/>
      <c r="CC1056" s="120"/>
      <c r="CD1056" s="120"/>
      <c r="CE1056" s="467"/>
      <c r="CF1056" s="440"/>
      <c r="DB1056" s="436"/>
      <c r="DC1056" s="120"/>
      <c r="DD1056" s="120"/>
      <c r="DE1056" s="467"/>
      <c r="DF1056" s="440"/>
      <c r="EB1056" s="436"/>
      <c r="EC1056" s="120"/>
      <c r="ED1056" s="120"/>
      <c r="EE1056" s="467"/>
      <c r="EF1056" s="440"/>
    </row>
    <row r="1057" spans="54:136">
      <c r="BB1057" s="436"/>
      <c r="BC1057" s="120"/>
      <c r="BD1057" s="120"/>
      <c r="BE1057" s="467"/>
      <c r="BF1057" s="440"/>
      <c r="CB1057" s="436"/>
      <c r="CC1057" s="120"/>
      <c r="CD1057" s="120"/>
      <c r="CE1057" s="467"/>
      <c r="CF1057" s="440"/>
      <c r="DB1057" s="436"/>
      <c r="DC1057" s="120"/>
      <c r="DD1057" s="120"/>
      <c r="DE1057" s="467"/>
      <c r="DF1057" s="440"/>
      <c r="EB1057" s="436"/>
      <c r="EC1057" s="120"/>
      <c r="ED1057" s="120"/>
      <c r="EE1057" s="467"/>
      <c r="EF1057" s="440"/>
    </row>
    <row r="1058" spans="54:136">
      <c r="BB1058" s="436"/>
      <c r="BC1058" s="120"/>
      <c r="BD1058" s="120"/>
      <c r="BE1058" s="467"/>
      <c r="BF1058" s="440"/>
      <c r="CB1058" s="436"/>
      <c r="CC1058" s="120"/>
      <c r="CD1058" s="120"/>
      <c r="CE1058" s="467"/>
      <c r="CF1058" s="440"/>
      <c r="DB1058" s="436"/>
      <c r="DC1058" s="120"/>
      <c r="DD1058" s="120"/>
      <c r="DE1058" s="467"/>
      <c r="DF1058" s="440"/>
      <c r="EB1058" s="436"/>
      <c r="EC1058" s="120"/>
      <c r="ED1058" s="120"/>
      <c r="EE1058" s="467"/>
      <c r="EF1058" s="440"/>
    </row>
    <row r="1059" spans="54:136">
      <c r="BB1059" s="436"/>
      <c r="BC1059" s="120"/>
      <c r="BD1059" s="120"/>
      <c r="BE1059" s="467"/>
      <c r="BF1059" s="440"/>
      <c r="CB1059" s="436"/>
      <c r="CC1059" s="120"/>
      <c r="CD1059" s="120"/>
      <c r="CE1059" s="467"/>
      <c r="CF1059" s="440"/>
      <c r="DB1059" s="436"/>
      <c r="DC1059" s="120"/>
      <c r="DD1059" s="120"/>
      <c r="DE1059" s="467"/>
      <c r="DF1059" s="440"/>
      <c r="EB1059" s="436"/>
      <c r="EC1059" s="120"/>
      <c r="ED1059" s="120"/>
      <c r="EE1059" s="467"/>
      <c r="EF1059" s="440"/>
    </row>
    <row r="1060" spans="54:136">
      <c r="BB1060" s="436"/>
      <c r="BC1060" s="120"/>
      <c r="BD1060" s="120"/>
      <c r="BE1060" s="467"/>
      <c r="BF1060" s="440"/>
      <c r="CB1060" s="436"/>
      <c r="CC1060" s="120"/>
      <c r="CD1060" s="120"/>
      <c r="CE1060" s="467"/>
      <c r="CF1060" s="440"/>
      <c r="DB1060" s="436"/>
      <c r="DC1060" s="120"/>
      <c r="DD1060" s="120"/>
      <c r="DE1060" s="467"/>
      <c r="DF1060" s="440"/>
      <c r="EB1060" s="436"/>
      <c r="EC1060" s="120"/>
      <c r="ED1060" s="120"/>
      <c r="EE1060" s="467"/>
      <c r="EF1060" s="440"/>
    </row>
    <row r="1061" spans="54:136">
      <c r="BB1061" s="436"/>
      <c r="BC1061" s="120"/>
      <c r="BD1061" s="120"/>
      <c r="BE1061" s="467"/>
      <c r="BF1061" s="440"/>
      <c r="CB1061" s="436"/>
      <c r="CC1061" s="120"/>
      <c r="CD1061" s="120"/>
      <c r="CE1061" s="467"/>
      <c r="CF1061" s="440"/>
      <c r="DB1061" s="436"/>
      <c r="DC1061" s="120"/>
      <c r="DD1061" s="120"/>
      <c r="DE1061" s="467"/>
      <c r="DF1061" s="440"/>
      <c r="EB1061" s="436"/>
      <c r="EC1061" s="120"/>
      <c r="ED1061" s="120"/>
      <c r="EE1061" s="467"/>
      <c r="EF1061" s="440"/>
    </row>
    <row r="1062" spans="54:136">
      <c r="BB1062" s="436"/>
      <c r="BC1062" s="120"/>
      <c r="BD1062" s="120"/>
      <c r="BE1062" s="467"/>
      <c r="BF1062" s="440"/>
      <c r="CB1062" s="436"/>
      <c r="CC1062" s="120"/>
      <c r="CD1062" s="120"/>
      <c r="CE1062" s="467"/>
      <c r="CF1062" s="440"/>
      <c r="DB1062" s="436"/>
      <c r="DC1062" s="120"/>
      <c r="DD1062" s="120"/>
      <c r="DE1062" s="467"/>
      <c r="DF1062" s="440"/>
      <c r="EB1062" s="436"/>
      <c r="EC1062" s="120"/>
      <c r="ED1062" s="120"/>
      <c r="EE1062" s="467"/>
      <c r="EF1062" s="440"/>
    </row>
    <row r="1063" spans="54:136">
      <c r="BB1063" s="436"/>
      <c r="BC1063" s="120"/>
      <c r="BD1063" s="120"/>
      <c r="BE1063" s="467"/>
      <c r="BF1063" s="440"/>
      <c r="CB1063" s="436"/>
      <c r="CC1063" s="120"/>
      <c r="CD1063" s="120"/>
      <c r="CE1063" s="467"/>
      <c r="CF1063" s="440"/>
      <c r="DB1063" s="436"/>
      <c r="DC1063" s="120"/>
      <c r="DD1063" s="120"/>
      <c r="DE1063" s="467"/>
      <c r="DF1063" s="440"/>
      <c r="EB1063" s="436"/>
      <c r="EC1063" s="120"/>
      <c r="ED1063" s="120"/>
      <c r="EE1063" s="467"/>
      <c r="EF1063" s="440"/>
    </row>
    <row r="1064" spans="54:136">
      <c r="BB1064" s="436"/>
      <c r="BC1064" s="120"/>
      <c r="BD1064" s="120"/>
      <c r="BE1064" s="467"/>
      <c r="BF1064" s="440"/>
      <c r="CB1064" s="436"/>
      <c r="CC1064" s="120"/>
      <c r="CD1064" s="120"/>
      <c r="CE1064" s="467"/>
      <c r="CF1064" s="440"/>
      <c r="DB1064" s="436"/>
      <c r="DC1064" s="120"/>
      <c r="DD1064" s="120"/>
      <c r="DE1064" s="467"/>
      <c r="DF1064" s="440"/>
      <c r="EB1064" s="436"/>
      <c r="EC1064" s="120"/>
      <c r="ED1064" s="120"/>
      <c r="EE1064" s="467"/>
      <c r="EF1064" s="440"/>
    </row>
    <row r="1065" spans="54:136">
      <c r="BB1065" s="436"/>
      <c r="BC1065" s="120"/>
      <c r="BD1065" s="120"/>
      <c r="BE1065" s="467"/>
      <c r="BF1065" s="440"/>
      <c r="CB1065" s="436"/>
      <c r="CC1065" s="120"/>
      <c r="CD1065" s="120"/>
      <c r="CE1065" s="467"/>
      <c r="CF1065" s="440"/>
      <c r="DB1065" s="436"/>
      <c r="DC1065" s="120"/>
      <c r="DD1065" s="120"/>
      <c r="DE1065" s="467"/>
      <c r="DF1065" s="440"/>
      <c r="EB1065" s="436"/>
      <c r="EC1065" s="120"/>
      <c r="ED1065" s="120"/>
      <c r="EE1065" s="467"/>
      <c r="EF1065" s="440"/>
    </row>
    <row r="1066" spans="54:136">
      <c r="BB1066" s="436"/>
      <c r="BC1066" s="120"/>
      <c r="BD1066" s="120"/>
      <c r="BE1066" s="467"/>
      <c r="BF1066" s="440"/>
      <c r="CB1066" s="436"/>
      <c r="CC1066" s="120"/>
      <c r="CD1066" s="120"/>
      <c r="CE1066" s="467"/>
      <c r="CF1066" s="440"/>
      <c r="DB1066" s="436"/>
      <c r="DC1066" s="120"/>
      <c r="DD1066" s="120"/>
      <c r="DE1066" s="467"/>
      <c r="DF1066" s="440"/>
      <c r="EB1066" s="436"/>
      <c r="EC1066" s="120"/>
      <c r="ED1066" s="120"/>
      <c r="EE1066" s="467"/>
      <c r="EF1066" s="440"/>
    </row>
    <row r="1067" spans="54:136">
      <c r="BB1067" s="456"/>
      <c r="BC1067" s="457"/>
      <c r="BD1067" s="457"/>
      <c r="BE1067" s="477"/>
      <c r="BF1067" s="458"/>
      <c r="CB1067" s="456"/>
      <c r="CC1067" s="457"/>
      <c r="CD1067" s="457"/>
      <c r="CE1067" s="477"/>
      <c r="CF1067" s="458"/>
      <c r="DB1067" s="456"/>
      <c r="DC1067" s="457"/>
      <c r="DD1067" s="457"/>
      <c r="DE1067" s="477"/>
      <c r="DF1067" s="458"/>
      <c r="EB1067" s="456"/>
      <c r="EC1067" s="457"/>
      <c r="ED1067" s="457"/>
      <c r="EE1067" s="477"/>
      <c r="EF1067" s="458"/>
    </row>
    <row r="1068" spans="54:136">
      <c r="BB1068" s="456"/>
      <c r="BC1068" s="457"/>
      <c r="BD1068" s="457"/>
      <c r="BE1068" s="457"/>
      <c r="BF1068" s="458"/>
      <c r="CB1068" s="456"/>
      <c r="CC1068" s="457"/>
      <c r="CD1068" s="457"/>
      <c r="CE1068" s="457"/>
      <c r="CF1068" s="458"/>
      <c r="DB1068" s="456"/>
      <c r="DC1068" s="457"/>
      <c r="DD1068" s="457"/>
      <c r="DE1068" s="457"/>
      <c r="DF1068" s="458"/>
      <c r="EB1068" s="456"/>
      <c r="EC1068" s="457"/>
      <c r="ED1068" s="457"/>
      <c r="EE1068" s="457"/>
      <c r="EF1068" s="458"/>
    </row>
    <row r="1069" spans="54:136">
      <c r="BB1069" s="449" t="s">
        <v>475</v>
      </c>
      <c r="BC1069" s="120"/>
      <c r="BD1069" s="120"/>
      <c r="BE1069" s="120"/>
      <c r="BF1069" s="440"/>
      <c r="CB1069" s="449" t="s">
        <v>475</v>
      </c>
      <c r="CC1069" s="120"/>
      <c r="CD1069" s="120"/>
      <c r="CE1069" s="120"/>
      <c r="CF1069" s="440"/>
      <c r="DB1069" s="449" t="s">
        <v>475</v>
      </c>
      <c r="DC1069" s="120"/>
      <c r="DD1069" s="120"/>
      <c r="DE1069" s="120"/>
      <c r="DF1069" s="440"/>
      <c r="EB1069" s="449" t="s">
        <v>475</v>
      </c>
      <c r="EC1069" s="120"/>
      <c r="ED1069" s="120"/>
      <c r="EE1069" s="120"/>
      <c r="EF1069" s="440"/>
    </row>
    <row r="1070" spans="54:136">
      <c r="BB1070" s="436" t="s">
        <v>509</v>
      </c>
      <c r="BC1070" s="120"/>
      <c r="BD1070" s="120"/>
      <c r="BE1070" s="120"/>
      <c r="BF1070" s="440"/>
      <c r="CB1070" s="436" t="s">
        <v>509</v>
      </c>
      <c r="CC1070" s="120"/>
      <c r="CD1070" s="120"/>
      <c r="CE1070" s="120"/>
      <c r="CF1070" s="440"/>
      <c r="DB1070" s="436" t="s">
        <v>509</v>
      </c>
      <c r="DC1070" s="120"/>
      <c r="DD1070" s="120"/>
      <c r="DE1070" s="120"/>
      <c r="DF1070" s="440"/>
      <c r="EB1070" s="436" t="s">
        <v>509</v>
      </c>
      <c r="EC1070" s="120"/>
      <c r="ED1070" s="120"/>
      <c r="EE1070" s="120"/>
      <c r="EF1070" s="440"/>
    </row>
    <row r="1071" spans="54:136">
      <c r="BB1071" s="436" t="s">
        <v>510</v>
      </c>
      <c r="BC1071" s="120"/>
      <c r="BD1071" s="120"/>
      <c r="BE1071" s="120"/>
      <c r="BF1071" s="440"/>
      <c r="CB1071" s="436" t="s">
        <v>510</v>
      </c>
      <c r="CC1071" s="120"/>
      <c r="CD1071" s="120"/>
      <c r="CE1071" s="120"/>
      <c r="CF1071" s="440"/>
      <c r="DB1071" s="436" t="s">
        <v>510</v>
      </c>
      <c r="DC1071" s="120"/>
      <c r="DD1071" s="120"/>
      <c r="DE1071" s="120"/>
      <c r="DF1071" s="440"/>
      <c r="EB1071" s="436" t="s">
        <v>510</v>
      </c>
      <c r="EC1071" s="120"/>
      <c r="ED1071" s="120"/>
      <c r="EE1071" s="120"/>
      <c r="EF1071" s="440"/>
    </row>
    <row r="1072" spans="54:136">
      <c r="BB1072" s="436"/>
      <c r="BC1072" s="120"/>
      <c r="BD1072" s="120"/>
      <c r="BE1072" s="120"/>
      <c r="BF1072" s="440"/>
      <c r="CB1072" s="436"/>
      <c r="CC1072" s="120"/>
      <c r="CD1072" s="120"/>
      <c r="CE1072" s="120"/>
      <c r="CF1072" s="440"/>
      <c r="DB1072" s="436"/>
      <c r="DC1072" s="120"/>
      <c r="DD1072" s="120"/>
      <c r="DE1072" s="120"/>
      <c r="DF1072" s="440"/>
      <c r="EB1072" s="436"/>
      <c r="EC1072" s="120"/>
      <c r="ED1072" s="120"/>
      <c r="EE1072" s="120"/>
      <c r="EF1072" s="440"/>
    </row>
    <row r="1073" spans="54:136">
      <c r="BB1073" s="436"/>
      <c r="BC1073" s="120"/>
      <c r="BD1073" s="120"/>
      <c r="BE1073" s="120"/>
      <c r="BF1073" s="440"/>
      <c r="CB1073" s="436"/>
      <c r="CC1073" s="120"/>
      <c r="CD1073" s="120"/>
      <c r="CE1073" s="120"/>
      <c r="CF1073" s="440"/>
      <c r="DB1073" s="436"/>
      <c r="DC1073" s="120"/>
      <c r="DD1073" s="120"/>
      <c r="DE1073" s="120"/>
      <c r="DF1073" s="440"/>
      <c r="EB1073" s="436"/>
      <c r="EC1073" s="120"/>
      <c r="ED1073" s="120"/>
      <c r="EE1073" s="120"/>
      <c r="EF1073" s="440"/>
    </row>
    <row r="1074" spans="54:136">
      <c r="BB1074" s="436"/>
      <c r="BC1074" s="120"/>
      <c r="BD1074" s="120"/>
      <c r="BE1074" s="120"/>
      <c r="BF1074" s="440"/>
      <c r="CB1074" s="436"/>
      <c r="CC1074" s="120"/>
      <c r="CD1074" s="120"/>
      <c r="CE1074" s="120"/>
      <c r="CF1074" s="440"/>
      <c r="DB1074" s="436"/>
      <c r="DC1074" s="120"/>
      <c r="DD1074" s="120"/>
      <c r="DE1074" s="120"/>
      <c r="DF1074" s="440"/>
      <c r="EB1074" s="436"/>
      <c r="EC1074" s="120"/>
      <c r="ED1074" s="120"/>
      <c r="EE1074" s="120"/>
      <c r="EF1074" s="440"/>
    </row>
    <row r="1075" spans="54:136">
      <c r="BB1075" s="436"/>
      <c r="BC1075" s="120"/>
      <c r="BD1075" s="120"/>
      <c r="BE1075" s="120"/>
      <c r="BF1075" s="440"/>
      <c r="CB1075" s="436"/>
      <c r="CC1075" s="120"/>
      <c r="CD1075" s="120"/>
      <c r="CE1075" s="120"/>
      <c r="CF1075" s="440"/>
      <c r="DB1075" s="436"/>
      <c r="DC1075" s="120"/>
      <c r="DD1075" s="120"/>
      <c r="DE1075" s="120"/>
      <c r="DF1075" s="440"/>
      <c r="EB1075" s="436"/>
      <c r="EC1075" s="120"/>
      <c r="ED1075" s="120"/>
      <c r="EE1075" s="120"/>
      <c r="EF1075" s="440"/>
    </row>
    <row r="1076" spans="54:136">
      <c r="BB1076" s="436" t="s">
        <v>511</v>
      </c>
      <c r="BC1076" s="120">
        <v>0</v>
      </c>
      <c r="BD1076" s="120" t="s">
        <v>512</v>
      </c>
      <c r="BE1076" s="120"/>
      <c r="BF1076" s="440"/>
      <c r="CB1076" s="436" t="s">
        <v>511</v>
      </c>
      <c r="CC1076" s="120">
        <v>0</v>
      </c>
      <c r="CD1076" s="120" t="s">
        <v>512</v>
      </c>
      <c r="CE1076" s="120"/>
      <c r="CF1076" s="440"/>
      <c r="DB1076" s="436" t="s">
        <v>511</v>
      </c>
      <c r="DC1076" s="120">
        <v>0</v>
      </c>
      <c r="DD1076" s="120" t="s">
        <v>512</v>
      </c>
      <c r="DE1076" s="120"/>
      <c r="DF1076" s="440"/>
      <c r="EB1076" s="436" t="s">
        <v>511</v>
      </c>
      <c r="EC1076" s="120">
        <v>0</v>
      </c>
      <c r="ED1076" s="120" t="s">
        <v>512</v>
      </c>
      <c r="EE1076" s="120"/>
      <c r="EF1076" s="440"/>
    </row>
    <row r="1077" spans="54:136">
      <c r="BB1077" s="436" t="s">
        <v>513</v>
      </c>
      <c r="BC1077" s="120">
        <v>0</v>
      </c>
      <c r="BD1077" s="120" t="s">
        <v>512</v>
      </c>
      <c r="BE1077" s="120"/>
      <c r="BF1077" s="440"/>
      <c r="CB1077" s="436" t="s">
        <v>513</v>
      </c>
      <c r="CC1077" s="120">
        <v>0</v>
      </c>
      <c r="CD1077" s="120" t="s">
        <v>512</v>
      </c>
      <c r="CE1077" s="120"/>
      <c r="CF1077" s="440"/>
      <c r="DB1077" s="436" t="s">
        <v>513</v>
      </c>
      <c r="DC1077" s="120">
        <v>0</v>
      </c>
      <c r="DD1077" s="120" t="s">
        <v>512</v>
      </c>
      <c r="DE1077" s="120"/>
      <c r="DF1077" s="440"/>
      <c r="EB1077" s="436" t="s">
        <v>513</v>
      </c>
      <c r="EC1077" s="120">
        <v>0</v>
      </c>
      <c r="ED1077" s="120" t="s">
        <v>512</v>
      </c>
      <c r="EE1077" s="120"/>
      <c r="EF1077" s="440"/>
    </row>
    <row r="1078" spans="54:136">
      <c r="BB1078" s="456"/>
      <c r="BC1078" s="457"/>
      <c r="BD1078" s="457"/>
      <c r="BE1078" s="457"/>
      <c r="BF1078" s="458"/>
      <c r="CB1078" s="456"/>
      <c r="CC1078" s="457"/>
      <c r="CD1078" s="457"/>
      <c r="CE1078" s="457"/>
      <c r="CF1078" s="458"/>
      <c r="DB1078" s="456"/>
      <c r="DC1078" s="457"/>
      <c r="DD1078" s="457"/>
      <c r="DE1078" s="457"/>
      <c r="DF1078" s="458"/>
      <c r="EB1078" s="456"/>
      <c r="EC1078" s="457"/>
      <c r="ED1078" s="457"/>
      <c r="EE1078" s="457"/>
      <c r="EF1078" s="458"/>
    </row>
    <row r="1079" spans="54:136">
      <c r="BB1079" s="449" t="s">
        <v>461</v>
      </c>
      <c r="BC1079" s="120"/>
      <c r="BD1079" s="120"/>
      <c r="BE1079" s="120"/>
      <c r="BF1079" s="440"/>
      <c r="CB1079" s="449" t="s">
        <v>461</v>
      </c>
      <c r="CC1079" s="120"/>
      <c r="CD1079" s="120"/>
      <c r="CE1079" s="120"/>
      <c r="CF1079" s="440"/>
      <c r="DB1079" s="449" t="s">
        <v>461</v>
      </c>
      <c r="DC1079" s="120"/>
      <c r="DD1079" s="120"/>
      <c r="DE1079" s="120"/>
      <c r="DF1079" s="440"/>
      <c r="EB1079" s="449" t="s">
        <v>461</v>
      </c>
      <c r="EC1079" s="120"/>
      <c r="ED1079" s="120"/>
      <c r="EE1079" s="120"/>
      <c r="EF1079" s="440"/>
    </row>
    <row r="1080" spans="54:136">
      <c r="BB1080" s="436" t="s">
        <v>514</v>
      </c>
      <c r="BC1080" s="120">
        <f>VLOOKUP(BB1008,'Unit Ops'!$B$140:$K$209,10,FALSE)</f>
        <v>6</v>
      </c>
      <c r="BD1080" s="120" t="s">
        <v>515</v>
      </c>
      <c r="BE1080" s="120"/>
      <c r="BF1080" s="440"/>
      <c r="CB1080" s="436" t="s">
        <v>514</v>
      </c>
      <c r="CC1080" s="120">
        <f>VLOOKUP(CB1008,'Unit Ops'!$B$140:$K$209,10,FALSE)</f>
        <v>12</v>
      </c>
      <c r="CD1080" s="120" t="s">
        <v>515</v>
      </c>
      <c r="CE1080" s="120"/>
      <c r="CF1080" s="440"/>
      <c r="DB1080" s="436" t="s">
        <v>514</v>
      </c>
      <c r="DC1080" s="120">
        <f>VLOOKUP(DB1008,'Unit Ops'!$B$140:$K$209,10,FALSE)</f>
        <v>6</v>
      </c>
      <c r="DD1080" s="120" t="s">
        <v>515</v>
      </c>
      <c r="DE1080" s="120"/>
      <c r="DF1080" s="440"/>
      <c r="EB1080" s="436" t="s">
        <v>514</v>
      </c>
      <c r="EC1080" s="120">
        <f>VLOOKUP(EB1008,'Unit Ops'!$B$140:$K$209,10,FALSE)</f>
        <v>12</v>
      </c>
      <c r="ED1080" s="120" t="s">
        <v>515</v>
      </c>
      <c r="EE1080" s="120"/>
      <c r="EF1080" s="440"/>
    </row>
    <row r="1081" spans="54:136">
      <c r="BB1081" s="436" t="s">
        <v>516</v>
      </c>
      <c r="BC1081" s="120">
        <v>0</v>
      </c>
      <c r="BD1081" s="120" t="s">
        <v>515</v>
      </c>
      <c r="BE1081" s="120"/>
      <c r="BF1081" s="440"/>
      <c r="CB1081" s="436" t="s">
        <v>516</v>
      </c>
      <c r="CC1081" s="120">
        <v>0</v>
      </c>
      <c r="CD1081" s="120" t="s">
        <v>515</v>
      </c>
      <c r="CE1081" s="120"/>
      <c r="CF1081" s="440"/>
      <c r="DB1081" s="436" t="s">
        <v>516</v>
      </c>
      <c r="DC1081" s="120">
        <v>0</v>
      </c>
      <c r="DD1081" s="120" t="s">
        <v>515</v>
      </c>
      <c r="DE1081" s="120"/>
      <c r="DF1081" s="440"/>
      <c r="EB1081" s="436" t="s">
        <v>516</v>
      </c>
      <c r="EC1081" s="120">
        <v>0</v>
      </c>
      <c r="ED1081" s="120" t="s">
        <v>515</v>
      </c>
      <c r="EE1081" s="120"/>
      <c r="EF1081" s="440"/>
    </row>
    <row r="1082" spans="54:136">
      <c r="BB1082" s="436"/>
      <c r="BC1082" s="120"/>
      <c r="BD1082" s="120"/>
      <c r="BE1082" s="120"/>
      <c r="BF1082" s="440"/>
      <c r="CB1082" s="436"/>
      <c r="CC1082" s="120"/>
      <c r="CD1082" s="120"/>
      <c r="CE1082" s="120"/>
      <c r="CF1082" s="440"/>
      <c r="DB1082" s="436"/>
      <c r="DC1082" s="120"/>
      <c r="DD1082" s="120"/>
      <c r="DE1082" s="120"/>
      <c r="DF1082" s="440"/>
      <c r="EB1082" s="436"/>
      <c r="EC1082" s="120"/>
      <c r="ED1082" s="120"/>
      <c r="EE1082" s="120"/>
      <c r="EF1082" s="440"/>
    </row>
    <row r="1083" spans="54:136">
      <c r="BB1083" s="436"/>
      <c r="BC1083" s="120"/>
      <c r="BD1083" s="120"/>
      <c r="BE1083" s="120"/>
      <c r="BF1083" s="440"/>
      <c r="CB1083" s="436"/>
      <c r="CC1083" s="120"/>
      <c r="CD1083" s="120"/>
      <c r="CE1083" s="120"/>
      <c r="CF1083" s="440"/>
      <c r="DB1083" s="436"/>
      <c r="DC1083" s="120"/>
      <c r="DD1083" s="120"/>
      <c r="DE1083" s="120"/>
      <c r="DF1083" s="440"/>
      <c r="EB1083" s="436"/>
      <c r="EC1083" s="120"/>
      <c r="ED1083" s="120"/>
      <c r="EE1083" s="120"/>
      <c r="EF1083" s="440"/>
    </row>
    <row r="1084" spans="54:136">
      <c r="BB1084" s="436"/>
      <c r="BC1084" s="120"/>
      <c r="BD1084" s="120"/>
      <c r="BE1084" s="120"/>
      <c r="BF1084" s="440"/>
      <c r="CB1084" s="436"/>
      <c r="CC1084" s="120"/>
      <c r="CD1084" s="120"/>
      <c r="CE1084" s="120"/>
      <c r="CF1084" s="440"/>
      <c r="DB1084" s="436"/>
      <c r="DC1084" s="120"/>
      <c r="DD1084" s="120"/>
      <c r="DE1084" s="120"/>
      <c r="DF1084" s="440"/>
      <c r="EB1084" s="436"/>
      <c r="EC1084" s="120"/>
      <c r="ED1084" s="120"/>
      <c r="EE1084" s="120"/>
      <c r="EF1084" s="440"/>
    </row>
    <row r="1085" spans="54:136">
      <c r="BB1085" s="436"/>
      <c r="BC1085" s="120"/>
      <c r="BD1085" s="120"/>
      <c r="BE1085" s="120"/>
      <c r="BF1085" s="440"/>
      <c r="CB1085" s="436"/>
      <c r="CC1085" s="120"/>
      <c r="CD1085" s="120"/>
      <c r="CE1085" s="120"/>
      <c r="CF1085" s="440"/>
      <c r="DB1085" s="436"/>
      <c r="DC1085" s="120"/>
      <c r="DD1085" s="120"/>
      <c r="DE1085" s="120"/>
      <c r="DF1085" s="440"/>
      <c r="EB1085" s="436"/>
      <c r="EC1085" s="120"/>
      <c r="ED1085" s="120"/>
      <c r="EE1085" s="120"/>
      <c r="EF1085" s="440"/>
    </row>
    <row r="1086" spans="54:136">
      <c r="BB1086" s="436"/>
      <c r="BC1086" s="120"/>
      <c r="BD1086" s="120"/>
      <c r="BE1086" s="120"/>
      <c r="BF1086" s="440"/>
      <c r="CB1086" s="436"/>
      <c r="CC1086" s="120"/>
      <c r="CD1086" s="120"/>
      <c r="CE1086" s="120"/>
      <c r="CF1086" s="440"/>
      <c r="DB1086" s="436"/>
      <c r="DC1086" s="120"/>
      <c r="DD1086" s="120"/>
      <c r="DE1086" s="120"/>
      <c r="DF1086" s="440"/>
      <c r="EB1086" s="436"/>
      <c r="EC1086" s="120"/>
      <c r="ED1086" s="120"/>
      <c r="EE1086" s="120"/>
      <c r="EF1086" s="440"/>
    </row>
    <row r="1087" spans="54:136">
      <c r="BB1087" s="436" t="s">
        <v>464</v>
      </c>
      <c r="BC1087" s="120"/>
      <c r="BD1087" s="120"/>
      <c r="BE1087" s="120"/>
      <c r="BF1087" s="440"/>
      <c r="CB1087" s="436" t="s">
        <v>464</v>
      </c>
      <c r="CC1087" s="120"/>
      <c r="CD1087" s="120"/>
      <c r="CE1087" s="120"/>
      <c r="CF1087" s="440"/>
      <c r="DB1087" s="436" t="s">
        <v>464</v>
      </c>
      <c r="DC1087" s="120"/>
      <c r="DD1087" s="120"/>
      <c r="DE1087" s="120"/>
      <c r="DF1087" s="440"/>
      <c r="EB1087" s="436" t="s">
        <v>464</v>
      </c>
      <c r="EC1087" s="120"/>
      <c r="ED1087" s="120"/>
      <c r="EE1087" s="120"/>
      <c r="EF1087" s="440"/>
    </row>
    <row r="1088" spans="54:136">
      <c r="BB1088" s="456"/>
      <c r="BC1088" s="457"/>
      <c r="BD1088" s="457"/>
      <c r="BE1088" s="457"/>
      <c r="BF1088" s="458"/>
      <c r="CB1088" s="456"/>
      <c r="CC1088" s="457"/>
      <c r="CD1088" s="457"/>
      <c r="CE1088" s="457"/>
      <c r="CF1088" s="458"/>
      <c r="DB1088" s="456"/>
      <c r="DC1088" s="457"/>
      <c r="DD1088" s="457"/>
      <c r="DE1088" s="457"/>
      <c r="DF1088" s="458"/>
      <c r="EB1088" s="456"/>
      <c r="EC1088" s="457"/>
      <c r="ED1088" s="457"/>
      <c r="EE1088" s="457"/>
      <c r="EF1088" s="458"/>
    </row>
    <row r="1089" spans="54:136">
      <c r="BB1089" s="449" t="s">
        <v>472</v>
      </c>
      <c r="BC1089" s="467" t="s">
        <v>517</v>
      </c>
      <c r="BD1089" s="120" t="s">
        <v>518</v>
      </c>
      <c r="BE1089" s="467" t="s">
        <v>519</v>
      </c>
      <c r="BF1089" s="440" t="s">
        <v>518</v>
      </c>
      <c r="CB1089" s="449" t="s">
        <v>472</v>
      </c>
      <c r="CC1089" s="467" t="s">
        <v>517</v>
      </c>
      <c r="CD1089" s="120" t="s">
        <v>518</v>
      </c>
      <c r="CE1089" s="467" t="s">
        <v>519</v>
      </c>
      <c r="CF1089" s="440" t="s">
        <v>518</v>
      </c>
      <c r="DB1089" s="449" t="s">
        <v>472</v>
      </c>
      <c r="DC1089" s="467" t="s">
        <v>517</v>
      </c>
      <c r="DD1089" s="120" t="s">
        <v>518</v>
      </c>
      <c r="DE1089" s="467" t="s">
        <v>519</v>
      </c>
      <c r="DF1089" s="440" t="s">
        <v>518</v>
      </c>
      <c r="EB1089" s="449" t="s">
        <v>472</v>
      </c>
      <c r="EC1089" s="467" t="s">
        <v>517</v>
      </c>
      <c r="ED1089" s="120" t="s">
        <v>518</v>
      </c>
      <c r="EE1089" s="467" t="s">
        <v>519</v>
      </c>
      <c r="EF1089" s="440" t="s">
        <v>518</v>
      </c>
    </row>
    <row r="1090" spans="54:136">
      <c r="BB1090" s="436" t="s">
        <v>520</v>
      </c>
      <c r="BC1090" s="120"/>
      <c r="BD1090" s="120"/>
      <c r="BE1090" s="472">
        <f>((VLOOKUP(BB1008,'Unit Ops'!$B$140:$J$209,3,FALSE)*BC1010^VLOOKUP(BB1008,'Unit Ops'!$B$140:$J$209,4,FALSE)+VLOOKUP(BB1008,'Unit Ops'!$B$140:$J$209,5,FALSE))*VLOOKUP(BB1008,'Unit Ops'!$B$140:$J$209,6,FALSE))*IF(VLOOKUP(BB1008,'Unit Ops'!$B$140:$L$209,11,FALSE)=1,1,2)</f>
        <v>66770.92901794528</v>
      </c>
      <c r="BF1090" s="490">
        <f>$C$7</f>
        <v>2022</v>
      </c>
      <c r="CB1090" s="436" t="s">
        <v>520</v>
      </c>
      <c r="CC1090" s="120"/>
      <c r="CD1090" s="120"/>
      <c r="CE1090" s="472">
        <f>((VLOOKUP(CB1008,'Unit Ops'!$B$140:$J$209,3,FALSE)*CC1010^VLOOKUP(CB1008,'Unit Ops'!$B$140:$J$209,4,FALSE)+VLOOKUP(CB1008,'Unit Ops'!$B$140:$J$209,5,FALSE))*VLOOKUP(CB1008,'Unit Ops'!$B$140:$J$209,6,FALSE))*IF(VLOOKUP(CB1008,'Unit Ops'!$B$140:$L$209,11,FALSE)=1,1,2)</f>
        <v>1144168.7662890728</v>
      </c>
      <c r="CF1090" s="490">
        <f>$C$7</f>
        <v>2022</v>
      </c>
      <c r="DB1090" s="436" t="s">
        <v>520</v>
      </c>
      <c r="DC1090" s="120"/>
      <c r="DD1090" s="120"/>
      <c r="DE1090" s="472">
        <f>((VLOOKUP(DB1008,'Unit Ops'!$B$140:$J$209,3,FALSE)*DC1010^VLOOKUP(DB1008,'Unit Ops'!$B$140:$J$209,4,FALSE)+VLOOKUP(DB1008,'Unit Ops'!$B$140:$J$209,5,FALSE))*VLOOKUP(DB1008,'Unit Ops'!$B$140:$J$209,6,FALSE))*IF(VLOOKUP(DB1008,'Unit Ops'!$B$140:$L$209,11,FALSE)=1,1,2)*COUNTIF(DB126:DB130,"&lt;&gt;Select Output")</f>
        <v>1370769.1100511546</v>
      </c>
      <c r="DF1090" s="490">
        <f>$C$7</f>
        <v>2022</v>
      </c>
      <c r="EB1090" s="436" t="s">
        <v>520</v>
      </c>
      <c r="EC1090" s="120"/>
      <c r="ED1090" s="120"/>
      <c r="EE1090" s="472">
        <f>((VLOOKUP(EB1008,'Unit Ops'!$B$140:$J$209,3,FALSE)*EC1010^VLOOKUP(EB1008,'Unit Ops'!$B$140:$J$209,4,FALSE)+VLOOKUP(EB1008,'Unit Ops'!$B$140:$J$209,5,FALSE))*VLOOKUP(EB1008,'Unit Ops'!$B$140:$J$209,6,FALSE))*IF(VLOOKUP(EB1008,'Unit Ops'!$B$140:$L$209,11,FALSE)=1,1,2)</f>
        <v>1342460.9338656482</v>
      </c>
      <c r="EF1090" s="490">
        <f>$C$7</f>
        <v>2022</v>
      </c>
    </row>
    <row r="1091" spans="54:136">
      <c r="BB1091" s="436"/>
      <c r="BC1091" s="120"/>
      <c r="BD1091" s="120"/>
      <c r="BE1091" s="120"/>
      <c r="BF1091" s="440"/>
      <c r="CB1091" s="436"/>
      <c r="CC1091" s="120"/>
      <c r="CD1091" s="120"/>
      <c r="CE1091" s="120"/>
      <c r="CF1091" s="440"/>
      <c r="DB1091" s="436"/>
      <c r="DC1091" s="120"/>
      <c r="DD1091" s="120"/>
      <c r="DE1091" s="120"/>
      <c r="DF1091" s="440"/>
      <c r="EB1091" s="436"/>
      <c r="EC1091" s="120"/>
      <c r="ED1091" s="120"/>
      <c r="EE1091" s="120"/>
      <c r="EF1091" s="440"/>
    </row>
    <row r="1092" spans="54:136">
      <c r="BB1092" s="436"/>
      <c r="BC1092" s="120"/>
      <c r="BD1092" s="120"/>
      <c r="BE1092" s="120"/>
      <c r="BF1092" s="440"/>
      <c r="CB1092" s="436"/>
      <c r="CC1092" s="120"/>
      <c r="CD1092" s="120"/>
      <c r="CE1092" s="120"/>
      <c r="CF1092" s="440"/>
      <c r="DB1092" s="436"/>
      <c r="DC1092" s="120"/>
      <c r="DD1092" s="120"/>
      <c r="DE1092" s="120"/>
      <c r="DF1092" s="440"/>
      <c r="EB1092" s="436"/>
      <c r="EC1092" s="120"/>
      <c r="ED1092" s="120"/>
      <c r="EE1092" s="120"/>
      <c r="EF1092" s="440"/>
    </row>
    <row r="1093" spans="54:136">
      <c r="BB1093" s="436"/>
      <c r="BC1093" s="120"/>
      <c r="BD1093" s="120"/>
      <c r="BE1093" s="120"/>
      <c r="BF1093" s="440"/>
      <c r="CB1093" s="436"/>
      <c r="CC1093" s="120"/>
      <c r="CD1093" s="120"/>
      <c r="CE1093" s="120"/>
      <c r="CF1093" s="440"/>
      <c r="DB1093" s="436"/>
      <c r="DC1093" s="120"/>
      <c r="DD1093" s="120"/>
      <c r="DE1093" s="120"/>
      <c r="DF1093" s="440"/>
      <c r="EB1093" s="436"/>
      <c r="EC1093" s="120"/>
      <c r="ED1093" s="120"/>
      <c r="EE1093" s="120"/>
      <c r="EF1093" s="440"/>
    </row>
    <row r="1094" spans="54:136">
      <c r="BB1094" s="436"/>
      <c r="BC1094" s="120"/>
      <c r="BD1094" s="120"/>
      <c r="BE1094" s="120"/>
      <c r="BF1094" s="440"/>
      <c r="CB1094" s="436"/>
      <c r="CC1094" s="120"/>
      <c r="CD1094" s="120"/>
      <c r="CE1094" s="120"/>
      <c r="CF1094" s="440"/>
      <c r="DB1094" s="436"/>
      <c r="DC1094" s="120"/>
      <c r="DD1094" s="120"/>
      <c r="DE1094" s="120"/>
      <c r="DF1094" s="440"/>
      <c r="EB1094" s="436"/>
      <c r="EC1094" s="120"/>
      <c r="ED1094" s="120"/>
      <c r="EE1094" s="120"/>
      <c r="EF1094" s="440"/>
    </row>
    <row r="1095" spans="54:136">
      <c r="BB1095" s="436"/>
      <c r="BC1095" s="120"/>
      <c r="BD1095" s="120"/>
      <c r="BE1095" s="120"/>
      <c r="BF1095" s="440"/>
      <c r="CB1095" s="436"/>
      <c r="CC1095" s="120"/>
      <c r="CD1095" s="120"/>
      <c r="CE1095" s="120"/>
      <c r="CF1095" s="440"/>
      <c r="DB1095" s="436"/>
      <c r="DC1095" s="120"/>
      <c r="DD1095" s="120"/>
      <c r="DE1095" s="120"/>
      <c r="DF1095" s="440"/>
      <c r="EB1095" s="436"/>
      <c r="EC1095" s="120"/>
      <c r="ED1095" s="120"/>
      <c r="EE1095" s="120"/>
      <c r="EF1095" s="440"/>
    </row>
    <row r="1096" spans="54:136">
      <c r="BB1096" s="436"/>
      <c r="BC1096" s="120"/>
      <c r="BD1096" s="120"/>
      <c r="BE1096" s="120"/>
      <c r="BF1096" s="440"/>
      <c r="CB1096" s="436"/>
      <c r="CC1096" s="120"/>
      <c r="CD1096" s="120"/>
      <c r="CE1096" s="120"/>
      <c r="CF1096" s="440"/>
      <c r="DB1096" s="436"/>
      <c r="DC1096" s="120"/>
      <c r="DD1096" s="120"/>
      <c r="DE1096" s="120"/>
      <c r="DF1096" s="440"/>
      <c r="EB1096" s="436"/>
      <c r="EC1096" s="120"/>
      <c r="ED1096" s="120"/>
      <c r="EE1096" s="120"/>
      <c r="EF1096" s="440"/>
    </row>
    <row r="1097" spans="54:136">
      <c r="BB1097" s="436"/>
      <c r="BC1097" s="120"/>
      <c r="BD1097" s="120"/>
      <c r="BE1097" s="120"/>
      <c r="BF1097" s="440"/>
      <c r="CB1097" s="436"/>
      <c r="CC1097" s="120"/>
      <c r="CD1097" s="120"/>
      <c r="CE1097" s="120"/>
      <c r="CF1097" s="440"/>
      <c r="DB1097" s="436"/>
      <c r="DC1097" s="120"/>
      <c r="DD1097" s="120"/>
      <c r="DE1097" s="120"/>
      <c r="DF1097" s="440"/>
      <c r="EB1097" s="436"/>
      <c r="EC1097" s="120"/>
      <c r="ED1097" s="120"/>
      <c r="EE1097" s="120"/>
      <c r="EF1097" s="440"/>
    </row>
    <row r="1098" spans="54:136">
      <c r="BB1098" s="436"/>
      <c r="BC1098" s="120"/>
      <c r="BD1098" s="120"/>
      <c r="BE1098" s="120"/>
      <c r="BF1098" s="440"/>
      <c r="CB1098" s="436"/>
      <c r="CC1098" s="120"/>
      <c r="CD1098" s="120"/>
      <c r="CE1098" s="120"/>
      <c r="CF1098" s="440"/>
      <c r="DB1098" s="436"/>
      <c r="DC1098" s="120"/>
      <c r="DD1098" s="120"/>
      <c r="DE1098" s="120"/>
      <c r="DF1098" s="440"/>
      <c r="EB1098" s="436"/>
      <c r="EC1098" s="120"/>
      <c r="ED1098" s="120"/>
      <c r="EE1098" s="120"/>
      <c r="EF1098" s="440"/>
    </row>
    <row r="1099" spans="54:136">
      <c r="BB1099" s="436"/>
      <c r="BC1099" s="120"/>
      <c r="BD1099" s="120"/>
      <c r="BE1099" s="120"/>
      <c r="BF1099" s="440"/>
      <c r="CB1099" s="436"/>
      <c r="CC1099" s="120"/>
      <c r="CD1099" s="120"/>
      <c r="CE1099" s="120"/>
      <c r="CF1099" s="440"/>
      <c r="DB1099" s="436"/>
      <c r="DC1099" s="120"/>
      <c r="DD1099" s="120"/>
      <c r="DE1099" s="120"/>
      <c r="DF1099" s="440"/>
      <c r="EB1099" s="436"/>
      <c r="EC1099" s="120"/>
      <c r="ED1099" s="120"/>
      <c r="EE1099" s="120"/>
      <c r="EF1099" s="440"/>
    </row>
    <row r="1100" spans="54:136">
      <c r="BB1100" s="436"/>
      <c r="BC1100" s="120"/>
      <c r="BD1100" s="120"/>
      <c r="BE1100" s="120"/>
      <c r="BF1100" s="440"/>
      <c r="CB1100" s="436"/>
      <c r="CC1100" s="120"/>
      <c r="CD1100" s="120"/>
      <c r="CE1100" s="120"/>
      <c r="CF1100" s="440"/>
      <c r="DB1100" s="436"/>
      <c r="DC1100" s="120"/>
      <c r="DD1100" s="120"/>
      <c r="DE1100" s="120"/>
      <c r="DF1100" s="440"/>
      <c r="EB1100" s="436"/>
      <c r="EC1100" s="120"/>
      <c r="ED1100" s="120"/>
      <c r="EE1100" s="120"/>
      <c r="EF1100" s="440"/>
    </row>
    <row r="1101" spans="54:136">
      <c r="BB1101" s="436"/>
      <c r="BC1101" s="120"/>
      <c r="BD1101" s="120"/>
      <c r="BE1101" s="120"/>
      <c r="BF1101" s="440"/>
      <c r="CB1101" s="436"/>
      <c r="CC1101" s="120"/>
      <c r="CD1101" s="120"/>
      <c r="CE1101" s="120"/>
      <c r="CF1101" s="440"/>
      <c r="DB1101" s="436"/>
      <c r="DC1101" s="120"/>
      <c r="DD1101" s="120"/>
      <c r="DE1101" s="120"/>
      <c r="DF1101" s="440"/>
      <c r="EB1101" s="436"/>
      <c r="EC1101" s="120"/>
      <c r="ED1101" s="120"/>
      <c r="EE1101" s="120"/>
      <c r="EF1101" s="440"/>
    </row>
    <row r="1102" spans="54:136">
      <c r="BB1102" s="436"/>
      <c r="BC1102" s="120"/>
      <c r="BD1102" s="120"/>
      <c r="BE1102" s="120"/>
      <c r="BF1102" s="440"/>
      <c r="CB1102" s="436"/>
      <c r="CC1102" s="120"/>
      <c r="CD1102" s="120"/>
      <c r="CE1102" s="120"/>
      <c r="CF1102" s="440"/>
      <c r="DB1102" s="436"/>
      <c r="DC1102" s="120"/>
      <c r="DD1102" s="120"/>
      <c r="DE1102" s="120"/>
      <c r="DF1102" s="440"/>
      <c r="EB1102" s="436"/>
      <c r="EC1102" s="120"/>
      <c r="ED1102" s="120"/>
      <c r="EE1102" s="120"/>
      <c r="EF1102" s="440"/>
    </row>
    <row r="1103" spans="54:136">
      <c r="BB1103" s="436"/>
      <c r="BC1103" s="120"/>
      <c r="BD1103" s="120"/>
      <c r="BE1103" s="120"/>
      <c r="BF1103" s="440"/>
      <c r="CB1103" s="436"/>
      <c r="CC1103" s="120"/>
      <c r="CD1103" s="120"/>
      <c r="CE1103" s="120"/>
      <c r="CF1103" s="440"/>
      <c r="DB1103" s="436"/>
      <c r="DC1103" s="120"/>
      <c r="DD1103" s="120"/>
      <c r="DE1103" s="120"/>
      <c r="DF1103" s="440"/>
      <c r="EB1103" s="436"/>
      <c r="EC1103" s="120"/>
      <c r="ED1103" s="120"/>
      <c r="EE1103" s="120"/>
      <c r="EF1103" s="440"/>
    </row>
    <row r="1104" spans="54:136" ht="14.5" thickBot="1">
      <c r="BB1104" s="492"/>
      <c r="BC1104" s="493"/>
      <c r="BD1104" s="493"/>
      <c r="BE1104" s="493"/>
      <c r="BF1104" s="453"/>
      <c r="CB1104" s="492"/>
      <c r="CC1104" s="493"/>
      <c r="CD1104" s="493"/>
      <c r="CE1104" s="493"/>
      <c r="CF1104" s="453"/>
      <c r="DB1104" s="492"/>
      <c r="DC1104" s="493"/>
      <c r="DD1104" s="493"/>
      <c r="DE1104" s="493"/>
      <c r="DF1104" s="453"/>
      <c r="EB1104" s="492"/>
      <c r="EC1104" s="493"/>
      <c r="ED1104" s="493"/>
      <c r="EE1104" s="493"/>
      <c r="EF1104" s="453"/>
    </row>
    <row r="1107" spans="53:137" ht="14.5" thickBot="1"/>
    <row r="1108" spans="53:137">
      <c r="BA1108" s="114" t="s">
        <v>478</v>
      </c>
      <c r="BB1108" s="431" t="str">
        <f>BB60</f>
        <v>Leaching tank</v>
      </c>
      <c r="BC1108" s="432"/>
      <c r="BD1108" s="433"/>
      <c r="BE1108" s="434"/>
      <c r="BF1108" s="435"/>
      <c r="CA1108" s="114" t="s">
        <v>478</v>
      </c>
      <c r="CB1108" s="431" t="str">
        <f>CB60</f>
        <v>Solvent extraction unit</v>
      </c>
      <c r="CC1108" s="432"/>
      <c r="CD1108" s="433"/>
      <c r="CE1108" s="434"/>
      <c r="CF1108" s="435"/>
      <c r="DA1108" s="114" t="s">
        <v>478</v>
      </c>
      <c r="DB1108" s="431" t="str">
        <f>DB60</f>
        <v>Ball mill</v>
      </c>
      <c r="DC1108" s="432"/>
      <c r="DD1108" s="433"/>
      <c r="DE1108" s="434"/>
      <c r="DF1108" s="435"/>
      <c r="EA1108" s="114" t="s">
        <v>478</v>
      </c>
      <c r="EB1108" s="431" t="str">
        <f>EB62</f>
        <v>Solvent extraction unit</v>
      </c>
      <c r="EC1108" s="432"/>
      <c r="ED1108" s="433"/>
      <c r="EE1108" s="434"/>
      <c r="EF1108" s="435"/>
    </row>
    <row r="1109" spans="53:137">
      <c r="BA1109" s="114" t="s">
        <v>5</v>
      </c>
      <c r="BB1109" s="436" t="s">
        <v>1</v>
      </c>
      <c r="BC1109" s="437">
        <f>BC$25/BC$22/BC$21*VLOOKUP(BB1108,'Unit Ops'!$B$140:$J$209,2,FALSE)*(BC40+BC47+BC48)</f>
        <v>8.4236065271562938E-2</v>
      </c>
      <c r="BD1109" s="438" t="s">
        <v>586</v>
      </c>
      <c r="BE1109" s="1027">
        <f>BC1109*BC$310*BC$311</f>
        <v>909.74950493287963</v>
      </c>
      <c r="BF1109" s="439" t="s">
        <v>585</v>
      </c>
      <c r="BG1109" s="515"/>
      <c r="CA1109" s="114" t="s">
        <v>5</v>
      </c>
      <c r="CB1109" s="436" t="s">
        <v>1</v>
      </c>
      <c r="CC1109" s="437">
        <f>CC$25/CC$22/CC$21*VLOOKUP(CB1108,'Unit Ops'!$B$140:$J$209,2,FALSE)</f>
        <v>0.91324200913242004</v>
      </c>
      <c r="CD1109" s="438" t="s">
        <v>586</v>
      </c>
      <c r="CE1109" s="1027">
        <f>CC1109*CC$310*CC$311</f>
        <v>10000</v>
      </c>
      <c r="CF1109" s="439" t="s">
        <v>585</v>
      </c>
      <c r="CG1109" s="515"/>
      <c r="DA1109" s="114" t="s">
        <v>5</v>
      </c>
      <c r="DB1109" s="436" t="s">
        <v>1</v>
      </c>
      <c r="DC1109" s="437">
        <f>DC$25/DC$22/DC$21*VLOOKUP(DB1108,'Unit Ops'!$B$140:$J$209,2,FALSE)*SUM(DC28:DC35)/COUNTIF(DB126:DB130,"&lt;&gt;Select Output")</f>
        <v>7.4567901234567899E-2</v>
      </c>
      <c r="DD1109" s="438" t="s">
        <v>586</v>
      </c>
      <c r="DE1109" s="1027">
        <f>DC1109*DC$310*DC$311</f>
        <v>805.33333333333326</v>
      </c>
      <c r="DF1109" s="439" t="s">
        <v>585</v>
      </c>
      <c r="DG1109" s="515"/>
      <c r="EA1109" s="114" t="s">
        <v>5</v>
      </c>
      <c r="EB1109" s="436" t="s">
        <v>1</v>
      </c>
      <c r="EC1109" s="437">
        <f>EC$26/EC$23/EC$22*VLOOKUP(EB1108,'Unit Ops'!$B$140:$J$209,2,FALSE)</f>
        <v>1.3020833333333333</v>
      </c>
      <c r="ED1109" s="438" t="s">
        <v>586</v>
      </c>
      <c r="EE1109" s="1027">
        <f>EC1109*EC$310*EC$311</f>
        <v>10000</v>
      </c>
      <c r="EF1109" s="439" t="s">
        <v>585</v>
      </c>
      <c r="EG1109" s="515"/>
    </row>
    <row r="1110" spans="53:137">
      <c r="BA1110" s="114" t="str">
        <f>$BB$54</f>
        <v>Hopper</v>
      </c>
      <c r="BB1110" s="436" t="s">
        <v>505</v>
      </c>
      <c r="BC1110" s="437">
        <f>ROUNDUP(BC1109*IF(VLOOKUP(BB1108,'Unit Ops'!$B$140:$L$209,11,FALSE)=1,1.5,0.75),1)</f>
        <v>0.1</v>
      </c>
      <c r="BD1110" s="438" t="s">
        <v>586</v>
      </c>
      <c r="BE1110" s="120">
        <f>BC1110*BC$310*BC$311</f>
        <v>1080</v>
      </c>
      <c r="BF1110" s="439" t="s">
        <v>585</v>
      </c>
      <c r="BG1110" s="180"/>
      <c r="CA1110" s="114" t="str">
        <f>$CB$54</f>
        <v>Conveyor</v>
      </c>
      <c r="CB1110" s="436" t="s">
        <v>505</v>
      </c>
      <c r="CC1110" s="437">
        <f>ROUNDUP(CC1109*IF(VLOOKUP(CB1108,'Unit Ops'!$B$140:$L$209,11,FALSE)=1,1.5,0.75),1)</f>
        <v>0.7</v>
      </c>
      <c r="CD1110" s="438" t="s">
        <v>586</v>
      </c>
      <c r="CE1110" s="120">
        <f>CC1110*CC$310*CC$311</f>
        <v>7665</v>
      </c>
      <c r="CF1110" s="439" t="s">
        <v>585</v>
      </c>
      <c r="CG1110" s="180"/>
      <c r="DA1110" s="114" t="str">
        <f>$DB$54</f>
        <v>Conveyor</v>
      </c>
      <c r="DB1110" s="436" t="s">
        <v>505</v>
      </c>
      <c r="DC1110" s="437">
        <f>ROUNDUP(DC1109*IF(VLOOKUP(DB1108,'Unit Ops'!$B$140:$L$209,11,FALSE)=1,1.5,0.75),1)</f>
        <v>0.1</v>
      </c>
      <c r="DD1110" s="438" t="s">
        <v>586</v>
      </c>
      <c r="DE1110" s="120">
        <f>DC1110*DC$310*DC$311</f>
        <v>1080</v>
      </c>
      <c r="DF1110" s="439" t="s">
        <v>585</v>
      </c>
      <c r="DG1110" s="180"/>
      <c r="EA1110" s="114" t="str">
        <f>$EB$56</f>
        <v>Conveyor</v>
      </c>
      <c r="EB1110" s="436" t="s">
        <v>505</v>
      </c>
      <c r="EC1110" s="437">
        <f>ROUNDUP(EC1109*IF(VLOOKUP(EB1108,'Unit Ops'!$B$140:$L$209,11,FALSE)=1,1.5,0.75),1)</f>
        <v>1</v>
      </c>
      <c r="ED1110" s="438" t="s">
        <v>586</v>
      </c>
      <c r="EE1110" s="120">
        <f>EC1110*EC$310*EC$311</f>
        <v>7680</v>
      </c>
      <c r="EF1110" s="439" t="s">
        <v>585</v>
      </c>
      <c r="EG1110" s="180"/>
    </row>
    <row r="1111" spans="53:137">
      <c r="BA1111" s="114" t="str">
        <f>$BB$55</f>
        <v>Conveyor</v>
      </c>
      <c r="BB1111" s="441" t="s">
        <v>521</v>
      </c>
      <c r="BC1111" s="442">
        <f>BC1109/BC1110</f>
        <v>0.84236065271562932</v>
      </c>
      <c r="BD1111" s="438"/>
      <c r="BE1111" s="443"/>
      <c r="BF1111" s="440"/>
      <c r="BG1111" s="465"/>
      <c r="CA1111" s="114" t="str">
        <f>$CB$55</f>
        <v>Leaching tank</v>
      </c>
      <c r="CB1111" s="441" t="s">
        <v>521</v>
      </c>
      <c r="CC1111" s="442">
        <f>CC1109/CC1110</f>
        <v>1.3046314416177429</v>
      </c>
      <c r="CD1111" s="438"/>
      <c r="CE1111" s="443"/>
      <c r="CF1111" s="440"/>
      <c r="CG1111" s="465"/>
      <c r="DA1111" s="114" t="str">
        <f>$DB$55</f>
        <v>Froth flotation cell</v>
      </c>
      <c r="DB1111" s="441" t="s">
        <v>521</v>
      </c>
      <c r="DC1111" s="442">
        <f>DC1109/DC1110</f>
        <v>0.7456790123456789</v>
      </c>
      <c r="DD1111" s="438"/>
      <c r="DE1111" s="443"/>
      <c r="DF1111" s="440"/>
      <c r="DG1111" s="465"/>
      <c r="EA1111" s="114" t="str">
        <f>$EB$57</f>
        <v>Leaching tank</v>
      </c>
      <c r="EB1111" s="441" t="s">
        <v>521</v>
      </c>
      <c r="EC1111" s="442">
        <f>EC1109/EC1110</f>
        <v>1.3020833333333333</v>
      </c>
      <c r="ED1111" s="438"/>
      <c r="EE1111" s="443"/>
      <c r="EF1111" s="440"/>
      <c r="EG1111" s="465"/>
    </row>
    <row r="1112" spans="53:137">
      <c r="BA1112" s="114" t="str">
        <f>$BB$56</f>
        <v>Smelter</v>
      </c>
      <c r="BB1112" s="441" t="s">
        <v>506</v>
      </c>
      <c r="BC1112" s="445"/>
      <c r="BD1112" s="438" t="s">
        <v>454</v>
      </c>
      <c r="BE1112" s="443"/>
      <c r="BF1112" s="440"/>
      <c r="BG1112" s="505"/>
      <c r="CA1112" s="114" t="str">
        <f>$CB$56</f>
        <v>Mixing tank</v>
      </c>
      <c r="CB1112" s="441" t="s">
        <v>506</v>
      </c>
      <c r="CC1112" s="445"/>
      <c r="CD1112" s="438" t="s">
        <v>454</v>
      </c>
      <c r="CE1112" s="443"/>
      <c r="CF1112" s="440"/>
      <c r="CG1112" s="505"/>
      <c r="DA1112" s="114" t="str">
        <f>$DB$56</f>
        <v>Filter press</v>
      </c>
      <c r="DB1112" s="441" t="s">
        <v>506</v>
      </c>
      <c r="DC1112" s="445"/>
      <c r="DD1112" s="438" t="s">
        <v>454</v>
      </c>
      <c r="DE1112" s="443"/>
      <c r="DF1112" s="440"/>
      <c r="DG1112" s="505"/>
      <c r="EA1112" s="114" t="str">
        <f>$EB$58</f>
        <v>Mixing tank</v>
      </c>
      <c r="EB1112" s="441" t="s">
        <v>506</v>
      </c>
      <c r="EC1112" s="445"/>
      <c r="ED1112" s="438" t="s">
        <v>454</v>
      </c>
      <c r="EE1112" s="443"/>
      <c r="EF1112" s="440"/>
      <c r="EG1112" s="505"/>
    </row>
    <row r="1113" spans="53:137">
      <c r="BA1113" s="114" t="str">
        <f>$BB$57</f>
        <v>Gas treatment</v>
      </c>
      <c r="BB1113" s="436" t="s">
        <v>507</v>
      </c>
      <c r="BC1113" s="225">
        <f>(VLOOKUP(BB1108,'Unit Ops'!$B$140:$J$209,7,FALSE)*BC1110^VLOOKUP(BB1108,'Unit Ops'!$B$140:$J$209,8,FALSE)+VLOOKUP(BB1108,'Unit Ops'!$B$140:$J$209,9,FALSE))*IF(VLOOKUP(BB1108,'Unit Ops'!$B$140:$L$209,11,FALSE)=1,1,2)</f>
        <v>2.9828000000000006</v>
      </c>
      <c r="BD1113" s="446" t="s">
        <v>454</v>
      </c>
      <c r="BE1113" s="443"/>
      <c r="BF1113" s="440"/>
      <c r="BG1113" s="180"/>
      <c r="CA1113" s="114" t="str">
        <f>$CB$57</f>
        <v>Filter press</v>
      </c>
      <c r="CB1113" s="436" t="s">
        <v>507</v>
      </c>
      <c r="CC1113" s="225">
        <f>(VLOOKUP(CB1108,'Unit Ops'!$B$140:$J$209,7,FALSE)*CC1110^VLOOKUP(CB1108,'Unit Ops'!$B$140:$J$209,8,FALSE)+VLOOKUP(CB1108,'Unit Ops'!$B$140:$J$209,9,FALSE))*IF(VLOOKUP(CB1108,'Unit Ops'!$B$140:$L$209,11,FALSE)=1,1,2)</f>
        <v>20.8796</v>
      </c>
      <c r="CD1113" s="446" t="s">
        <v>454</v>
      </c>
      <c r="CE1113" s="443"/>
      <c r="CF1113" s="440"/>
      <c r="CG1113" s="180"/>
      <c r="DA1113" s="114" t="str">
        <f>$DB$57</f>
        <v>Froth flotation cell</v>
      </c>
      <c r="DB1113" s="436" t="s">
        <v>507</v>
      </c>
      <c r="DC1113" s="225">
        <f>(VLOOKUP(DB1108,'Unit Ops'!$B$140:$J$209,7,FALSE)*DC1110^VLOOKUP(DB1108,'Unit Ops'!$B$140:$J$209,8,FALSE)+VLOOKUP(DB1108,'Unit Ops'!$B$140:$J$209,9,FALSE))*IF(VLOOKUP(DB1108,'Unit Ops'!$B$140:$L$209,11,FALSE)=1,1,2)</f>
        <v>6.7024712624638649</v>
      </c>
      <c r="DD1113" s="446" t="s">
        <v>454</v>
      </c>
      <c r="DE1113" s="443"/>
      <c r="DF1113" s="440"/>
      <c r="DG1113" s="180"/>
      <c r="EA1113" s="114" t="str">
        <f>$EB$59</f>
        <v>Filter press</v>
      </c>
      <c r="EB1113" s="436" t="s">
        <v>507</v>
      </c>
      <c r="EC1113" s="225">
        <f>(VLOOKUP(EB1108,'Unit Ops'!$B$140:$J$209,7,FALSE)*EC1110^VLOOKUP(EB1108,'Unit Ops'!$B$140:$J$209,8,FALSE)+VLOOKUP(EB1108,'Unit Ops'!$B$140:$J$209,9,FALSE))*IF(VLOOKUP(EB1108,'Unit Ops'!$B$140:$L$209,11,FALSE)=1,1,2)</f>
        <v>29.828000000000003</v>
      </c>
      <c r="ED1113" s="446" t="s">
        <v>454</v>
      </c>
      <c r="EE1113" s="443"/>
      <c r="EF1113" s="440"/>
      <c r="EG1113" s="180"/>
    </row>
    <row r="1114" spans="53:137">
      <c r="BA1114" s="114" t="str">
        <f>$BB$58</f>
        <v>Conveyor</v>
      </c>
      <c r="BB1114" s="441"/>
      <c r="BC1114" s="445"/>
      <c r="BD1114" s="447"/>
      <c r="BE1114" s="443"/>
      <c r="BF1114" s="440"/>
      <c r="BG1114" s="474"/>
      <c r="CA1114" s="114" t="str">
        <f>$CB$58</f>
        <v>Solvent extraction unit</v>
      </c>
      <c r="CB1114" s="441"/>
      <c r="CC1114" s="445"/>
      <c r="CD1114" s="447"/>
      <c r="CE1114" s="443"/>
      <c r="CF1114" s="440"/>
      <c r="CG1114" s="474"/>
      <c r="DA1114" s="114" t="str">
        <f>$DB$58</f>
        <v>Filter press</v>
      </c>
      <c r="DB1114" s="441"/>
      <c r="DC1114" s="445"/>
      <c r="DD1114" s="447"/>
      <c r="DE1114" s="443"/>
      <c r="DF1114" s="440"/>
      <c r="DG1114" s="474"/>
      <c r="EA1114" s="114" t="str">
        <f>$EB$60</f>
        <v>Solvent extraction unit</v>
      </c>
      <c r="EB1114" s="441"/>
      <c r="EC1114" s="445"/>
      <c r="ED1114" s="447"/>
      <c r="EE1114" s="443"/>
      <c r="EF1114" s="440"/>
      <c r="EG1114" s="474"/>
    </row>
    <row r="1115" spans="53:137">
      <c r="BA1115" s="114" t="str">
        <f>$BB$59</f>
        <v>Granulator</v>
      </c>
      <c r="BB1115" s="441"/>
      <c r="BC1115" s="445"/>
      <c r="BD1115" s="447"/>
      <c r="BE1115" s="443"/>
      <c r="BF1115" s="440"/>
      <c r="BG1115" s="474"/>
      <c r="CA1115" s="114" t="str">
        <f>$CB$59</f>
        <v>Solvent extraction unit</v>
      </c>
      <c r="CB1115" s="441"/>
      <c r="CC1115" s="445"/>
      <c r="CD1115" s="447"/>
      <c r="CE1115" s="443"/>
      <c r="CF1115" s="440"/>
      <c r="CG1115" s="474"/>
      <c r="DA1115" s="114" t="str">
        <f>$DB$59</f>
        <v>Dryer</v>
      </c>
      <c r="DB1115" s="441"/>
      <c r="DC1115" s="445"/>
      <c r="DD1115" s="447"/>
      <c r="DE1115" s="443"/>
      <c r="DF1115" s="440"/>
      <c r="DG1115" s="474"/>
      <c r="EA1115" s="114" t="str">
        <f>$EB$61</f>
        <v>Solvent extraction unit</v>
      </c>
      <c r="EB1115" s="441"/>
      <c r="EC1115" s="445"/>
      <c r="ED1115" s="447"/>
      <c r="EE1115" s="443"/>
      <c r="EF1115" s="440"/>
      <c r="EG1115" s="474"/>
    </row>
    <row r="1116" spans="53:137">
      <c r="BA1116" s="114" t="str">
        <f>$BB$60</f>
        <v>Leaching tank</v>
      </c>
      <c r="BB1116" s="449"/>
      <c r="BC1116" s="445"/>
      <c r="BD1116" s="447"/>
      <c r="BE1116" s="443"/>
      <c r="BF1116" s="440"/>
      <c r="BG1116" s="180"/>
      <c r="CA1116" s="114" t="str">
        <f>$CB$60</f>
        <v>Solvent extraction unit</v>
      </c>
      <c r="CB1116" s="449"/>
      <c r="CC1116" s="445"/>
      <c r="CD1116" s="447"/>
      <c r="CE1116" s="443"/>
      <c r="CF1116" s="440"/>
      <c r="CG1116" s="180"/>
      <c r="DA1116" s="114" t="str">
        <f>$DB$60</f>
        <v>Ball mill</v>
      </c>
      <c r="DB1116" s="449"/>
      <c r="DC1116" s="445"/>
      <c r="DD1116" s="447"/>
      <c r="DE1116" s="443"/>
      <c r="DF1116" s="440"/>
      <c r="DG1116" s="180"/>
      <c r="EA1116" s="114" t="str">
        <f>$EB$62</f>
        <v>Solvent extraction unit</v>
      </c>
      <c r="EB1116" s="449"/>
      <c r="EC1116" s="445"/>
      <c r="ED1116" s="447"/>
      <c r="EE1116" s="443"/>
      <c r="EF1116" s="440"/>
      <c r="EG1116" s="180"/>
    </row>
    <row r="1117" spans="53:137" ht="14.5" thickBot="1">
      <c r="BA1117" s="114" t="str">
        <f>$BB$61</f>
        <v>Solvent extraction unit</v>
      </c>
      <c r="BB1117" s="450"/>
      <c r="BC1117" s="451"/>
      <c r="BD1117" s="451"/>
      <c r="BE1117" s="452"/>
      <c r="BF1117" s="453"/>
      <c r="CA1117" s="114" t="str">
        <f>$CB$61</f>
        <v>Evaporator</v>
      </c>
      <c r="CB1117" s="450"/>
      <c r="CC1117" s="451"/>
      <c r="CD1117" s="451"/>
      <c r="CE1117" s="452"/>
      <c r="CF1117" s="453"/>
      <c r="DA1117" s="114" t="str">
        <f>$DB$61</f>
        <v>Furnace+saggar handling system</v>
      </c>
      <c r="DB1117" s="450"/>
      <c r="DC1117" s="451"/>
      <c r="DD1117" s="451"/>
      <c r="DE1117" s="452"/>
      <c r="DF1117" s="453"/>
      <c r="EA1117" s="114" t="str">
        <f>$EB$63</f>
        <v>Evaporator</v>
      </c>
      <c r="EB1117" s="450"/>
      <c r="EC1117" s="451"/>
      <c r="ED1117" s="451"/>
      <c r="EE1117" s="452"/>
      <c r="EF1117" s="453"/>
    </row>
    <row r="1118" spans="53:137">
      <c r="BA1118" s="114" t="str">
        <f>$BB$62</f>
        <v>Electrowinning cell</v>
      </c>
      <c r="BB1118" s="449" t="s">
        <v>470</v>
      </c>
      <c r="BC1118" s="120"/>
      <c r="BD1118" s="454"/>
      <c r="BE1118" s="120"/>
      <c r="BF1118" s="440"/>
      <c r="CA1118" s="114" t="str">
        <f>$CB$62</f>
        <v>Precipitation tank</v>
      </c>
      <c r="CB1118" s="449" t="s">
        <v>470</v>
      </c>
      <c r="CC1118" s="120"/>
      <c r="CD1118" s="454"/>
      <c r="CE1118" s="120"/>
      <c r="CF1118" s="440"/>
      <c r="DA1118" s="114" t="str">
        <f>$DB$62</f>
        <v>Water treatment</v>
      </c>
      <c r="DB1118" s="449" t="s">
        <v>470</v>
      </c>
      <c r="DC1118" s="120"/>
      <c r="DD1118" s="454"/>
      <c r="DE1118" s="120"/>
      <c r="DF1118" s="440"/>
      <c r="EA1118" s="114" t="str">
        <f>$EB$64</f>
        <v>Precipitation tank</v>
      </c>
      <c r="EB1118" s="449" t="s">
        <v>470</v>
      </c>
      <c r="EC1118" s="120"/>
      <c r="ED1118" s="454"/>
      <c r="EE1118" s="120"/>
      <c r="EF1118" s="440"/>
    </row>
    <row r="1119" spans="53:137" ht="14.5" customHeight="1">
      <c r="BA1119" s="114" t="str">
        <f>$BB$63</f>
        <v>Solvent extraction unit</v>
      </c>
      <c r="BB1119" s="1698"/>
      <c r="BC1119" s="1699"/>
      <c r="BD1119" s="1699"/>
      <c r="BE1119" s="1699"/>
      <c r="BF1119" s="1700"/>
      <c r="CA1119" s="114" t="str">
        <f>$CB$63</f>
        <v>Centrifuge</v>
      </c>
      <c r="CB1119" s="1698"/>
      <c r="CC1119" s="1699"/>
      <c r="CD1119" s="1699"/>
      <c r="CE1119" s="1699"/>
      <c r="CF1119" s="1700"/>
      <c r="DA1119" s="114" t="str">
        <f>$DB$63</f>
        <v>Wheel loader</v>
      </c>
      <c r="DB1119" s="1698"/>
      <c r="DC1119" s="1699"/>
      <c r="DD1119" s="1699"/>
      <c r="DE1119" s="1699"/>
      <c r="DF1119" s="1700"/>
      <c r="EA1119" s="114" t="str">
        <f>$EB$65</f>
        <v>Centrifuge</v>
      </c>
      <c r="EB1119" s="1698"/>
      <c r="EC1119" s="1699"/>
      <c r="ED1119" s="1699"/>
      <c r="EE1119" s="1699"/>
      <c r="EF1119" s="1700"/>
    </row>
    <row r="1120" spans="53:137">
      <c r="BA1120" s="114" t="str">
        <f>$BB$64</f>
        <v>Solvent extraction unit</v>
      </c>
      <c r="BB1120" s="436"/>
      <c r="BC1120" s="120"/>
      <c r="BD1120" s="455"/>
      <c r="BE1120" s="120"/>
      <c r="BF1120" s="440"/>
      <c r="CA1120" s="114" t="str">
        <f>$CB$64</f>
        <v>Dryer</v>
      </c>
      <c r="CB1120" s="436"/>
      <c r="CC1120" s="120"/>
      <c r="CD1120" s="455"/>
      <c r="CE1120" s="120"/>
      <c r="CF1120" s="440"/>
      <c r="DA1120" s="114" t="str">
        <f>$DB$64</f>
        <v>Select Equipment</v>
      </c>
      <c r="DB1120" s="436"/>
      <c r="DC1120" s="120"/>
      <c r="DD1120" s="455"/>
      <c r="DE1120" s="120"/>
      <c r="DF1120" s="440"/>
      <c r="EA1120" s="114" t="str">
        <f>$EB$66</f>
        <v>Dryer</v>
      </c>
      <c r="EB1120" s="436"/>
      <c r="EC1120" s="120"/>
      <c r="ED1120" s="455"/>
      <c r="EE1120" s="120"/>
      <c r="EF1120" s="440"/>
    </row>
    <row r="1121" spans="53:136">
      <c r="BA1121" s="114" t="str">
        <f>$BB$65</f>
        <v>Wheel loader</v>
      </c>
      <c r="BB1121" s="436"/>
      <c r="BC1121" s="120"/>
      <c r="BD1121" s="455"/>
      <c r="BE1121" s="120"/>
      <c r="BF1121" s="440"/>
      <c r="CA1121" s="114" t="str">
        <f>$CB$65</f>
        <v>Water treatment</v>
      </c>
      <c r="CB1121" s="436"/>
      <c r="CC1121" s="120"/>
      <c r="CD1121" s="455"/>
      <c r="CE1121" s="120"/>
      <c r="CF1121" s="440"/>
      <c r="DA1121" s="114" t="str">
        <f>$DB$65</f>
        <v>Select Equipment</v>
      </c>
      <c r="DB1121" s="436"/>
      <c r="DC1121" s="120"/>
      <c r="DD1121" s="455"/>
      <c r="DE1121" s="120"/>
      <c r="DF1121" s="440"/>
      <c r="EA1121" s="114" t="str">
        <f>$EB$67</f>
        <v>Water treatment</v>
      </c>
      <c r="EB1121" s="436"/>
      <c r="EC1121" s="120"/>
      <c r="ED1121" s="455"/>
      <c r="EE1121" s="120"/>
      <c r="EF1121" s="440"/>
    </row>
    <row r="1122" spans="53:136">
      <c r="BA1122" s="114" t="str">
        <f>$BB$66</f>
        <v>Water treatment</v>
      </c>
      <c r="BB1122" s="456"/>
      <c r="BC1122" s="457"/>
      <c r="BD1122" s="457"/>
      <c r="BE1122" s="457"/>
      <c r="BF1122" s="458"/>
      <c r="CA1122" s="114" t="str">
        <f>$CB$66</f>
        <v>Wheel loader</v>
      </c>
      <c r="CB1122" s="456"/>
      <c r="CC1122" s="457"/>
      <c r="CD1122" s="457"/>
      <c r="CE1122" s="457"/>
      <c r="CF1122" s="458"/>
      <c r="DA1122" s="114" t="str">
        <f>$DB$66</f>
        <v>Select Equipment</v>
      </c>
      <c r="DB1122" s="456"/>
      <c r="DC1122" s="457"/>
      <c r="DD1122" s="457"/>
      <c r="DE1122" s="457"/>
      <c r="DF1122" s="458"/>
      <c r="EA1122" s="114" t="str">
        <f>$EB$68</f>
        <v>Wheel loader</v>
      </c>
      <c r="EB1122" s="456"/>
      <c r="EC1122" s="457"/>
      <c r="ED1122" s="457"/>
      <c r="EE1122" s="457"/>
      <c r="EF1122" s="458"/>
    </row>
    <row r="1123" spans="53:136">
      <c r="BA1123" s="114" t="str">
        <f>$BB$67</f>
        <v>Select Equipment</v>
      </c>
      <c r="BB1123" s="449" t="s">
        <v>471</v>
      </c>
      <c r="BC1123" s="120"/>
      <c r="BD1123" s="454"/>
      <c r="BE1123" s="120"/>
      <c r="BF1123" s="440"/>
      <c r="CA1123" s="114" t="str">
        <f>$CB$67</f>
        <v>Select Equipment</v>
      </c>
      <c r="CB1123" s="449" t="s">
        <v>471</v>
      </c>
      <c r="CC1123" s="120"/>
      <c r="CD1123" s="454"/>
      <c r="CE1123" s="120"/>
      <c r="CF1123" s="440"/>
      <c r="DA1123" s="114" t="str">
        <f>$DB$67</f>
        <v>Select Equipment</v>
      </c>
      <c r="DB1123" s="449" t="s">
        <v>471</v>
      </c>
      <c r="DC1123" s="120"/>
      <c r="DD1123" s="454"/>
      <c r="DE1123" s="120"/>
      <c r="DF1123" s="440"/>
      <c r="EA1123" s="114" t="str">
        <f>$EB$69</f>
        <v>Select Equipment</v>
      </c>
      <c r="EB1123" s="449" t="s">
        <v>471</v>
      </c>
      <c r="EC1123" s="120"/>
      <c r="ED1123" s="454"/>
      <c r="EE1123" s="120"/>
      <c r="EF1123" s="440"/>
    </row>
    <row r="1124" spans="53:136">
      <c r="BA1124" s="114" t="str">
        <f>$BB$68</f>
        <v>Select Equipment</v>
      </c>
      <c r="BB1124" s="436" t="s">
        <v>577</v>
      </c>
      <c r="BC1124" s="225">
        <f>BC1113*IF(BC1111&gt;1,1,BC1111)</f>
        <v>2.5125933549201798</v>
      </c>
      <c r="BD1124" s="446" t="s">
        <v>454</v>
      </c>
      <c r="BE1124" s="120"/>
      <c r="BF1124" s="440"/>
      <c r="CA1124" s="114" t="str">
        <f>$CB$68</f>
        <v>Select Equipment</v>
      </c>
      <c r="CB1124" s="436" t="s">
        <v>577</v>
      </c>
      <c r="CC1124" s="225">
        <f>CC1113*IF(CC1111&gt;1,1,CC1111)</f>
        <v>20.8796</v>
      </c>
      <c r="CD1124" s="446" t="s">
        <v>454</v>
      </c>
      <c r="CE1124" s="120"/>
      <c r="CF1124" s="440"/>
      <c r="DA1124" s="114" t="str">
        <f>$DB$68</f>
        <v>Select Equipment</v>
      </c>
      <c r="DB1124" s="436" t="s">
        <v>577</v>
      </c>
      <c r="DC1124" s="225">
        <f>DC1113*IF(DC1111&gt;1,1,DC1111)</f>
        <v>4.9978921512693502</v>
      </c>
      <c r="DD1124" s="446" t="s">
        <v>454</v>
      </c>
      <c r="DE1124" s="120"/>
      <c r="DF1124" s="440"/>
      <c r="EA1124" s="114" t="str">
        <f>$EB$70</f>
        <v>Select Equipment</v>
      </c>
      <c r="EB1124" s="436" t="s">
        <v>577</v>
      </c>
      <c r="EC1124" s="225">
        <f>EC1113*IF(EC1111&gt;1,1,EC1111)</f>
        <v>29.828000000000003</v>
      </c>
      <c r="ED1124" s="446" t="s">
        <v>454</v>
      </c>
      <c r="EE1124" s="120"/>
      <c r="EF1124" s="440"/>
    </row>
    <row r="1125" spans="53:136">
      <c r="BA1125" s="114" t="str">
        <f>$BB$69</f>
        <v>Select Equipment</v>
      </c>
      <c r="BB1125" s="436" t="s">
        <v>578</v>
      </c>
      <c r="BC1125" s="225"/>
      <c r="BD1125" s="446" t="s">
        <v>579</v>
      </c>
      <c r="BE1125" s="120"/>
      <c r="BF1125" s="440"/>
      <c r="CA1125" s="114" t="str">
        <f>$CB$69</f>
        <v>Select Equipment</v>
      </c>
      <c r="CB1125" s="436" t="s">
        <v>578</v>
      </c>
      <c r="CC1125" s="225"/>
      <c r="CD1125" s="446" t="s">
        <v>579</v>
      </c>
      <c r="CE1125" s="120"/>
      <c r="CF1125" s="440"/>
      <c r="DA1125" s="114" t="str">
        <f>$DB$69</f>
        <v>Select Equipment</v>
      </c>
      <c r="DB1125" s="436" t="s">
        <v>578</v>
      </c>
      <c r="DC1125" s="225"/>
      <c r="DD1125" s="446" t="s">
        <v>579</v>
      </c>
      <c r="DE1125" s="120"/>
      <c r="DF1125" s="440"/>
      <c r="EA1125" s="114" t="str">
        <f>$EB$71</f>
        <v>Select Equipment</v>
      </c>
      <c r="EB1125" s="436" t="s">
        <v>578</v>
      </c>
      <c r="EC1125" s="225"/>
      <c r="ED1125" s="446" t="s">
        <v>579</v>
      </c>
      <c r="EE1125" s="120"/>
      <c r="EF1125" s="440"/>
    </row>
    <row r="1126" spans="53:136">
      <c r="BA1126" s="114" t="str">
        <f>$BB$70</f>
        <v>Select Equipment</v>
      </c>
      <c r="BB1126" s="436"/>
      <c r="BC1126" s="120"/>
      <c r="BD1126" s="446"/>
      <c r="BE1126" s="120"/>
      <c r="BF1126" s="440"/>
      <c r="CA1126" s="114" t="str">
        <f>$CB$70</f>
        <v>Select Equipment</v>
      </c>
      <c r="CB1126" s="436"/>
      <c r="CC1126" s="120"/>
      <c r="CD1126" s="446"/>
      <c r="CE1126" s="120"/>
      <c r="CF1126" s="440"/>
      <c r="DA1126" s="114" t="str">
        <f>$DB$70</f>
        <v>Select Equipment</v>
      </c>
      <c r="DB1126" s="436"/>
      <c r="DC1126" s="120"/>
      <c r="DD1126" s="446"/>
      <c r="DE1126" s="120"/>
      <c r="DF1126" s="440"/>
      <c r="EA1126" s="114" t="str">
        <f>$EB$72</f>
        <v>Select Equipment</v>
      </c>
      <c r="EB1126" s="436"/>
      <c r="EC1126" s="120"/>
      <c r="ED1126" s="446"/>
      <c r="EE1126" s="120"/>
      <c r="EF1126" s="440"/>
    </row>
    <row r="1127" spans="53:136">
      <c r="BA1127" s="114" t="str">
        <f>$BB$71</f>
        <v>Select Equipment</v>
      </c>
      <c r="BB1127" s="436" t="s">
        <v>8</v>
      </c>
      <c r="BC1127" s="120"/>
      <c r="BD1127" s="459" t="s">
        <v>564</v>
      </c>
      <c r="BE1127" s="120"/>
      <c r="BF1127" s="440"/>
      <c r="CA1127" s="114" t="str">
        <f>$CB$71</f>
        <v>Select Equipment</v>
      </c>
      <c r="CB1127" s="436" t="s">
        <v>8</v>
      </c>
      <c r="CC1127" s="120"/>
      <c r="CD1127" s="459" t="s">
        <v>564</v>
      </c>
      <c r="CE1127" s="120"/>
      <c r="CF1127" s="440"/>
      <c r="DA1127" s="114" t="str">
        <f>$DB$71</f>
        <v>Select Equipment</v>
      </c>
      <c r="DB1127" s="436" t="s">
        <v>8</v>
      </c>
      <c r="DC1127" s="120"/>
      <c r="DD1127" s="459" t="s">
        <v>564</v>
      </c>
      <c r="DE1127" s="120"/>
      <c r="DF1127" s="440"/>
      <c r="EA1127" s="114" t="str">
        <f>$EB$73</f>
        <v>Select Equipment</v>
      </c>
      <c r="EB1127" s="436" t="s">
        <v>8</v>
      </c>
      <c r="EC1127" s="120"/>
      <c r="ED1127" s="459" t="s">
        <v>564</v>
      </c>
      <c r="EE1127" s="120"/>
      <c r="EF1127" s="440"/>
    </row>
    <row r="1128" spans="53:136">
      <c r="BA1128" s="114" t="str">
        <f>$BB$72</f>
        <v>Select Equipment</v>
      </c>
      <c r="BB1128" s="436"/>
      <c r="BC1128" s="120"/>
      <c r="BD1128" s="459"/>
      <c r="BE1128" s="120"/>
      <c r="BF1128" s="440"/>
      <c r="CA1128" s="114" t="str">
        <f>$CB$72</f>
        <v>Select Equipment</v>
      </c>
      <c r="CB1128" s="436"/>
      <c r="CC1128" s="120"/>
      <c r="CD1128" s="459"/>
      <c r="CE1128" s="120"/>
      <c r="CF1128" s="440"/>
      <c r="DA1128" s="114" t="str">
        <f>$DB$72</f>
        <v>Select Equipment</v>
      </c>
      <c r="DB1128" s="436"/>
      <c r="DC1128" s="120"/>
      <c r="DD1128" s="459"/>
      <c r="DE1128" s="120"/>
      <c r="DF1128" s="440"/>
      <c r="EA1128" s="114" t="str">
        <f>$EB$74</f>
        <v>Select Equipment</v>
      </c>
      <c r="EB1128" s="436"/>
      <c r="EC1128" s="120"/>
      <c r="ED1128" s="459"/>
      <c r="EE1128" s="120"/>
      <c r="EF1128" s="440"/>
    </row>
    <row r="1129" spans="53:136">
      <c r="BA1129" s="114" t="str">
        <f>$BB$73</f>
        <v>Select Equipment</v>
      </c>
      <c r="BB1129" s="436" t="s">
        <v>7</v>
      </c>
      <c r="BC1129" s="120"/>
      <c r="BD1129" s="459" t="s">
        <v>564</v>
      </c>
      <c r="BE1129" s="120"/>
      <c r="BF1129" s="440"/>
      <c r="CA1129" s="114" t="str">
        <f>$CB$73</f>
        <v>Select Equipment</v>
      </c>
      <c r="CB1129" s="436" t="s">
        <v>7</v>
      </c>
      <c r="CC1129" s="120"/>
      <c r="CD1129" s="459" t="s">
        <v>564</v>
      </c>
      <c r="CE1129" s="120"/>
      <c r="CF1129" s="440"/>
      <c r="DA1129" s="114" t="str">
        <f>$DB$73</f>
        <v>Select Equipment</v>
      </c>
      <c r="DB1129" s="436" t="s">
        <v>7</v>
      </c>
      <c r="DC1129" s="120"/>
      <c r="DD1129" s="459" t="s">
        <v>564</v>
      </c>
      <c r="DE1129" s="120"/>
      <c r="DF1129" s="440"/>
      <c r="EA1129" s="114" t="str">
        <f>$EB$75</f>
        <v>Select Equipment</v>
      </c>
      <c r="EB1129" s="436" t="s">
        <v>7</v>
      </c>
      <c r="EC1129" s="120"/>
      <c r="ED1129" s="459" t="s">
        <v>564</v>
      </c>
      <c r="EE1129" s="120"/>
      <c r="EF1129" s="440"/>
    </row>
    <row r="1130" spans="53:136">
      <c r="BA1130" s="114" t="str">
        <f>$BB$74</f>
        <v>Select Equipment</v>
      </c>
      <c r="BB1130" s="436"/>
      <c r="BC1130" s="120"/>
      <c r="BD1130" s="459"/>
      <c r="BE1130" s="120"/>
      <c r="BF1130" s="440"/>
      <c r="CA1130" s="114" t="str">
        <f>$CB$74</f>
        <v>Select Equipment</v>
      </c>
      <c r="CB1130" s="436"/>
      <c r="CC1130" s="120"/>
      <c r="CD1130" s="459"/>
      <c r="CE1130" s="120"/>
      <c r="CF1130" s="440"/>
      <c r="DA1130" s="114" t="str">
        <f>$DB$74</f>
        <v>Select Equipment</v>
      </c>
      <c r="DB1130" s="436"/>
      <c r="DC1130" s="120"/>
      <c r="DD1130" s="459"/>
      <c r="DE1130" s="120"/>
      <c r="DF1130" s="440"/>
      <c r="EA1130" s="114" t="str">
        <f>$EB$76</f>
        <v>Select Equipment</v>
      </c>
      <c r="EB1130" s="436"/>
      <c r="EC1130" s="120"/>
      <c r="ED1130" s="459"/>
      <c r="EE1130" s="120"/>
      <c r="EF1130" s="440"/>
    </row>
    <row r="1131" spans="53:136">
      <c r="BA1131" s="114" t="str">
        <f>$BB$75</f>
        <v>Select Equipment</v>
      </c>
      <c r="BB1131" s="436" t="s">
        <v>9</v>
      </c>
      <c r="BC1131" s="120"/>
      <c r="BD1131" s="459" t="s">
        <v>564</v>
      </c>
      <c r="BE1131" s="120"/>
      <c r="BF1131" s="440"/>
      <c r="CA1131" s="114" t="str">
        <f>$CB$75</f>
        <v>Select Equipment</v>
      </c>
      <c r="CB1131" s="436" t="s">
        <v>9</v>
      </c>
      <c r="CC1131" s="120"/>
      <c r="CD1131" s="459" t="s">
        <v>564</v>
      </c>
      <c r="CE1131" s="120"/>
      <c r="CF1131" s="440"/>
      <c r="DA1131" s="114" t="str">
        <f>$DB$75</f>
        <v>Select Equipment</v>
      </c>
      <c r="DB1131" s="436" t="s">
        <v>9</v>
      </c>
      <c r="DC1131" s="120"/>
      <c r="DD1131" s="459" t="s">
        <v>564</v>
      </c>
      <c r="DE1131" s="120"/>
      <c r="DF1131" s="440"/>
      <c r="EA1131" s="114" t="str">
        <f>$EB$77</f>
        <v>Select Equipment</v>
      </c>
      <c r="EB1131" s="436" t="s">
        <v>9</v>
      </c>
      <c r="EC1131" s="120"/>
      <c r="ED1131" s="459" t="s">
        <v>564</v>
      </c>
      <c r="EE1131" s="120"/>
      <c r="EF1131" s="440"/>
    </row>
    <row r="1132" spans="53:136">
      <c r="BA1132" s="114" t="str">
        <f>$BB$76</f>
        <v>Select Equipment</v>
      </c>
      <c r="BB1132" s="436"/>
      <c r="BC1132" s="120"/>
      <c r="BD1132" s="459"/>
      <c r="BE1132" s="120"/>
      <c r="BF1132" s="440"/>
      <c r="CA1132" s="114" t="str">
        <f>$CB$76</f>
        <v>Select Equipment</v>
      </c>
      <c r="CB1132" s="436"/>
      <c r="CC1132" s="120"/>
      <c r="CD1132" s="459"/>
      <c r="CE1132" s="120"/>
      <c r="CF1132" s="440"/>
      <c r="DA1132" s="114" t="str">
        <f>$DB$76</f>
        <v>Select Equipment</v>
      </c>
      <c r="DB1132" s="436"/>
      <c r="DC1132" s="120"/>
      <c r="DD1132" s="459"/>
      <c r="DE1132" s="120"/>
      <c r="DF1132" s="440"/>
      <c r="EA1132" s="114" t="str">
        <f>$EB$78</f>
        <v>Select Equipment</v>
      </c>
      <c r="EB1132" s="436"/>
      <c r="EC1132" s="120"/>
      <c r="ED1132" s="459"/>
      <c r="EE1132" s="120"/>
      <c r="EF1132" s="440"/>
    </row>
    <row r="1133" spans="53:136">
      <c r="BA1133" s="114" t="str">
        <f>$BB$77</f>
        <v>Select Equipment</v>
      </c>
      <c r="BB1133" s="436" t="s">
        <v>324</v>
      </c>
      <c r="BC1133" s="120"/>
      <c r="BD1133" s="459" t="s">
        <v>564</v>
      </c>
      <c r="BE1133" s="120"/>
      <c r="BF1133" s="440" t="s">
        <v>569</v>
      </c>
      <c r="CA1133" s="114" t="str">
        <f>$CB$77</f>
        <v>Select Equipment</v>
      </c>
      <c r="CB1133" s="436" t="s">
        <v>324</v>
      </c>
      <c r="CC1133" s="120"/>
      <c r="CD1133" s="459" t="s">
        <v>564</v>
      </c>
      <c r="CE1133" s="120"/>
      <c r="CF1133" s="440" t="s">
        <v>569</v>
      </c>
      <c r="DA1133" s="114" t="str">
        <f>$DB$77</f>
        <v>Select Equipment</v>
      </c>
      <c r="DB1133" s="436" t="s">
        <v>324</v>
      </c>
      <c r="DC1133" s="120"/>
      <c r="DD1133" s="459" t="s">
        <v>564</v>
      </c>
      <c r="DE1133" s="120"/>
      <c r="DF1133" s="440" t="s">
        <v>569</v>
      </c>
      <c r="EA1133" s="114" t="str">
        <f>$EB$79</f>
        <v>Select Equipment</v>
      </c>
      <c r="EB1133" s="436" t="s">
        <v>324</v>
      </c>
      <c r="EC1133" s="120"/>
      <c r="ED1133" s="459" t="s">
        <v>564</v>
      </c>
      <c r="EE1133" s="120"/>
      <c r="EF1133" s="440" t="s">
        <v>569</v>
      </c>
    </row>
    <row r="1134" spans="53:136">
      <c r="BA1134" s="114" t="str">
        <f>$BB$78</f>
        <v>Select Equipment</v>
      </c>
      <c r="BB1134" s="436"/>
      <c r="BC1134" s="120"/>
      <c r="BD1134" s="468"/>
      <c r="BE1134" s="469"/>
      <c r="BF1134" s="440"/>
      <c r="CA1134" s="114" t="str">
        <f>$CB$78</f>
        <v>Select Equipment</v>
      </c>
      <c r="CB1134" s="436"/>
      <c r="CC1134" s="120"/>
      <c r="CD1134" s="468"/>
      <c r="CE1134" s="469"/>
      <c r="CF1134" s="440"/>
      <c r="DA1134" s="114" t="str">
        <f>$DB$78</f>
        <v>Select Equipment</v>
      </c>
      <c r="DB1134" s="436"/>
      <c r="DC1134" s="120"/>
      <c r="DD1134" s="468"/>
      <c r="DE1134" s="469"/>
      <c r="DF1134" s="440"/>
      <c r="EA1134" s="114" t="str">
        <f>$EB$80</f>
        <v>Select Equipment</v>
      </c>
      <c r="EB1134" s="436"/>
      <c r="EC1134" s="120"/>
      <c r="ED1134" s="468"/>
      <c r="EE1134" s="469"/>
      <c r="EF1134" s="440"/>
    </row>
    <row r="1135" spans="53:136">
      <c r="BA1135" s="114" t="str">
        <f>$BB$79</f>
        <v>Select Equipment</v>
      </c>
      <c r="BB1135" s="436" t="s">
        <v>374</v>
      </c>
      <c r="BC1135" s="120"/>
      <c r="BD1135" s="459" t="s">
        <v>564</v>
      </c>
      <c r="BE1135" s="469"/>
      <c r="BF1135" s="440" t="s">
        <v>569</v>
      </c>
      <c r="CA1135" s="114" t="str">
        <f>$CB$79</f>
        <v>Select Equipment</v>
      </c>
      <c r="CB1135" s="436" t="s">
        <v>374</v>
      </c>
      <c r="CC1135" s="120"/>
      <c r="CD1135" s="459" t="s">
        <v>564</v>
      </c>
      <c r="CE1135" s="469"/>
      <c r="CF1135" s="440" t="s">
        <v>569</v>
      </c>
      <c r="DA1135" s="114" t="str">
        <f>$DB$79</f>
        <v>Select Equipment</v>
      </c>
      <c r="DB1135" s="436" t="s">
        <v>374</v>
      </c>
      <c r="DC1135" s="120"/>
      <c r="DD1135" s="459" t="s">
        <v>564</v>
      </c>
      <c r="DE1135" s="469"/>
      <c r="DF1135" s="440" t="s">
        <v>569</v>
      </c>
      <c r="EA1135" s="114" t="str">
        <f>$EB$81</f>
        <v>Select Equipment</v>
      </c>
      <c r="EB1135" s="436" t="s">
        <v>374</v>
      </c>
      <c r="EC1135" s="120"/>
      <c r="ED1135" s="459" t="s">
        <v>564</v>
      </c>
      <c r="EE1135" s="469"/>
      <c r="EF1135" s="440" t="s">
        <v>569</v>
      </c>
    </row>
    <row r="1136" spans="53:136">
      <c r="BA1136" s="114" t="str">
        <f>$BB$80</f>
        <v>Select Equipment</v>
      </c>
      <c r="BB1136" s="436"/>
      <c r="BC1136" s="120"/>
      <c r="BD1136" s="472"/>
      <c r="BE1136" s="473"/>
      <c r="BF1136" s="440"/>
      <c r="CA1136" s="114" t="str">
        <f>$CB$80</f>
        <v>Select Equipment</v>
      </c>
      <c r="CB1136" s="436"/>
      <c r="CC1136" s="120"/>
      <c r="CD1136" s="472"/>
      <c r="CE1136" s="473"/>
      <c r="CF1136" s="440"/>
      <c r="DA1136" s="114" t="str">
        <f>$DB$80</f>
        <v>Select Equipment</v>
      </c>
      <c r="DB1136" s="436"/>
      <c r="DC1136" s="120"/>
      <c r="DD1136" s="472"/>
      <c r="DE1136" s="473"/>
      <c r="DF1136" s="440"/>
      <c r="EA1136" s="114" t="str">
        <f>$EB$82</f>
        <v>Select Equipment</v>
      </c>
      <c r="EB1136" s="436"/>
      <c r="EC1136" s="120"/>
      <c r="ED1136" s="472"/>
      <c r="EE1136" s="473"/>
      <c r="EF1136" s="440"/>
    </row>
    <row r="1137" spans="53:136">
      <c r="BA1137" s="114" t="str">
        <f>$BB$81</f>
        <v>Select Equipment</v>
      </c>
      <c r="BB1137" s="436" t="s">
        <v>580</v>
      </c>
      <c r="BC1137" s="120"/>
      <c r="BD1137" s="459" t="s">
        <v>564</v>
      </c>
      <c r="BE1137" s="473"/>
      <c r="BF1137" s="440" t="s">
        <v>569</v>
      </c>
      <c r="CA1137" s="114" t="str">
        <f>$CB$81</f>
        <v>Select Equipment</v>
      </c>
      <c r="CB1137" s="436" t="s">
        <v>580</v>
      </c>
      <c r="CC1137" s="120"/>
      <c r="CD1137" s="459" t="s">
        <v>564</v>
      </c>
      <c r="CE1137" s="473"/>
      <c r="CF1137" s="440" t="s">
        <v>569</v>
      </c>
      <c r="DA1137" s="114" t="str">
        <f>$DB$81</f>
        <v>Select Equipment</v>
      </c>
      <c r="DB1137" s="436" t="s">
        <v>580</v>
      </c>
      <c r="DC1137" s="120"/>
      <c r="DD1137" s="459" t="s">
        <v>564</v>
      </c>
      <c r="DE1137" s="473"/>
      <c r="DF1137" s="440" t="s">
        <v>569</v>
      </c>
      <c r="EA1137" s="114" t="str">
        <f>$EB$83</f>
        <v>Select Equipment</v>
      </c>
      <c r="EB1137" s="436" t="s">
        <v>580</v>
      </c>
      <c r="EC1137" s="120"/>
      <c r="ED1137" s="459" t="s">
        <v>564</v>
      </c>
      <c r="EE1137" s="473"/>
      <c r="EF1137" s="440" t="s">
        <v>569</v>
      </c>
    </row>
    <row r="1138" spans="53:136">
      <c r="BA1138" s="114" t="str">
        <f>$BB$82</f>
        <v>Select Equipment</v>
      </c>
      <c r="BB1138" s="476"/>
      <c r="BC1138" s="477"/>
      <c r="BD1138" s="478"/>
      <c r="BE1138" s="479"/>
      <c r="BF1138" s="458"/>
      <c r="CA1138" s="114" t="str">
        <f>$CB$82</f>
        <v>Select Equipment</v>
      </c>
      <c r="CB1138" s="476"/>
      <c r="CC1138" s="477"/>
      <c r="CD1138" s="478"/>
      <c r="CE1138" s="479"/>
      <c r="CF1138" s="458"/>
      <c r="DA1138" s="114" t="str">
        <f>$DB$82</f>
        <v>Select Equipment</v>
      </c>
      <c r="DB1138" s="476"/>
      <c r="DC1138" s="477"/>
      <c r="DD1138" s="478"/>
      <c r="DE1138" s="479"/>
      <c r="DF1138" s="458"/>
      <c r="EA1138" s="114" t="str">
        <f>$EB$84</f>
        <v>Select Equipment</v>
      </c>
      <c r="EB1138" s="476"/>
      <c r="EC1138" s="477"/>
      <c r="ED1138" s="478"/>
      <c r="EE1138" s="479"/>
      <c r="EF1138" s="458"/>
    </row>
    <row r="1139" spans="53:136">
      <c r="BA1139" s="114" t="str">
        <f>$BB$83</f>
        <v>Select Equipment</v>
      </c>
      <c r="BB1139" s="449" t="s">
        <v>473</v>
      </c>
      <c r="BC1139" s="467" t="s">
        <v>508</v>
      </c>
      <c r="BD1139" s="480"/>
      <c r="BE1139" s="481" t="s">
        <v>308</v>
      </c>
      <c r="BF1139" s="440"/>
      <c r="CA1139" s="114" t="str">
        <f>$CB$83</f>
        <v>Select Equipment</v>
      </c>
      <c r="CB1139" s="449" t="s">
        <v>473</v>
      </c>
      <c r="CC1139" s="467" t="s">
        <v>508</v>
      </c>
      <c r="CD1139" s="480"/>
      <c r="CE1139" s="481" t="s">
        <v>308</v>
      </c>
      <c r="CF1139" s="440"/>
      <c r="DA1139" s="114" t="str">
        <f>$DB$83</f>
        <v>Select Equipment</v>
      </c>
      <c r="DB1139" s="449" t="s">
        <v>473</v>
      </c>
      <c r="DC1139" s="467" t="s">
        <v>508</v>
      </c>
      <c r="DD1139" s="480"/>
      <c r="DE1139" s="481" t="s">
        <v>308</v>
      </c>
      <c r="DF1139" s="440"/>
      <c r="EA1139" s="114" t="str">
        <f>$EB$85</f>
        <v>Select Equipment</v>
      </c>
      <c r="EB1139" s="449" t="s">
        <v>473</v>
      </c>
      <c r="EC1139" s="467" t="s">
        <v>508</v>
      </c>
      <c r="ED1139" s="480"/>
      <c r="EE1139" s="481" t="s">
        <v>308</v>
      </c>
      <c r="EF1139" s="440"/>
    </row>
    <row r="1140" spans="53:136">
      <c r="BB1140" s="436"/>
      <c r="BC1140" s="483"/>
      <c r="BD1140" s="480"/>
      <c r="BE1140" s="484"/>
      <c r="BF1140" s="440"/>
      <c r="CB1140" s="436"/>
      <c r="CC1140" s="483"/>
      <c r="CD1140" s="480"/>
      <c r="CE1140" s="484"/>
      <c r="CF1140" s="440"/>
      <c r="DB1140" s="436"/>
      <c r="DC1140" s="483"/>
      <c r="DD1140" s="480"/>
      <c r="DE1140" s="484"/>
      <c r="DF1140" s="440"/>
      <c r="EB1140" s="436"/>
      <c r="EC1140" s="483"/>
      <c r="ED1140" s="480"/>
      <c r="EE1140" s="484"/>
      <c r="EF1140" s="440"/>
    </row>
    <row r="1141" spans="53:136">
      <c r="BB1141" s="436"/>
      <c r="BC1141" s="120"/>
      <c r="BD1141" s="223"/>
      <c r="BE1141" s="467"/>
      <c r="BF1141" s="440"/>
      <c r="CB1141" s="436"/>
      <c r="CC1141" s="120"/>
      <c r="CD1141" s="223"/>
      <c r="CE1141" s="467"/>
      <c r="CF1141" s="440"/>
      <c r="DB1141" s="436"/>
      <c r="DC1141" s="120"/>
      <c r="DD1141" s="223"/>
      <c r="DE1141" s="467"/>
      <c r="DF1141" s="440"/>
      <c r="EB1141" s="436"/>
      <c r="EC1141" s="120"/>
      <c r="ED1141" s="223"/>
      <c r="EE1141" s="467"/>
      <c r="EF1141" s="440"/>
    </row>
    <row r="1142" spans="53:136">
      <c r="BB1142" s="436"/>
      <c r="BC1142" s="120"/>
      <c r="BD1142" s="466"/>
      <c r="BE1142" s="467"/>
      <c r="BF1142" s="440"/>
      <c r="CB1142" s="436"/>
      <c r="CC1142" s="120"/>
      <c r="CD1142" s="466"/>
      <c r="CE1142" s="467"/>
      <c r="CF1142" s="440"/>
      <c r="DB1142" s="436"/>
      <c r="DC1142" s="120"/>
      <c r="DD1142" s="466"/>
      <c r="DE1142" s="467"/>
      <c r="DF1142" s="440"/>
      <c r="EB1142" s="436"/>
      <c r="EC1142" s="120"/>
      <c r="ED1142" s="466"/>
      <c r="EE1142" s="467"/>
      <c r="EF1142" s="440"/>
    </row>
    <row r="1143" spans="53:136">
      <c r="BB1143" s="436"/>
      <c r="BC1143" s="120"/>
      <c r="BD1143" s="223"/>
      <c r="BE1143" s="467"/>
      <c r="BF1143" s="440"/>
      <c r="CB1143" s="436"/>
      <c r="CC1143" s="120"/>
      <c r="CD1143" s="223"/>
      <c r="CE1143" s="467"/>
      <c r="CF1143" s="440"/>
      <c r="DB1143" s="436"/>
      <c r="DC1143" s="120"/>
      <c r="DD1143" s="223"/>
      <c r="DE1143" s="467"/>
      <c r="DF1143" s="440"/>
      <c r="EB1143" s="436"/>
      <c r="EC1143" s="120"/>
      <c r="ED1143" s="223"/>
      <c r="EE1143" s="467"/>
      <c r="EF1143" s="440"/>
    </row>
    <row r="1144" spans="53:136">
      <c r="BB1144" s="436"/>
      <c r="BC1144" s="120"/>
      <c r="BD1144" s="223"/>
      <c r="BE1144" s="467"/>
      <c r="BF1144" s="440"/>
      <c r="CB1144" s="436"/>
      <c r="CC1144" s="120"/>
      <c r="CD1144" s="223"/>
      <c r="CE1144" s="467"/>
      <c r="CF1144" s="440"/>
      <c r="DB1144" s="436"/>
      <c r="DC1144" s="120"/>
      <c r="DD1144" s="223"/>
      <c r="DE1144" s="467"/>
      <c r="DF1144" s="440"/>
      <c r="EB1144" s="436"/>
      <c r="EC1144" s="120"/>
      <c r="ED1144" s="223"/>
      <c r="EE1144" s="467"/>
      <c r="EF1144" s="440"/>
    </row>
    <row r="1145" spans="53:136">
      <c r="BB1145" s="436"/>
      <c r="BC1145" s="120"/>
      <c r="BD1145" s="471"/>
      <c r="BE1145" s="467"/>
      <c r="BF1145" s="440"/>
      <c r="CB1145" s="436"/>
      <c r="CC1145" s="120"/>
      <c r="CD1145" s="471"/>
      <c r="CE1145" s="467"/>
      <c r="CF1145" s="440"/>
      <c r="DB1145" s="436"/>
      <c r="DC1145" s="120"/>
      <c r="DD1145" s="471"/>
      <c r="DE1145" s="467"/>
      <c r="DF1145" s="440"/>
      <c r="EB1145" s="436"/>
      <c r="EC1145" s="120"/>
      <c r="ED1145" s="471"/>
      <c r="EE1145" s="467"/>
      <c r="EF1145" s="440"/>
    </row>
    <row r="1146" spans="53:136">
      <c r="BB1146" s="436"/>
      <c r="BC1146" s="120"/>
      <c r="BD1146" s="223"/>
      <c r="BE1146" s="467"/>
      <c r="BF1146" s="440"/>
      <c r="CB1146" s="436"/>
      <c r="CC1146" s="120"/>
      <c r="CD1146" s="223"/>
      <c r="CE1146" s="467"/>
      <c r="CF1146" s="440"/>
      <c r="DB1146" s="436"/>
      <c r="DC1146" s="120"/>
      <c r="DD1146" s="223"/>
      <c r="DE1146" s="467"/>
      <c r="DF1146" s="440"/>
      <c r="EB1146" s="436"/>
      <c r="EC1146" s="120"/>
      <c r="ED1146" s="223"/>
      <c r="EE1146" s="467"/>
      <c r="EF1146" s="440"/>
    </row>
    <row r="1147" spans="53:136">
      <c r="BB1147" s="436"/>
      <c r="BC1147" s="120"/>
      <c r="BD1147" s="475"/>
      <c r="BE1147" s="467"/>
      <c r="BF1147" s="440"/>
      <c r="CB1147" s="436"/>
      <c r="CC1147" s="120"/>
      <c r="CD1147" s="475"/>
      <c r="CE1147" s="467"/>
      <c r="CF1147" s="440"/>
      <c r="DB1147" s="436"/>
      <c r="DC1147" s="120"/>
      <c r="DD1147" s="475"/>
      <c r="DE1147" s="467"/>
      <c r="DF1147" s="440"/>
      <c r="EB1147" s="436"/>
      <c r="EC1147" s="120"/>
      <c r="ED1147" s="475"/>
      <c r="EE1147" s="467"/>
      <c r="EF1147" s="440"/>
    </row>
    <row r="1148" spans="53:136">
      <c r="BB1148" s="436"/>
      <c r="BC1148" s="120"/>
      <c r="BD1148" s="223"/>
      <c r="BE1148" s="467"/>
      <c r="BF1148" s="440"/>
      <c r="CB1148" s="436"/>
      <c r="CC1148" s="120"/>
      <c r="CD1148" s="223"/>
      <c r="CE1148" s="467"/>
      <c r="CF1148" s="440"/>
      <c r="DB1148" s="436"/>
      <c r="DC1148" s="120"/>
      <c r="DD1148" s="223"/>
      <c r="DE1148" s="467"/>
      <c r="DF1148" s="440"/>
      <c r="EB1148" s="436"/>
      <c r="EC1148" s="120"/>
      <c r="ED1148" s="223"/>
      <c r="EE1148" s="467"/>
      <c r="EF1148" s="440"/>
    </row>
    <row r="1149" spans="53:136">
      <c r="BB1149" s="436"/>
      <c r="BC1149" s="120"/>
      <c r="BD1149" s="223"/>
      <c r="BE1149" s="467"/>
      <c r="BF1149" s="440"/>
      <c r="CB1149" s="436"/>
      <c r="CC1149" s="120"/>
      <c r="CD1149" s="223"/>
      <c r="CE1149" s="467"/>
      <c r="CF1149" s="440"/>
      <c r="DB1149" s="436"/>
      <c r="DC1149" s="120"/>
      <c r="DD1149" s="223"/>
      <c r="DE1149" s="467"/>
      <c r="DF1149" s="440"/>
      <c r="EB1149" s="436"/>
      <c r="EC1149" s="120"/>
      <c r="ED1149" s="223"/>
      <c r="EE1149" s="467"/>
      <c r="EF1149" s="440"/>
    </row>
    <row r="1150" spans="53:136">
      <c r="BB1150" s="436"/>
      <c r="BC1150" s="120"/>
      <c r="BD1150" s="223"/>
      <c r="BE1150" s="467"/>
      <c r="BF1150" s="440"/>
      <c r="CB1150" s="436"/>
      <c r="CC1150" s="120"/>
      <c r="CD1150" s="223"/>
      <c r="CE1150" s="467"/>
      <c r="CF1150" s="440"/>
      <c r="DB1150" s="436"/>
      <c r="DC1150" s="120"/>
      <c r="DD1150" s="223"/>
      <c r="DE1150" s="467"/>
      <c r="DF1150" s="440"/>
      <c r="EB1150" s="436"/>
      <c r="EC1150" s="120"/>
      <c r="ED1150" s="223"/>
      <c r="EE1150" s="467"/>
      <c r="EF1150" s="440"/>
    </row>
    <row r="1151" spans="53:136">
      <c r="BB1151" s="436"/>
      <c r="BC1151" s="120"/>
      <c r="BD1151" s="223"/>
      <c r="BE1151" s="467"/>
      <c r="BF1151" s="440"/>
      <c r="CB1151" s="436"/>
      <c r="CC1151" s="120"/>
      <c r="CD1151" s="223"/>
      <c r="CE1151" s="467"/>
      <c r="CF1151" s="440"/>
      <c r="DB1151" s="436"/>
      <c r="DC1151" s="120"/>
      <c r="DD1151" s="223"/>
      <c r="DE1151" s="467"/>
      <c r="DF1151" s="440"/>
      <c r="EB1151" s="436"/>
      <c r="EC1151" s="120"/>
      <c r="ED1151" s="223"/>
      <c r="EE1151" s="467"/>
      <c r="EF1151" s="440"/>
    </row>
    <row r="1152" spans="53:136">
      <c r="BB1152" s="436"/>
      <c r="BC1152" s="120"/>
      <c r="BD1152" s="120"/>
      <c r="BE1152" s="467"/>
      <c r="BF1152" s="440"/>
      <c r="CB1152" s="436"/>
      <c r="CC1152" s="120"/>
      <c r="CD1152" s="120"/>
      <c r="CE1152" s="467"/>
      <c r="CF1152" s="440"/>
      <c r="DB1152" s="436"/>
      <c r="DC1152" s="120"/>
      <c r="DD1152" s="120"/>
      <c r="DE1152" s="467"/>
      <c r="DF1152" s="440"/>
      <c r="EB1152" s="436"/>
      <c r="EC1152" s="120"/>
      <c r="ED1152" s="120"/>
      <c r="EE1152" s="467"/>
      <c r="EF1152" s="440"/>
    </row>
    <row r="1153" spans="54:136">
      <c r="BB1153" s="456"/>
      <c r="BC1153" s="457"/>
      <c r="BD1153" s="457"/>
      <c r="BE1153" s="477"/>
      <c r="BF1153" s="458"/>
      <c r="CB1153" s="456"/>
      <c r="CC1153" s="457"/>
      <c r="CD1153" s="457"/>
      <c r="CE1153" s="477"/>
      <c r="CF1153" s="458"/>
      <c r="DB1153" s="456"/>
      <c r="DC1153" s="457"/>
      <c r="DD1153" s="457"/>
      <c r="DE1153" s="477"/>
      <c r="DF1153" s="458"/>
      <c r="EB1153" s="456"/>
      <c r="EC1153" s="457"/>
      <c r="ED1153" s="457"/>
      <c r="EE1153" s="477"/>
      <c r="EF1153" s="458"/>
    </row>
    <row r="1154" spans="54:136">
      <c r="BB1154" s="449" t="s">
        <v>474</v>
      </c>
      <c r="BC1154" s="120"/>
      <c r="BD1154" s="120" t="s">
        <v>1</v>
      </c>
      <c r="BE1154" s="310" t="s">
        <v>307</v>
      </c>
      <c r="BF1154" s="440"/>
      <c r="CB1154" s="449" t="s">
        <v>474</v>
      </c>
      <c r="CC1154" s="120"/>
      <c r="CD1154" s="120" t="s">
        <v>1</v>
      </c>
      <c r="CE1154" s="310" t="s">
        <v>307</v>
      </c>
      <c r="CF1154" s="440"/>
      <c r="DB1154" s="449" t="s">
        <v>474</v>
      </c>
      <c r="DC1154" s="120"/>
      <c r="DD1154" s="120" t="s">
        <v>1</v>
      </c>
      <c r="DE1154" s="310" t="s">
        <v>307</v>
      </c>
      <c r="DF1154" s="440"/>
      <c r="EB1154" s="449" t="s">
        <v>474</v>
      </c>
      <c r="EC1154" s="120"/>
      <c r="ED1154" s="120" t="s">
        <v>1</v>
      </c>
      <c r="EE1154" s="310" t="s">
        <v>307</v>
      </c>
      <c r="EF1154" s="440"/>
    </row>
    <row r="1155" spans="54:136">
      <c r="BB1155" s="436"/>
      <c r="BC1155" s="223"/>
      <c r="BD1155" s="480"/>
      <c r="BE1155" s="484"/>
      <c r="BF1155" s="440"/>
      <c r="CB1155" s="436"/>
      <c r="CC1155" s="223"/>
      <c r="CD1155" s="480"/>
      <c r="CE1155" s="484"/>
      <c r="CF1155" s="440"/>
      <c r="DB1155" s="436"/>
      <c r="DC1155" s="223"/>
      <c r="DD1155" s="480"/>
      <c r="DE1155" s="484"/>
      <c r="DF1155" s="440"/>
      <c r="EB1155" s="436"/>
      <c r="EC1155" s="223"/>
      <c r="ED1155" s="480"/>
      <c r="EE1155" s="484"/>
      <c r="EF1155" s="440"/>
    </row>
    <row r="1156" spans="54:136">
      <c r="BB1156" s="436"/>
      <c r="BC1156" s="120"/>
      <c r="BD1156" s="120"/>
      <c r="BE1156" s="467"/>
      <c r="BF1156" s="440"/>
      <c r="CB1156" s="436"/>
      <c r="CC1156" s="120"/>
      <c r="CD1156" s="120"/>
      <c r="CE1156" s="467"/>
      <c r="CF1156" s="440"/>
      <c r="DB1156" s="436"/>
      <c r="DC1156" s="120"/>
      <c r="DD1156" s="120"/>
      <c r="DE1156" s="467"/>
      <c r="DF1156" s="440"/>
      <c r="EB1156" s="436"/>
      <c r="EC1156" s="120"/>
      <c r="ED1156" s="120"/>
      <c r="EE1156" s="467"/>
      <c r="EF1156" s="440"/>
    </row>
    <row r="1157" spans="54:136">
      <c r="BB1157" s="436"/>
      <c r="BC1157" s="120"/>
      <c r="BD1157" s="120"/>
      <c r="BE1157" s="467"/>
      <c r="BF1157" s="440"/>
      <c r="CB1157" s="436"/>
      <c r="CC1157" s="120"/>
      <c r="CD1157" s="120"/>
      <c r="CE1157" s="467"/>
      <c r="CF1157" s="440"/>
      <c r="DB1157" s="436"/>
      <c r="DC1157" s="120"/>
      <c r="DD1157" s="120"/>
      <c r="DE1157" s="467"/>
      <c r="DF1157" s="440"/>
      <c r="EB1157" s="436"/>
      <c r="EC1157" s="120"/>
      <c r="ED1157" s="120"/>
      <c r="EE1157" s="467"/>
      <c r="EF1157" s="440"/>
    </row>
    <row r="1158" spans="54:136">
      <c r="BB1158" s="436"/>
      <c r="BC1158" s="120"/>
      <c r="BD1158" s="120"/>
      <c r="BE1158" s="467"/>
      <c r="BF1158" s="440"/>
      <c r="CB1158" s="436"/>
      <c r="CC1158" s="120"/>
      <c r="CD1158" s="120"/>
      <c r="CE1158" s="467"/>
      <c r="CF1158" s="440"/>
      <c r="DB1158" s="436"/>
      <c r="DC1158" s="120"/>
      <c r="DD1158" s="120"/>
      <c r="DE1158" s="467"/>
      <c r="DF1158" s="440"/>
      <c r="EB1158" s="436"/>
      <c r="EC1158" s="120"/>
      <c r="ED1158" s="120"/>
      <c r="EE1158" s="467"/>
      <c r="EF1158" s="440"/>
    </row>
    <row r="1159" spans="54:136">
      <c r="BB1159" s="436"/>
      <c r="BC1159" s="120"/>
      <c r="BD1159" s="120"/>
      <c r="BE1159" s="467"/>
      <c r="BF1159" s="440"/>
      <c r="CB1159" s="436"/>
      <c r="CC1159" s="120"/>
      <c r="CD1159" s="120"/>
      <c r="CE1159" s="467"/>
      <c r="CF1159" s="440"/>
      <c r="DB1159" s="436"/>
      <c r="DC1159" s="120"/>
      <c r="DD1159" s="120"/>
      <c r="DE1159" s="467"/>
      <c r="DF1159" s="440"/>
      <c r="EB1159" s="436"/>
      <c r="EC1159" s="120"/>
      <c r="ED1159" s="120"/>
      <c r="EE1159" s="467"/>
      <c r="EF1159" s="440"/>
    </row>
    <row r="1160" spans="54:136">
      <c r="BB1160" s="436"/>
      <c r="BC1160" s="120"/>
      <c r="BD1160" s="120"/>
      <c r="BE1160" s="467"/>
      <c r="BF1160" s="440"/>
      <c r="CB1160" s="436"/>
      <c r="CC1160" s="120"/>
      <c r="CD1160" s="120"/>
      <c r="CE1160" s="467"/>
      <c r="CF1160" s="440"/>
      <c r="DB1160" s="436"/>
      <c r="DC1160" s="120"/>
      <c r="DD1160" s="120"/>
      <c r="DE1160" s="467"/>
      <c r="DF1160" s="440"/>
      <c r="EB1160" s="436"/>
      <c r="EC1160" s="120"/>
      <c r="ED1160" s="120"/>
      <c r="EE1160" s="467"/>
      <c r="EF1160" s="440"/>
    </row>
    <row r="1161" spans="54:136">
      <c r="BB1161" s="436"/>
      <c r="BC1161" s="120"/>
      <c r="BD1161" s="120"/>
      <c r="BE1161" s="467"/>
      <c r="BF1161" s="440"/>
      <c r="CB1161" s="436"/>
      <c r="CC1161" s="120"/>
      <c r="CD1161" s="120"/>
      <c r="CE1161" s="467"/>
      <c r="CF1161" s="440"/>
      <c r="DB1161" s="436"/>
      <c r="DC1161" s="120"/>
      <c r="DD1161" s="120"/>
      <c r="DE1161" s="467"/>
      <c r="DF1161" s="440"/>
      <c r="EB1161" s="436"/>
      <c r="EC1161" s="120"/>
      <c r="ED1161" s="120"/>
      <c r="EE1161" s="467"/>
      <c r="EF1161" s="440"/>
    </row>
    <row r="1162" spans="54:136">
      <c r="BB1162" s="436"/>
      <c r="BC1162" s="120"/>
      <c r="BD1162" s="120"/>
      <c r="BE1162" s="467"/>
      <c r="BF1162" s="440"/>
      <c r="CB1162" s="436"/>
      <c r="CC1162" s="120"/>
      <c r="CD1162" s="120"/>
      <c r="CE1162" s="467"/>
      <c r="CF1162" s="440"/>
      <c r="DB1162" s="436"/>
      <c r="DC1162" s="120"/>
      <c r="DD1162" s="120"/>
      <c r="DE1162" s="467"/>
      <c r="DF1162" s="440"/>
      <c r="EB1162" s="436"/>
      <c r="EC1162" s="120"/>
      <c r="ED1162" s="120"/>
      <c r="EE1162" s="467"/>
      <c r="EF1162" s="440"/>
    </row>
    <row r="1163" spans="54:136">
      <c r="BB1163" s="436"/>
      <c r="BC1163" s="120"/>
      <c r="BD1163" s="120"/>
      <c r="BE1163" s="467"/>
      <c r="BF1163" s="440"/>
      <c r="CB1163" s="436"/>
      <c r="CC1163" s="120"/>
      <c r="CD1163" s="120"/>
      <c r="CE1163" s="467"/>
      <c r="CF1163" s="440"/>
      <c r="DB1163" s="436"/>
      <c r="DC1163" s="120"/>
      <c r="DD1163" s="120"/>
      <c r="DE1163" s="467"/>
      <c r="DF1163" s="440"/>
      <c r="EB1163" s="436"/>
      <c r="EC1163" s="120"/>
      <c r="ED1163" s="120"/>
      <c r="EE1163" s="467"/>
      <c r="EF1163" s="440"/>
    </row>
    <row r="1164" spans="54:136">
      <c r="BB1164" s="436"/>
      <c r="BC1164" s="120"/>
      <c r="BD1164" s="120"/>
      <c r="BE1164" s="467"/>
      <c r="BF1164" s="440"/>
      <c r="CB1164" s="436"/>
      <c r="CC1164" s="120"/>
      <c r="CD1164" s="120"/>
      <c r="CE1164" s="467"/>
      <c r="CF1164" s="440"/>
      <c r="DB1164" s="436"/>
      <c r="DC1164" s="120"/>
      <c r="DD1164" s="120"/>
      <c r="DE1164" s="467"/>
      <c r="DF1164" s="440"/>
      <c r="EB1164" s="436"/>
      <c r="EC1164" s="120"/>
      <c r="ED1164" s="120"/>
      <c r="EE1164" s="467"/>
      <c r="EF1164" s="440"/>
    </row>
    <row r="1165" spans="54:136">
      <c r="BB1165" s="436"/>
      <c r="BC1165" s="120"/>
      <c r="BD1165" s="120"/>
      <c r="BE1165" s="467"/>
      <c r="BF1165" s="440"/>
      <c r="CB1165" s="436"/>
      <c r="CC1165" s="120"/>
      <c r="CD1165" s="120"/>
      <c r="CE1165" s="467"/>
      <c r="CF1165" s="440"/>
      <c r="DB1165" s="436"/>
      <c r="DC1165" s="120"/>
      <c r="DD1165" s="120"/>
      <c r="DE1165" s="467"/>
      <c r="DF1165" s="440"/>
      <c r="EB1165" s="436"/>
      <c r="EC1165" s="120"/>
      <c r="ED1165" s="120"/>
      <c r="EE1165" s="467"/>
      <c r="EF1165" s="440"/>
    </row>
    <row r="1166" spans="54:136">
      <c r="BB1166" s="436"/>
      <c r="BC1166" s="120"/>
      <c r="BD1166" s="120"/>
      <c r="BE1166" s="467"/>
      <c r="BF1166" s="440"/>
      <c r="CB1166" s="436"/>
      <c r="CC1166" s="120"/>
      <c r="CD1166" s="120"/>
      <c r="CE1166" s="467"/>
      <c r="CF1166" s="440"/>
      <c r="DB1166" s="436"/>
      <c r="DC1166" s="120"/>
      <c r="DD1166" s="120"/>
      <c r="DE1166" s="467"/>
      <c r="DF1166" s="440"/>
      <c r="EB1166" s="436"/>
      <c r="EC1166" s="120"/>
      <c r="ED1166" s="120"/>
      <c r="EE1166" s="467"/>
      <c r="EF1166" s="440"/>
    </row>
    <row r="1167" spans="54:136">
      <c r="BB1167" s="456"/>
      <c r="BC1167" s="457"/>
      <c r="BD1167" s="457"/>
      <c r="BE1167" s="477"/>
      <c r="BF1167" s="458"/>
      <c r="CB1167" s="456"/>
      <c r="CC1167" s="457"/>
      <c r="CD1167" s="457"/>
      <c r="CE1167" s="477"/>
      <c r="CF1167" s="458"/>
      <c r="DB1167" s="456"/>
      <c r="DC1167" s="457"/>
      <c r="DD1167" s="457"/>
      <c r="DE1167" s="477"/>
      <c r="DF1167" s="458"/>
      <c r="EB1167" s="456"/>
      <c r="EC1167" s="457"/>
      <c r="ED1167" s="457"/>
      <c r="EE1167" s="477"/>
      <c r="EF1167" s="458"/>
    </row>
    <row r="1168" spans="54:136">
      <c r="BB1168" s="456"/>
      <c r="BC1168" s="457"/>
      <c r="BD1168" s="457"/>
      <c r="BE1168" s="457"/>
      <c r="BF1168" s="458"/>
      <c r="CB1168" s="456"/>
      <c r="CC1168" s="457"/>
      <c r="CD1168" s="457"/>
      <c r="CE1168" s="457"/>
      <c r="CF1168" s="458"/>
      <c r="DB1168" s="456"/>
      <c r="DC1168" s="457"/>
      <c r="DD1168" s="457"/>
      <c r="DE1168" s="457"/>
      <c r="DF1168" s="458"/>
      <c r="EB1168" s="456"/>
      <c r="EC1168" s="457"/>
      <c r="ED1168" s="457"/>
      <c r="EE1168" s="457"/>
      <c r="EF1168" s="458"/>
    </row>
    <row r="1169" spans="54:136">
      <c r="BB1169" s="449" t="s">
        <v>475</v>
      </c>
      <c r="BC1169" s="120"/>
      <c r="BD1169" s="120"/>
      <c r="BE1169" s="120"/>
      <c r="BF1169" s="440"/>
      <c r="CB1169" s="449" t="s">
        <v>475</v>
      </c>
      <c r="CC1169" s="120"/>
      <c r="CD1169" s="120"/>
      <c r="CE1169" s="120"/>
      <c r="CF1169" s="440"/>
      <c r="DB1169" s="449" t="s">
        <v>475</v>
      </c>
      <c r="DC1169" s="120"/>
      <c r="DD1169" s="120"/>
      <c r="DE1169" s="120"/>
      <c r="DF1169" s="440"/>
      <c r="EB1169" s="449" t="s">
        <v>475</v>
      </c>
      <c r="EC1169" s="120"/>
      <c r="ED1169" s="120"/>
      <c r="EE1169" s="120"/>
      <c r="EF1169" s="440"/>
    </row>
    <row r="1170" spans="54:136">
      <c r="BB1170" s="436" t="s">
        <v>509</v>
      </c>
      <c r="BC1170" s="120"/>
      <c r="BD1170" s="120"/>
      <c r="BE1170" s="120"/>
      <c r="BF1170" s="440"/>
      <c r="CB1170" s="436" t="s">
        <v>509</v>
      </c>
      <c r="CC1170" s="120"/>
      <c r="CD1170" s="120"/>
      <c r="CE1170" s="120"/>
      <c r="CF1170" s="440"/>
      <c r="DB1170" s="436" t="s">
        <v>509</v>
      </c>
      <c r="DC1170" s="120"/>
      <c r="DD1170" s="120"/>
      <c r="DE1170" s="120"/>
      <c r="DF1170" s="440"/>
      <c r="EB1170" s="436" t="s">
        <v>509</v>
      </c>
      <c r="EC1170" s="120"/>
      <c r="ED1170" s="120"/>
      <c r="EE1170" s="120"/>
      <c r="EF1170" s="440"/>
    </row>
    <row r="1171" spans="54:136">
      <c r="BB1171" s="436" t="s">
        <v>510</v>
      </c>
      <c r="BC1171" s="120"/>
      <c r="BD1171" s="120"/>
      <c r="BE1171" s="120"/>
      <c r="BF1171" s="440"/>
      <c r="CB1171" s="436" t="s">
        <v>510</v>
      </c>
      <c r="CC1171" s="120"/>
      <c r="CD1171" s="120"/>
      <c r="CE1171" s="120"/>
      <c r="CF1171" s="440"/>
      <c r="DB1171" s="436" t="s">
        <v>510</v>
      </c>
      <c r="DC1171" s="120"/>
      <c r="DD1171" s="120"/>
      <c r="DE1171" s="120"/>
      <c r="DF1171" s="440"/>
      <c r="EB1171" s="436" t="s">
        <v>510</v>
      </c>
      <c r="EC1171" s="120"/>
      <c r="ED1171" s="120"/>
      <c r="EE1171" s="120"/>
      <c r="EF1171" s="440"/>
    </row>
    <row r="1172" spans="54:136">
      <c r="BB1172" s="436"/>
      <c r="BC1172" s="120"/>
      <c r="BD1172" s="120"/>
      <c r="BE1172" s="120"/>
      <c r="BF1172" s="440"/>
      <c r="CB1172" s="436"/>
      <c r="CC1172" s="120"/>
      <c r="CD1172" s="120"/>
      <c r="CE1172" s="120"/>
      <c r="CF1172" s="440"/>
      <c r="DB1172" s="436"/>
      <c r="DC1172" s="120"/>
      <c r="DD1172" s="120"/>
      <c r="DE1172" s="120"/>
      <c r="DF1172" s="440"/>
      <c r="EB1172" s="436"/>
      <c r="EC1172" s="120"/>
      <c r="ED1172" s="120"/>
      <c r="EE1172" s="120"/>
      <c r="EF1172" s="440"/>
    </row>
    <row r="1173" spans="54:136">
      <c r="BB1173" s="436"/>
      <c r="BC1173" s="120"/>
      <c r="BD1173" s="120"/>
      <c r="BE1173" s="120"/>
      <c r="BF1173" s="440"/>
      <c r="CB1173" s="436"/>
      <c r="CC1173" s="120"/>
      <c r="CD1173" s="120"/>
      <c r="CE1173" s="120"/>
      <c r="CF1173" s="440"/>
      <c r="DB1173" s="436"/>
      <c r="DC1173" s="120"/>
      <c r="DD1173" s="120"/>
      <c r="DE1173" s="120"/>
      <c r="DF1173" s="440"/>
      <c r="EB1173" s="436"/>
      <c r="EC1173" s="120"/>
      <c r="ED1173" s="120"/>
      <c r="EE1173" s="120"/>
      <c r="EF1173" s="440"/>
    </row>
    <row r="1174" spans="54:136">
      <c r="BB1174" s="436"/>
      <c r="BC1174" s="120"/>
      <c r="BD1174" s="120"/>
      <c r="BE1174" s="120"/>
      <c r="BF1174" s="440"/>
      <c r="CB1174" s="436"/>
      <c r="CC1174" s="120"/>
      <c r="CD1174" s="120"/>
      <c r="CE1174" s="120"/>
      <c r="CF1174" s="440"/>
      <c r="DB1174" s="436"/>
      <c r="DC1174" s="120"/>
      <c r="DD1174" s="120"/>
      <c r="DE1174" s="120"/>
      <c r="DF1174" s="440"/>
      <c r="EB1174" s="436"/>
      <c r="EC1174" s="120"/>
      <c r="ED1174" s="120"/>
      <c r="EE1174" s="120"/>
      <c r="EF1174" s="440"/>
    </row>
    <row r="1175" spans="54:136">
      <c r="BB1175" s="436"/>
      <c r="BC1175" s="120"/>
      <c r="BD1175" s="120"/>
      <c r="BE1175" s="120"/>
      <c r="BF1175" s="440"/>
      <c r="CB1175" s="436"/>
      <c r="CC1175" s="120"/>
      <c r="CD1175" s="120"/>
      <c r="CE1175" s="120"/>
      <c r="CF1175" s="440"/>
      <c r="DB1175" s="436"/>
      <c r="DC1175" s="120"/>
      <c r="DD1175" s="120"/>
      <c r="DE1175" s="120"/>
      <c r="DF1175" s="440"/>
      <c r="EB1175" s="436"/>
      <c r="EC1175" s="120"/>
      <c r="ED1175" s="120"/>
      <c r="EE1175" s="120"/>
      <c r="EF1175" s="440"/>
    </row>
    <row r="1176" spans="54:136">
      <c r="BB1176" s="436" t="s">
        <v>511</v>
      </c>
      <c r="BC1176" s="120">
        <v>0</v>
      </c>
      <c r="BD1176" s="120" t="s">
        <v>512</v>
      </c>
      <c r="BE1176" s="120"/>
      <c r="BF1176" s="440"/>
      <c r="CB1176" s="436" t="s">
        <v>511</v>
      </c>
      <c r="CC1176" s="120">
        <v>0</v>
      </c>
      <c r="CD1176" s="120" t="s">
        <v>512</v>
      </c>
      <c r="CE1176" s="120"/>
      <c r="CF1176" s="440"/>
      <c r="DB1176" s="436" t="s">
        <v>511</v>
      </c>
      <c r="DC1176" s="120">
        <v>0</v>
      </c>
      <c r="DD1176" s="120" t="s">
        <v>512</v>
      </c>
      <c r="DE1176" s="120"/>
      <c r="DF1176" s="440"/>
      <c r="EB1176" s="436" t="s">
        <v>511</v>
      </c>
      <c r="EC1176" s="120">
        <v>0</v>
      </c>
      <c r="ED1176" s="120" t="s">
        <v>512</v>
      </c>
      <c r="EE1176" s="120"/>
      <c r="EF1176" s="440"/>
    </row>
    <row r="1177" spans="54:136">
      <c r="BB1177" s="436" t="s">
        <v>513</v>
      </c>
      <c r="BC1177" s="120">
        <v>0</v>
      </c>
      <c r="BD1177" s="120" t="s">
        <v>512</v>
      </c>
      <c r="BE1177" s="120"/>
      <c r="BF1177" s="440"/>
      <c r="CB1177" s="436" t="s">
        <v>513</v>
      </c>
      <c r="CC1177" s="120">
        <v>0</v>
      </c>
      <c r="CD1177" s="120" t="s">
        <v>512</v>
      </c>
      <c r="CE1177" s="120"/>
      <c r="CF1177" s="440"/>
      <c r="DB1177" s="436" t="s">
        <v>513</v>
      </c>
      <c r="DC1177" s="120">
        <v>0</v>
      </c>
      <c r="DD1177" s="120" t="s">
        <v>512</v>
      </c>
      <c r="DE1177" s="120"/>
      <c r="DF1177" s="440"/>
      <c r="EB1177" s="436" t="s">
        <v>513</v>
      </c>
      <c r="EC1177" s="120">
        <v>0</v>
      </c>
      <c r="ED1177" s="120" t="s">
        <v>512</v>
      </c>
      <c r="EE1177" s="120"/>
      <c r="EF1177" s="440"/>
    </row>
    <row r="1178" spans="54:136">
      <c r="BB1178" s="456"/>
      <c r="BC1178" s="457"/>
      <c r="BD1178" s="457"/>
      <c r="BE1178" s="457"/>
      <c r="BF1178" s="458"/>
      <c r="CB1178" s="456"/>
      <c r="CC1178" s="457"/>
      <c r="CD1178" s="457"/>
      <c r="CE1178" s="457"/>
      <c r="CF1178" s="458"/>
      <c r="DB1178" s="456"/>
      <c r="DC1178" s="457"/>
      <c r="DD1178" s="457"/>
      <c r="DE1178" s="457"/>
      <c r="DF1178" s="458"/>
      <c r="EB1178" s="456"/>
      <c r="EC1178" s="457"/>
      <c r="ED1178" s="457"/>
      <c r="EE1178" s="457"/>
      <c r="EF1178" s="458"/>
    </row>
    <row r="1179" spans="54:136">
      <c r="BB1179" s="449" t="s">
        <v>461</v>
      </c>
      <c r="BC1179" s="120"/>
      <c r="BD1179" s="120"/>
      <c r="BE1179" s="120"/>
      <c r="BF1179" s="440"/>
      <c r="CB1179" s="449" t="s">
        <v>461</v>
      </c>
      <c r="CC1179" s="120"/>
      <c r="CD1179" s="120"/>
      <c r="CE1179" s="120"/>
      <c r="CF1179" s="440"/>
      <c r="DB1179" s="449" t="s">
        <v>461</v>
      </c>
      <c r="DC1179" s="120"/>
      <c r="DD1179" s="120"/>
      <c r="DE1179" s="120"/>
      <c r="DF1179" s="440"/>
      <c r="EB1179" s="449" t="s">
        <v>461</v>
      </c>
      <c r="EC1179" s="120"/>
      <c r="ED1179" s="120"/>
      <c r="EE1179" s="120"/>
      <c r="EF1179" s="440"/>
    </row>
    <row r="1180" spans="54:136">
      <c r="BB1180" s="436" t="s">
        <v>514</v>
      </c>
      <c r="BC1180" s="120">
        <f>VLOOKUP(BB1108,'Unit Ops'!$B$140:$K$209,10,FALSE)</f>
        <v>12</v>
      </c>
      <c r="BD1180" s="120" t="s">
        <v>515</v>
      </c>
      <c r="BE1180" s="120"/>
      <c r="BF1180" s="440"/>
      <c r="CB1180" s="436" t="s">
        <v>514</v>
      </c>
      <c r="CC1180" s="120">
        <f>VLOOKUP(CB1108,'Unit Ops'!$B$140:$K$209,10,FALSE)</f>
        <v>12</v>
      </c>
      <c r="CD1180" s="120" t="s">
        <v>515</v>
      </c>
      <c r="CE1180" s="120"/>
      <c r="CF1180" s="440"/>
      <c r="DB1180" s="436" t="s">
        <v>514</v>
      </c>
      <c r="DC1180" s="120">
        <f>VLOOKUP(DB1108,'Unit Ops'!$B$140:$K$209,10,FALSE)</f>
        <v>6</v>
      </c>
      <c r="DD1180" s="120" t="s">
        <v>515</v>
      </c>
      <c r="DE1180" s="120"/>
      <c r="DF1180" s="440"/>
      <c r="EB1180" s="436" t="s">
        <v>514</v>
      </c>
      <c r="EC1180" s="120">
        <f>VLOOKUP(EB1108,'Unit Ops'!$B$140:$K$209,10,FALSE)</f>
        <v>12</v>
      </c>
      <c r="ED1180" s="120" t="s">
        <v>515</v>
      </c>
      <c r="EE1180" s="120"/>
      <c r="EF1180" s="440"/>
    </row>
    <row r="1181" spans="54:136">
      <c r="BB1181" s="436" t="s">
        <v>516</v>
      </c>
      <c r="BC1181" s="120">
        <v>0</v>
      </c>
      <c r="BD1181" s="120" t="s">
        <v>515</v>
      </c>
      <c r="BE1181" s="120"/>
      <c r="BF1181" s="440"/>
      <c r="CB1181" s="436" t="s">
        <v>516</v>
      </c>
      <c r="CC1181" s="120">
        <v>0</v>
      </c>
      <c r="CD1181" s="120" t="s">
        <v>515</v>
      </c>
      <c r="CE1181" s="120"/>
      <c r="CF1181" s="440"/>
      <c r="DB1181" s="436" t="s">
        <v>516</v>
      </c>
      <c r="DC1181" s="120">
        <v>0</v>
      </c>
      <c r="DD1181" s="120" t="s">
        <v>515</v>
      </c>
      <c r="DE1181" s="120"/>
      <c r="DF1181" s="440"/>
      <c r="EB1181" s="436" t="s">
        <v>516</v>
      </c>
      <c r="EC1181" s="120">
        <v>0</v>
      </c>
      <c r="ED1181" s="120" t="s">
        <v>515</v>
      </c>
      <c r="EE1181" s="120"/>
      <c r="EF1181" s="440"/>
    </row>
    <row r="1182" spans="54:136">
      <c r="BB1182" s="436"/>
      <c r="BC1182" s="120"/>
      <c r="BD1182" s="120"/>
      <c r="BE1182" s="120"/>
      <c r="BF1182" s="440"/>
      <c r="CB1182" s="436"/>
      <c r="CC1182" s="120"/>
      <c r="CD1182" s="120"/>
      <c r="CE1182" s="120"/>
      <c r="CF1182" s="440"/>
      <c r="DB1182" s="436"/>
      <c r="DC1182" s="120"/>
      <c r="DD1182" s="120"/>
      <c r="DE1182" s="120"/>
      <c r="DF1182" s="440"/>
      <c r="EB1182" s="436"/>
      <c r="EC1182" s="120"/>
      <c r="ED1182" s="120"/>
      <c r="EE1182" s="120"/>
      <c r="EF1182" s="440"/>
    </row>
    <row r="1183" spans="54:136">
      <c r="BB1183" s="436"/>
      <c r="BC1183" s="120"/>
      <c r="BD1183" s="120"/>
      <c r="BE1183" s="120"/>
      <c r="BF1183" s="440"/>
      <c r="CB1183" s="436"/>
      <c r="CC1183" s="120"/>
      <c r="CD1183" s="120"/>
      <c r="CE1183" s="120"/>
      <c r="CF1183" s="440"/>
      <c r="DB1183" s="436"/>
      <c r="DC1183" s="120"/>
      <c r="DD1183" s="120"/>
      <c r="DE1183" s="120"/>
      <c r="DF1183" s="440"/>
      <c r="EB1183" s="436"/>
      <c r="EC1183" s="120"/>
      <c r="ED1183" s="120"/>
      <c r="EE1183" s="120"/>
      <c r="EF1183" s="440"/>
    </row>
    <row r="1184" spans="54:136">
      <c r="BB1184" s="436"/>
      <c r="BC1184" s="120"/>
      <c r="BD1184" s="120"/>
      <c r="BE1184" s="120"/>
      <c r="BF1184" s="440"/>
      <c r="CB1184" s="436"/>
      <c r="CC1184" s="120"/>
      <c r="CD1184" s="120"/>
      <c r="CE1184" s="120"/>
      <c r="CF1184" s="440"/>
      <c r="DB1184" s="436"/>
      <c r="DC1184" s="120"/>
      <c r="DD1184" s="120"/>
      <c r="DE1184" s="120"/>
      <c r="DF1184" s="440"/>
      <c r="EB1184" s="436"/>
      <c r="EC1184" s="120"/>
      <c r="ED1184" s="120"/>
      <c r="EE1184" s="120"/>
      <c r="EF1184" s="440"/>
    </row>
    <row r="1185" spans="54:136">
      <c r="BB1185" s="436"/>
      <c r="BC1185" s="120"/>
      <c r="BD1185" s="120"/>
      <c r="BE1185" s="120"/>
      <c r="BF1185" s="440"/>
      <c r="CB1185" s="436"/>
      <c r="CC1185" s="120"/>
      <c r="CD1185" s="120"/>
      <c r="CE1185" s="120"/>
      <c r="CF1185" s="440"/>
      <c r="DB1185" s="436"/>
      <c r="DC1185" s="120"/>
      <c r="DD1185" s="120"/>
      <c r="DE1185" s="120"/>
      <c r="DF1185" s="440"/>
      <c r="EB1185" s="436"/>
      <c r="EC1185" s="120"/>
      <c r="ED1185" s="120"/>
      <c r="EE1185" s="120"/>
      <c r="EF1185" s="440"/>
    </row>
    <row r="1186" spans="54:136">
      <c r="BB1186" s="436"/>
      <c r="BC1186" s="120"/>
      <c r="BD1186" s="120"/>
      <c r="BE1186" s="120"/>
      <c r="BF1186" s="440"/>
      <c r="CB1186" s="436"/>
      <c r="CC1186" s="120"/>
      <c r="CD1186" s="120"/>
      <c r="CE1186" s="120"/>
      <c r="CF1186" s="440"/>
      <c r="DB1186" s="436"/>
      <c r="DC1186" s="120"/>
      <c r="DD1186" s="120"/>
      <c r="DE1186" s="120"/>
      <c r="DF1186" s="440"/>
      <c r="EB1186" s="436"/>
      <c r="EC1186" s="120"/>
      <c r="ED1186" s="120"/>
      <c r="EE1186" s="120"/>
      <c r="EF1186" s="440"/>
    </row>
    <row r="1187" spans="54:136">
      <c r="BB1187" s="436" t="s">
        <v>464</v>
      </c>
      <c r="BC1187" s="120"/>
      <c r="BD1187" s="120"/>
      <c r="BE1187" s="120"/>
      <c r="BF1187" s="440"/>
      <c r="CB1187" s="436" t="s">
        <v>464</v>
      </c>
      <c r="CC1187" s="120"/>
      <c r="CD1187" s="120"/>
      <c r="CE1187" s="120"/>
      <c r="CF1187" s="440"/>
      <c r="DB1187" s="436" t="s">
        <v>464</v>
      </c>
      <c r="DC1187" s="120"/>
      <c r="DD1187" s="120"/>
      <c r="DE1187" s="120"/>
      <c r="DF1187" s="440"/>
      <c r="EB1187" s="436" t="s">
        <v>464</v>
      </c>
      <c r="EC1187" s="120"/>
      <c r="ED1187" s="120"/>
      <c r="EE1187" s="120"/>
      <c r="EF1187" s="440"/>
    </row>
    <row r="1188" spans="54:136">
      <c r="BB1188" s="456"/>
      <c r="BC1188" s="457"/>
      <c r="BD1188" s="457"/>
      <c r="BE1188" s="457"/>
      <c r="BF1188" s="458"/>
      <c r="CB1188" s="456"/>
      <c r="CC1188" s="457"/>
      <c r="CD1188" s="457"/>
      <c r="CE1188" s="457"/>
      <c r="CF1188" s="458"/>
      <c r="DB1188" s="456"/>
      <c r="DC1188" s="457"/>
      <c r="DD1188" s="457"/>
      <c r="DE1188" s="457"/>
      <c r="DF1188" s="458"/>
      <c r="EB1188" s="456"/>
      <c r="EC1188" s="457"/>
      <c r="ED1188" s="457"/>
      <c r="EE1188" s="457"/>
      <c r="EF1188" s="458"/>
    </row>
    <row r="1189" spans="54:136">
      <c r="BB1189" s="449" t="s">
        <v>472</v>
      </c>
      <c r="BC1189" s="467" t="s">
        <v>517</v>
      </c>
      <c r="BD1189" s="120" t="s">
        <v>518</v>
      </c>
      <c r="BE1189" s="467" t="s">
        <v>519</v>
      </c>
      <c r="BF1189" s="440" t="s">
        <v>518</v>
      </c>
      <c r="CB1189" s="449" t="s">
        <v>472</v>
      </c>
      <c r="CC1189" s="467" t="s">
        <v>517</v>
      </c>
      <c r="CD1189" s="120" t="s">
        <v>518</v>
      </c>
      <c r="CE1189" s="467" t="s">
        <v>519</v>
      </c>
      <c r="CF1189" s="440" t="s">
        <v>518</v>
      </c>
      <c r="DB1189" s="449" t="s">
        <v>472</v>
      </c>
      <c r="DC1189" s="467" t="s">
        <v>517</v>
      </c>
      <c r="DD1189" s="120" t="s">
        <v>518</v>
      </c>
      <c r="DE1189" s="467" t="s">
        <v>519</v>
      </c>
      <c r="DF1189" s="440" t="s">
        <v>518</v>
      </c>
      <c r="EB1189" s="449" t="s">
        <v>472</v>
      </c>
      <c r="EC1189" s="467" t="s">
        <v>517</v>
      </c>
      <c r="ED1189" s="120" t="s">
        <v>518</v>
      </c>
      <c r="EE1189" s="467" t="s">
        <v>519</v>
      </c>
      <c r="EF1189" s="440" t="s">
        <v>518</v>
      </c>
    </row>
    <row r="1190" spans="54:136">
      <c r="BB1190" s="436" t="s">
        <v>520</v>
      </c>
      <c r="BC1190" s="120"/>
      <c r="BD1190" s="120"/>
      <c r="BE1190" s="472">
        <f>((VLOOKUP(BB1108,'Unit Ops'!$B$140:$J$209,3,FALSE)*BC1110^VLOOKUP(BB1108,'Unit Ops'!$B$140:$J$209,4,FALSE)+VLOOKUP(BB1108,'Unit Ops'!$B$140:$J$209,5,FALSE))*VLOOKUP(BB1108,'Unit Ops'!$B$140:$J$209,6,FALSE))*IF(VLOOKUP(BB1108,'Unit Ops'!$B$140:$L$209,11,FALSE)=1,1,2)</f>
        <v>478411.55044300808</v>
      </c>
      <c r="BF1190" s="490">
        <f>$C$7</f>
        <v>2022</v>
      </c>
      <c r="CB1190" s="436" t="s">
        <v>520</v>
      </c>
      <c r="CC1190" s="120"/>
      <c r="CD1190" s="120"/>
      <c r="CE1190" s="472">
        <f>((VLOOKUP(CB1108,'Unit Ops'!$B$140:$J$209,3,FALSE)*CC1110^VLOOKUP(CB1108,'Unit Ops'!$B$140:$J$209,4,FALSE)+VLOOKUP(CB1108,'Unit Ops'!$B$140:$J$209,5,FALSE))*VLOOKUP(CB1108,'Unit Ops'!$B$140:$J$209,6,FALSE))*IF(VLOOKUP(CB1108,'Unit Ops'!$B$140:$L$209,11,FALSE)=1,1,2)</f>
        <v>1144168.7662890728</v>
      </c>
      <c r="CF1190" s="490">
        <f>$C$7</f>
        <v>2022</v>
      </c>
      <c r="DB1190" s="436" t="s">
        <v>520</v>
      </c>
      <c r="DC1190" s="120"/>
      <c r="DD1190" s="120"/>
      <c r="DE1190" s="472">
        <f>((VLOOKUP(DB1108,'Unit Ops'!$B$140:$J$209,3,FALSE)*DC1110^VLOOKUP(DB1108,'Unit Ops'!$B$140:$J$209,4,FALSE)+VLOOKUP(DB1108,'Unit Ops'!$B$140:$J$209,5,FALSE))*VLOOKUP(DB1108,'Unit Ops'!$B$140:$J$209,6,FALSE))*IF(VLOOKUP(DB1108,'Unit Ops'!$B$140:$L$209,11,FALSE)=1,1,2)*COUNTIF(DB126:DB130,"&lt;&gt;Select Output")</f>
        <v>162229.59814124959</v>
      </c>
      <c r="DF1190" s="490">
        <f>$C$7</f>
        <v>2022</v>
      </c>
      <c r="EB1190" s="436" t="s">
        <v>520</v>
      </c>
      <c r="EC1190" s="120"/>
      <c r="ED1190" s="120"/>
      <c r="EE1190" s="472">
        <f>((VLOOKUP(EB1108,'Unit Ops'!$B$140:$J$209,3,FALSE)*EC1110^VLOOKUP(EB1108,'Unit Ops'!$B$140:$J$209,4,FALSE)+VLOOKUP(EB1108,'Unit Ops'!$B$140:$J$209,5,FALSE))*VLOOKUP(EB1108,'Unit Ops'!$B$140:$J$209,6,FALSE))*IF(VLOOKUP(EB1108,'Unit Ops'!$B$140:$L$209,11,FALSE)=1,1,2)</f>
        <v>1342460.9338656482</v>
      </c>
      <c r="EF1190" s="490">
        <f>$C$7</f>
        <v>2022</v>
      </c>
    </row>
    <row r="1191" spans="54:136">
      <c r="BB1191" s="436"/>
      <c r="BC1191" s="120"/>
      <c r="BD1191" s="120"/>
      <c r="BE1191" s="120"/>
      <c r="BF1191" s="440"/>
      <c r="CB1191" s="436"/>
      <c r="CC1191" s="120"/>
      <c r="CD1191" s="120"/>
      <c r="CE1191" s="120"/>
      <c r="CF1191" s="440"/>
      <c r="DB1191" s="436"/>
      <c r="DC1191" s="120"/>
      <c r="DD1191" s="120"/>
      <c r="DE1191" s="120"/>
      <c r="DF1191" s="440"/>
      <c r="EB1191" s="436"/>
      <c r="EC1191" s="120"/>
      <c r="ED1191" s="120"/>
      <c r="EE1191" s="120"/>
      <c r="EF1191" s="440"/>
    </row>
    <row r="1192" spans="54:136">
      <c r="BB1192" s="436"/>
      <c r="BC1192" s="120"/>
      <c r="BD1192" s="120"/>
      <c r="BE1192" s="120"/>
      <c r="BF1192" s="440"/>
      <c r="CB1192" s="436"/>
      <c r="CC1192" s="120"/>
      <c r="CD1192" s="120"/>
      <c r="CE1192" s="120"/>
      <c r="CF1192" s="440"/>
      <c r="DB1192" s="436"/>
      <c r="DC1192" s="120"/>
      <c r="DD1192" s="120"/>
      <c r="DE1192" s="120"/>
      <c r="DF1192" s="440"/>
      <c r="EB1192" s="436"/>
      <c r="EC1192" s="120"/>
      <c r="ED1192" s="120"/>
      <c r="EE1192" s="120"/>
      <c r="EF1192" s="440"/>
    </row>
    <row r="1193" spans="54:136">
      <c r="BB1193" s="436"/>
      <c r="BC1193" s="120"/>
      <c r="BD1193" s="120"/>
      <c r="BE1193" s="120"/>
      <c r="BF1193" s="440"/>
      <c r="CB1193" s="436"/>
      <c r="CC1193" s="120"/>
      <c r="CD1193" s="120"/>
      <c r="CE1193" s="120"/>
      <c r="CF1193" s="440"/>
      <c r="DB1193" s="436"/>
      <c r="DC1193" s="120"/>
      <c r="DD1193" s="120"/>
      <c r="DE1193" s="120"/>
      <c r="DF1193" s="440"/>
      <c r="EB1193" s="436"/>
      <c r="EC1193" s="120"/>
      <c r="ED1193" s="120"/>
      <c r="EE1193" s="120"/>
      <c r="EF1193" s="440"/>
    </row>
    <row r="1194" spans="54:136">
      <c r="BB1194" s="436"/>
      <c r="BC1194" s="120"/>
      <c r="BD1194" s="120"/>
      <c r="BE1194" s="120"/>
      <c r="BF1194" s="440"/>
      <c r="CB1194" s="436"/>
      <c r="CC1194" s="120"/>
      <c r="CD1194" s="120"/>
      <c r="CE1194" s="120"/>
      <c r="CF1194" s="440"/>
      <c r="DB1194" s="436"/>
      <c r="DC1194" s="120"/>
      <c r="DD1194" s="120"/>
      <c r="DE1194" s="120"/>
      <c r="DF1194" s="440"/>
      <c r="EB1194" s="436"/>
      <c r="EC1194" s="120"/>
      <c r="ED1194" s="120"/>
      <c r="EE1194" s="120"/>
      <c r="EF1194" s="440"/>
    </row>
    <row r="1195" spans="54:136">
      <c r="BB1195" s="436"/>
      <c r="BC1195" s="120"/>
      <c r="BD1195" s="120"/>
      <c r="BE1195" s="120"/>
      <c r="BF1195" s="440"/>
      <c r="CB1195" s="436"/>
      <c r="CC1195" s="120"/>
      <c r="CD1195" s="120"/>
      <c r="CE1195" s="120"/>
      <c r="CF1195" s="440"/>
      <c r="DB1195" s="436"/>
      <c r="DC1195" s="120"/>
      <c r="DD1195" s="120"/>
      <c r="DE1195" s="120"/>
      <c r="DF1195" s="440"/>
      <c r="EB1195" s="436"/>
      <c r="EC1195" s="120"/>
      <c r="ED1195" s="120"/>
      <c r="EE1195" s="120"/>
      <c r="EF1195" s="440"/>
    </row>
    <row r="1196" spans="54:136">
      <c r="BB1196" s="436"/>
      <c r="BC1196" s="120"/>
      <c r="BD1196" s="120"/>
      <c r="BE1196" s="120"/>
      <c r="BF1196" s="440"/>
      <c r="CB1196" s="436"/>
      <c r="CC1196" s="120"/>
      <c r="CD1196" s="120"/>
      <c r="CE1196" s="120"/>
      <c r="CF1196" s="440"/>
      <c r="DB1196" s="436"/>
      <c r="DC1196" s="120"/>
      <c r="DD1196" s="120"/>
      <c r="DE1196" s="120"/>
      <c r="DF1196" s="440"/>
      <c r="EB1196" s="436"/>
      <c r="EC1196" s="120"/>
      <c r="ED1196" s="120"/>
      <c r="EE1196" s="120"/>
      <c r="EF1196" s="440"/>
    </row>
    <row r="1197" spans="54:136">
      <c r="BB1197" s="436"/>
      <c r="BC1197" s="120"/>
      <c r="BD1197" s="120"/>
      <c r="BE1197" s="120"/>
      <c r="BF1197" s="440"/>
      <c r="CB1197" s="436"/>
      <c r="CC1197" s="120"/>
      <c r="CD1197" s="120"/>
      <c r="CE1197" s="120"/>
      <c r="CF1197" s="440"/>
      <c r="DB1197" s="436"/>
      <c r="DC1197" s="120"/>
      <c r="DD1197" s="120"/>
      <c r="DE1197" s="120"/>
      <c r="DF1197" s="440"/>
      <c r="EB1197" s="436"/>
      <c r="EC1197" s="120"/>
      <c r="ED1197" s="120"/>
      <c r="EE1197" s="120"/>
      <c r="EF1197" s="440"/>
    </row>
    <row r="1198" spans="54:136">
      <c r="BB1198" s="436"/>
      <c r="BC1198" s="120"/>
      <c r="BD1198" s="120"/>
      <c r="BE1198" s="120"/>
      <c r="BF1198" s="440"/>
      <c r="CB1198" s="436"/>
      <c r="CC1198" s="120"/>
      <c r="CD1198" s="120"/>
      <c r="CE1198" s="120"/>
      <c r="CF1198" s="440"/>
      <c r="DB1198" s="436"/>
      <c r="DC1198" s="120"/>
      <c r="DD1198" s="120"/>
      <c r="DE1198" s="120"/>
      <c r="DF1198" s="440"/>
      <c r="EB1198" s="436"/>
      <c r="EC1198" s="120"/>
      <c r="ED1198" s="120"/>
      <c r="EE1198" s="120"/>
      <c r="EF1198" s="440"/>
    </row>
    <row r="1199" spans="54:136">
      <c r="BB1199" s="436"/>
      <c r="BC1199" s="120"/>
      <c r="BD1199" s="120"/>
      <c r="BE1199" s="120"/>
      <c r="BF1199" s="440"/>
      <c r="CB1199" s="436"/>
      <c r="CC1199" s="120"/>
      <c r="CD1199" s="120"/>
      <c r="CE1199" s="120"/>
      <c r="CF1199" s="440"/>
      <c r="DB1199" s="436"/>
      <c r="DC1199" s="120"/>
      <c r="DD1199" s="120"/>
      <c r="DE1199" s="120"/>
      <c r="DF1199" s="440"/>
      <c r="EB1199" s="436"/>
      <c r="EC1199" s="120"/>
      <c r="ED1199" s="120"/>
      <c r="EE1199" s="120"/>
      <c r="EF1199" s="440"/>
    </row>
    <row r="1200" spans="54:136">
      <c r="BB1200" s="436"/>
      <c r="BC1200" s="120"/>
      <c r="BD1200" s="120"/>
      <c r="BE1200" s="120"/>
      <c r="BF1200" s="440"/>
      <c r="CB1200" s="436"/>
      <c r="CC1200" s="120"/>
      <c r="CD1200" s="120"/>
      <c r="CE1200" s="120"/>
      <c r="CF1200" s="440"/>
      <c r="DB1200" s="436"/>
      <c r="DC1200" s="120"/>
      <c r="DD1200" s="120"/>
      <c r="DE1200" s="120"/>
      <c r="DF1200" s="440"/>
      <c r="EB1200" s="436"/>
      <c r="EC1200" s="120"/>
      <c r="ED1200" s="120"/>
      <c r="EE1200" s="120"/>
      <c r="EF1200" s="440"/>
    </row>
    <row r="1201" spans="53:137">
      <c r="BB1201" s="436"/>
      <c r="BC1201" s="120"/>
      <c r="BD1201" s="120"/>
      <c r="BE1201" s="120"/>
      <c r="BF1201" s="440"/>
      <c r="CB1201" s="436"/>
      <c r="CC1201" s="120"/>
      <c r="CD1201" s="120"/>
      <c r="CE1201" s="120"/>
      <c r="CF1201" s="440"/>
      <c r="DB1201" s="436"/>
      <c r="DC1201" s="120"/>
      <c r="DD1201" s="120"/>
      <c r="DE1201" s="120"/>
      <c r="DF1201" s="440"/>
      <c r="EB1201" s="436"/>
      <c r="EC1201" s="120"/>
      <c r="ED1201" s="120"/>
      <c r="EE1201" s="120"/>
      <c r="EF1201" s="440"/>
    </row>
    <row r="1202" spans="53:137">
      <c r="BB1202" s="436"/>
      <c r="BC1202" s="120"/>
      <c r="BD1202" s="120"/>
      <c r="BE1202" s="120"/>
      <c r="BF1202" s="440"/>
      <c r="CB1202" s="436"/>
      <c r="CC1202" s="120"/>
      <c r="CD1202" s="120"/>
      <c r="CE1202" s="120"/>
      <c r="CF1202" s="440"/>
      <c r="DB1202" s="436"/>
      <c r="DC1202" s="120"/>
      <c r="DD1202" s="120"/>
      <c r="DE1202" s="120"/>
      <c r="DF1202" s="440"/>
      <c r="EB1202" s="436"/>
      <c r="EC1202" s="120"/>
      <c r="ED1202" s="120"/>
      <c r="EE1202" s="120"/>
      <c r="EF1202" s="440"/>
    </row>
    <row r="1203" spans="53:137">
      <c r="BB1203" s="436"/>
      <c r="BC1203" s="120"/>
      <c r="BD1203" s="120"/>
      <c r="BE1203" s="120"/>
      <c r="BF1203" s="440"/>
      <c r="CB1203" s="436"/>
      <c r="CC1203" s="120"/>
      <c r="CD1203" s="120"/>
      <c r="CE1203" s="120"/>
      <c r="CF1203" s="440"/>
      <c r="DB1203" s="436"/>
      <c r="DC1203" s="120"/>
      <c r="DD1203" s="120"/>
      <c r="DE1203" s="120"/>
      <c r="DF1203" s="440"/>
      <c r="EB1203" s="436"/>
      <c r="EC1203" s="120"/>
      <c r="ED1203" s="120"/>
      <c r="EE1203" s="120"/>
      <c r="EF1203" s="440"/>
    </row>
    <row r="1204" spans="53:137" ht="14.5" thickBot="1">
      <c r="BB1204" s="492"/>
      <c r="BC1204" s="493"/>
      <c r="BD1204" s="493"/>
      <c r="BE1204" s="493"/>
      <c r="BF1204" s="453"/>
      <c r="CB1204" s="492"/>
      <c r="CC1204" s="493"/>
      <c r="CD1204" s="493"/>
      <c r="CE1204" s="493"/>
      <c r="CF1204" s="453"/>
      <c r="DB1204" s="492"/>
      <c r="DC1204" s="493"/>
      <c r="DD1204" s="493"/>
      <c r="DE1204" s="493"/>
      <c r="DF1204" s="453"/>
      <c r="EB1204" s="492"/>
      <c r="EC1204" s="493"/>
      <c r="ED1204" s="493"/>
      <c r="EE1204" s="493"/>
      <c r="EF1204" s="453"/>
    </row>
    <row r="1207" spans="53:137" ht="14.5" thickBot="1"/>
    <row r="1208" spans="53:137">
      <c r="BA1208" s="114" t="s">
        <v>478</v>
      </c>
      <c r="BB1208" s="431" t="str">
        <f>BB61</f>
        <v>Solvent extraction unit</v>
      </c>
      <c r="BC1208" s="432"/>
      <c r="BD1208" s="433"/>
      <c r="BE1208" s="434"/>
      <c r="BF1208" s="435"/>
      <c r="BG1208" s="180"/>
      <c r="CA1208" s="114" t="s">
        <v>478</v>
      </c>
      <c r="CB1208" s="431" t="str">
        <f>CB61</f>
        <v>Evaporator</v>
      </c>
      <c r="CC1208" s="432"/>
      <c r="CD1208" s="433"/>
      <c r="CE1208" s="434"/>
      <c r="CF1208" s="435"/>
      <c r="CG1208" s="180"/>
      <c r="DA1208" s="114" t="s">
        <v>478</v>
      </c>
      <c r="DB1208" s="431" t="str">
        <f>DB61</f>
        <v>Furnace+saggar handling system</v>
      </c>
      <c r="DC1208" s="432"/>
      <c r="DD1208" s="433"/>
      <c r="DE1208" s="434"/>
      <c r="DF1208" s="435"/>
      <c r="DG1208" s="180"/>
      <c r="EA1208" s="114" t="s">
        <v>478</v>
      </c>
      <c r="EB1208" s="431" t="str">
        <f>EB63</f>
        <v>Evaporator</v>
      </c>
      <c r="EC1208" s="432"/>
      <c r="ED1208" s="433"/>
      <c r="EE1208" s="434"/>
      <c r="EF1208" s="435"/>
      <c r="EG1208" s="180"/>
    </row>
    <row r="1209" spans="53:137">
      <c r="BA1209" s="114" t="s">
        <v>5</v>
      </c>
      <c r="BB1209" s="436" t="s">
        <v>1</v>
      </c>
      <c r="BC1209" s="437">
        <f>BC$25/BC$22/BC$21*VLOOKUP(BB1208,'Unit Ops'!$B$140:$J$209,2,FALSE)*(BC40+BC47+BC48)</f>
        <v>0.28078688423854314</v>
      </c>
      <c r="BD1209" s="438" t="s">
        <v>586</v>
      </c>
      <c r="BE1209" s="1027">
        <f>BC1209*BC$310*BC$311</f>
        <v>3032.498349776266</v>
      </c>
      <c r="BF1209" s="439" t="s">
        <v>585</v>
      </c>
      <c r="BG1209" s="516"/>
      <c r="CA1209" s="114" t="s">
        <v>5</v>
      </c>
      <c r="CB1209" s="436" t="s">
        <v>1</v>
      </c>
      <c r="CC1209" s="437">
        <f>CC$25/CC$22/CC$21*VLOOKUP(CB1208,'Unit Ops'!$B$140:$J$209,2,FALSE)</f>
        <v>0.91324200913242004</v>
      </c>
      <c r="CD1209" s="438" t="s">
        <v>586</v>
      </c>
      <c r="CE1209" s="1027">
        <f>CC1209*CC$310*CC$311</f>
        <v>10000</v>
      </c>
      <c r="CF1209" s="439" t="s">
        <v>585</v>
      </c>
      <c r="CG1209" s="516"/>
      <c r="DA1209" s="114" t="s">
        <v>5</v>
      </c>
      <c r="DB1209" s="436" t="s">
        <v>1</v>
      </c>
      <c r="DC1209" s="437">
        <f>DC$25/DC$22/DC$21*VLOOKUP(DB1208,'Unit Ops'!$B$140:$J$209,2,FALSE)*SUM(DC28:DC35)</f>
        <v>0.55925925925925923</v>
      </c>
      <c r="DD1209" s="438" t="s">
        <v>586</v>
      </c>
      <c r="DE1209" s="1027">
        <f>DC1209*DC$310*DC$311</f>
        <v>6040</v>
      </c>
      <c r="DF1209" s="439" t="s">
        <v>585</v>
      </c>
      <c r="DG1209" s="516"/>
      <c r="EA1209" s="114" t="s">
        <v>5</v>
      </c>
      <c r="EB1209" s="436" t="s">
        <v>1</v>
      </c>
      <c r="EC1209" s="437">
        <f>EC$26/EC$23/EC$22*VLOOKUP(EB1208,'Unit Ops'!$B$140:$J$209,2,FALSE)</f>
        <v>1.3020833333333333</v>
      </c>
      <c r="ED1209" s="438" t="s">
        <v>586</v>
      </c>
      <c r="EE1209" s="1027">
        <f>EC1209*EC$310*EC$311</f>
        <v>10000</v>
      </c>
      <c r="EF1209" s="439" t="s">
        <v>585</v>
      </c>
      <c r="EG1209" s="516"/>
    </row>
    <row r="1210" spans="53:137">
      <c r="BA1210" s="114" t="str">
        <f>$BB$54</f>
        <v>Hopper</v>
      </c>
      <c r="BB1210" s="436" t="s">
        <v>505</v>
      </c>
      <c r="BC1210" s="437">
        <f>ROUNDUP(BC1209*IF(VLOOKUP(BB1208,'Unit Ops'!$B$140:$L$209,11,FALSE)=1,1.5,0.75),1)</f>
        <v>0.30000000000000004</v>
      </c>
      <c r="BD1210" s="438" t="s">
        <v>586</v>
      </c>
      <c r="BE1210" s="120">
        <f>BC1210*BC$310*BC$311</f>
        <v>3240.0000000000005</v>
      </c>
      <c r="BF1210" s="439" t="s">
        <v>585</v>
      </c>
      <c r="BG1210" s="409"/>
      <c r="CA1210" s="114" t="str">
        <f>$CB$54</f>
        <v>Conveyor</v>
      </c>
      <c r="CB1210" s="436" t="s">
        <v>505</v>
      </c>
      <c r="CC1210" s="437">
        <f>ROUNDUP(CC1209*IF(VLOOKUP(CB1208,'Unit Ops'!$B$140:$L$209,11,FALSE)=1,1.5,0.75),1)</f>
        <v>0.7</v>
      </c>
      <c r="CD1210" s="438" t="s">
        <v>586</v>
      </c>
      <c r="CE1210" s="120">
        <f>CC1210*CC$310*CC$311</f>
        <v>7665</v>
      </c>
      <c r="CF1210" s="439" t="s">
        <v>585</v>
      </c>
      <c r="CG1210" s="409"/>
      <c r="DA1210" s="114" t="str">
        <f>$DB$54</f>
        <v>Conveyor</v>
      </c>
      <c r="DB1210" s="436" t="s">
        <v>505</v>
      </c>
      <c r="DC1210" s="437">
        <f>ROUNDUP(DC1209*IF(VLOOKUP(DB1208,'Unit Ops'!$B$140:$L$209,11,FALSE)=1,1.5,0.75),1)</f>
        <v>0.9</v>
      </c>
      <c r="DD1210" s="438" t="s">
        <v>586</v>
      </c>
      <c r="DE1210" s="120">
        <f>DC1210*DC$310*DC$311</f>
        <v>9720</v>
      </c>
      <c r="DF1210" s="439" t="s">
        <v>585</v>
      </c>
      <c r="DG1210" s="409"/>
      <c r="EA1210" s="114" t="str">
        <f>$EB$56</f>
        <v>Conveyor</v>
      </c>
      <c r="EB1210" s="436" t="s">
        <v>505</v>
      </c>
      <c r="EC1210" s="437">
        <f>ROUNDUP(EC1209*IF(VLOOKUP(EB1208,'Unit Ops'!$B$140:$L$209,11,FALSE)=1,1.5,0.75),1)</f>
        <v>1</v>
      </c>
      <c r="ED1210" s="438" t="s">
        <v>586</v>
      </c>
      <c r="EE1210" s="120">
        <f>EC1210*EC$310*EC$311</f>
        <v>7680</v>
      </c>
      <c r="EF1210" s="439" t="s">
        <v>585</v>
      </c>
      <c r="EG1210" s="409"/>
    </row>
    <row r="1211" spans="53:137">
      <c r="BA1211" s="114" t="str">
        <f>$BB$55</f>
        <v>Conveyor</v>
      </c>
      <c r="BB1211" s="441" t="s">
        <v>521</v>
      </c>
      <c r="BC1211" s="442">
        <f>BC1209/BC1210</f>
        <v>0.9359562807951437</v>
      </c>
      <c r="BD1211" s="438"/>
      <c r="BE1211" s="443"/>
      <c r="BF1211" s="440"/>
      <c r="BG1211" s="409"/>
      <c r="CA1211" s="114" t="str">
        <f>$CB$55</f>
        <v>Leaching tank</v>
      </c>
      <c r="CB1211" s="441" t="s">
        <v>521</v>
      </c>
      <c r="CC1211" s="442">
        <f>CC1209/CC1210</f>
        <v>1.3046314416177429</v>
      </c>
      <c r="CD1211" s="438"/>
      <c r="CE1211" s="443"/>
      <c r="CF1211" s="440"/>
      <c r="CG1211" s="409"/>
      <c r="DA1211" s="114" t="str">
        <f>$DB$55</f>
        <v>Froth flotation cell</v>
      </c>
      <c r="DB1211" s="441" t="s">
        <v>521</v>
      </c>
      <c r="DC1211" s="442">
        <f>DC1209/DC1210</f>
        <v>0.62139917695473246</v>
      </c>
      <c r="DD1211" s="438"/>
      <c r="DE1211" s="443"/>
      <c r="DF1211" s="440"/>
      <c r="DG1211" s="409"/>
      <c r="EA1211" s="114" t="str">
        <f>$EB$57</f>
        <v>Leaching tank</v>
      </c>
      <c r="EB1211" s="441" t="s">
        <v>521</v>
      </c>
      <c r="EC1211" s="442">
        <f>EC1209/EC1210</f>
        <v>1.3020833333333333</v>
      </c>
      <c r="ED1211" s="438"/>
      <c r="EE1211" s="443"/>
      <c r="EF1211" s="440"/>
      <c r="EG1211" s="409"/>
    </row>
    <row r="1212" spans="53:137">
      <c r="BA1212" s="114" t="str">
        <f>$BB$56</f>
        <v>Smelter</v>
      </c>
      <c r="BB1212" s="441" t="s">
        <v>506</v>
      </c>
      <c r="BC1212" s="445"/>
      <c r="BD1212" s="438" t="s">
        <v>454</v>
      </c>
      <c r="BE1212" s="443"/>
      <c r="BF1212" s="440"/>
      <c r="BG1212" s="517"/>
      <c r="CA1212" s="114" t="str">
        <f>$CB$56</f>
        <v>Mixing tank</v>
      </c>
      <c r="CB1212" s="441" t="s">
        <v>506</v>
      </c>
      <c r="CC1212" s="445"/>
      <c r="CD1212" s="438" t="s">
        <v>454</v>
      </c>
      <c r="CE1212" s="443"/>
      <c r="CF1212" s="440"/>
      <c r="CG1212" s="517"/>
      <c r="DA1212" s="114" t="str">
        <f>$DB$56</f>
        <v>Filter press</v>
      </c>
      <c r="DB1212" s="441" t="s">
        <v>506</v>
      </c>
      <c r="DC1212" s="445"/>
      <c r="DD1212" s="438" t="s">
        <v>454</v>
      </c>
      <c r="DE1212" s="443"/>
      <c r="DF1212" s="440"/>
      <c r="DG1212" s="517"/>
      <c r="EA1212" s="114" t="str">
        <f>$EB$58</f>
        <v>Mixing tank</v>
      </c>
      <c r="EB1212" s="441" t="s">
        <v>506</v>
      </c>
      <c r="EC1212" s="445"/>
      <c r="ED1212" s="438" t="s">
        <v>454</v>
      </c>
      <c r="EE1212" s="443"/>
      <c r="EF1212" s="440"/>
      <c r="EG1212" s="517"/>
    </row>
    <row r="1213" spans="53:137">
      <c r="BA1213" s="114" t="str">
        <f>$BB$57</f>
        <v>Gas treatment</v>
      </c>
      <c r="BB1213" s="436" t="s">
        <v>507</v>
      </c>
      <c r="BC1213" s="225">
        <f>(VLOOKUP(BB1208,'Unit Ops'!$B$140:$J$209,7,FALSE)*BC1210^VLOOKUP(BB1208,'Unit Ops'!$B$140:$J$209,8,FALSE)+VLOOKUP(BB1208,'Unit Ops'!$B$140:$J$209,9,FALSE))*IF(VLOOKUP(BB1208,'Unit Ops'!$B$140:$L$209,11,FALSE)=1,1,2)</f>
        <v>8.948400000000003</v>
      </c>
      <c r="BD1213" s="446" t="s">
        <v>454</v>
      </c>
      <c r="BE1213" s="443"/>
      <c r="BF1213" s="440"/>
      <c r="BG1213" s="482"/>
      <c r="CA1213" s="114" t="str">
        <f>$CB$57</f>
        <v>Filter press</v>
      </c>
      <c r="CB1213" s="436" t="s">
        <v>507</v>
      </c>
      <c r="CC1213" s="225">
        <f>(VLOOKUP(CB1208,'Unit Ops'!$B$140:$J$209,7,FALSE)*CC1210^VLOOKUP(CB1208,'Unit Ops'!$B$140:$J$209,8,FALSE)+VLOOKUP(CB1208,'Unit Ops'!$B$140:$J$209,9,FALSE))*IF(VLOOKUP(CB1208,'Unit Ops'!$B$140:$L$209,11,FALSE)=1,1,2)</f>
        <v>0</v>
      </c>
      <c r="CD1213" s="446" t="s">
        <v>454</v>
      </c>
      <c r="CE1213" s="443"/>
      <c r="CF1213" s="440"/>
      <c r="CG1213" s="482"/>
      <c r="DA1213" s="114" t="str">
        <f>$DB$57</f>
        <v>Froth flotation cell</v>
      </c>
      <c r="DB1213" s="436" t="s">
        <v>507</v>
      </c>
      <c r="DC1213" s="225">
        <f>(VLOOKUP(DB1208,'Unit Ops'!$B$140:$J$209,7,FALSE)*DC1210^VLOOKUP(DB1208,'Unit Ops'!$B$140:$J$209,8,FALSE)+VLOOKUP(DB1208,'Unit Ops'!$B$140:$J$209,9,FALSE))*IF(VLOOKUP(DB1208,'Unit Ops'!$B$140:$L$209,11,FALSE)=1,1,2)</f>
        <v>0</v>
      </c>
      <c r="DD1213" s="446" t="s">
        <v>454</v>
      </c>
      <c r="DE1213" s="443"/>
      <c r="DF1213" s="440"/>
      <c r="DG1213" s="482"/>
      <c r="EA1213" s="114" t="str">
        <f>$EB$59</f>
        <v>Filter press</v>
      </c>
      <c r="EB1213" s="436" t="s">
        <v>507</v>
      </c>
      <c r="EC1213" s="225">
        <f>(VLOOKUP(EB1208,'Unit Ops'!$B$140:$J$209,7,FALSE)*EC1210^VLOOKUP(EB1208,'Unit Ops'!$B$140:$J$209,8,FALSE)+VLOOKUP(EB1208,'Unit Ops'!$B$140:$J$209,9,FALSE))*IF(VLOOKUP(EB1208,'Unit Ops'!$B$140:$L$209,11,FALSE)=1,1,2)</f>
        <v>0</v>
      </c>
      <c r="ED1213" s="446" t="s">
        <v>454</v>
      </c>
      <c r="EE1213" s="443"/>
      <c r="EF1213" s="440"/>
      <c r="EG1213" s="482"/>
    </row>
    <row r="1214" spans="53:137">
      <c r="BA1214" s="114" t="str">
        <f>$BB$58</f>
        <v>Conveyor</v>
      </c>
      <c r="BB1214" s="441"/>
      <c r="BC1214" s="445"/>
      <c r="BD1214" s="447"/>
      <c r="BE1214" s="443"/>
      <c r="BF1214" s="440"/>
      <c r="BG1214" s="470"/>
      <c r="CA1214" s="114" t="str">
        <f>$CB$58</f>
        <v>Solvent extraction unit</v>
      </c>
      <c r="CB1214" s="441"/>
      <c r="CC1214" s="445"/>
      <c r="CD1214" s="447"/>
      <c r="CE1214" s="443"/>
      <c r="CF1214" s="440"/>
      <c r="CG1214" s="470"/>
      <c r="DA1214" s="114" t="str">
        <f>$DB$58</f>
        <v>Filter press</v>
      </c>
      <c r="DB1214" s="441"/>
      <c r="DC1214" s="445"/>
      <c r="DD1214" s="447"/>
      <c r="DE1214" s="443"/>
      <c r="DF1214" s="440"/>
      <c r="DG1214" s="470"/>
      <c r="EA1214" s="114" t="str">
        <f>$EB$60</f>
        <v>Solvent extraction unit</v>
      </c>
      <c r="EB1214" s="441"/>
      <c r="EC1214" s="445"/>
      <c r="ED1214" s="447"/>
      <c r="EE1214" s="443"/>
      <c r="EF1214" s="440"/>
      <c r="EG1214" s="470"/>
    </row>
    <row r="1215" spans="53:137">
      <c r="BA1215" s="114" t="str">
        <f>$BB$59</f>
        <v>Granulator</v>
      </c>
      <c r="BB1215" s="441"/>
      <c r="BC1215" s="445"/>
      <c r="BD1215" s="447"/>
      <c r="BE1215" s="443"/>
      <c r="BF1215" s="440"/>
      <c r="BG1215" s="461"/>
      <c r="CA1215" s="114" t="str">
        <f>$CB$59</f>
        <v>Solvent extraction unit</v>
      </c>
      <c r="CB1215" s="441"/>
      <c r="CC1215" s="445"/>
      <c r="CD1215" s="447"/>
      <c r="CE1215" s="443"/>
      <c r="CF1215" s="440"/>
      <c r="CG1215" s="461"/>
      <c r="DA1215" s="114" t="str">
        <f>$DB$59</f>
        <v>Dryer</v>
      </c>
      <c r="DB1215" s="441"/>
      <c r="DC1215" s="445"/>
      <c r="DD1215" s="447"/>
      <c r="DE1215" s="443"/>
      <c r="DF1215" s="440"/>
      <c r="DG1215" s="461"/>
      <c r="EA1215" s="114" t="str">
        <f>$EB$61</f>
        <v>Solvent extraction unit</v>
      </c>
      <c r="EB1215" s="441"/>
      <c r="EC1215" s="445"/>
      <c r="ED1215" s="447"/>
      <c r="EE1215" s="443"/>
      <c r="EF1215" s="440"/>
      <c r="EG1215" s="461"/>
    </row>
    <row r="1216" spans="53:137">
      <c r="BA1216" s="114" t="str">
        <f>$BB$60</f>
        <v>Leaching tank</v>
      </c>
      <c r="BB1216" s="449"/>
      <c r="BC1216" s="445"/>
      <c r="BD1216" s="447"/>
      <c r="BE1216" s="443"/>
      <c r="BF1216" s="440"/>
      <c r="BG1216" s="482"/>
      <c r="CA1216" s="114" t="str">
        <f>$CB$60</f>
        <v>Solvent extraction unit</v>
      </c>
      <c r="CB1216" s="449"/>
      <c r="CC1216" s="445"/>
      <c r="CD1216" s="447"/>
      <c r="CE1216" s="443"/>
      <c r="CF1216" s="440"/>
      <c r="CG1216" s="482"/>
      <c r="DA1216" s="114" t="str">
        <f>$DB$60</f>
        <v>Ball mill</v>
      </c>
      <c r="DB1216" s="449"/>
      <c r="DC1216" s="445"/>
      <c r="DD1216" s="447"/>
      <c r="DE1216" s="443"/>
      <c r="DF1216" s="440"/>
      <c r="DG1216" s="482"/>
      <c r="EA1216" s="114" t="str">
        <f>$EB$62</f>
        <v>Solvent extraction unit</v>
      </c>
      <c r="EB1216" s="449"/>
      <c r="EC1216" s="445"/>
      <c r="ED1216" s="447"/>
      <c r="EE1216" s="443"/>
      <c r="EF1216" s="440"/>
      <c r="EG1216" s="482"/>
    </row>
    <row r="1217" spans="53:137" ht="14.5" thickBot="1">
      <c r="BA1217" s="114" t="str">
        <f>$BB$61</f>
        <v>Solvent extraction unit</v>
      </c>
      <c r="BB1217" s="450"/>
      <c r="BC1217" s="451"/>
      <c r="BD1217" s="451"/>
      <c r="BE1217" s="452"/>
      <c r="BF1217" s="453"/>
      <c r="BG1217" s="496"/>
      <c r="CA1217" s="114" t="str">
        <f>$CB$61</f>
        <v>Evaporator</v>
      </c>
      <c r="CB1217" s="450"/>
      <c r="CC1217" s="451"/>
      <c r="CD1217" s="451"/>
      <c r="CE1217" s="452"/>
      <c r="CF1217" s="453"/>
      <c r="CG1217" s="496"/>
      <c r="DA1217" s="114" t="str">
        <f>$DB$61</f>
        <v>Furnace+saggar handling system</v>
      </c>
      <c r="DB1217" s="450"/>
      <c r="DC1217" s="451"/>
      <c r="DD1217" s="451"/>
      <c r="DE1217" s="452"/>
      <c r="DF1217" s="453"/>
      <c r="DG1217" s="496"/>
      <c r="EA1217" s="114" t="str">
        <f>$EB$63</f>
        <v>Evaporator</v>
      </c>
      <c r="EB1217" s="450"/>
      <c r="EC1217" s="451"/>
      <c r="ED1217" s="451"/>
      <c r="EE1217" s="452"/>
      <c r="EF1217" s="453"/>
      <c r="EG1217" s="496"/>
    </row>
    <row r="1218" spans="53:137">
      <c r="BA1218" s="114" t="str">
        <f>$BB$62</f>
        <v>Electrowinning cell</v>
      </c>
      <c r="BB1218" s="449" t="s">
        <v>470</v>
      </c>
      <c r="BC1218" s="120"/>
      <c r="BD1218" s="454"/>
      <c r="BE1218" s="120"/>
      <c r="BF1218" s="440"/>
      <c r="BG1218" s="474"/>
      <c r="CA1218" s="114" t="str">
        <f>$CB$62</f>
        <v>Precipitation tank</v>
      </c>
      <c r="CB1218" s="449" t="s">
        <v>470</v>
      </c>
      <c r="CC1218" s="120"/>
      <c r="CD1218" s="454"/>
      <c r="CE1218" s="120"/>
      <c r="CF1218" s="440"/>
      <c r="CG1218" s="474"/>
      <c r="DA1218" s="114" t="str">
        <f>$DB$62</f>
        <v>Water treatment</v>
      </c>
      <c r="DB1218" s="449" t="s">
        <v>470</v>
      </c>
      <c r="DC1218" s="120"/>
      <c r="DD1218" s="454"/>
      <c r="DE1218" s="120"/>
      <c r="DF1218" s="440"/>
      <c r="DG1218" s="474"/>
      <c r="EA1218" s="114" t="str">
        <f>$EB$64</f>
        <v>Precipitation tank</v>
      </c>
      <c r="EB1218" s="449" t="s">
        <v>470</v>
      </c>
      <c r="EC1218" s="120"/>
      <c r="ED1218" s="454"/>
      <c r="EE1218" s="120"/>
      <c r="EF1218" s="440"/>
      <c r="EG1218" s="474"/>
    </row>
    <row r="1219" spans="53:137" ht="14.5" customHeight="1">
      <c r="BA1219" s="114" t="str">
        <f>$BB$63</f>
        <v>Solvent extraction unit</v>
      </c>
      <c r="BB1219" s="1698"/>
      <c r="BC1219" s="1699"/>
      <c r="BD1219" s="1699"/>
      <c r="BE1219" s="1699"/>
      <c r="BF1219" s="1700"/>
      <c r="BG1219" s="474"/>
      <c r="CA1219" s="114" t="str">
        <f>$CB$63</f>
        <v>Centrifuge</v>
      </c>
      <c r="CB1219" s="1698"/>
      <c r="CC1219" s="1699"/>
      <c r="CD1219" s="1699"/>
      <c r="CE1219" s="1699"/>
      <c r="CF1219" s="1700"/>
      <c r="CG1219" s="474"/>
      <c r="DA1219" s="114" t="str">
        <f>$DB$63</f>
        <v>Wheel loader</v>
      </c>
      <c r="DB1219" s="1698"/>
      <c r="DC1219" s="1699"/>
      <c r="DD1219" s="1699"/>
      <c r="DE1219" s="1699"/>
      <c r="DF1219" s="1700"/>
      <c r="DG1219" s="474"/>
      <c r="EA1219" s="114" t="str">
        <f>$EB$65</f>
        <v>Centrifuge</v>
      </c>
      <c r="EB1219" s="1698"/>
      <c r="EC1219" s="1699"/>
      <c r="ED1219" s="1699"/>
      <c r="EE1219" s="1699"/>
      <c r="EF1219" s="1700"/>
      <c r="EG1219" s="474"/>
    </row>
    <row r="1220" spans="53:137">
      <c r="BA1220" s="114" t="str">
        <f>$BB$64</f>
        <v>Solvent extraction unit</v>
      </c>
      <c r="BB1220" s="436"/>
      <c r="BC1220" s="120"/>
      <c r="BD1220" s="455"/>
      <c r="BE1220" s="120"/>
      <c r="BF1220" s="440"/>
      <c r="BG1220" s="180"/>
      <c r="CA1220" s="114" t="str">
        <f>$CB$64</f>
        <v>Dryer</v>
      </c>
      <c r="CB1220" s="436"/>
      <c r="CC1220" s="120"/>
      <c r="CD1220" s="455"/>
      <c r="CE1220" s="120"/>
      <c r="CF1220" s="440"/>
      <c r="CG1220" s="180"/>
      <c r="DA1220" s="114" t="str">
        <f>$DB$64</f>
        <v>Select Equipment</v>
      </c>
      <c r="DB1220" s="436"/>
      <c r="DC1220" s="120"/>
      <c r="DD1220" s="455"/>
      <c r="DE1220" s="120"/>
      <c r="DF1220" s="440"/>
      <c r="DG1220" s="180"/>
      <c r="EA1220" s="114" t="str">
        <f>$EB$66</f>
        <v>Dryer</v>
      </c>
      <c r="EB1220" s="436"/>
      <c r="EC1220" s="120"/>
      <c r="ED1220" s="455"/>
      <c r="EE1220" s="120"/>
      <c r="EF1220" s="440"/>
      <c r="EG1220" s="180"/>
    </row>
    <row r="1221" spans="53:137">
      <c r="BA1221" s="114" t="str">
        <f>$BB$65</f>
        <v>Wheel loader</v>
      </c>
      <c r="BB1221" s="436"/>
      <c r="BC1221" s="120"/>
      <c r="BD1221" s="455"/>
      <c r="BE1221" s="120"/>
      <c r="BF1221" s="440"/>
      <c r="CA1221" s="114" t="str">
        <f>$CB$65</f>
        <v>Water treatment</v>
      </c>
      <c r="CB1221" s="436"/>
      <c r="CC1221" s="120"/>
      <c r="CD1221" s="455"/>
      <c r="CE1221" s="120"/>
      <c r="CF1221" s="440"/>
      <c r="DA1221" s="114" t="str">
        <f>$DB$65</f>
        <v>Select Equipment</v>
      </c>
      <c r="DB1221" s="436"/>
      <c r="DC1221" s="120"/>
      <c r="DD1221" s="455"/>
      <c r="DE1221" s="120"/>
      <c r="DF1221" s="440"/>
      <c r="EA1221" s="114" t="str">
        <f>$EB$67</f>
        <v>Water treatment</v>
      </c>
      <c r="EB1221" s="436"/>
      <c r="EC1221" s="120"/>
      <c r="ED1221" s="455"/>
      <c r="EE1221" s="120"/>
      <c r="EF1221" s="440"/>
    </row>
    <row r="1222" spans="53:137">
      <c r="BA1222" s="114" t="str">
        <f>$BB$66</f>
        <v>Water treatment</v>
      </c>
      <c r="BB1222" s="456"/>
      <c r="BC1222" s="457"/>
      <c r="BD1222" s="457"/>
      <c r="BE1222" s="457"/>
      <c r="BF1222" s="458"/>
      <c r="CA1222" s="114" t="str">
        <f>$CB$66</f>
        <v>Wheel loader</v>
      </c>
      <c r="CB1222" s="456"/>
      <c r="CC1222" s="457"/>
      <c r="CD1222" s="457"/>
      <c r="CE1222" s="457"/>
      <c r="CF1222" s="458"/>
      <c r="DA1222" s="114" t="str">
        <f>$DB$66</f>
        <v>Select Equipment</v>
      </c>
      <c r="DB1222" s="456"/>
      <c r="DC1222" s="457"/>
      <c r="DD1222" s="457"/>
      <c r="DE1222" s="457"/>
      <c r="DF1222" s="458"/>
      <c r="EA1222" s="114" t="str">
        <f>$EB$68</f>
        <v>Wheel loader</v>
      </c>
      <c r="EB1222" s="456"/>
      <c r="EC1222" s="457"/>
      <c r="ED1222" s="457"/>
      <c r="EE1222" s="457"/>
      <c r="EF1222" s="458"/>
    </row>
    <row r="1223" spans="53:137">
      <c r="BA1223" s="114" t="str">
        <f>$BB$67</f>
        <v>Select Equipment</v>
      </c>
      <c r="BB1223" s="449" t="s">
        <v>471</v>
      </c>
      <c r="BC1223" s="120"/>
      <c r="BD1223" s="454"/>
      <c r="BE1223" s="120"/>
      <c r="BF1223" s="440"/>
      <c r="CA1223" s="114" t="str">
        <f>$CB$67</f>
        <v>Select Equipment</v>
      </c>
      <c r="CB1223" s="449" t="s">
        <v>471</v>
      </c>
      <c r="CC1223" s="120"/>
      <c r="CD1223" s="454"/>
      <c r="CE1223" s="120"/>
      <c r="CF1223" s="440"/>
      <c r="DA1223" s="114" t="str">
        <f>$DB$67</f>
        <v>Select Equipment</v>
      </c>
      <c r="DB1223" s="449" t="s">
        <v>471</v>
      </c>
      <c r="DC1223" s="120"/>
      <c r="DD1223" s="454"/>
      <c r="DE1223" s="120"/>
      <c r="DF1223" s="440"/>
      <c r="EA1223" s="114" t="str">
        <f>$EB$69</f>
        <v>Select Equipment</v>
      </c>
      <c r="EB1223" s="449" t="s">
        <v>471</v>
      </c>
      <c r="EC1223" s="120"/>
      <c r="ED1223" s="454"/>
      <c r="EE1223" s="120"/>
      <c r="EF1223" s="440"/>
    </row>
    <row r="1224" spans="53:137">
      <c r="BA1224" s="114" t="str">
        <f>$BB$68</f>
        <v>Select Equipment</v>
      </c>
      <c r="BB1224" s="436" t="s">
        <v>577</v>
      </c>
      <c r="BC1224" s="225">
        <f>BC1213*IF(BC1211&gt;1,1,BC1211)</f>
        <v>8.3753111830672662</v>
      </c>
      <c r="BD1224" s="446" t="s">
        <v>454</v>
      </c>
      <c r="BE1224" s="120"/>
      <c r="BF1224" s="440"/>
      <c r="CA1224" s="114" t="str">
        <f>$CB$68</f>
        <v>Select Equipment</v>
      </c>
      <c r="CB1224" s="436" t="s">
        <v>577</v>
      </c>
      <c r="CC1224" s="225">
        <f>CC1213*IF(CC1211&gt;1,1,CC1211)</f>
        <v>0</v>
      </c>
      <c r="CD1224" s="446" t="s">
        <v>454</v>
      </c>
      <c r="CE1224" s="120"/>
      <c r="CF1224" s="440"/>
      <c r="DA1224" s="114" t="str">
        <f>$DB$68</f>
        <v>Select Equipment</v>
      </c>
      <c r="DB1224" s="436" t="s">
        <v>577</v>
      </c>
      <c r="DC1224" s="225">
        <f>DC1213*IF(DC1211&gt;1,1,DC1211)</f>
        <v>0</v>
      </c>
      <c r="DD1224" s="446" t="s">
        <v>454</v>
      </c>
      <c r="DE1224" s="120"/>
      <c r="DF1224" s="440"/>
      <c r="EA1224" s="114" t="str">
        <f>$EB$70</f>
        <v>Select Equipment</v>
      </c>
      <c r="EB1224" s="436" t="s">
        <v>577</v>
      </c>
      <c r="EC1224" s="225">
        <f>EC1213*IF(EC1211&gt;1,1,EC1211)</f>
        <v>0</v>
      </c>
      <c r="ED1224" s="446" t="s">
        <v>454</v>
      </c>
      <c r="EE1224" s="120"/>
      <c r="EF1224" s="440"/>
    </row>
    <row r="1225" spans="53:137">
      <c r="BA1225" s="114" t="str">
        <f>$BB$69</f>
        <v>Select Equipment</v>
      </c>
      <c r="BB1225" s="436" t="s">
        <v>578</v>
      </c>
      <c r="BC1225" s="225"/>
      <c r="BD1225" s="446" t="s">
        <v>579</v>
      </c>
      <c r="BE1225" s="120"/>
      <c r="BF1225" s="440"/>
      <c r="CA1225" s="114" t="str">
        <f>$CB$69</f>
        <v>Select Equipment</v>
      </c>
      <c r="CB1225" s="436" t="s">
        <v>578</v>
      </c>
      <c r="CC1225" s="225"/>
      <c r="CD1225" s="446" t="s">
        <v>579</v>
      </c>
      <c r="CE1225" s="120"/>
      <c r="CF1225" s="440"/>
      <c r="DA1225" s="114" t="str">
        <f>$DB$69</f>
        <v>Select Equipment</v>
      </c>
      <c r="DB1225" s="436" t="s">
        <v>578</v>
      </c>
      <c r="DC1225" s="225"/>
      <c r="DD1225" s="446" t="s">
        <v>579</v>
      </c>
      <c r="DE1225" s="120"/>
      <c r="DF1225" s="440"/>
      <c r="EA1225" s="114" t="str">
        <f>$EB$71</f>
        <v>Select Equipment</v>
      </c>
      <c r="EB1225" s="436" t="s">
        <v>578</v>
      </c>
      <c r="EC1225" s="225"/>
      <c r="ED1225" s="446" t="s">
        <v>579</v>
      </c>
      <c r="EE1225" s="120"/>
      <c r="EF1225" s="440"/>
    </row>
    <row r="1226" spans="53:137">
      <c r="BA1226" s="114" t="str">
        <f>$BB$70</f>
        <v>Select Equipment</v>
      </c>
      <c r="BB1226" s="436"/>
      <c r="BC1226" s="120"/>
      <c r="BD1226" s="446"/>
      <c r="BE1226" s="120"/>
      <c r="BF1226" s="440"/>
      <c r="CA1226" s="114" t="str">
        <f>$CB$70</f>
        <v>Select Equipment</v>
      </c>
      <c r="CB1226" s="436"/>
      <c r="CC1226" s="120"/>
      <c r="CD1226" s="446"/>
      <c r="CE1226" s="120"/>
      <c r="CF1226" s="440"/>
      <c r="DA1226" s="114" t="str">
        <f>$DB$70</f>
        <v>Select Equipment</v>
      </c>
      <c r="DB1226" s="436"/>
      <c r="DC1226" s="120"/>
      <c r="DD1226" s="446"/>
      <c r="DE1226" s="120"/>
      <c r="DF1226" s="440"/>
      <c r="EA1226" s="114" t="str">
        <f>$EB$72</f>
        <v>Select Equipment</v>
      </c>
      <c r="EB1226" s="436"/>
      <c r="EC1226" s="120"/>
      <c r="ED1226" s="446"/>
      <c r="EE1226" s="120"/>
      <c r="EF1226" s="440"/>
    </row>
    <row r="1227" spans="53:137">
      <c r="BA1227" s="114" t="str">
        <f>$BB$71</f>
        <v>Select Equipment</v>
      </c>
      <c r="BB1227" s="436" t="s">
        <v>8</v>
      </c>
      <c r="BC1227" s="120"/>
      <c r="BD1227" s="459" t="s">
        <v>564</v>
      </c>
      <c r="BE1227" s="120"/>
      <c r="BF1227" s="440"/>
      <c r="CA1227" s="114" t="str">
        <f>$CB$71</f>
        <v>Select Equipment</v>
      </c>
      <c r="CB1227" s="436" t="s">
        <v>8</v>
      </c>
      <c r="CC1227" s="120"/>
      <c r="CD1227" s="459" t="s">
        <v>564</v>
      </c>
      <c r="CE1227" s="120"/>
      <c r="CF1227" s="440"/>
      <c r="DA1227" s="114" t="str">
        <f>$DB$71</f>
        <v>Select Equipment</v>
      </c>
      <c r="DB1227" s="436" t="s">
        <v>8</v>
      </c>
      <c r="DC1227" s="120"/>
      <c r="DD1227" s="459" t="s">
        <v>564</v>
      </c>
      <c r="DE1227" s="120"/>
      <c r="DF1227" s="440"/>
      <c r="EA1227" s="114" t="str">
        <f>$EB$73</f>
        <v>Select Equipment</v>
      </c>
      <c r="EB1227" s="436" t="s">
        <v>8</v>
      </c>
      <c r="EC1227" s="120"/>
      <c r="ED1227" s="459" t="s">
        <v>564</v>
      </c>
      <c r="EE1227" s="120"/>
      <c r="EF1227" s="440"/>
    </row>
    <row r="1228" spans="53:137">
      <c r="BA1228" s="114" t="str">
        <f>$BB$72</f>
        <v>Select Equipment</v>
      </c>
      <c r="BB1228" s="436"/>
      <c r="BC1228" s="120"/>
      <c r="BD1228" s="459"/>
      <c r="BE1228" s="120"/>
      <c r="BF1228" s="440"/>
      <c r="CA1228" s="114" t="str">
        <f>$CB$72</f>
        <v>Select Equipment</v>
      </c>
      <c r="CB1228" s="436"/>
      <c r="CC1228" s="120"/>
      <c r="CD1228" s="459"/>
      <c r="CE1228" s="120"/>
      <c r="CF1228" s="440"/>
      <c r="DA1228" s="114" t="str">
        <f>$DB$72</f>
        <v>Select Equipment</v>
      </c>
      <c r="DB1228" s="436"/>
      <c r="DC1228" s="120"/>
      <c r="DD1228" s="459"/>
      <c r="DE1228" s="120"/>
      <c r="DF1228" s="440"/>
      <c r="EA1228" s="114" t="str">
        <f>$EB$74</f>
        <v>Select Equipment</v>
      </c>
      <c r="EB1228" s="436"/>
      <c r="EC1228" s="120"/>
      <c r="ED1228" s="459"/>
      <c r="EE1228" s="120"/>
      <c r="EF1228" s="440"/>
    </row>
    <row r="1229" spans="53:137">
      <c r="BA1229" s="114" t="str">
        <f>$BB$73</f>
        <v>Select Equipment</v>
      </c>
      <c r="BB1229" s="436" t="s">
        <v>7</v>
      </c>
      <c r="BC1229" s="120"/>
      <c r="BD1229" s="459" t="s">
        <v>564</v>
      </c>
      <c r="BE1229" s="120"/>
      <c r="BF1229" s="440"/>
      <c r="CA1229" s="114" t="str">
        <f>$CB$73</f>
        <v>Select Equipment</v>
      </c>
      <c r="CB1229" s="436" t="s">
        <v>7</v>
      </c>
      <c r="CC1229" s="120"/>
      <c r="CD1229" s="459" t="s">
        <v>564</v>
      </c>
      <c r="CE1229" s="120"/>
      <c r="CF1229" s="440"/>
      <c r="DA1229" s="114" t="str">
        <f>$DB$73</f>
        <v>Select Equipment</v>
      </c>
      <c r="DB1229" s="436" t="s">
        <v>7</v>
      </c>
      <c r="DC1229" s="120"/>
      <c r="DD1229" s="459" t="s">
        <v>564</v>
      </c>
      <c r="DE1229" s="120"/>
      <c r="DF1229" s="440"/>
      <c r="EA1229" s="114" t="str">
        <f>$EB$75</f>
        <v>Select Equipment</v>
      </c>
      <c r="EB1229" s="436" t="s">
        <v>7</v>
      </c>
      <c r="EC1229" s="120"/>
      <c r="ED1229" s="459" t="s">
        <v>564</v>
      </c>
      <c r="EE1229" s="120"/>
      <c r="EF1229" s="440"/>
    </row>
    <row r="1230" spans="53:137">
      <c r="BA1230" s="114" t="str">
        <f>$BB$74</f>
        <v>Select Equipment</v>
      </c>
      <c r="BB1230" s="436"/>
      <c r="BC1230" s="120"/>
      <c r="BD1230" s="459"/>
      <c r="BE1230" s="120"/>
      <c r="BF1230" s="440"/>
      <c r="CA1230" s="114" t="str">
        <f>$CB$74</f>
        <v>Select Equipment</v>
      </c>
      <c r="CB1230" s="436"/>
      <c r="CC1230" s="120"/>
      <c r="CD1230" s="459"/>
      <c r="CE1230" s="120"/>
      <c r="CF1230" s="440"/>
      <c r="DA1230" s="114" t="str">
        <f>$DB$74</f>
        <v>Select Equipment</v>
      </c>
      <c r="DB1230" s="436"/>
      <c r="DC1230" s="120"/>
      <c r="DD1230" s="459"/>
      <c r="DE1230" s="120"/>
      <c r="DF1230" s="440"/>
      <c r="EA1230" s="114" t="str">
        <f>$EB$76</f>
        <v>Select Equipment</v>
      </c>
      <c r="EB1230" s="436"/>
      <c r="EC1230" s="120"/>
      <c r="ED1230" s="459"/>
      <c r="EE1230" s="120"/>
      <c r="EF1230" s="440"/>
    </row>
    <row r="1231" spans="53:137">
      <c r="BA1231" s="114" t="str">
        <f>$BB$75</f>
        <v>Select Equipment</v>
      </c>
      <c r="BB1231" s="436" t="s">
        <v>9</v>
      </c>
      <c r="BC1231" s="120"/>
      <c r="BD1231" s="459" t="s">
        <v>564</v>
      </c>
      <c r="BE1231" s="120"/>
      <c r="BF1231" s="440"/>
      <c r="CA1231" s="114" t="str">
        <f>$CB$75</f>
        <v>Select Equipment</v>
      </c>
      <c r="CB1231" s="436" t="s">
        <v>9</v>
      </c>
      <c r="CC1231" s="120"/>
      <c r="CD1231" s="459" t="s">
        <v>564</v>
      </c>
      <c r="CE1231" s="120"/>
      <c r="CF1231" s="440"/>
      <c r="DA1231" s="114" t="str">
        <f>$DB$75</f>
        <v>Select Equipment</v>
      </c>
      <c r="DB1231" s="436" t="s">
        <v>9</v>
      </c>
      <c r="DC1231" s="120"/>
      <c r="DD1231" s="459" t="s">
        <v>564</v>
      </c>
      <c r="DE1231" s="120"/>
      <c r="DF1231" s="440"/>
      <c r="EA1231" s="114" t="str">
        <f>$EB$77</f>
        <v>Select Equipment</v>
      </c>
      <c r="EB1231" s="436" t="s">
        <v>9</v>
      </c>
      <c r="EC1231" s="120"/>
      <c r="ED1231" s="459" t="s">
        <v>564</v>
      </c>
      <c r="EE1231" s="120"/>
      <c r="EF1231" s="440"/>
    </row>
    <row r="1232" spans="53:137">
      <c r="BA1232" s="114" t="str">
        <f>$BB$76</f>
        <v>Select Equipment</v>
      </c>
      <c r="BB1232" s="436"/>
      <c r="BC1232" s="120"/>
      <c r="BD1232" s="459"/>
      <c r="BE1232" s="120"/>
      <c r="BF1232" s="440"/>
      <c r="CA1232" s="114" t="str">
        <f>$CB$76</f>
        <v>Select Equipment</v>
      </c>
      <c r="CB1232" s="436"/>
      <c r="CC1232" s="120"/>
      <c r="CD1232" s="459"/>
      <c r="CE1232" s="120"/>
      <c r="CF1232" s="440"/>
      <c r="DA1232" s="114" t="str">
        <f>$DB$76</f>
        <v>Select Equipment</v>
      </c>
      <c r="DB1232" s="436"/>
      <c r="DC1232" s="120"/>
      <c r="DD1232" s="459"/>
      <c r="DE1232" s="120"/>
      <c r="DF1232" s="440"/>
      <c r="EA1232" s="114" t="str">
        <f>$EB$78</f>
        <v>Select Equipment</v>
      </c>
      <c r="EB1232" s="436"/>
      <c r="EC1232" s="120"/>
      <c r="ED1232" s="459"/>
      <c r="EE1232" s="120"/>
      <c r="EF1232" s="440"/>
    </row>
    <row r="1233" spans="53:136">
      <c r="BA1233" s="114" t="str">
        <f>$BB$77</f>
        <v>Select Equipment</v>
      </c>
      <c r="BB1233" s="436" t="s">
        <v>324</v>
      </c>
      <c r="BC1233" s="120"/>
      <c r="BD1233" s="459" t="s">
        <v>564</v>
      </c>
      <c r="BE1233" s="120"/>
      <c r="BF1233" s="440" t="s">
        <v>569</v>
      </c>
      <c r="CA1233" s="114" t="str">
        <f>$CB$77</f>
        <v>Select Equipment</v>
      </c>
      <c r="CB1233" s="436" t="s">
        <v>324</v>
      </c>
      <c r="CC1233" s="120"/>
      <c r="CD1233" s="459" t="s">
        <v>564</v>
      </c>
      <c r="CE1233" s="120"/>
      <c r="CF1233" s="440" t="s">
        <v>569</v>
      </c>
      <c r="DA1233" s="114" t="str">
        <f>$DB$77</f>
        <v>Select Equipment</v>
      </c>
      <c r="DB1233" s="436" t="s">
        <v>324</v>
      </c>
      <c r="DC1233" s="120"/>
      <c r="DD1233" s="459" t="s">
        <v>564</v>
      </c>
      <c r="DE1233" s="120"/>
      <c r="DF1233" s="440" t="s">
        <v>569</v>
      </c>
      <c r="EA1233" s="114" t="str">
        <f>$EB$79</f>
        <v>Select Equipment</v>
      </c>
      <c r="EB1233" s="436" t="s">
        <v>324</v>
      </c>
      <c r="EC1233" s="120"/>
      <c r="ED1233" s="459" t="s">
        <v>564</v>
      </c>
      <c r="EE1233" s="120"/>
      <c r="EF1233" s="440" t="s">
        <v>569</v>
      </c>
    </row>
    <row r="1234" spans="53:136">
      <c r="BA1234" s="114" t="str">
        <f>$BB$78</f>
        <v>Select Equipment</v>
      </c>
      <c r="BB1234" s="436"/>
      <c r="BC1234" s="120"/>
      <c r="BD1234" s="468"/>
      <c r="BE1234" s="469"/>
      <c r="BF1234" s="440"/>
      <c r="CA1234" s="114" t="str">
        <f>$CB$78</f>
        <v>Select Equipment</v>
      </c>
      <c r="CB1234" s="436"/>
      <c r="CC1234" s="120"/>
      <c r="CD1234" s="468"/>
      <c r="CE1234" s="469"/>
      <c r="CF1234" s="440"/>
      <c r="DA1234" s="114" t="str">
        <f>$DB$78</f>
        <v>Select Equipment</v>
      </c>
      <c r="DB1234" s="436"/>
      <c r="DC1234" s="120"/>
      <c r="DD1234" s="468"/>
      <c r="DE1234" s="469"/>
      <c r="DF1234" s="440"/>
      <c r="EA1234" s="114" t="str">
        <f>$EB$80</f>
        <v>Select Equipment</v>
      </c>
      <c r="EB1234" s="436"/>
      <c r="EC1234" s="120"/>
      <c r="ED1234" s="468"/>
      <c r="EE1234" s="469"/>
      <c r="EF1234" s="440"/>
    </row>
    <row r="1235" spans="53:136">
      <c r="BA1235" s="114" t="str">
        <f>$BB$79</f>
        <v>Select Equipment</v>
      </c>
      <c r="BB1235" s="436" t="s">
        <v>374</v>
      </c>
      <c r="BC1235" s="120"/>
      <c r="BD1235" s="459" t="s">
        <v>564</v>
      </c>
      <c r="BE1235" s="469"/>
      <c r="BF1235" s="440" t="s">
        <v>569</v>
      </c>
      <c r="CA1235" s="114" t="str">
        <f>$CB$79</f>
        <v>Select Equipment</v>
      </c>
      <c r="CB1235" s="436" t="s">
        <v>374</v>
      </c>
      <c r="CC1235" s="120"/>
      <c r="CD1235" s="459" t="s">
        <v>564</v>
      </c>
      <c r="CE1235" s="469"/>
      <c r="CF1235" s="440" t="s">
        <v>569</v>
      </c>
      <c r="DA1235" s="114" t="str">
        <f>$DB$79</f>
        <v>Select Equipment</v>
      </c>
      <c r="DB1235" s="436" t="s">
        <v>374</v>
      </c>
      <c r="DC1235" s="120"/>
      <c r="DD1235" s="459" t="s">
        <v>564</v>
      </c>
      <c r="DE1235" s="469"/>
      <c r="DF1235" s="440" t="s">
        <v>569</v>
      </c>
      <c r="EA1235" s="114" t="str">
        <f>$EB$81</f>
        <v>Select Equipment</v>
      </c>
      <c r="EB1235" s="436" t="s">
        <v>374</v>
      </c>
      <c r="EC1235" s="120"/>
      <c r="ED1235" s="459" t="s">
        <v>564</v>
      </c>
      <c r="EE1235" s="469"/>
      <c r="EF1235" s="440" t="s">
        <v>569</v>
      </c>
    </row>
    <row r="1236" spans="53:136">
      <c r="BA1236" s="114" t="str">
        <f>$BB$80</f>
        <v>Select Equipment</v>
      </c>
      <c r="BB1236" s="436"/>
      <c r="BC1236" s="120"/>
      <c r="BD1236" s="472"/>
      <c r="BE1236" s="473"/>
      <c r="BF1236" s="440"/>
      <c r="CA1236" s="114" t="str">
        <f>$CB$80</f>
        <v>Select Equipment</v>
      </c>
      <c r="CB1236" s="436"/>
      <c r="CC1236" s="120"/>
      <c r="CD1236" s="472"/>
      <c r="CE1236" s="473"/>
      <c r="CF1236" s="440"/>
      <c r="DA1236" s="114" t="str">
        <f>$DB$80</f>
        <v>Select Equipment</v>
      </c>
      <c r="DB1236" s="436"/>
      <c r="DC1236" s="120"/>
      <c r="DD1236" s="472"/>
      <c r="DE1236" s="473"/>
      <c r="DF1236" s="440"/>
      <c r="EA1236" s="114" t="str">
        <f>$EB$82</f>
        <v>Select Equipment</v>
      </c>
      <c r="EB1236" s="436"/>
      <c r="EC1236" s="120"/>
      <c r="ED1236" s="472"/>
      <c r="EE1236" s="473"/>
      <c r="EF1236" s="440"/>
    </row>
    <row r="1237" spans="53:136">
      <c r="BA1237" s="114" t="str">
        <f>$BB$81</f>
        <v>Select Equipment</v>
      </c>
      <c r="BB1237" s="436" t="s">
        <v>580</v>
      </c>
      <c r="BC1237" s="120"/>
      <c r="BD1237" s="459" t="s">
        <v>564</v>
      </c>
      <c r="BE1237" s="473"/>
      <c r="BF1237" s="440" t="s">
        <v>569</v>
      </c>
      <c r="CA1237" s="114" t="str">
        <f>$CB$81</f>
        <v>Select Equipment</v>
      </c>
      <c r="CB1237" s="436" t="s">
        <v>580</v>
      </c>
      <c r="CC1237" s="120"/>
      <c r="CD1237" s="459" t="s">
        <v>564</v>
      </c>
      <c r="CE1237" s="473"/>
      <c r="CF1237" s="440" t="s">
        <v>569</v>
      </c>
      <c r="DA1237" s="114" t="str">
        <f>$DB$81</f>
        <v>Select Equipment</v>
      </c>
      <c r="DB1237" s="436" t="s">
        <v>580</v>
      </c>
      <c r="DC1237" s="120"/>
      <c r="DD1237" s="459" t="s">
        <v>564</v>
      </c>
      <c r="DE1237" s="473"/>
      <c r="DF1237" s="440" t="s">
        <v>569</v>
      </c>
      <c r="EA1237" s="114" t="str">
        <f>$EB$83</f>
        <v>Select Equipment</v>
      </c>
      <c r="EB1237" s="436" t="s">
        <v>580</v>
      </c>
      <c r="EC1237" s="120"/>
      <c r="ED1237" s="459" t="s">
        <v>564</v>
      </c>
      <c r="EE1237" s="473"/>
      <c r="EF1237" s="440" t="s">
        <v>569</v>
      </c>
    </row>
    <row r="1238" spans="53:136">
      <c r="BA1238" s="114" t="str">
        <f>$BB$82</f>
        <v>Select Equipment</v>
      </c>
      <c r="BB1238" s="476"/>
      <c r="BC1238" s="477"/>
      <c r="BD1238" s="478"/>
      <c r="BE1238" s="479"/>
      <c r="BF1238" s="458"/>
      <c r="CA1238" s="114" t="str">
        <f>$CB$82</f>
        <v>Select Equipment</v>
      </c>
      <c r="CB1238" s="476"/>
      <c r="CC1238" s="477"/>
      <c r="CD1238" s="478"/>
      <c r="CE1238" s="479"/>
      <c r="CF1238" s="458"/>
      <c r="DA1238" s="114" t="str">
        <f>$DB$82</f>
        <v>Select Equipment</v>
      </c>
      <c r="DB1238" s="476"/>
      <c r="DC1238" s="477"/>
      <c r="DD1238" s="478"/>
      <c r="DE1238" s="479"/>
      <c r="DF1238" s="458"/>
      <c r="EA1238" s="114" t="str">
        <f>$EB$84</f>
        <v>Select Equipment</v>
      </c>
      <c r="EB1238" s="476"/>
      <c r="EC1238" s="477"/>
      <c r="ED1238" s="478"/>
      <c r="EE1238" s="479"/>
      <c r="EF1238" s="458"/>
    </row>
    <row r="1239" spans="53:136">
      <c r="BA1239" s="114" t="str">
        <f>$BB$83</f>
        <v>Select Equipment</v>
      </c>
      <c r="BB1239" s="449" t="s">
        <v>473</v>
      </c>
      <c r="BC1239" s="467" t="s">
        <v>508</v>
      </c>
      <c r="BD1239" s="480"/>
      <c r="BE1239" s="481" t="s">
        <v>308</v>
      </c>
      <c r="BF1239" s="440"/>
      <c r="CA1239" s="114" t="str">
        <f>$CB$83</f>
        <v>Select Equipment</v>
      </c>
      <c r="CB1239" s="449" t="s">
        <v>473</v>
      </c>
      <c r="CC1239" s="467" t="s">
        <v>508</v>
      </c>
      <c r="CD1239" s="480"/>
      <c r="CE1239" s="481" t="s">
        <v>308</v>
      </c>
      <c r="CF1239" s="440"/>
      <c r="DA1239" s="114" t="str">
        <f>$DB$83</f>
        <v>Select Equipment</v>
      </c>
      <c r="DB1239" s="449" t="s">
        <v>473</v>
      </c>
      <c r="DC1239" s="467" t="s">
        <v>508</v>
      </c>
      <c r="DD1239" s="480"/>
      <c r="DE1239" s="481" t="s">
        <v>308</v>
      </c>
      <c r="DF1239" s="440"/>
      <c r="EA1239" s="114" t="str">
        <f>$EB$85</f>
        <v>Select Equipment</v>
      </c>
      <c r="EB1239" s="449" t="s">
        <v>473</v>
      </c>
      <c r="EC1239" s="467" t="s">
        <v>508</v>
      </c>
      <c r="ED1239" s="480"/>
      <c r="EE1239" s="481" t="s">
        <v>308</v>
      </c>
      <c r="EF1239" s="440"/>
    </row>
    <row r="1240" spans="53:136">
      <c r="BB1240" s="436"/>
      <c r="BC1240" s="483"/>
      <c r="BD1240" s="480"/>
      <c r="BE1240" s="484"/>
      <c r="BF1240" s="440"/>
      <c r="CB1240" s="436"/>
      <c r="CC1240" s="483"/>
      <c r="CD1240" s="480"/>
      <c r="CE1240" s="484"/>
      <c r="CF1240" s="440"/>
      <c r="DB1240" s="436"/>
      <c r="DC1240" s="483"/>
      <c r="DD1240" s="480"/>
      <c r="DE1240" s="484"/>
      <c r="DF1240" s="440"/>
      <c r="EB1240" s="436"/>
      <c r="EC1240" s="483"/>
      <c r="ED1240" s="480"/>
      <c r="EE1240" s="484"/>
      <c r="EF1240" s="440"/>
    </row>
    <row r="1241" spans="53:136">
      <c r="BB1241" s="436"/>
      <c r="BC1241" s="120"/>
      <c r="BD1241" s="223"/>
      <c r="BE1241" s="467"/>
      <c r="BF1241" s="440"/>
      <c r="CB1241" s="436"/>
      <c r="CC1241" s="120"/>
      <c r="CD1241" s="223"/>
      <c r="CE1241" s="467"/>
      <c r="CF1241" s="440"/>
      <c r="DB1241" s="436"/>
      <c r="DC1241" s="120"/>
      <c r="DD1241" s="223"/>
      <c r="DE1241" s="467"/>
      <c r="DF1241" s="440"/>
      <c r="EB1241" s="436"/>
      <c r="EC1241" s="120"/>
      <c r="ED1241" s="223"/>
      <c r="EE1241" s="467"/>
      <c r="EF1241" s="440"/>
    </row>
    <row r="1242" spans="53:136">
      <c r="BB1242" s="436"/>
      <c r="BC1242" s="120"/>
      <c r="BD1242" s="466"/>
      <c r="BE1242" s="467"/>
      <c r="BF1242" s="440"/>
      <c r="CB1242" s="436"/>
      <c r="CC1242" s="120"/>
      <c r="CD1242" s="466"/>
      <c r="CE1242" s="467"/>
      <c r="CF1242" s="440"/>
      <c r="DB1242" s="436"/>
      <c r="DC1242" s="120"/>
      <c r="DD1242" s="466"/>
      <c r="DE1242" s="467"/>
      <c r="DF1242" s="440"/>
      <c r="EB1242" s="436"/>
      <c r="EC1242" s="120"/>
      <c r="ED1242" s="466"/>
      <c r="EE1242" s="467"/>
      <c r="EF1242" s="440"/>
    </row>
    <row r="1243" spans="53:136">
      <c r="BB1243" s="436"/>
      <c r="BC1243" s="120"/>
      <c r="BD1243" s="223"/>
      <c r="BE1243" s="467"/>
      <c r="BF1243" s="440"/>
      <c r="CB1243" s="436"/>
      <c r="CC1243" s="120"/>
      <c r="CD1243" s="223"/>
      <c r="CE1243" s="467"/>
      <c r="CF1243" s="440"/>
      <c r="DB1243" s="436"/>
      <c r="DC1243" s="120"/>
      <c r="DD1243" s="223"/>
      <c r="DE1243" s="467"/>
      <c r="DF1243" s="440"/>
      <c r="EB1243" s="436"/>
      <c r="EC1243" s="120"/>
      <c r="ED1243" s="223"/>
      <c r="EE1243" s="467"/>
      <c r="EF1243" s="440"/>
    </row>
    <row r="1244" spans="53:136">
      <c r="BB1244" s="436"/>
      <c r="BC1244" s="120"/>
      <c r="BD1244" s="223"/>
      <c r="BE1244" s="467"/>
      <c r="BF1244" s="440"/>
      <c r="CB1244" s="436"/>
      <c r="CC1244" s="120"/>
      <c r="CD1244" s="223"/>
      <c r="CE1244" s="467"/>
      <c r="CF1244" s="440"/>
      <c r="DB1244" s="436"/>
      <c r="DC1244" s="120"/>
      <c r="DD1244" s="223"/>
      <c r="DE1244" s="467"/>
      <c r="DF1244" s="440"/>
      <c r="EB1244" s="436"/>
      <c r="EC1244" s="120"/>
      <c r="ED1244" s="223"/>
      <c r="EE1244" s="467"/>
      <c r="EF1244" s="440"/>
    </row>
    <row r="1245" spans="53:136">
      <c r="BB1245" s="436"/>
      <c r="BC1245" s="120"/>
      <c r="BD1245" s="471"/>
      <c r="BE1245" s="467"/>
      <c r="BF1245" s="440"/>
      <c r="CB1245" s="436"/>
      <c r="CC1245" s="120"/>
      <c r="CD1245" s="471"/>
      <c r="CE1245" s="467"/>
      <c r="CF1245" s="440"/>
      <c r="DB1245" s="436"/>
      <c r="DC1245" s="120"/>
      <c r="DD1245" s="471"/>
      <c r="DE1245" s="467"/>
      <c r="DF1245" s="440"/>
      <c r="EB1245" s="436"/>
      <c r="EC1245" s="120"/>
      <c r="ED1245" s="471"/>
      <c r="EE1245" s="467"/>
      <c r="EF1245" s="440"/>
    </row>
    <row r="1246" spans="53:136">
      <c r="BB1246" s="436"/>
      <c r="BC1246" s="120"/>
      <c r="BD1246" s="223"/>
      <c r="BE1246" s="467"/>
      <c r="BF1246" s="440"/>
      <c r="CB1246" s="436"/>
      <c r="CC1246" s="120"/>
      <c r="CD1246" s="223"/>
      <c r="CE1246" s="467"/>
      <c r="CF1246" s="440"/>
      <c r="DB1246" s="436"/>
      <c r="DC1246" s="120"/>
      <c r="DD1246" s="223"/>
      <c r="DE1246" s="467"/>
      <c r="DF1246" s="440"/>
      <c r="EB1246" s="436"/>
      <c r="EC1246" s="120"/>
      <c r="ED1246" s="223"/>
      <c r="EE1246" s="467"/>
      <c r="EF1246" s="440"/>
    </row>
    <row r="1247" spans="53:136">
      <c r="BB1247" s="436"/>
      <c r="BC1247" s="120"/>
      <c r="BD1247" s="475"/>
      <c r="BE1247" s="467"/>
      <c r="BF1247" s="440"/>
      <c r="CB1247" s="436"/>
      <c r="CC1247" s="120"/>
      <c r="CD1247" s="475"/>
      <c r="CE1247" s="467"/>
      <c r="CF1247" s="440"/>
      <c r="DB1247" s="436"/>
      <c r="DC1247" s="120"/>
      <c r="DD1247" s="475"/>
      <c r="DE1247" s="467"/>
      <c r="DF1247" s="440"/>
      <c r="EB1247" s="436"/>
      <c r="EC1247" s="120"/>
      <c r="ED1247" s="475"/>
      <c r="EE1247" s="467"/>
      <c r="EF1247" s="440"/>
    </row>
    <row r="1248" spans="53:136">
      <c r="BB1248" s="436"/>
      <c r="BC1248" s="120"/>
      <c r="BD1248" s="223"/>
      <c r="BE1248" s="467"/>
      <c r="BF1248" s="440"/>
      <c r="CB1248" s="436"/>
      <c r="CC1248" s="120"/>
      <c r="CD1248" s="223"/>
      <c r="CE1248" s="467"/>
      <c r="CF1248" s="440"/>
      <c r="DB1248" s="436"/>
      <c r="DC1248" s="120"/>
      <c r="DD1248" s="223"/>
      <c r="DE1248" s="467"/>
      <c r="DF1248" s="440"/>
      <c r="EB1248" s="436"/>
      <c r="EC1248" s="120"/>
      <c r="ED1248" s="223"/>
      <c r="EE1248" s="467"/>
      <c r="EF1248" s="440"/>
    </row>
    <row r="1249" spans="54:136">
      <c r="BB1249" s="436"/>
      <c r="BC1249" s="120"/>
      <c r="BD1249" s="223"/>
      <c r="BE1249" s="467"/>
      <c r="BF1249" s="440"/>
      <c r="CB1249" s="436"/>
      <c r="CC1249" s="120"/>
      <c r="CD1249" s="223"/>
      <c r="CE1249" s="467"/>
      <c r="CF1249" s="440"/>
      <c r="DB1249" s="436"/>
      <c r="DC1249" s="120"/>
      <c r="DD1249" s="223"/>
      <c r="DE1249" s="467"/>
      <c r="DF1249" s="440"/>
      <c r="EB1249" s="436"/>
      <c r="EC1249" s="120"/>
      <c r="ED1249" s="223"/>
      <c r="EE1249" s="467"/>
      <c r="EF1249" s="440"/>
    </row>
    <row r="1250" spans="54:136">
      <c r="BB1250" s="436"/>
      <c r="BC1250" s="120"/>
      <c r="BD1250" s="223"/>
      <c r="BE1250" s="467"/>
      <c r="BF1250" s="440"/>
      <c r="CB1250" s="436"/>
      <c r="CC1250" s="120"/>
      <c r="CD1250" s="223"/>
      <c r="CE1250" s="467"/>
      <c r="CF1250" s="440"/>
      <c r="DB1250" s="436"/>
      <c r="DC1250" s="120"/>
      <c r="DD1250" s="223"/>
      <c r="DE1250" s="467"/>
      <c r="DF1250" s="440"/>
      <c r="EB1250" s="436"/>
      <c r="EC1250" s="120"/>
      <c r="ED1250" s="223"/>
      <c r="EE1250" s="467"/>
      <c r="EF1250" s="440"/>
    </row>
    <row r="1251" spans="54:136">
      <c r="BB1251" s="436"/>
      <c r="BC1251" s="120"/>
      <c r="BD1251" s="223"/>
      <c r="BE1251" s="467"/>
      <c r="BF1251" s="440"/>
      <c r="CB1251" s="436"/>
      <c r="CC1251" s="120"/>
      <c r="CD1251" s="223"/>
      <c r="CE1251" s="467"/>
      <c r="CF1251" s="440"/>
      <c r="DB1251" s="436"/>
      <c r="DC1251" s="120"/>
      <c r="DD1251" s="223"/>
      <c r="DE1251" s="467"/>
      <c r="DF1251" s="440"/>
      <c r="EB1251" s="436"/>
      <c r="EC1251" s="120"/>
      <c r="ED1251" s="223"/>
      <c r="EE1251" s="467"/>
      <c r="EF1251" s="440"/>
    </row>
    <row r="1252" spans="54:136">
      <c r="BB1252" s="436"/>
      <c r="BC1252" s="120"/>
      <c r="BD1252" s="120"/>
      <c r="BE1252" s="467"/>
      <c r="BF1252" s="440"/>
      <c r="CB1252" s="436"/>
      <c r="CC1252" s="120"/>
      <c r="CD1252" s="120"/>
      <c r="CE1252" s="467"/>
      <c r="CF1252" s="440"/>
      <c r="DB1252" s="436"/>
      <c r="DC1252" s="120"/>
      <c r="DD1252" s="120"/>
      <c r="DE1252" s="467"/>
      <c r="DF1252" s="440"/>
      <c r="EB1252" s="436"/>
      <c r="EC1252" s="120"/>
      <c r="ED1252" s="120"/>
      <c r="EE1252" s="467"/>
      <c r="EF1252" s="440"/>
    </row>
    <row r="1253" spans="54:136">
      <c r="BB1253" s="456"/>
      <c r="BC1253" s="457"/>
      <c r="BD1253" s="457"/>
      <c r="BE1253" s="477"/>
      <c r="BF1253" s="458"/>
      <c r="CB1253" s="456"/>
      <c r="CC1253" s="457"/>
      <c r="CD1253" s="457"/>
      <c r="CE1253" s="477"/>
      <c r="CF1253" s="458"/>
      <c r="DB1253" s="456"/>
      <c r="DC1253" s="457"/>
      <c r="DD1253" s="457"/>
      <c r="DE1253" s="477"/>
      <c r="DF1253" s="458"/>
      <c r="EB1253" s="456"/>
      <c r="EC1253" s="457"/>
      <c r="ED1253" s="457"/>
      <c r="EE1253" s="477"/>
      <c r="EF1253" s="458"/>
    </row>
    <row r="1254" spans="54:136">
      <c r="BB1254" s="449" t="s">
        <v>474</v>
      </c>
      <c r="BC1254" s="120"/>
      <c r="BD1254" s="120" t="s">
        <v>1</v>
      </c>
      <c r="BE1254" s="310" t="s">
        <v>307</v>
      </c>
      <c r="BF1254" s="440"/>
      <c r="CB1254" s="449" t="s">
        <v>474</v>
      </c>
      <c r="CC1254" s="120"/>
      <c r="CD1254" s="120" t="s">
        <v>1</v>
      </c>
      <c r="CE1254" s="310" t="s">
        <v>307</v>
      </c>
      <c r="CF1254" s="440"/>
      <c r="DB1254" s="449" t="s">
        <v>474</v>
      </c>
      <c r="DC1254" s="120"/>
      <c r="DD1254" s="120" t="s">
        <v>1</v>
      </c>
      <c r="DE1254" s="310" t="s">
        <v>307</v>
      </c>
      <c r="DF1254" s="440"/>
      <c r="EB1254" s="449" t="s">
        <v>474</v>
      </c>
      <c r="EC1254" s="120"/>
      <c r="ED1254" s="120" t="s">
        <v>1</v>
      </c>
      <c r="EE1254" s="310" t="s">
        <v>307</v>
      </c>
      <c r="EF1254" s="440"/>
    </row>
    <row r="1255" spans="54:136">
      <c r="BB1255" s="436"/>
      <c r="BC1255" s="223"/>
      <c r="BD1255" s="480"/>
      <c r="BE1255" s="484"/>
      <c r="BF1255" s="440"/>
      <c r="CB1255" s="436"/>
      <c r="CC1255" s="223"/>
      <c r="CD1255" s="480"/>
      <c r="CE1255" s="484"/>
      <c r="CF1255" s="440"/>
      <c r="DB1255" s="436"/>
      <c r="DC1255" s="223"/>
      <c r="DD1255" s="480"/>
      <c r="DE1255" s="484"/>
      <c r="DF1255" s="440"/>
      <c r="EB1255" s="436"/>
      <c r="EC1255" s="223"/>
      <c r="ED1255" s="480"/>
      <c r="EE1255" s="484"/>
      <c r="EF1255" s="440"/>
    </row>
    <row r="1256" spans="54:136">
      <c r="BB1256" s="436"/>
      <c r="BC1256" s="120"/>
      <c r="BD1256" s="120"/>
      <c r="BE1256" s="467"/>
      <c r="BF1256" s="440"/>
      <c r="CB1256" s="436"/>
      <c r="CC1256" s="120"/>
      <c r="CD1256" s="120"/>
      <c r="CE1256" s="467"/>
      <c r="CF1256" s="440"/>
      <c r="DB1256" s="436"/>
      <c r="DC1256" s="120"/>
      <c r="DD1256" s="120"/>
      <c r="DE1256" s="467"/>
      <c r="DF1256" s="440"/>
      <c r="EB1256" s="436"/>
      <c r="EC1256" s="120"/>
      <c r="ED1256" s="120"/>
      <c r="EE1256" s="467"/>
      <c r="EF1256" s="440"/>
    </row>
    <row r="1257" spans="54:136">
      <c r="BB1257" s="436"/>
      <c r="BC1257" s="120"/>
      <c r="BD1257" s="120"/>
      <c r="BE1257" s="467"/>
      <c r="BF1257" s="440"/>
      <c r="CB1257" s="436"/>
      <c r="CC1257" s="120"/>
      <c r="CD1257" s="120"/>
      <c r="CE1257" s="467"/>
      <c r="CF1257" s="440"/>
      <c r="DB1257" s="436"/>
      <c r="DC1257" s="120"/>
      <c r="DD1257" s="120"/>
      <c r="DE1257" s="467"/>
      <c r="DF1257" s="440"/>
      <c r="EB1257" s="436"/>
      <c r="EC1257" s="120"/>
      <c r="ED1257" s="120"/>
      <c r="EE1257" s="467"/>
      <c r="EF1257" s="440"/>
    </row>
    <row r="1258" spans="54:136">
      <c r="BB1258" s="436"/>
      <c r="BC1258" s="120"/>
      <c r="BD1258" s="120"/>
      <c r="BE1258" s="467"/>
      <c r="BF1258" s="440"/>
      <c r="CB1258" s="436"/>
      <c r="CC1258" s="120"/>
      <c r="CD1258" s="120"/>
      <c r="CE1258" s="467"/>
      <c r="CF1258" s="440"/>
      <c r="DB1258" s="436"/>
      <c r="DC1258" s="120"/>
      <c r="DD1258" s="120"/>
      <c r="DE1258" s="467"/>
      <c r="DF1258" s="440"/>
      <c r="EB1258" s="436"/>
      <c r="EC1258" s="120"/>
      <c r="ED1258" s="120"/>
      <c r="EE1258" s="467"/>
      <c r="EF1258" s="440"/>
    </row>
    <row r="1259" spans="54:136">
      <c r="BB1259" s="436"/>
      <c r="BC1259" s="120"/>
      <c r="BD1259" s="120"/>
      <c r="BE1259" s="467"/>
      <c r="BF1259" s="440"/>
      <c r="CB1259" s="436"/>
      <c r="CC1259" s="120"/>
      <c r="CD1259" s="120"/>
      <c r="CE1259" s="467"/>
      <c r="CF1259" s="440"/>
      <c r="DB1259" s="436"/>
      <c r="DC1259" s="120"/>
      <c r="DD1259" s="120"/>
      <c r="DE1259" s="467"/>
      <c r="DF1259" s="440"/>
      <c r="EB1259" s="436"/>
      <c r="EC1259" s="120"/>
      <c r="ED1259" s="120"/>
      <c r="EE1259" s="467"/>
      <c r="EF1259" s="440"/>
    </row>
    <row r="1260" spans="54:136">
      <c r="BB1260" s="436"/>
      <c r="BC1260" s="120"/>
      <c r="BD1260" s="120"/>
      <c r="BE1260" s="467"/>
      <c r="BF1260" s="440"/>
      <c r="CB1260" s="436"/>
      <c r="CC1260" s="120"/>
      <c r="CD1260" s="120"/>
      <c r="CE1260" s="467"/>
      <c r="CF1260" s="440"/>
      <c r="DB1260" s="436"/>
      <c r="DC1260" s="120"/>
      <c r="DD1260" s="120"/>
      <c r="DE1260" s="467"/>
      <c r="DF1260" s="440"/>
      <c r="EB1260" s="436"/>
      <c r="EC1260" s="120"/>
      <c r="ED1260" s="120"/>
      <c r="EE1260" s="467"/>
      <c r="EF1260" s="440"/>
    </row>
    <row r="1261" spans="54:136">
      <c r="BB1261" s="436"/>
      <c r="BC1261" s="120"/>
      <c r="BD1261" s="120"/>
      <c r="BE1261" s="467"/>
      <c r="BF1261" s="440"/>
      <c r="CB1261" s="436"/>
      <c r="CC1261" s="120"/>
      <c r="CD1261" s="120"/>
      <c r="CE1261" s="467"/>
      <c r="CF1261" s="440"/>
      <c r="DB1261" s="436"/>
      <c r="DC1261" s="120"/>
      <c r="DD1261" s="120"/>
      <c r="DE1261" s="467"/>
      <c r="DF1261" s="440"/>
      <c r="EB1261" s="436"/>
      <c r="EC1261" s="120"/>
      <c r="ED1261" s="120"/>
      <c r="EE1261" s="467"/>
      <c r="EF1261" s="440"/>
    </row>
    <row r="1262" spans="54:136">
      <c r="BB1262" s="436"/>
      <c r="BC1262" s="120"/>
      <c r="BD1262" s="120"/>
      <c r="BE1262" s="467"/>
      <c r="BF1262" s="440"/>
      <c r="CB1262" s="436"/>
      <c r="CC1262" s="120"/>
      <c r="CD1262" s="120"/>
      <c r="CE1262" s="467"/>
      <c r="CF1262" s="440"/>
      <c r="DB1262" s="436"/>
      <c r="DC1262" s="120"/>
      <c r="DD1262" s="120"/>
      <c r="DE1262" s="467"/>
      <c r="DF1262" s="440"/>
      <c r="EB1262" s="436"/>
      <c r="EC1262" s="120"/>
      <c r="ED1262" s="120"/>
      <c r="EE1262" s="467"/>
      <c r="EF1262" s="440"/>
    </row>
    <row r="1263" spans="54:136">
      <c r="BB1263" s="436"/>
      <c r="BC1263" s="120"/>
      <c r="BD1263" s="120"/>
      <c r="BE1263" s="467"/>
      <c r="BF1263" s="440"/>
      <c r="CB1263" s="436"/>
      <c r="CC1263" s="120"/>
      <c r="CD1263" s="120"/>
      <c r="CE1263" s="467"/>
      <c r="CF1263" s="440"/>
      <c r="DB1263" s="436"/>
      <c r="DC1263" s="120"/>
      <c r="DD1263" s="120"/>
      <c r="DE1263" s="467"/>
      <c r="DF1263" s="440"/>
      <c r="EB1263" s="436"/>
      <c r="EC1263" s="120"/>
      <c r="ED1263" s="120"/>
      <c r="EE1263" s="467"/>
      <c r="EF1263" s="440"/>
    </row>
    <row r="1264" spans="54:136">
      <c r="BB1264" s="436"/>
      <c r="BC1264" s="120"/>
      <c r="BD1264" s="120"/>
      <c r="BE1264" s="467"/>
      <c r="BF1264" s="440"/>
      <c r="CB1264" s="436"/>
      <c r="CC1264" s="120"/>
      <c r="CD1264" s="120"/>
      <c r="CE1264" s="467"/>
      <c r="CF1264" s="440"/>
      <c r="DB1264" s="436"/>
      <c r="DC1264" s="120"/>
      <c r="DD1264" s="120"/>
      <c r="DE1264" s="467"/>
      <c r="DF1264" s="440"/>
      <c r="EB1264" s="436"/>
      <c r="EC1264" s="120"/>
      <c r="ED1264" s="120"/>
      <c r="EE1264" s="467"/>
      <c r="EF1264" s="440"/>
    </row>
    <row r="1265" spans="54:136">
      <c r="BB1265" s="436"/>
      <c r="BC1265" s="120"/>
      <c r="BD1265" s="120"/>
      <c r="BE1265" s="467"/>
      <c r="BF1265" s="440"/>
      <c r="CB1265" s="436"/>
      <c r="CC1265" s="120"/>
      <c r="CD1265" s="120"/>
      <c r="CE1265" s="467"/>
      <c r="CF1265" s="440"/>
      <c r="DB1265" s="436"/>
      <c r="DC1265" s="120"/>
      <c r="DD1265" s="120"/>
      <c r="DE1265" s="467"/>
      <c r="DF1265" s="440"/>
      <c r="EB1265" s="436"/>
      <c r="EC1265" s="120"/>
      <c r="ED1265" s="120"/>
      <c r="EE1265" s="467"/>
      <c r="EF1265" s="440"/>
    </row>
    <row r="1266" spans="54:136">
      <c r="BB1266" s="436"/>
      <c r="BC1266" s="120"/>
      <c r="BD1266" s="120"/>
      <c r="BE1266" s="467"/>
      <c r="BF1266" s="440"/>
      <c r="CB1266" s="436"/>
      <c r="CC1266" s="120"/>
      <c r="CD1266" s="120"/>
      <c r="CE1266" s="467"/>
      <c r="CF1266" s="440"/>
      <c r="DB1266" s="436"/>
      <c r="DC1266" s="120"/>
      <c r="DD1266" s="120"/>
      <c r="DE1266" s="467"/>
      <c r="DF1266" s="440"/>
      <c r="EB1266" s="436"/>
      <c r="EC1266" s="120"/>
      <c r="ED1266" s="120"/>
      <c r="EE1266" s="467"/>
      <c r="EF1266" s="440"/>
    </row>
    <row r="1267" spans="54:136">
      <c r="BB1267" s="456"/>
      <c r="BC1267" s="457"/>
      <c r="BD1267" s="457"/>
      <c r="BE1267" s="477"/>
      <c r="BF1267" s="458"/>
      <c r="CB1267" s="456"/>
      <c r="CC1267" s="457"/>
      <c r="CD1267" s="457"/>
      <c r="CE1267" s="477"/>
      <c r="CF1267" s="458"/>
      <c r="DB1267" s="456"/>
      <c r="DC1267" s="457"/>
      <c r="DD1267" s="457"/>
      <c r="DE1267" s="477"/>
      <c r="DF1267" s="458"/>
      <c r="EB1267" s="456"/>
      <c r="EC1267" s="457"/>
      <c r="ED1267" s="457"/>
      <c r="EE1267" s="477"/>
      <c r="EF1267" s="458"/>
    </row>
    <row r="1268" spans="54:136">
      <c r="BB1268" s="456"/>
      <c r="BC1268" s="457"/>
      <c r="BD1268" s="457"/>
      <c r="BE1268" s="457"/>
      <c r="BF1268" s="458"/>
      <c r="CB1268" s="456"/>
      <c r="CC1268" s="457"/>
      <c r="CD1268" s="457"/>
      <c r="CE1268" s="457"/>
      <c r="CF1268" s="458"/>
      <c r="DB1268" s="456"/>
      <c r="DC1268" s="457"/>
      <c r="DD1268" s="457"/>
      <c r="DE1268" s="457"/>
      <c r="DF1268" s="458"/>
      <c r="EB1268" s="456"/>
      <c r="EC1268" s="457"/>
      <c r="ED1268" s="457"/>
      <c r="EE1268" s="457"/>
      <c r="EF1268" s="458"/>
    </row>
    <row r="1269" spans="54:136">
      <c r="BB1269" s="449" t="s">
        <v>475</v>
      </c>
      <c r="BC1269" s="120"/>
      <c r="BD1269" s="120"/>
      <c r="BE1269" s="120"/>
      <c r="BF1269" s="440"/>
      <c r="CB1269" s="449" t="s">
        <v>475</v>
      </c>
      <c r="CC1269" s="120"/>
      <c r="CD1269" s="120"/>
      <c r="CE1269" s="120"/>
      <c r="CF1269" s="440"/>
      <c r="DB1269" s="449" t="s">
        <v>475</v>
      </c>
      <c r="DC1269" s="120"/>
      <c r="DD1269" s="120"/>
      <c r="DE1269" s="120"/>
      <c r="DF1269" s="440"/>
      <c r="EB1269" s="449" t="s">
        <v>475</v>
      </c>
      <c r="EC1269" s="120"/>
      <c r="ED1269" s="120"/>
      <c r="EE1269" s="120"/>
      <c r="EF1269" s="440"/>
    </row>
    <row r="1270" spans="54:136">
      <c r="BB1270" s="436" t="s">
        <v>509</v>
      </c>
      <c r="BC1270" s="120"/>
      <c r="BD1270" s="120"/>
      <c r="BE1270" s="120"/>
      <c r="BF1270" s="440"/>
      <c r="CB1270" s="436" t="s">
        <v>509</v>
      </c>
      <c r="CC1270" s="120"/>
      <c r="CD1270" s="120"/>
      <c r="CE1270" s="120"/>
      <c r="CF1270" s="440"/>
      <c r="DB1270" s="436" t="s">
        <v>509</v>
      </c>
      <c r="DC1270" s="120"/>
      <c r="DD1270" s="120"/>
      <c r="DE1270" s="120"/>
      <c r="DF1270" s="440"/>
      <c r="EB1270" s="436" t="s">
        <v>509</v>
      </c>
      <c r="EC1270" s="120"/>
      <c r="ED1270" s="120"/>
      <c r="EE1270" s="120"/>
      <c r="EF1270" s="440"/>
    </row>
    <row r="1271" spans="54:136">
      <c r="BB1271" s="436" t="s">
        <v>510</v>
      </c>
      <c r="BC1271" s="120"/>
      <c r="BD1271" s="120"/>
      <c r="BE1271" s="120"/>
      <c r="BF1271" s="440"/>
      <c r="CB1271" s="436" t="s">
        <v>510</v>
      </c>
      <c r="CC1271" s="120"/>
      <c r="CD1271" s="120"/>
      <c r="CE1271" s="120"/>
      <c r="CF1271" s="440"/>
      <c r="DB1271" s="436" t="s">
        <v>510</v>
      </c>
      <c r="DC1271" s="120"/>
      <c r="DD1271" s="120"/>
      <c r="DE1271" s="120"/>
      <c r="DF1271" s="440"/>
      <c r="EB1271" s="436" t="s">
        <v>510</v>
      </c>
      <c r="EC1271" s="120"/>
      <c r="ED1271" s="120"/>
      <c r="EE1271" s="120"/>
      <c r="EF1271" s="440"/>
    </row>
    <row r="1272" spans="54:136">
      <c r="BB1272" s="436"/>
      <c r="BC1272" s="120"/>
      <c r="BD1272" s="120"/>
      <c r="BE1272" s="120"/>
      <c r="BF1272" s="440"/>
      <c r="CB1272" s="436"/>
      <c r="CC1272" s="120"/>
      <c r="CD1272" s="120"/>
      <c r="CE1272" s="120"/>
      <c r="CF1272" s="440"/>
      <c r="DB1272" s="436"/>
      <c r="DC1272" s="120"/>
      <c r="DD1272" s="120"/>
      <c r="DE1272" s="120"/>
      <c r="DF1272" s="440"/>
      <c r="EB1272" s="436"/>
      <c r="EC1272" s="120"/>
      <c r="ED1272" s="120"/>
      <c r="EE1272" s="120"/>
      <c r="EF1272" s="440"/>
    </row>
    <row r="1273" spans="54:136">
      <c r="BB1273" s="436"/>
      <c r="BC1273" s="120"/>
      <c r="BD1273" s="120"/>
      <c r="BE1273" s="120"/>
      <c r="BF1273" s="440"/>
      <c r="CB1273" s="436"/>
      <c r="CC1273" s="120"/>
      <c r="CD1273" s="120"/>
      <c r="CE1273" s="120"/>
      <c r="CF1273" s="440"/>
      <c r="DB1273" s="436"/>
      <c r="DC1273" s="120"/>
      <c r="DD1273" s="120"/>
      <c r="DE1273" s="120"/>
      <c r="DF1273" s="440"/>
      <c r="EB1273" s="436"/>
      <c r="EC1273" s="120"/>
      <c r="ED1273" s="120"/>
      <c r="EE1273" s="120"/>
      <c r="EF1273" s="440"/>
    </row>
    <row r="1274" spans="54:136">
      <c r="BB1274" s="436"/>
      <c r="BC1274" s="120"/>
      <c r="BD1274" s="120"/>
      <c r="BE1274" s="120"/>
      <c r="BF1274" s="440"/>
      <c r="CB1274" s="436"/>
      <c r="CC1274" s="120"/>
      <c r="CD1274" s="120"/>
      <c r="CE1274" s="120"/>
      <c r="CF1274" s="440"/>
      <c r="DB1274" s="436"/>
      <c r="DC1274" s="120"/>
      <c r="DD1274" s="120"/>
      <c r="DE1274" s="120"/>
      <c r="DF1274" s="440"/>
      <c r="EB1274" s="436"/>
      <c r="EC1274" s="120"/>
      <c r="ED1274" s="120"/>
      <c r="EE1274" s="120"/>
      <c r="EF1274" s="440"/>
    </row>
    <row r="1275" spans="54:136">
      <c r="BB1275" s="436"/>
      <c r="BC1275" s="120"/>
      <c r="BD1275" s="120"/>
      <c r="BE1275" s="120"/>
      <c r="BF1275" s="440"/>
      <c r="CB1275" s="436"/>
      <c r="CC1275" s="120"/>
      <c r="CD1275" s="120"/>
      <c r="CE1275" s="120"/>
      <c r="CF1275" s="440"/>
      <c r="DB1275" s="436"/>
      <c r="DC1275" s="120"/>
      <c r="DD1275" s="120"/>
      <c r="DE1275" s="120"/>
      <c r="DF1275" s="440"/>
      <c r="EB1275" s="436"/>
      <c r="EC1275" s="120"/>
      <c r="ED1275" s="120"/>
      <c r="EE1275" s="120"/>
      <c r="EF1275" s="440"/>
    </row>
    <row r="1276" spans="54:136">
      <c r="BB1276" s="436" t="s">
        <v>511</v>
      </c>
      <c r="BC1276" s="120">
        <v>0</v>
      </c>
      <c r="BD1276" s="120" t="s">
        <v>512</v>
      </c>
      <c r="BE1276" s="120"/>
      <c r="BF1276" s="440"/>
      <c r="CB1276" s="436" t="s">
        <v>511</v>
      </c>
      <c r="CC1276" s="120">
        <v>0</v>
      </c>
      <c r="CD1276" s="120" t="s">
        <v>512</v>
      </c>
      <c r="CE1276" s="120"/>
      <c r="CF1276" s="440"/>
      <c r="DB1276" s="436" t="s">
        <v>511</v>
      </c>
      <c r="DC1276" s="120">
        <v>0</v>
      </c>
      <c r="DD1276" s="120" t="s">
        <v>512</v>
      </c>
      <c r="DE1276" s="120"/>
      <c r="DF1276" s="440"/>
      <c r="EB1276" s="436" t="s">
        <v>511</v>
      </c>
      <c r="EC1276" s="120">
        <v>0</v>
      </c>
      <c r="ED1276" s="120" t="s">
        <v>512</v>
      </c>
      <c r="EE1276" s="120"/>
      <c r="EF1276" s="440"/>
    </row>
    <row r="1277" spans="54:136">
      <c r="BB1277" s="436" t="s">
        <v>513</v>
      </c>
      <c r="BC1277" s="120">
        <v>0</v>
      </c>
      <c r="BD1277" s="120" t="s">
        <v>512</v>
      </c>
      <c r="BE1277" s="120"/>
      <c r="BF1277" s="440"/>
      <c r="CB1277" s="436" t="s">
        <v>513</v>
      </c>
      <c r="CC1277" s="120">
        <v>0</v>
      </c>
      <c r="CD1277" s="120" t="s">
        <v>512</v>
      </c>
      <c r="CE1277" s="120"/>
      <c r="CF1277" s="440"/>
      <c r="DB1277" s="436" t="s">
        <v>513</v>
      </c>
      <c r="DC1277" s="120">
        <v>0</v>
      </c>
      <c r="DD1277" s="120" t="s">
        <v>512</v>
      </c>
      <c r="DE1277" s="120"/>
      <c r="DF1277" s="440"/>
      <c r="EB1277" s="436" t="s">
        <v>513</v>
      </c>
      <c r="EC1277" s="120">
        <v>0</v>
      </c>
      <c r="ED1277" s="120" t="s">
        <v>512</v>
      </c>
      <c r="EE1277" s="120"/>
      <c r="EF1277" s="440"/>
    </row>
    <row r="1278" spans="54:136">
      <c r="BB1278" s="456"/>
      <c r="BC1278" s="457"/>
      <c r="BD1278" s="457"/>
      <c r="BE1278" s="457"/>
      <c r="BF1278" s="458"/>
      <c r="CB1278" s="456"/>
      <c r="CC1278" s="457"/>
      <c r="CD1278" s="457"/>
      <c r="CE1278" s="457"/>
      <c r="CF1278" s="458"/>
      <c r="DB1278" s="456"/>
      <c r="DC1278" s="457"/>
      <c r="DD1278" s="457"/>
      <c r="DE1278" s="457"/>
      <c r="DF1278" s="458"/>
      <c r="EB1278" s="456"/>
      <c r="EC1278" s="457"/>
      <c r="ED1278" s="457"/>
      <c r="EE1278" s="457"/>
      <c r="EF1278" s="458"/>
    </row>
    <row r="1279" spans="54:136">
      <c r="BB1279" s="449" t="s">
        <v>461</v>
      </c>
      <c r="BC1279" s="120"/>
      <c r="BD1279" s="120"/>
      <c r="BE1279" s="120"/>
      <c r="BF1279" s="440"/>
      <c r="CB1279" s="449" t="s">
        <v>461</v>
      </c>
      <c r="CC1279" s="120"/>
      <c r="CD1279" s="120"/>
      <c r="CE1279" s="120"/>
      <c r="CF1279" s="440"/>
      <c r="DB1279" s="449" t="s">
        <v>461</v>
      </c>
      <c r="DC1279" s="120"/>
      <c r="DD1279" s="120"/>
      <c r="DE1279" s="120"/>
      <c r="DF1279" s="440"/>
      <c r="EB1279" s="449" t="s">
        <v>461</v>
      </c>
      <c r="EC1279" s="120"/>
      <c r="ED1279" s="120"/>
      <c r="EE1279" s="120"/>
      <c r="EF1279" s="440"/>
    </row>
    <row r="1280" spans="54:136">
      <c r="BB1280" s="436" t="s">
        <v>514</v>
      </c>
      <c r="BC1280" s="120">
        <f>VLOOKUP(BB1208,'Unit Ops'!$B$140:$K$209,10,FALSE)</f>
        <v>12</v>
      </c>
      <c r="BD1280" s="120" t="s">
        <v>515</v>
      </c>
      <c r="BE1280" s="120"/>
      <c r="BF1280" s="440"/>
      <c r="CB1280" s="436" t="s">
        <v>514</v>
      </c>
      <c r="CC1280" s="120">
        <f>VLOOKUP(CB1208,'Unit Ops'!$B$140:$K$209,10,FALSE)</f>
        <v>6</v>
      </c>
      <c r="CD1280" s="120" t="s">
        <v>515</v>
      </c>
      <c r="CE1280" s="120"/>
      <c r="CF1280" s="440"/>
      <c r="DB1280" s="436" t="s">
        <v>514</v>
      </c>
      <c r="DC1280" s="120">
        <f>VLOOKUP(DB1208,'Unit Ops'!$B$140:$K$209,10,FALSE)</f>
        <v>24</v>
      </c>
      <c r="DD1280" s="120" t="s">
        <v>515</v>
      </c>
      <c r="DE1280" s="120"/>
      <c r="DF1280" s="440"/>
      <c r="EB1280" s="436" t="s">
        <v>514</v>
      </c>
      <c r="EC1280" s="120">
        <f>VLOOKUP(EB1208,'Unit Ops'!$B$140:$K$209,10,FALSE)</f>
        <v>6</v>
      </c>
      <c r="ED1280" s="120" t="s">
        <v>515</v>
      </c>
      <c r="EE1280" s="120"/>
      <c r="EF1280" s="440"/>
    </row>
    <row r="1281" spans="54:136">
      <c r="BB1281" s="436" t="s">
        <v>516</v>
      </c>
      <c r="BC1281" s="120">
        <v>0</v>
      </c>
      <c r="BD1281" s="120" t="s">
        <v>515</v>
      </c>
      <c r="BE1281" s="120"/>
      <c r="BF1281" s="440"/>
      <c r="CB1281" s="436" t="s">
        <v>516</v>
      </c>
      <c r="CC1281" s="120">
        <v>0</v>
      </c>
      <c r="CD1281" s="120" t="s">
        <v>515</v>
      </c>
      <c r="CE1281" s="120"/>
      <c r="CF1281" s="440"/>
      <c r="DB1281" s="436" t="s">
        <v>516</v>
      </c>
      <c r="DC1281" s="120">
        <v>0</v>
      </c>
      <c r="DD1281" s="120" t="s">
        <v>515</v>
      </c>
      <c r="DE1281" s="120"/>
      <c r="DF1281" s="440"/>
      <c r="EB1281" s="436" t="s">
        <v>516</v>
      </c>
      <c r="EC1281" s="120">
        <v>0</v>
      </c>
      <c r="ED1281" s="120" t="s">
        <v>515</v>
      </c>
      <c r="EE1281" s="120"/>
      <c r="EF1281" s="440"/>
    </row>
    <row r="1282" spans="54:136">
      <c r="BB1282" s="436"/>
      <c r="BC1282" s="120"/>
      <c r="BD1282" s="120"/>
      <c r="BE1282" s="120"/>
      <c r="BF1282" s="440"/>
      <c r="CB1282" s="436"/>
      <c r="CC1282" s="120"/>
      <c r="CD1282" s="120"/>
      <c r="CE1282" s="120"/>
      <c r="CF1282" s="440"/>
      <c r="DB1282" s="436"/>
      <c r="DC1282" s="120"/>
      <c r="DD1282" s="120"/>
      <c r="DE1282" s="120"/>
      <c r="DF1282" s="440"/>
      <c r="EB1282" s="436"/>
      <c r="EC1282" s="120"/>
      <c r="ED1282" s="120"/>
      <c r="EE1282" s="120"/>
      <c r="EF1282" s="440"/>
    </row>
    <row r="1283" spans="54:136">
      <c r="BB1283" s="436"/>
      <c r="BC1283" s="120"/>
      <c r="BD1283" s="120"/>
      <c r="BE1283" s="120"/>
      <c r="BF1283" s="440"/>
      <c r="CB1283" s="436"/>
      <c r="CC1283" s="120"/>
      <c r="CD1283" s="120"/>
      <c r="CE1283" s="120"/>
      <c r="CF1283" s="440"/>
      <c r="DB1283" s="436"/>
      <c r="DC1283" s="120"/>
      <c r="DD1283" s="120"/>
      <c r="DE1283" s="120"/>
      <c r="DF1283" s="440"/>
      <c r="EB1283" s="436"/>
      <c r="EC1283" s="120"/>
      <c r="ED1283" s="120"/>
      <c r="EE1283" s="120"/>
      <c r="EF1283" s="440"/>
    </row>
    <row r="1284" spans="54:136">
      <c r="BB1284" s="436"/>
      <c r="BC1284" s="120"/>
      <c r="BD1284" s="120"/>
      <c r="BE1284" s="120"/>
      <c r="BF1284" s="440"/>
      <c r="CB1284" s="436"/>
      <c r="CC1284" s="120"/>
      <c r="CD1284" s="120"/>
      <c r="CE1284" s="120"/>
      <c r="CF1284" s="440"/>
      <c r="DB1284" s="436"/>
      <c r="DC1284" s="120"/>
      <c r="DD1284" s="120"/>
      <c r="DE1284" s="120"/>
      <c r="DF1284" s="440"/>
      <c r="EB1284" s="436"/>
      <c r="EC1284" s="120"/>
      <c r="ED1284" s="120"/>
      <c r="EE1284" s="120"/>
      <c r="EF1284" s="440"/>
    </row>
    <row r="1285" spans="54:136">
      <c r="BB1285" s="436"/>
      <c r="BC1285" s="120"/>
      <c r="BD1285" s="120"/>
      <c r="BE1285" s="120"/>
      <c r="BF1285" s="440"/>
      <c r="CB1285" s="436"/>
      <c r="CC1285" s="120"/>
      <c r="CD1285" s="120"/>
      <c r="CE1285" s="120"/>
      <c r="CF1285" s="440"/>
      <c r="DB1285" s="436"/>
      <c r="DC1285" s="120"/>
      <c r="DD1285" s="120"/>
      <c r="DE1285" s="120"/>
      <c r="DF1285" s="440"/>
      <c r="EB1285" s="436"/>
      <c r="EC1285" s="120"/>
      <c r="ED1285" s="120"/>
      <c r="EE1285" s="120"/>
      <c r="EF1285" s="440"/>
    </row>
    <row r="1286" spans="54:136">
      <c r="BB1286" s="436"/>
      <c r="BC1286" s="120"/>
      <c r="BD1286" s="120"/>
      <c r="BE1286" s="120"/>
      <c r="BF1286" s="440"/>
      <c r="CB1286" s="436"/>
      <c r="CC1286" s="120"/>
      <c r="CD1286" s="120"/>
      <c r="CE1286" s="120"/>
      <c r="CF1286" s="440"/>
      <c r="DB1286" s="436"/>
      <c r="DC1286" s="120"/>
      <c r="DD1286" s="120"/>
      <c r="DE1286" s="120"/>
      <c r="DF1286" s="440"/>
      <c r="EB1286" s="436"/>
      <c r="EC1286" s="120"/>
      <c r="ED1286" s="120"/>
      <c r="EE1286" s="120"/>
      <c r="EF1286" s="440"/>
    </row>
    <row r="1287" spans="54:136">
      <c r="BB1287" s="436" t="s">
        <v>464</v>
      </c>
      <c r="BC1287" s="120"/>
      <c r="BD1287" s="120"/>
      <c r="BE1287" s="120"/>
      <c r="BF1287" s="440"/>
      <c r="CB1287" s="436" t="s">
        <v>464</v>
      </c>
      <c r="CC1287" s="120"/>
      <c r="CD1287" s="120"/>
      <c r="CE1287" s="120"/>
      <c r="CF1287" s="440"/>
      <c r="DB1287" s="436" t="s">
        <v>464</v>
      </c>
      <c r="DC1287" s="120"/>
      <c r="DD1287" s="120"/>
      <c r="DE1287" s="120"/>
      <c r="DF1287" s="440"/>
      <c r="EB1287" s="436" t="s">
        <v>464</v>
      </c>
      <c r="EC1287" s="120"/>
      <c r="ED1287" s="120"/>
      <c r="EE1287" s="120"/>
      <c r="EF1287" s="440"/>
    </row>
    <row r="1288" spans="54:136">
      <c r="BB1288" s="456"/>
      <c r="BC1288" s="457"/>
      <c r="BD1288" s="457"/>
      <c r="BE1288" s="457"/>
      <c r="BF1288" s="458"/>
      <c r="CB1288" s="456"/>
      <c r="CC1288" s="457"/>
      <c r="CD1288" s="457"/>
      <c r="CE1288" s="457"/>
      <c r="CF1288" s="458"/>
      <c r="DB1288" s="456"/>
      <c r="DC1288" s="457"/>
      <c r="DD1288" s="457"/>
      <c r="DE1288" s="457"/>
      <c r="DF1288" s="458"/>
      <c r="EB1288" s="456"/>
      <c r="EC1288" s="457"/>
      <c r="ED1288" s="457"/>
      <c r="EE1288" s="457"/>
      <c r="EF1288" s="458"/>
    </row>
    <row r="1289" spans="54:136">
      <c r="BB1289" s="449" t="s">
        <v>472</v>
      </c>
      <c r="BC1289" s="467" t="s">
        <v>517</v>
      </c>
      <c r="BD1289" s="120" t="s">
        <v>518</v>
      </c>
      <c r="BE1289" s="467" t="s">
        <v>519</v>
      </c>
      <c r="BF1289" s="440" t="s">
        <v>518</v>
      </c>
      <c r="CB1289" s="449" t="s">
        <v>472</v>
      </c>
      <c r="CC1289" s="467" t="s">
        <v>517</v>
      </c>
      <c r="CD1289" s="120" t="s">
        <v>518</v>
      </c>
      <c r="CE1289" s="467" t="s">
        <v>519</v>
      </c>
      <c r="CF1289" s="440" t="s">
        <v>518</v>
      </c>
      <c r="DB1289" s="449" t="s">
        <v>472</v>
      </c>
      <c r="DC1289" s="467" t="s">
        <v>517</v>
      </c>
      <c r="DD1289" s="120" t="s">
        <v>518</v>
      </c>
      <c r="DE1289" s="467" t="s">
        <v>519</v>
      </c>
      <c r="DF1289" s="440" t="s">
        <v>518</v>
      </c>
      <c r="EB1289" s="449" t="s">
        <v>472</v>
      </c>
      <c r="EC1289" s="467" t="s">
        <v>517</v>
      </c>
      <c r="ED1289" s="120" t="s">
        <v>518</v>
      </c>
      <c r="EE1289" s="467" t="s">
        <v>519</v>
      </c>
      <c r="EF1289" s="440" t="s">
        <v>518</v>
      </c>
    </row>
    <row r="1290" spans="54:136">
      <c r="BB1290" s="436" t="s">
        <v>520</v>
      </c>
      <c r="BC1290" s="120"/>
      <c r="BD1290" s="120"/>
      <c r="BE1290" s="472">
        <f>((VLOOKUP(BB1208,'Unit Ops'!$B$140:$J$209,3,FALSE)*BC1210^VLOOKUP(BB1208,'Unit Ops'!$B$140:$J$209,4,FALSE)+VLOOKUP(BB1208,'Unit Ops'!$B$140:$J$209,5,FALSE))*VLOOKUP(BB1208,'Unit Ops'!$B$140:$J$209,6,FALSE))*IF(VLOOKUP(BB1208,'Unit Ops'!$B$140:$L$209,11,FALSE)=1,1,2)</f>
        <v>782707.85207714408</v>
      </c>
      <c r="BF1290" s="490">
        <f>$C$7</f>
        <v>2022</v>
      </c>
      <c r="CB1290" s="436" t="s">
        <v>520</v>
      </c>
      <c r="CC1290" s="120"/>
      <c r="CD1290" s="120"/>
      <c r="CE1290" s="472">
        <f>((VLOOKUP(CB1208,'Unit Ops'!$B$140:$J$209,3,FALSE)*CC1210^VLOOKUP(CB1208,'Unit Ops'!$B$140:$J$209,4,FALSE)+VLOOKUP(CB1208,'Unit Ops'!$B$140:$J$209,5,FALSE))*VLOOKUP(CB1208,'Unit Ops'!$B$140:$J$209,6,FALSE))*IF(VLOOKUP(CB1208,'Unit Ops'!$B$140:$L$209,11,FALSE)=1,1,2)</f>
        <v>1416420.7602846727</v>
      </c>
      <c r="CF1290" s="490">
        <f>$C$7</f>
        <v>2022</v>
      </c>
      <c r="DB1290" s="436" t="s">
        <v>520</v>
      </c>
      <c r="DC1290" s="120"/>
      <c r="DD1290" s="120"/>
      <c r="DE1290" s="472">
        <f>((VLOOKUP(DB1208,'Unit Ops'!$B$140:$J$209,3,FALSE)*DC1210^VLOOKUP(DB1208,'Unit Ops'!$B$140:$J$209,4,FALSE)+VLOOKUP(DB1208,'Unit Ops'!$B$140:$J$209,5,FALSE))*VLOOKUP(DB1208,'Unit Ops'!$B$140:$J$209,6,FALSE))*IF(VLOOKUP(DB1208,'Unit Ops'!$B$140:$L$209,11,FALSE)=1,1,2)*ROUNDUP(DE1210/4000,0)</f>
        <v>11400000</v>
      </c>
      <c r="DF1290" s="490">
        <f>$C$7</f>
        <v>2022</v>
      </c>
      <c r="EB1290" s="436" t="s">
        <v>520</v>
      </c>
      <c r="EC1290" s="120"/>
      <c r="ED1290" s="120"/>
      <c r="EE1290" s="472">
        <f>((VLOOKUP(EB1208,'Unit Ops'!$B$140:$J$209,3,FALSE)*EC1210^VLOOKUP(EB1208,'Unit Ops'!$B$140:$J$209,4,FALSE)+VLOOKUP(EB1208,'Unit Ops'!$B$140:$J$209,5,FALSE))*VLOOKUP(EB1208,'Unit Ops'!$B$140:$J$209,6,FALSE))*IF(VLOOKUP(EB1208,'Unit Ops'!$B$140:$L$209,11,FALSE)=1,1,2)</f>
        <v>1416420.7602846727</v>
      </c>
      <c r="EF1290" s="490">
        <f>$C$7</f>
        <v>2022</v>
      </c>
    </row>
    <row r="1291" spans="54:136">
      <c r="BB1291" s="436"/>
      <c r="BC1291" s="120"/>
      <c r="BD1291" s="120"/>
      <c r="BE1291" s="120"/>
      <c r="BF1291" s="440"/>
      <c r="CB1291" s="436"/>
      <c r="CC1291" s="120"/>
      <c r="CD1291" s="120"/>
      <c r="CE1291" s="120"/>
      <c r="CF1291" s="440"/>
      <c r="DB1291" s="436"/>
      <c r="DC1291" s="120"/>
      <c r="DD1291" s="120"/>
      <c r="DE1291" s="120"/>
      <c r="DF1291" s="440"/>
      <c r="EB1291" s="436"/>
      <c r="EC1291" s="120"/>
      <c r="ED1291" s="120"/>
      <c r="EE1291" s="120"/>
      <c r="EF1291" s="440"/>
    </row>
    <row r="1292" spans="54:136">
      <c r="BB1292" s="436"/>
      <c r="BC1292" s="120"/>
      <c r="BD1292" s="120"/>
      <c r="BE1292" s="120"/>
      <c r="BF1292" s="440"/>
      <c r="CB1292" s="436"/>
      <c r="CC1292" s="120"/>
      <c r="CD1292" s="120"/>
      <c r="CE1292" s="120"/>
      <c r="CF1292" s="440"/>
      <c r="DB1292" s="436"/>
      <c r="DC1292" s="120"/>
      <c r="DD1292" s="120"/>
      <c r="DE1292" s="120"/>
      <c r="DF1292" s="440"/>
      <c r="EB1292" s="436"/>
      <c r="EC1292" s="120"/>
      <c r="ED1292" s="120"/>
      <c r="EE1292" s="120"/>
      <c r="EF1292" s="440"/>
    </row>
    <row r="1293" spans="54:136">
      <c r="BB1293" s="436"/>
      <c r="BC1293" s="120"/>
      <c r="BD1293" s="120"/>
      <c r="BE1293" s="120"/>
      <c r="BF1293" s="440"/>
      <c r="CB1293" s="436"/>
      <c r="CC1293" s="120"/>
      <c r="CD1293" s="120"/>
      <c r="CE1293" s="120"/>
      <c r="CF1293" s="440"/>
      <c r="DB1293" s="436"/>
      <c r="DC1293" s="120"/>
      <c r="DD1293" s="120"/>
      <c r="DE1293" s="120"/>
      <c r="DF1293" s="440"/>
      <c r="EB1293" s="436"/>
      <c r="EC1293" s="120"/>
      <c r="ED1293" s="120"/>
      <c r="EE1293" s="120"/>
      <c r="EF1293" s="440"/>
    </row>
    <row r="1294" spans="54:136">
      <c r="BB1294" s="436"/>
      <c r="BC1294" s="120"/>
      <c r="BD1294" s="120"/>
      <c r="BE1294" s="120"/>
      <c r="BF1294" s="440"/>
      <c r="CB1294" s="436"/>
      <c r="CC1294" s="120"/>
      <c r="CD1294" s="120"/>
      <c r="CE1294" s="120"/>
      <c r="CF1294" s="440"/>
      <c r="DB1294" s="436"/>
      <c r="DC1294" s="120"/>
      <c r="DD1294" s="120"/>
      <c r="DE1294" s="120"/>
      <c r="DF1294" s="440"/>
      <c r="EB1294" s="436"/>
      <c r="EC1294" s="120"/>
      <c r="ED1294" s="120"/>
      <c r="EE1294" s="120"/>
      <c r="EF1294" s="440"/>
    </row>
    <row r="1295" spans="54:136">
      <c r="BB1295" s="436"/>
      <c r="BC1295" s="120"/>
      <c r="BD1295" s="120"/>
      <c r="BE1295" s="120"/>
      <c r="BF1295" s="440"/>
      <c r="CB1295" s="436"/>
      <c r="CC1295" s="120"/>
      <c r="CD1295" s="120"/>
      <c r="CE1295" s="120"/>
      <c r="CF1295" s="440"/>
      <c r="DB1295" s="436"/>
      <c r="DC1295" s="120"/>
      <c r="DD1295" s="120"/>
      <c r="DE1295" s="120"/>
      <c r="DF1295" s="440"/>
      <c r="EB1295" s="436"/>
      <c r="EC1295" s="120"/>
      <c r="ED1295" s="120"/>
      <c r="EE1295" s="120"/>
      <c r="EF1295" s="440"/>
    </row>
    <row r="1296" spans="54:136">
      <c r="BB1296" s="436"/>
      <c r="BC1296" s="120"/>
      <c r="BD1296" s="120"/>
      <c r="BE1296" s="120"/>
      <c r="BF1296" s="440"/>
      <c r="CB1296" s="436"/>
      <c r="CC1296" s="120"/>
      <c r="CD1296" s="120"/>
      <c r="CE1296" s="120"/>
      <c r="CF1296" s="440"/>
      <c r="DB1296" s="436"/>
      <c r="DC1296" s="120"/>
      <c r="DD1296" s="120"/>
      <c r="DE1296" s="120"/>
      <c r="DF1296" s="440"/>
      <c r="EB1296" s="436"/>
      <c r="EC1296" s="120"/>
      <c r="ED1296" s="120"/>
      <c r="EE1296" s="120"/>
      <c r="EF1296" s="440"/>
    </row>
    <row r="1297" spans="53:137">
      <c r="BB1297" s="436"/>
      <c r="BC1297" s="120"/>
      <c r="BD1297" s="120"/>
      <c r="BE1297" s="120"/>
      <c r="BF1297" s="440"/>
      <c r="CB1297" s="436"/>
      <c r="CC1297" s="120"/>
      <c r="CD1297" s="120"/>
      <c r="CE1297" s="120"/>
      <c r="CF1297" s="440"/>
      <c r="DB1297" s="436"/>
      <c r="DC1297" s="120"/>
      <c r="DD1297" s="120"/>
      <c r="DE1297" s="120"/>
      <c r="DF1297" s="440"/>
      <c r="EB1297" s="436"/>
      <c r="EC1297" s="120"/>
      <c r="ED1297" s="120"/>
      <c r="EE1297" s="120"/>
      <c r="EF1297" s="440"/>
    </row>
    <row r="1298" spans="53:137">
      <c r="BB1298" s="436"/>
      <c r="BC1298" s="120"/>
      <c r="BD1298" s="120"/>
      <c r="BE1298" s="120"/>
      <c r="BF1298" s="440"/>
      <c r="CB1298" s="436"/>
      <c r="CC1298" s="120"/>
      <c r="CD1298" s="120"/>
      <c r="CE1298" s="120"/>
      <c r="CF1298" s="440"/>
      <c r="DB1298" s="436"/>
      <c r="DC1298" s="120"/>
      <c r="DD1298" s="120"/>
      <c r="DE1298" s="120"/>
      <c r="DF1298" s="440"/>
      <c r="EB1298" s="436"/>
      <c r="EC1298" s="120"/>
      <c r="ED1298" s="120"/>
      <c r="EE1298" s="120"/>
      <c r="EF1298" s="440"/>
    </row>
    <row r="1299" spans="53:137">
      <c r="BB1299" s="436"/>
      <c r="BC1299" s="120"/>
      <c r="BD1299" s="120"/>
      <c r="BE1299" s="120"/>
      <c r="BF1299" s="440"/>
      <c r="CB1299" s="436"/>
      <c r="CC1299" s="120"/>
      <c r="CD1299" s="120"/>
      <c r="CE1299" s="120"/>
      <c r="CF1299" s="440"/>
      <c r="DB1299" s="436"/>
      <c r="DC1299" s="120"/>
      <c r="DD1299" s="120"/>
      <c r="DE1299" s="120"/>
      <c r="DF1299" s="440"/>
      <c r="EB1299" s="436"/>
      <c r="EC1299" s="120"/>
      <c r="ED1299" s="120"/>
      <c r="EE1299" s="120"/>
      <c r="EF1299" s="440"/>
    </row>
    <row r="1300" spans="53:137">
      <c r="BB1300" s="436"/>
      <c r="BC1300" s="120"/>
      <c r="BD1300" s="120"/>
      <c r="BE1300" s="120"/>
      <c r="BF1300" s="440"/>
      <c r="CB1300" s="436"/>
      <c r="CC1300" s="120"/>
      <c r="CD1300" s="120"/>
      <c r="CE1300" s="120"/>
      <c r="CF1300" s="440"/>
      <c r="DB1300" s="436"/>
      <c r="DC1300" s="120"/>
      <c r="DD1300" s="120"/>
      <c r="DE1300" s="120"/>
      <c r="DF1300" s="440"/>
      <c r="EB1300" s="436"/>
      <c r="EC1300" s="120"/>
      <c r="ED1300" s="120"/>
      <c r="EE1300" s="120"/>
      <c r="EF1300" s="440"/>
    </row>
    <row r="1301" spans="53:137">
      <c r="BB1301" s="436"/>
      <c r="BC1301" s="120"/>
      <c r="BD1301" s="120"/>
      <c r="BE1301" s="120"/>
      <c r="BF1301" s="440"/>
      <c r="CB1301" s="436"/>
      <c r="CC1301" s="120"/>
      <c r="CD1301" s="120"/>
      <c r="CE1301" s="120"/>
      <c r="CF1301" s="440"/>
      <c r="DB1301" s="436"/>
      <c r="DC1301" s="120"/>
      <c r="DD1301" s="120"/>
      <c r="DE1301" s="120"/>
      <c r="DF1301" s="440"/>
      <c r="EB1301" s="436"/>
      <c r="EC1301" s="120"/>
      <c r="ED1301" s="120"/>
      <c r="EE1301" s="120"/>
      <c r="EF1301" s="440"/>
    </row>
    <row r="1302" spans="53:137">
      <c r="BB1302" s="436"/>
      <c r="BC1302" s="120"/>
      <c r="BD1302" s="120"/>
      <c r="BE1302" s="120"/>
      <c r="BF1302" s="440"/>
      <c r="CB1302" s="436"/>
      <c r="CC1302" s="120"/>
      <c r="CD1302" s="120"/>
      <c r="CE1302" s="120"/>
      <c r="CF1302" s="440"/>
      <c r="DB1302" s="436"/>
      <c r="DC1302" s="120"/>
      <c r="DD1302" s="120"/>
      <c r="DE1302" s="120"/>
      <c r="DF1302" s="440"/>
      <c r="EB1302" s="436"/>
      <c r="EC1302" s="120"/>
      <c r="ED1302" s="120"/>
      <c r="EE1302" s="120"/>
      <c r="EF1302" s="440"/>
    </row>
    <row r="1303" spans="53:137">
      <c r="BB1303" s="436"/>
      <c r="BC1303" s="120"/>
      <c r="BD1303" s="120"/>
      <c r="BE1303" s="120"/>
      <c r="BF1303" s="440"/>
      <c r="CB1303" s="436"/>
      <c r="CC1303" s="120"/>
      <c r="CD1303" s="120"/>
      <c r="CE1303" s="120"/>
      <c r="CF1303" s="440"/>
      <c r="DB1303" s="436"/>
      <c r="DC1303" s="120"/>
      <c r="DD1303" s="120"/>
      <c r="DE1303" s="120"/>
      <c r="DF1303" s="440"/>
      <c r="EB1303" s="436"/>
      <c r="EC1303" s="120"/>
      <c r="ED1303" s="120"/>
      <c r="EE1303" s="120"/>
      <c r="EF1303" s="440"/>
    </row>
    <row r="1304" spans="53:137" ht="14.5" thickBot="1">
      <c r="BB1304" s="492"/>
      <c r="BC1304" s="493"/>
      <c r="BD1304" s="493"/>
      <c r="BE1304" s="493"/>
      <c r="BF1304" s="453"/>
      <c r="CB1304" s="492"/>
      <c r="CC1304" s="493"/>
      <c r="CD1304" s="493"/>
      <c r="CE1304" s="493"/>
      <c r="CF1304" s="453"/>
      <c r="DB1304" s="492"/>
      <c r="DC1304" s="493"/>
      <c r="DD1304" s="493"/>
      <c r="DE1304" s="493"/>
      <c r="DF1304" s="453"/>
      <c r="EB1304" s="492"/>
      <c r="EC1304" s="493"/>
      <c r="ED1304" s="493"/>
      <c r="EE1304" s="493"/>
      <c r="EF1304" s="453"/>
    </row>
    <row r="1307" spans="53:137" ht="14.5" thickBot="1"/>
    <row r="1308" spans="53:137">
      <c r="BA1308" s="114" t="s">
        <v>478</v>
      </c>
      <c r="BB1308" s="431" t="str">
        <f>BB62</f>
        <v>Electrowinning cell</v>
      </c>
      <c r="BC1308" s="432"/>
      <c r="BD1308" s="433"/>
      <c r="BE1308" s="434"/>
      <c r="BF1308" s="435"/>
      <c r="CA1308" s="114" t="s">
        <v>478</v>
      </c>
      <c r="CB1308" s="431" t="str">
        <f>CB62</f>
        <v>Precipitation tank</v>
      </c>
      <c r="CC1308" s="432"/>
      <c r="CD1308" s="433"/>
      <c r="CE1308" s="434"/>
      <c r="CF1308" s="435"/>
      <c r="DA1308" s="114" t="s">
        <v>478</v>
      </c>
      <c r="DB1308" s="431" t="str">
        <f>DB62</f>
        <v>Water treatment</v>
      </c>
      <c r="DC1308" s="432"/>
      <c r="DD1308" s="433"/>
      <c r="DE1308" s="434"/>
      <c r="DF1308" s="435"/>
      <c r="EA1308" s="114" t="s">
        <v>478</v>
      </c>
      <c r="EB1308" s="431" t="str">
        <f>EB64</f>
        <v>Precipitation tank</v>
      </c>
      <c r="EC1308" s="432"/>
      <c r="ED1308" s="433"/>
      <c r="EE1308" s="434"/>
      <c r="EF1308" s="435"/>
    </row>
    <row r="1309" spans="53:137">
      <c r="BA1309" s="114" t="s">
        <v>5</v>
      </c>
      <c r="BB1309" s="436" t="s">
        <v>1</v>
      </c>
      <c r="BC1309" s="437">
        <f>BC$25/BC$22/BC$21*VLOOKUP(BB1308,'Unit Ops'!$B$140:$J$209,2,FALSE)*BC40</f>
        <v>9.5904558854624494E-3</v>
      </c>
      <c r="BD1309" s="438" t="s">
        <v>586</v>
      </c>
      <c r="BE1309" s="1027">
        <f>BC1309*BC$310*BC$311</f>
        <v>103.57692356299445</v>
      </c>
      <c r="BF1309" s="439" t="s">
        <v>585</v>
      </c>
      <c r="CA1309" s="114" t="s">
        <v>5</v>
      </c>
      <c r="CB1309" s="436" t="s">
        <v>1</v>
      </c>
      <c r="CC1309" s="437">
        <f>CC$25/CC$22/CC$21*VLOOKUP(CB1308,'Unit Ops'!$B$140:$J$209,2,FALSE)</f>
        <v>0.91324200913242004</v>
      </c>
      <c r="CD1309" s="438" t="s">
        <v>586</v>
      </c>
      <c r="CE1309" s="1027">
        <f>CC1309*CC$310*CC$311</f>
        <v>10000</v>
      </c>
      <c r="CF1309" s="439" t="s">
        <v>585</v>
      </c>
      <c r="DA1309" s="114" t="s">
        <v>5</v>
      </c>
      <c r="DB1309" s="436" t="s">
        <v>1</v>
      </c>
      <c r="DC1309" s="437">
        <f>DC$25/DC$22/DC$21*VLOOKUP(DB1308,'Unit Ops'!$B$140:$J$209,2,FALSE)</f>
        <v>0.92592592592592593</v>
      </c>
      <c r="DD1309" s="438" t="s">
        <v>586</v>
      </c>
      <c r="DE1309" s="1027">
        <f>DC1309*DC$310*DC$311</f>
        <v>10000</v>
      </c>
      <c r="DF1309" s="439" t="s">
        <v>585</v>
      </c>
      <c r="EA1309" s="114" t="s">
        <v>5</v>
      </c>
      <c r="EB1309" s="436" t="s">
        <v>1</v>
      </c>
      <c r="EC1309" s="437">
        <f>EC$26/EC$23/EC$22*VLOOKUP(EB1308,'Unit Ops'!$B$140:$J$209,2,FALSE)</f>
        <v>1.3020833333333333</v>
      </c>
      <c r="ED1309" s="438" t="s">
        <v>586</v>
      </c>
      <c r="EE1309" s="1027">
        <f>EC1309*EC$310*EC$311</f>
        <v>10000</v>
      </c>
      <c r="EF1309" s="439" t="s">
        <v>585</v>
      </c>
    </row>
    <row r="1310" spans="53:137">
      <c r="BA1310" s="114" t="str">
        <f>$BB$54</f>
        <v>Hopper</v>
      </c>
      <c r="BB1310" s="436" t="s">
        <v>505</v>
      </c>
      <c r="BC1310" s="437">
        <f>ROUNDUP(BC1309*IF(VLOOKUP(BB1308,'Unit Ops'!$B$140:$L$209,11,FALSE)=1,1.5,0.75),1)</f>
        <v>0.1</v>
      </c>
      <c r="BD1310" s="438" t="s">
        <v>586</v>
      </c>
      <c r="BE1310" s="120">
        <f>BC1310*BC$310*BC$311</f>
        <v>1080</v>
      </c>
      <c r="BF1310" s="439" t="s">
        <v>585</v>
      </c>
      <c r="BG1310" s="409"/>
      <c r="CA1310" s="114" t="str">
        <f>$CB$54</f>
        <v>Conveyor</v>
      </c>
      <c r="CB1310" s="436" t="s">
        <v>505</v>
      </c>
      <c r="CC1310" s="437">
        <f>ROUNDUP(CC1309*IF(VLOOKUP(CB1308,'Unit Ops'!$B$140:$L$209,11,FALSE)=1,1.5,0.75),1)</f>
        <v>0.7</v>
      </c>
      <c r="CD1310" s="438" t="s">
        <v>586</v>
      </c>
      <c r="CE1310" s="120">
        <f>CC1310*CC$310*CC$311</f>
        <v>7665</v>
      </c>
      <c r="CF1310" s="439" t="s">
        <v>585</v>
      </c>
      <c r="CG1310" s="409"/>
      <c r="DA1310" s="114" t="str">
        <f>$DB$54</f>
        <v>Conveyor</v>
      </c>
      <c r="DB1310" s="436" t="s">
        <v>505</v>
      </c>
      <c r="DC1310" s="437">
        <f>ROUNDUP(DC1309*IF(VLOOKUP(DB1308,'Unit Ops'!$B$140:$L$209,11,FALSE)=1,1.5,0.75),1)</f>
        <v>1.4000000000000001</v>
      </c>
      <c r="DD1310" s="438" t="s">
        <v>586</v>
      </c>
      <c r="DE1310" s="120">
        <f>DC1310*DC$310*DC$311</f>
        <v>15120.000000000002</v>
      </c>
      <c r="DF1310" s="439" t="s">
        <v>585</v>
      </c>
      <c r="DG1310" s="409"/>
      <c r="EA1310" s="114" t="str">
        <f>$EB$56</f>
        <v>Conveyor</v>
      </c>
      <c r="EB1310" s="436" t="s">
        <v>505</v>
      </c>
      <c r="EC1310" s="437">
        <f>ROUNDUP(EC1309*IF(VLOOKUP(EB1308,'Unit Ops'!$B$140:$L$209,11,FALSE)=1,1.5,0.75),1)</f>
        <v>1</v>
      </c>
      <c r="ED1310" s="438" t="s">
        <v>586</v>
      </c>
      <c r="EE1310" s="120">
        <f>EC1310*EC$310*EC$311</f>
        <v>7680</v>
      </c>
      <c r="EF1310" s="439" t="s">
        <v>585</v>
      </c>
      <c r="EG1310" s="409"/>
    </row>
    <row r="1311" spans="53:137">
      <c r="BA1311" s="114" t="str">
        <f>$BB$55</f>
        <v>Conveyor</v>
      </c>
      <c r="BB1311" s="441" t="s">
        <v>521</v>
      </c>
      <c r="BC1311" s="442">
        <f>BC1309/BC1310</f>
        <v>9.5904558854624483E-2</v>
      </c>
      <c r="BD1311" s="438"/>
      <c r="BE1311" s="443"/>
      <c r="BF1311" s="440"/>
      <c r="BG1311" s="409"/>
      <c r="CA1311" s="114" t="str">
        <f>$CB$55</f>
        <v>Leaching tank</v>
      </c>
      <c r="CB1311" s="441" t="s">
        <v>521</v>
      </c>
      <c r="CC1311" s="442">
        <f>CC1309/CC1310</f>
        <v>1.3046314416177429</v>
      </c>
      <c r="CD1311" s="438"/>
      <c r="CE1311" s="443"/>
      <c r="CF1311" s="440"/>
      <c r="CG1311" s="409"/>
      <c r="DA1311" s="114" t="str">
        <f>$DB$55</f>
        <v>Froth flotation cell</v>
      </c>
      <c r="DB1311" s="441" t="s">
        <v>521</v>
      </c>
      <c r="DC1311" s="442">
        <f>DC1309/DC1310</f>
        <v>0.66137566137566128</v>
      </c>
      <c r="DD1311" s="438"/>
      <c r="DE1311" s="443"/>
      <c r="DF1311" s="440"/>
      <c r="DG1311" s="409"/>
      <c r="EA1311" s="114" t="str">
        <f>$EB$57</f>
        <v>Leaching tank</v>
      </c>
      <c r="EB1311" s="441" t="s">
        <v>521</v>
      </c>
      <c r="EC1311" s="442">
        <f>EC1309/EC1310</f>
        <v>1.3020833333333333</v>
      </c>
      <c r="ED1311" s="438"/>
      <c r="EE1311" s="443"/>
      <c r="EF1311" s="440"/>
      <c r="EG1311" s="409"/>
    </row>
    <row r="1312" spans="53:137">
      <c r="BA1312" s="114" t="str">
        <f>$BB$56</f>
        <v>Smelter</v>
      </c>
      <c r="BB1312" s="441" t="s">
        <v>506</v>
      </c>
      <c r="BC1312" s="445"/>
      <c r="BD1312" s="438" t="s">
        <v>454</v>
      </c>
      <c r="BE1312" s="443"/>
      <c r="BF1312" s="440"/>
      <c r="CA1312" s="114" t="str">
        <f>$CB$56</f>
        <v>Mixing tank</v>
      </c>
      <c r="CB1312" s="441" t="s">
        <v>506</v>
      </c>
      <c r="CC1312" s="445"/>
      <c r="CD1312" s="438" t="s">
        <v>454</v>
      </c>
      <c r="CE1312" s="443"/>
      <c r="CF1312" s="440"/>
      <c r="DA1312" s="114" t="str">
        <f>$DB$56</f>
        <v>Filter press</v>
      </c>
      <c r="DB1312" s="441" t="s">
        <v>506</v>
      </c>
      <c r="DC1312" s="445"/>
      <c r="DD1312" s="438" t="s">
        <v>454</v>
      </c>
      <c r="DE1312" s="443"/>
      <c r="DF1312" s="440"/>
      <c r="EA1312" s="114" t="str">
        <f>$EB$58</f>
        <v>Mixing tank</v>
      </c>
      <c r="EB1312" s="441" t="s">
        <v>506</v>
      </c>
      <c r="EC1312" s="445"/>
      <c r="ED1312" s="438" t="s">
        <v>454</v>
      </c>
      <c r="EE1312" s="443"/>
      <c r="EF1312" s="440"/>
    </row>
    <row r="1313" spans="53:137">
      <c r="BA1313" s="114" t="str">
        <f>$BB$57</f>
        <v>Gas treatment</v>
      </c>
      <c r="BB1313" s="436" t="s">
        <v>507</v>
      </c>
      <c r="BC1313" s="225">
        <f>(VLOOKUP(BB1308,'Unit Ops'!$B$140:$J$209,7,FALSE)*BC1310^VLOOKUP(BB1308,'Unit Ops'!$B$140:$J$209,8,FALSE)+VLOOKUP(BB1308,'Unit Ops'!$B$140:$J$209,9,FALSE))*IF(VLOOKUP(BB1308,'Unit Ops'!$B$140:$L$209,11,FALSE)=1,1,2)</f>
        <v>0</v>
      </c>
      <c r="BD1313" s="446" t="s">
        <v>454</v>
      </c>
      <c r="BE1313" s="443"/>
      <c r="BF1313" s="440"/>
      <c r="CA1313" s="114" t="str">
        <f>$CB$57</f>
        <v>Filter press</v>
      </c>
      <c r="CB1313" s="436" t="s">
        <v>507</v>
      </c>
      <c r="CC1313" s="225">
        <f>(VLOOKUP(CB1308,'Unit Ops'!$B$140:$J$209,7,FALSE)*CC1310^VLOOKUP(CB1308,'Unit Ops'!$B$140:$J$209,8,FALSE)+VLOOKUP(CB1308,'Unit Ops'!$B$140:$J$209,9,FALSE))*IF(VLOOKUP(CB1308,'Unit Ops'!$B$140:$L$209,11,FALSE)=1,1,2)</f>
        <v>20.8796</v>
      </c>
      <c r="CD1313" s="446" t="s">
        <v>454</v>
      </c>
      <c r="CE1313" s="443"/>
      <c r="CF1313" s="440"/>
      <c r="DA1313" s="114" t="str">
        <f>$DB$57</f>
        <v>Froth flotation cell</v>
      </c>
      <c r="DB1313" s="436" t="s">
        <v>507</v>
      </c>
      <c r="DC1313" s="225">
        <f>(VLOOKUP(DB1308,'Unit Ops'!$B$140:$J$209,7,FALSE)*DC1310^VLOOKUP(DB1308,'Unit Ops'!$B$140:$J$209,8,FALSE)+VLOOKUP(DB1308,'Unit Ops'!$B$140:$J$209,9,FALSE))*IF(VLOOKUP(DB1308,'Unit Ops'!$B$140:$L$209,11,FALSE)=1,1,2)</f>
        <v>1000</v>
      </c>
      <c r="DD1313" s="446" t="s">
        <v>454</v>
      </c>
      <c r="DE1313" s="443"/>
      <c r="DF1313" s="440"/>
      <c r="EA1313" s="114" t="str">
        <f>$EB$59</f>
        <v>Filter press</v>
      </c>
      <c r="EB1313" s="436" t="s">
        <v>507</v>
      </c>
      <c r="EC1313" s="225">
        <f>(VLOOKUP(EB1308,'Unit Ops'!$B$140:$J$209,7,FALSE)*EC1310^VLOOKUP(EB1308,'Unit Ops'!$B$140:$J$209,8,FALSE)+VLOOKUP(EB1308,'Unit Ops'!$B$140:$J$209,9,FALSE))*IF(VLOOKUP(EB1308,'Unit Ops'!$B$140:$L$209,11,FALSE)=1,1,2)</f>
        <v>29.828000000000003</v>
      </c>
      <c r="ED1313" s="446" t="s">
        <v>454</v>
      </c>
      <c r="EE1313" s="443"/>
      <c r="EF1313" s="440"/>
    </row>
    <row r="1314" spans="53:137">
      <c r="BA1314" s="114" t="str">
        <f>$BB$58</f>
        <v>Conveyor</v>
      </c>
      <c r="BB1314" s="441"/>
      <c r="BC1314" s="445"/>
      <c r="BD1314" s="447"/>
      <c r="BE1314" s="443"/>
      <c r="BF1314" s="440"/>
      <c r="BG1314" s="409"/>
      <c r="CA1314" s="114" t="str">
        <f>$CB$58</f>
        <v>Solvent extraction unit</v>
      </c>
      <c r="CB1314" s="441"/>
      <c r="CC1314" s="445"/>
      <c r="CD1314" s="447"/>
      <c r="CE1314" s="443"/>
      <c r="CF1314" s="440"/>
      <c r="CG1314" s="409"/>
      <c r="DA1314" s="114" t="str">
        <f>$DB$58</f>
        <v>Filter press</v>
      </c>
      <c r="DB1314" s="441"/>
      <c r="DC1314" s="445"/>
      <c r="DD1314" s="447"/>
      <c r="DE1314" s="443"/>
      <c r="DF1314" s="440"/>
      <c r="DG1314" s="409"/>
      <c r="EA1314" s="114" t="str">
        <f>$EB$60</f>
        <v>Solvent extraction unit</v>
      </c>
      <c r="EB1314" s="441"/>
      <c r="EC1314" s="445"/>
      <c r="ED1314" s="447"/>
      <c r="EE1314" s="443"/>
      <c r="EF1314" s="440"/>
      <c r="EG1314" s="409"/>
    </row>
    <row r="1315" spans="53:137">
      <c r="BA1315" s="114" t="str">
        <f>$BB$59</f>
        <v>Granulator</v>
      </c>
      <c r="BB1315" s="441"/>
      <c r="BC1315" s="445"/>
      <c r="BD1315" s="447"/>
      <c r="BE1315" s="443"/>
      <c r="BF1315" s="440"/>
      <c r="BG1315" s="409"/>
      <c r="CA1315" s="114" t="str">
        <f>$CB$59</f>
        <v>Solvent extraction unit</v>
      </c>
      <c r="CB1315" s="441"/>
      <c r="CC1315" s="445"/>
      <c r="CD1315" s="447"/>
      <c r="CE1315" s="443"/>
      <c r="CF1315" s="440"/>
      <c r="CG1315" s="409"/>
      <c r="DA1315" s="114" t="str">
        <f>$DB$59</f>
        <v>Dryer</v>
      </c>
      <c r="DB1315" s="441"/>
      <c r="DC1315" s="445"/>
      <c r="DD1315" s="447"/>
      <c r="DE1315" s="443"/>
      <c r="DF1315" s="440"/>
      <c r="DG1315" s="409"/>
      <c r="EA1315" s="114" t="str">
        <f>$EB$61</f>
        <v>Solvent extraction unit</v>
      </c>
      <c r="EB1315" s="441"/>
      <c r="EC1315" s="445"/>
      <c r="ED1315" s="447"/>
      <c r="EE1315" s="443"/>
      <c r="EF1315" s="440"/>
      <c r="EG1315" s="409"/>
    </row>
    <row r="1316" spans="53:137">
      <c r="BA1316" s="114" t="str">
        <f>$BB$60</f>
        <v>Leaching tank</v>
      </c>
      <c r="BB1316" s="449"/>
      <c r="BC1316" s="445"/>
      <c r="BD1316" s="447"/>
      <c r="BE1316" s="443"/>
      <c r="BF1316" s="440"/>
      <c r="BG1316" s="409"/>
      <c r="CA1316" s="114" t="str">
        <f>$CB$60</f>
        <v>Solvent extraction unit</v>
      </c>
      <c r="CB1316" s="449"/>
      <c r="CC1316" s="445"/>
      <c r="CD1316" s="447"/>
      <c r="CE1316" s="443"/>
      <c r="CF1316" s="440"/>
      <c r="CG1316" s="409"/>
      <c r="DA1316" s="114" t="str">
        <f>$DB$60</f>
        <v>Ball mill</v>
      </c>
      <c r="DB1316" s="449"/>
      <c r="DC1316" s="445"/>
      <c r="DD1316" s="447"/>
      <c r="DE1316" s="443"/>
      <c r="DF1316" s="440"/>
      <c r="DG1316" s="409"/>
      <c r="EA1316" s="114" t="str">
        <f>$EB$62</f>
        <v>Solvent extraction unit</v>
      </c>
      <c r="EB1316" s="449"/>
      <c r="EC1316" s="445"/>
      <c r="ED1316" s="447"/>
      <c r="EE1316" s="443"/>
      <c r="EF1316" s="440"/>
      <c r="EG1316" s="409"/>
    </row>
    <row r="1317" spans="53:137" ht="14.5" thickBot="1">
      <c r="BA1317" s="114" t="str">
        <f>$BB$61</f>
        <v>Solvent extraction unit</v>
      </c>
      <c r="BB1317" s="450"/>
      <c r="BC1317" s="451"/>
      <c r="BD1317" s="451"/>
      <c r="BE1317" s="452"/>
      <c r="BF1317" s="453"/>
      <c r="BG1317" s="409"/>
      <c r="CA1317" s="114" t="str">
        <f>$CB$61</f>
        <v>Evaporator</v>
      </c>
      <c r="CB1317" s="450"/>
      <c r="CC1317" s="451"/>
      <c r="CD1317" s="451"/>
      <c r="CE1317" s="452"/>
      <c r="CF1317" s="453"/>
      <c r="CG1317" s="409"/>
      <c r="DA1317" s="114" t="str">
        <f>$DB$61</f>
        <v>Furnace+saggar handling system</v>
      </c>
      <c r="DB1317" s="450"/>
      <c r="DC1317" s="451"/>
      <c r="DD1317" s="451"/>
      <c r="DE1317" s="452"/>
      <c r="DF1317" s="453"/>
      <c r="DG1317" s="409"/>
      <c r="EA1317" s="114" t="str">
        <f>$EB$63</f>
        <v>Evaporator</v>
      </c>
      <c r="EB1317" s="450"/>
      <c r="EC1317" s="451"/>
      <c r="ED1317" s="451"/>
      <c r="EE1317" s="452"/>
      <c r="EF1317" s="453"/>
      <c r="EG1317" s="409"/>
    </row>
    <row r="1318" spans="53:137">
      <c r="BA1318" s="114" t="str">
        <f>$BB$62</f>
        <v>Electrowinning cell</v>
      </c>
      <c r="BB1318" s="449" t="s">
        <v>470</v>
      </c>
      <c r="BC1318" s="120"/>
      <c r="BD1318" s="454"/>
      <c r="BE1318" s="120"/>
      <c r="BF1318" s="440"/>
      <c r="BG1318" s="409"/>
      <c r="CA1318" s="114" t="str">
        <f>$CB$62</f>
        <v>Precipitation tank</v>
      </c>
      <c r="CB1318" s="449" t="s">
        <v>470</v>
      </c>
      <c r="CC1318" s="120"/>
      <c r="CD1318" s="454"/>
      <c r="CE1318" s="120"/>
      <c r="CF1318" s="440"/>
      <c r="CG1318" s="409"/>
      <c r="DA1318" s="114" t="str">
        <f>$DB$62</f>
        <v>Water treatment</v>
      </c>
      <c r="DB1318" s="449" t="s">
        <v>470</v>
      </c>
      <c r="DC1318" s="120"/>
      <c r="DD1318" s="454"/>
      <c r="DE1318" s="120"/>
      <c r="DF1318" s="440"/>
      <c r="DG1318" s="409"/>
      <c r="EA1318" s="114" t="str">
        <f>$EB$64</f>
        <v>Precipitation tank</v>
      </c>
      <c r="EB1318" s="449" t="s">
        <v>470</v>
      </c>
      <c r="EC1318" s="120"/>
      <c r="ED1318" s="454"/>
      <c r="EE1318" s="120"/>
      <c r="EF1318" s="440"/>
      <c r="EG1318" s="409"/>
    </row>
    <row r="1319" spans="53:137" ht="14.5" customHeight="1">
      <c r="BA1319" s="114" t="str">
        <f>$BB$63</f>
        <v>Solvent extraction unit</v>
      </c>
      <c r="BB1319" s="1698"/>
      <c r="BC1319" s="1699"/>
      <c r="BD1319" s="1699"/>
      <c r="BE1319" s="1699"/>
      <c r="BF1319" s="1700"/>
      <c r="BG1319" s="409"/>
      <c r="CA1319" s="114" t="str">
        <f>$CB$63</f>
        <v>Centrifuge</v>
      </c>
      <c r="CB1319" s="1698"/>
      <c r="CC1319" s="1699"/>
      <c r="CD1319" s="1699"/>
      <c r="CE1319" s="1699"/>
      <c r="CF1319" s="1700"/>
      <c r="CG1319" s="409"/>
      <c r="DA1319" s="114" t="str">
        <f>$DB$63</f>
        <v>Wheel loader</v>
      </c>
      <c r="DB1319" s="1698"/>
      <c r="DC1319" s="1699"/>
      <c r="DD1319" s="1699"/>
      <c r="DE1319" s="1699"/>
      <c r="DF1319" s="1700"/>
      <c r="DG1319" s="409"/>
      <c r="EA1319" s="114" t="str">
        <f>$EB$65</f>
        <v>Centrifuge</v>
      </c>
      <c r="EB1319" s="1698"/>
      <c r="EC1319" s="1699"/>
      <c r="ED1319" s="1699"/>
      <c r="EE1319" s="1699"/>
      <c r="EF1319" s="1700"/>
      <c r="EG1319" s="409"/>
    </row>
    <row r="1320" spans="53:137">
      <c r="BA1320" s="114" t="str">
        <f>$BB$64</f>
        <v>Solvent extraction unit</v>
      </c>
      <c r="BB1320" s="436"/>
      <c r="BC1320" s="120"/>
      <c r="BD1320" s="455"/>
      <c r="BE1320" s="120"/>
      <c r="BF1320" s="440"/>
      <c r="BG1320" s="409"/>
      <c r="CA1320" s="114" t="str">
        <f>$CB$64</f>
        <v>Dryer</v>
      </c>
      <c r="CB1320" s="436"/>
      <c r="CC1320" s="120"/>
      <c r="CD1320" s="455"/>
      <c r="CE1320" s="120"/>
      <c r="CF1320" s="440"/>
      <c r="CG1320" s="409"/>
      <c r="DA1320" s="114" t="str">
        <f>$DB$64</f>
        <v>Select Equipment</v>
      </c>
      <c r="DB1320" s="436"/>
      <c r="DC1320" s="120"/>
      <c r="DD1320" s="455"/>
      <c r="DE1320" s="120"/>
      <c r="DF1320" s="440"/>
      <c r="DG1320" s="409"/>
      <c r="EA1320" s="114" t="str">
        <f>$EB$66</f>
        <v>Dryer</v>
      </c>
      <c r="EB1320" s="436"/>
      <c r="EC1320" s="120"/>
      <c r="ED1320" s="455"/>
      <c r="EE1320" s="120"/>
      <c r="EF1320" s="440"/>
      <c r="EG1320" s="409"/>
    </row>
    <row r="1321" spans="53:137">
      <c r="BA1321" s="114" t="str">
        <f>$BB$65</f>
        <v>Wheel loader</v>
      </c>
      <c r="BB1321" s="436"/>
      <c r="BC1321" s="120"/>
      <c r="BD1321" s="455"/>
      <c r="BE1321" s="120"/>
      <c r="BF1321" s="440"/>
      <c r="BG1321" s="409"/>
      <c r="CA1321" s="114" t="str">
        <f>$CB$65</f>
        <v>Water treatment</v>
      </c>
      <c r="CB1321" s="436"/>
      <c r="CC1321" s="120"/>
      <c r="CD1321" s="455"/>
      <c r="CE1321" s="120"/>
      <c r="CF1321" s="440"/>
      <c r="CG1321" s="409"/>
      <c r="DA1321" s="114" t="str">
        <f>$DB$65</f>
        <v>Select Equipment</v>
      </c>
      <c r="DB1321" s="436"/>
      <c r="DC1321" s="120"/>
      <c r="DD1321" s="455"/>
      <c r="DE1321" s="120"/>
      <c r="DF1321" s="440"/>
      <c r="DG1321" s="409"/>
      <c r="EA1321" s="114" t="str">
        <f>$EB$67</f>
        <v>Water treatment</v>
      </c>
      <c r="EB1321" s="436"/>
      <c r="EC1321" s="120"/>
      <c r="ED1321" s="455"/>
      <c r="EE1321" s="120"/>
      <c r="EF1321" s="440"/>
      <c r="EG1321" s="409"/>
    </row>
    <row r="1322" spans="53:137">
      <c r="BA1322" s="114" t="str">
        <f>$BB$66</f>
        <v>Water treatment</v>
      </c>
      <c r="BB1322" s="456"/>
      <c r="BC1322" s="457"/>
      <c r="BD1322" s="457"/>
      <c r="BE1322" s="457"/>
      <c r="BF1322" s="458"/>
      <c r="CA1322" s="114" t="str">
        <f>$CB$66</f>
        <v>Wheel loader</v>
      </c>
      <c r="CB1322" s="456"/>
      <c r="CC1322" s="457"/>
      <c r="CD1322" s="457"/>
      <c r="CE1322" s="457"/>
      <c r="CF1322" s="458"/>
      <c r="DA1322" s="114" t="str">
        <f>$DB$66</f>
        <v>Select Equipment</v>
      </c>
      <c r="DB1322" s="456"/>
      <c r="DC1322" s="457"/>
      <c r="DD1322" s="457"/>
      <c r="DE1322" s="457"/>
      <c r="DF1322" s="458"/>
      <c r="EA1322" s="114" t="str">
        <f>$EB$68</f>
        <v>Wheel loader</v>
      </c>
      <c r="EB1322" s="456"/>
      <c r="EC1322" s="457"/>
      <c r="ED1322" s="457"/>
      <c r="EE1322" s="457"/>
      <c r="EF1322" s="458"/>
    </row>
    <row r="1323" spans="53:137">
      <c r="BA1323" s="114" t="str">
        <f>$BB$67</f>
        <v>Select Equipment</v>
      </c>
      <c r="BB1323" s="449" t="s">
        <v>471</v>
      </c>
      <c r="BC1323" s="120"/>
      <c r="BD1323" s="454"/>
      <c r="BE1323" s="120"/>
      <c r="BF1323" s="440"/>
      <c r="BG1323" s="266"/>
      <c r="CA1323" s="114" t="str">
        <f>$CB$67</f>
        <v>Select Equipment</v>
      </c>
      <c r="CB1323" s="449" t="s">
        <v>471</v>
      </c>
      <c r="CC1323" s="120"/>
      <c r="CD1323" s="454"/>
      <c r="CE1323" s="120"/>
      <c r="CF1323" s="440"/>
      <c r="CG1323" s="266"/>
      <c r="DA1323" s="114" t="str">
        <f>$DB$67</f>
        <v>Select Equipment</v>
      </c>
      <c r="DB1323" s="449" t="s">
        <v>471</v>
      </c>
      <c r="DC1323" s="120"/>
      <c r="DD1323" s="454"/>
      <c r="DE1323" s="120"/>
      <c r="DF1323" s="440"/>
      <c r="DG1323" s="266"/>
      <c r="EA1323" s="114" t="str">
        <f>$EB$69</f>
        <v>Select Equipment</v>
      </c>
      <c r="EB1323" s="449" t="s">
        <v>471</v>
      </c>
      <c r="EC1323" s="120"/>
      <c r="ED1323" s="454"/>
      <c r="EE1323" s="120"/>
      <c r="EF1323" s="440"/>
      <c r="EG1323" s="266"/>
    </row>
    <row r="1324" spans="53:137">
      <c r="BA1324" s="114" t="str">
        <f>$BB$68</f>
        <v>Select Equipment</v>
      </c>
      <c r="BB1324" s="436" t="s">
        <v>577</v>
      </c>
      <c r="BC1324" s="225">
        <f>BC1313*IF(BC1311&gt;1,1,BC1311)</f>
        <v>0</v>
      </c>
      <c r="BD1324" s="446" t="s">
        <v>454</v>
      </c>
      <c r="BE1324" s="120"/>
      <c r="BF1324" s="440"/>
      <c r="BG1324" s="518"/>
      <c r="CA1324" s="114" t="str">
        <f>$CB$68</f>
        <v>Select Equipment</v>
      </c>
      <c r="CB1324" s="436" t="s">
        <v>577</v>
      </c>
      <c r="CC1324" s="225">
        <f>CC1313*IF(CC1311&gt;1,1,CC1311)</f>
        <v>20.8796</v>
      </c>
      <c r="CD1324" s="446" t="s">
        <v>454</v>
      </c>
      <c r="CE1324" s="120"/>
      <c r="CF1324" s="440"/>
      <c r="CG1324" s="518"/>
      <c r="DA1324" s="114" t="str">
        <f>$DB$68</f>
        <v>Select Equipment</v>
      </c>
      <c r="DB1324" s="436" t="s">
        <v>577</v>
      </c>
      <c r="DC1324" s="225">
        <f>DC1313*IF(DC1311&gt;1,1,DC1311)</f>
        <v>661.37566137566125</v>
      </c>
      <c r="DD1324" s="446" t="s">
        <v>454</v>
      </c>
      <c r="DE1324" s="120"/>
      <c r="DF1324" s="440"/>
      <c r="DG1324" s="518"/>
      <c r="EA1324" s="114" t="str">
        <f>$EB$70</f>
        <v>Select Equipment</v>
      </c>
      <c r="EB1324" s="436" t="s">
        <v>577</v>
      </c>
      <c r="EC1324" s="225">
        <f>EC1313*IF(EC1311&gt;1,1,EC1311)</f>
        <v>29.828000000000003</v>
      </c>
      <c r="ED1324" s="446" t="s">
        <v>454</v>
      </c>
      <c r="EE1324" s="120"/>
      <c r="EF1324" s="440"/>
      <c r="EG1324" s="518"/>
    </row>
    <row r="1325" spans="53:137">
      <c r="BA1325" s="114" t="str">
        <f>$BB$69</f>
        <v>Select Equipment</v>
      </c>
      <c r="BB1325" s="436" t="s">
        <v>578</v>
      </c>
      <c r="BC1325" s="225"/>
      <c r="BD1325" s="446" t="s">
        <v>579</v>
      </c>
      <c r="BE1325" s="120"/>
      <c r="BF1325" s="440"/>
      <c r="BG1325" s="519"/>
      <c r="CA1325" s="114" t="str">
        <f>$CB$69</f>
        <v>Select Equipment</v>
      </c>
      <c r="CB1325" s="436" t="s">
        <v>578</v>
      </c>
      <c r="CC1325" s="225"/>
      <c r="CD1325" s="446" t="s">
        <v>579</v>
      </c>
      <c r="CE1325" s="120"/>
      <c r="CF1325" s="440"/>
      <c r="CG1325" s="519"/>
      <c r="DA1325" s="114" t="str">
        <f>$DB$69</f>
        <v>Select Equipment</v>
      </c>
      <c r="DB1325" s="436" t="s">
        <v>578</v>
      </c>
      <c r="DC1325" s="225"/>
      <c r="DD1325" s="446" t="s">
        <v>579</v>
      </c>
      <c r="DE1325" s="120"/>
      <c r="DF1325" s="440"/>
      <c r="DG1325" s="519"/>
      <c r="EA1325" s="114" t="str">
        <f>$EB$71</f>
        <v>Select Equipment</v>
      </c>
      <c r="EB1325" s="436" t="s">
        <v>578</v>
      </c>
      <c r="EC1325" s="225"/>
      <c r="ED1325" s="446" t="s">
        <v>579</v>
      </c>
      <c r="EE1325" s="120"/>
      <c r="EF1325" s="440"/>
      <c r="EG1325" s="519"/>
    </row>
    <row r="1326" spans="53:137">
      <c r="BA1326" s="114" t="str">
        <f>$BB$70</f>
        <v>Select Equipment</v>
      </c>
      <c r="BB1326" s="436"/>
      <c r="BC1326" s="120"/>
      <c r="BD1326" s="446"/>
      <c r="BE1326" s="120"/>
      <c r="BF1326" s="440"/>
      <c r="BG1326" s="519"/>
      <c r="CA1326" s="114" t="str">
        <f>$CB$70</f>
        <v>Select Equipment</v>
      </c>
      <c r="CB1326" s="436"/>
      <c r="CC1326" s="120"/>
      <c r="CD1326" s="446"/>
      <c r="CE1326" s="120"/>
      <c r="CF1326" s="440"/>
      <c r="CG1326" s="519"/>
      <c r="DA1326" s="114" t="str">
        <f>$DB$70</f>
        <v>Select Equipment</v>
      </c>
      <c r="DB1326" s="436"/>
      <c r="DC1326" s="120"/>
      <c r="DD1326" s="446"/>
      <c r="DE1326" s="120"/>
      <c r="DF1326" s="440"/>
      <c r="DG1326" s="519"/>
      <c r="EA1326" s="114" t="str">
        <f>$EB$72</f>
        <v>Select Equipment</v>
      </c>
      <c r="EB1326" s="436"/>
      <c r="EC1326" s="120"/>
      <c r="ED1326" s="446"/>
      <c r="EE1326" s="120"/>
      <c r="EF1326" s="440"/>
      <c r="EG1326" s="519"/>
    </row>
    <row r="1327" spans="53:137">
      <c r="BA1327" s="114" t="str">
        <f>$BB$71</f>
        <v>Select Equipment</v>
      </c>
      <c r="BB1327" s="436" t="s">
        <v>8</v>
      </c>
      <c r="BC1327" s="120"/>
      <c r="BD1327" s="459" t="s">
        <v>564</v>
      </c>
      <c r="BE1327" s="120"/>
      <c r="BF1327" s="440"/>
      <c r="BG1327" s="518"/>
      <c r="CA1327" s="114" t="str">
        <f>$CB$71</f>
        <v>Select Equipment</v>
      </c>
      <c r="CB1327" s="436" t="s">
        <v>8</v>
      </c>
      <c r="CC1327" s="120"/>
      <c r="CD1327" s="459" t="s">
        <v>564</v>
      </c>
      <c r="CE1327" s="120"/>
      <c r="CF1327" s="440"/>
      <c r="CG1327" s="518"/>
      <c r="DA1327" s="114" t="str">
        <f>$DB$71</f>
        <v>Select Equipment</v>
      </c>
      <c r="DB1327" s="436" t="s">
        <v>8</v>
      </c>
      <c r="DC1327" s="120"/>
      <c r="DD1327" s="459" t="s">
        <v>564</v>
      </c>
      <c r="DE1327" s="120"/>
      <c r="DF1327" s="440"/>
      <c r="DG1327" s="518"/>
      <c r="EA1327" s="114" t="str">
        <f>$EB$73</f>
        <v>Select Equipment</v>
      </c>
      <c r="EB1327" s="436" t="s">
        <v>8</v>
      </c>
      <c r="EC1327" s="120"/>
      <c r="ED1327" s="459" t="s">
        <v>564</v>
      </c>
      <c r="EE1327" s="120"/>
      <c r="EF1327" s="440"/>
      <c r="EG1327" s="518"/>
    </row>
    <row r="1328" spans="53:137">
      <c r="BA1328" s="114" t="str">
        <f>$BB$72</f>
        <v>Select Equipment</v>
      </c>
      <c r="BB1328" s="436"/>
      <c r="BC1328" s="120"/>
      <c r="BD1328" s="459"/>
      <c r="BE1328" s="120"/>
      <c r="BF1328" s="440"/>
      <c r="BG1328" s="518"/>
      <c r="CA1328" s="114" t="str">
        <f>$CB$72</f>
        <v>Select Equipment</v>
      </c>
      <c r="CB1328" s="436"/>
      <c r="CC1328" s="120"/>
      <c r="CD1328" s="459"/>
      <c r="CE1328" s="120"/>
      <c r="CF1328" s="440"/>
      <c r="CG1328" s="518"/>
      <c r="DA1328" s="114" t="str">
        <f>$DB$72</f>
        <v>Select Equipment</v>
      </c>
      <c r="DB1328" s="436"/>
      <c r="DC1328" s="120"/>
      <c r="DD1328" s="459"/>
      <c r="DE1328" s="120"/>
      <c r="DF1328" s="440"/>
      <c r="DG1328" s="518"/>
      <c r="EA1328" s="114" t="str">
        <f>$EB$74</f>
        <v>Select Equipment</v>
      </c>
      <c r="EB1328" s="436"/>
      <c r="EC1328" s="120"/>
      <c r="ED1328" s="459"/>
      <c r="EE1328" s="120"/>
      <c r="EF1328" s="440"/>
      <c r="EG1328" s="518"/>
    </row>
    <row r="1329" spans="53:137">
      <c r="BA1329" s="114" t="str">
        <f>$BB$73</f>
        <v>Select Equipment</v>
      </c>
      <c r="BB1329" s="436" t="s">
        <v>7</v>
      </c>
      <c r="BC1329" s="120"/>
      <c r="BD1329" s="459" t="s">
        <v>564</v>
      </c>
      <c r="BE1329" s="120"/>
      <c r="BF1329" s="440"/>
      <c r="BG1329" s="518"/>
      <c r="CA1329" s="114" t="str">
        <f>$CB$73</f>
        <v>Select Equipment</v>
      </c>
      <c r="CB1329" s="436" t="s">
        <v>7</v>
      </c>
      <c r="CC1329" s="120"/>
      <c r="CD1329" s="459" t="s">
        <v>564</v>
      </c>
      <c r="CE1329" s="120"/>
      <c r="CF1329" s="440"/>
      <c r="CG1329" s="518"/>
      <c r="DA1329" s="114" t="str">
        <f>$DB$73</f>
        <v>Select Equipment</v>
      </c>
      <c r="DB1329" s="436" t="s">
        <v>7</v>
      </c>
      <c r="DC1329" s="120"/>
      <c r="DD1329" s="459" t="s">
        <v>564</v>
      </c>
      <c r="DE1329" s="120"/>
      <c r="DF1329" s="440"/>
      <c r="DG1329" s="518"/>
      <c r="EA1329" s="114" t="str">
        <f>$EB$75</f>
        <v>Select Equipment</v>
      </c>
      <c r="EB1329" s="436" t="s">
        <v>7</v>
      </c>
      <c r="EC1329" s="120"/>
      <c r="ED1329" s="459" t="s">
        <v>564</v>
      </c>
      <c r="EE1329" s="120"/>
      <c r="EF1329" s="440"/>
      <c r="EG1329" s="518"/>
    </row>
    <row r="1330" spans="53:137">
      <c r="BA1330" s="114" t="str">
        <f>$BB$74</f>
        <v>Select Equipment</v>
      </c>
      <c r="BB1330" s="436"/>
      <c r="BC1330" s="120"/>
      <c r="BD1330" s="459"/>
      <c r="BE1330" s="120"/>
      <c r="BF1330" s="440"/>
      <c r="BG1330" s="518"/>
      <c r="CA1330" s="114" t="str">
        <f>$CB$74</f>
        <v>Select Equipment</v>
      </c>
      <c r="CB1330" s="436"/>
      <c r="CC1330" s="120"/>
      <c r="CD1330" s="459"/>
      <c r="CE1330" s="120"/>
      <c r="CF1330" s="440"/>
      <c r="CG1330" s="518"/>
      <c r="DA1330" s="114" t="str">
        <f>$DB$74</f>
        <v>Select Equipment</v>
      </c>
      <c r="DB1330" s="436"/>
      <c r="DC1330" s="120"/>
      <c r="DD1330" s="459"/>
      <c r="DE1330" s="120"/>
      <c r="DF1330" s="440"/>
      <c r="DG1330" s="518"/>
      <c r="EA1330" s="114" t="str">
        <f>$EB$76</f>
        <v>Select Equipment</v>
      </c>
      <c r="EB1330" s="436"/>
      <c r="EC1330" s="120"/>
      <c r="ED1330" s="459"/>
      <c r="EE1330" s="120"/>
      <c r="EF1330" s="440"/>
      <c r="EG1330" s="518"/>
    </row>
    <row r="1331" spans="53:137">
      <c r="BA1331" s="114" t="str">
        <f>$BB$75</f>
        <v>Select Equipment</v>
      </c>
      <c r="BB1331" s="436" t="s">
        <v>9</v>
      </c>
      <c r="BC1331" s="120"/>
      <c r="BD1331" s="459" t="s">
        <v>564</v>
      </c>
      <c r="BE1331" s="120"/>
      <c r="BF1331" s="440"/>
      <c r="BG1331" s="518"/>
      <c r="CA1331" s="114" t="str">
        <f>$CB$75</f>
        <v>Select Equipment</v>
      </c>
      <c r="CB1331" s="436" t="s">
        <v>9</v>
      </c>
      <c r="CC1331" s="120"/>
      <c r="CD1331" s="459" t="s">
        <v>564</v>
      </c>
      <c r="CE1331" s="120"/>
      <c r="CF1331" s="440"/>
      <c r="CG1331" s="518"/>
      <c r="DA1331" s="114" t="str">
        <f>$DB$75</f>
        <v>Select Equipment</v>
      </c>
      <c r="DB1331" s="436" t="s">
        <v>9</v>
      </c>
      <c r="DC1331" s="120"/>
      <c r="DD1331" s="459" t="s">
        <v>564</v>
      </c>
      <c r="DE1331" s="120"/>
      <c r="DF1331" s="440"/>
      <c r="DG1331" s="518"/>
      <c r="EA1331" s="114" t="str">
        <f>$EB$77</f>
        <v>Select Equipment</v>
      </c>
      <c r="EB1331" s="436" t="s">
        <v>9</v>
      </c>
      <c r="EC1331" s="120"/>
      <c r="ED1331" s="459" t="s">
        <v>564</v>
      </c>
      <c r="EE1331" s="120"/>
      <c r="EF1331" s="440"/>
      <c r="EG1331" s="518"/>
    </row>
    <row r="1332" spans="53:137">
      <c r="BA1332" s="114" t="str">
        <f>$BB$76</f>
        <v>Select Equipment</v>
      </c>
      <c r="BB1332" s="436"/>
      <c r="BC1332" s="120"/>
      <c r="BD1332" s="459"/>
      <c r="BE1332" s="120"/>
      <c r="BF1332" s="440"/>
      <c r="BG1332" s="518"/>
      <c r="CA1332" s="114" t="str">
        <f>$CB$76</f>
        <v>Select Equipment</v>
      </c>
      <c r="CB1332" s="436"/>
      <c r="CC1332" s="120"/>
      <c r="CD1332" s="459"/>
      <c r="CE1332" s="120"/>
      <c r="CF1332" s="440"/>
      <c r="CG1332" s="518"/>
      <c r="DA1332" s="114" t="str">
        <f>$DB$76</f>
        <v>Select Equipment</v>
      </c>
      <c r="DB1332" s="436"/>
      <c r="DC1332" s="120"/>
      <c r="DD1332" s="459"/>
      <c r="DE1332" s="120"/>
      <c r="DF1332" s="440"/>
      <c r="DG1332" s="518"/>
      <c r="EA1332" s="114" t="str">
        <f>$EB$78</f>
        <v>Select Equipment</v>
      </c>
      <c r="EB1332" s="436"/>
      <c r="EC1332" s="120"/>
      <c r="ED1332" s="459"/>
      <c r="EE1332" s="120"/>
      <c r="EF1332" s="440"/>
      <c r="EG1332" s="518"/>
    </row>
    <row r="1333" spans="53:137">
      <c r="BA1333" s="114" t="str">
        <f>$BB$77</f>
        <v>Select Equipment</v>
      </c>
      <c r="BB1333" s="436" t="s">
        <v>324</v>
      </c>
      <c r="BC1333" s="120"/>
      <c r="BD1333" s="459" t="s">
        <v>564</v>
      </c>
      <c r="BE1333" s="120"/>
      <c r="BF1333" s="440" t="s">
        <v>569</v>
      </c>
      <c r="BG1333" s="507"/>
      <c r="CA1333" s="114" t="str">
        <f>$CB$77</f>
        <v>Select Equipment</v>
      </c>
      <c r="CB1333" s="436" t="s">
        <v>324</v>
      </c>
      <c r="CC1333" s="120"/>
      <c r="CD1333" s="459" t="s">
        <v>564</v>
      </c>
      <c r="CE1333" s="120"/>
      <c r="CF1333" s="440" t="s">
        <v>569</v>
      </c>
      <c r="CG1333" s="507"/>
      <c r="DA1333" s="114" t="str">
        <f>$DB$77</f>
        <v>Select Equipment</v>
      </c>
      <c r="DB1333" s="436" t="s">
        <v>324</v>
      </c>
      <c r="DC1333" s="120"/>
      <c r="DD1333" s="459" t="s">
        <v>564</v>
      </c>
      <c r="DE1333" s="120"/>
      <c r="DF1333" s="440" t="s">
        <v>569</v>
      </c>
      <c r="DG1333" s="507"/>
      <c r="EA1333" s="114" t="str">
        <f>$EB$79</f>
        <v>Select Equipment</v>
      </c>
      <c r="EB1333" s="436" t="s">
        <v>324</v>
      </c>
      <c r="EC1333" s="120"/>
      <c r="ED1333" s="459" t="s">
        <v>564</v>
      </c>
      <c r="EE1333" s="120"/>
      <c r="EF1333" s="440" t="s">
        <v>569</v>
      </c>
      <c r="EG1333" s="507"/>
    </row>
    <row r="1334" spans="53:137">
      <c r="BA1334" s="114" t="str">
        <f>$BB$78</f>
        <v>Select Equipment</v>
      </c>
      <c r="BB1334" s="436"/>
      <c r="BC1334" s="120"/>
      <c r="BD1334" s="468"/>
      <c r="BE1334" s="469"/>
      <c r="BF1334" s="440"/>
      <c r="BG1334" s="507"/>
      <c r="CA1334" s="114" t="str">
        <f>$CB$78</f>
        <v>Select Equipment</v>
      </c>
      <c r="CB1334" s="436"/>
      <c r="CC1334" s="120"/>
      <c r="CD1334" s="468"/>
      <c r="CE1334" s="469"/>
      <c r="CF1334" s="440"/>
      <c r="CG1334" s="507"/>
      <c r="DA1334" s="114" t="str">
        <f>$DB$78</f>
        <v>Select Equipment</v>
      </c>
      <c r="DB1334" s="436"/>
      <c r="DC1334" s="120"/>
      <c r="DD1334" s="468"/>
      <c r="DE1334" s="469"/>
      <c r="DF1334" s="440"/>
      <c r="DG1334" s="507"/>
      <c r="EA1334" s="114" t="str">
        <f>$EB$80</f>
        <v>Select Equipment</v>
      </c>
      <c r="EB1334" s="436"/>
      <c r="EC1334" s="120"/>
      <c r="ED1334" s="468"/>
      <c r="EE1334" s="469"/>
      <c r="EF1334" s="440"/>
      <c r="EG1334" s="507"/>
    </row>
    <row r="1335" spans="53:137">
      <c r="BA1335" s="114" t="str">
        <f>$BB$79</f>
        <v>Select Equipment</v>
      </c>
      <c r="BB1335" s="436" t="s">
        <v>374</v>
      </c>
      <c r="BC1335" s="120"/>
      <c r="BD1335" s="459" t="s">
        <v>564</v>
      </c>
      <c r="BE1335" s="469"/>
      <c r="BF1335" s="440" t="s">
        <v>569</v>
      </c>
      <c r="BG1335" s="507"/>
      <c r="CA1335" s="114" t="str">
        <f>$CB$79</f>
        <v>Select Equipment</v>
      </c>
      <c r="CB1335" s="436" t="s">
        <v>374</v>
      </c>
      <c r="CC1335" s="120"/>
      <c r="CD1335" s="459" t="s">
        <v>564</v>
      </c>
      <c r="CE1335" s="469"/>
      <c r="CF1335" s="440" t="s">
        <v>569</v>
      </c>
      <c r="CG1335" s="507"/>
      <c r="DA1335" s="114" t="str">
        <f>$DB$79</f>
        <v>Select Equipment</v>
      </c>
      <c r="DB1335" s="436" t="s">
        <v>374</v>
      </c>
      <c r="DC1335" s="120"/>
      <c r="DD1335" s="459" t="s">
        <v>564</v>
      </c>
      <c r="DE1335" s="469"/>
      <c r="DF1335" s="440" t="s">
        <v>569</v>
      </c>
      <c r="DG1335" s="507"/>
      <c r="EA1335" s="114" t="str">
        <f>$EB$81</f>
        <v>Select Equipment</v>
      </c>
      <c r="EB1335" s="436" t="s">
        <v>374</v>
      </c>
      <c r="EC1335" s="120"/>
      <c r="ED1335" s="459" t="s">
        <v>564</v>
      </c>
      <c r="EE1335" s="469"/>
      <c r="EF1335" s="440" t="s">
        <v>569</v>
      </c>
      <c r="EG1335" s="507"/>
    </row>
    <row r="1336" spans="53:137">
      <c r="BA1336" s="114" t="str">
        <f>$BB$80</f>
        <v>Select Equipment</v>
      </c>
      <c r="BB1336" s="436"/>
      <c r="BC1336" s="120"/>
      <c r="BD1336" s="472"/>
      <c r="BE1336" s="473"/>
      <c r="BF1336" s="440"/>
      <c r="BG1336" s="507"/>
      <c r="CA1336" s="114" t="str">
        <f>$CB$80</f>
        <v>Select Equipment</v>
      </c>
      <c r="CB1336" s="436"/>
      <c r="CC1336" s="120"/>
      <c r="CD1336" s="472"/>
      <c r="CE1336" s="473"/>
      <c r="CF1336" s="440"/>
      <c r="CG1336" s="507"/>
      <c r="DA1336" s="114" t="str">
        <f>$DB$80</f>
        <v>Select Equipment</v>
      </c>
      <c r="DB1336" s="436"/>
      <c r="DC1336" s="120"/>
      <c r="DD1336" s="472"/>
      <c r="DE1336" s="473"/>
      <c r="DF1336" s="440"/>
      <c r="DG1336" s="507"/>
      <c r="EA1336" s="114" t="str">
        <f>$EB$82</f>
        <v>Select Equipment</v>
      </c>
      <c r="EB1336" s="436"/>
      <c r="EC1336" s="120"/>
      <c r="ED1336" s="472"/>
      <c r="EE1336" s="473"/>
      <c r="EF1336" s="440"/>
      <c r="EG1336" s="507"/>
    </row>
    <row r="1337" spans="53:137">
      <c r="BA1337" s="114" t="str">
        <f>$BB$81</f>
        <v>Select Equipment</v>
      </c>
      <c r="BB1337" s="436" t="s">
        <v>580</v>
      </c>
      <c r="BC1337" s="120"/>
      <c r="BD1337" s="459" t="s">
        <v>564</v>
      </c>
      <c r="BE1337" s="473"/>
      <c r="BF1337" s="440" t="s">
        <v>569</v>
      </c>
      <c r="BG1337" s="474"/>
      <c r="CA1337" s="114" t="str">
        <f>$CB$81</f>
        <v>Select Equipment</v>
      </c>
      <c r="CB1337" s="436" t="s">
        <v>580</v>
      </c>
      <c r="CC1337" s="120"/>
      <c r="CD1337" s="459" t="s">
        <v>564</v>
      </c>
      <c r="CE1337" s="473"/>
      <c r="CF1337" s="440" t="s">
        <v>569</v>
      </c>
      <c r="CG1337" s="474"/>
      <c r="DA1337" s="114" t="str">
        <f>$DB$81</f>
        <v>Select Equipment</v>
      </c>
      <c r="DB1337" s="436" t="s">
        <v>580</v>
      </c>
      <c r="DC1337" s="120"/>
      <c r="DD1337" s="459" t="s">
        <v>564</v>
      </c>
      <c r="DE1337" s="473"/>
      <c r="DF1337" s="440" t="s">
        <v>569</v>
      </c>
      <c r="DG1337" s="474"/>
      <c r="EA1337" s="114" t="str">
        <f>$EB$83</f>
        <v>Select Equipment</v>
      </c>
      <c r="EB1337" s="436" t="s">
        <v>580</v>
      </c>
      <c r="EC1337" s="120"/>
      <c r="ED1337" s="459" t="s">
        <v>564</v>
      </c>
      <c r="EE1337" s="473"/>
      <c r="EF1337" s="440" t="s">
        <v>569</v>
      </c>
      <c r="EG1337" s="474"/>
    </row>
    <row r="1338" spans="53:137">
      <c r="BA1338" s="114" t="str">
        <f>$BB$82</f>
        <v>Select Equipment</v>
      </c>
      <c r="BB1338" s="476"/>
      <c r="BC1338" s="477"/>
      <c r="BD1338" s="478"/>
      <c r="BE1338" s="479"/>
      <c r="BF1338" s="458"/>
      <c r="BG1338" s="474"/>
      <c r="CA1338" s="114" t="str">
        <f>$CB$82</f>
        <v>Select Equipment</v>
      </c>
      <c r="CB1338" s="476"/>
      <c r="CC1338" s="477"/>
      <c r="CD1338" s="478"/>
      <c r="CE1338" s="479"/>
      <c r="CF1338" s="458"/>
      <c r="CG1338" s="474"/>
      <c r="DA1338" s="114" t="str">
        <f>$DB$82</f>
        <v>Select Equipment</v>
      </c>
      <c r="DB1338" s="476"/>
      <c r="DC1338" s="477"/>
      <c r="DD1338" s="478"/>
      <c r="DE1338" s="479"/>
      <c r="DF1338" s="458"/>
      <c r="DG1338" s="474"/>
      <c r="EA1338" s="114" t="str">
        <f>$EB$84</f>
        <v>Select Equipment</v>
      </c>
      <c r="EB1338" s="476"/>
      <c r="EC1338" s="477"/>
      <c r="ED1338" s="478"/>
      <c r="EE1338" s="479"/>
      <c r="EF1338" s="458"/>
      <c r="EG1338" s="474"/>
    </row>
    <row r="1339" spans="53:137">
      <c r="BA1339" s="114" t="str">
        <f>$BB$83</f>
        <v>Select Equipment</v>
      </c>
      <c r="BB1339" s="449" t="s">
        <v>473</v>
      </c>
      <c r="BC1339" s="467" t="s">
        <v>508</v>
      </c>
      <c r="BD1339" s="480"/>
      <c r="BE1339" s="481" t="s">
        <v>308</v>
      </c>
      <c r="BF1339" s="440"/>
      <c r="BG1339" s="474"/>
      <c r="CA1339" s="114" t="str">
        <f>$CB$83</f>
        <v>Select Equipment</v>
      </c>
      <c r="CB1339" s="449" t="s">
        <v>473</v>
      </c>
      <c r="CC1339" s="467" t="s">
        <v>508</v>
      </c>
      <c r="CD1339" s="480"/>
      <c r="CE1339" s="481" t="s">
        <v>308</v>
      </c>
      <c r="CF1339" s="440"/>
      <c r="CG1339" s="474"/>
      <c r="DA1339" s="114" t="str">
        <f>$DB$83</f>
        <v>Select Equipment</v>
      </c>
      <c r="DB1339" s="449" t="s">
        <v>473</v>
      </c>
      <c r="DC1339" s="467" t="s">
        <v>508</v>
      </c>
      <c r="DD1339" s="480"/>
      <c r="DE1339" s="481" t="s">
        <v>308</v>
      </c>
      <c r="DF1339" s="440"/>
      <c r="DG1339" s="474"/>
      <c r="EA1339" s="114" t="str">
        <f>$EB$85</f>
        <v>Select Equipment</v>
      </c>
      <c r="EB1339" s="449" t="s">
        <v>473</v>
      </c>
      <c r="EC1339" s="467" t="s">
        <v>508</v>
      </c>
      <c r="ED1339" s="480"/>
      <c r="EE1339" s="481" t="s">
        <v>308</v>
      </c>
      <c r="EF1339" s="440"/>
      <c r="EG1339" s="474"/>
    </row>
    <row r="1340" spans="53:137">
      <c r="BB1340" s="436"/>
      <c r="BC1340" s="483"/>
      <c r="BD1340" s="480"/>
      <c r="BE1340" s="484"/>
      <c r="BF1340" s="440"/>
      <c r="BG1340" s="474"/>
      <c r="CB1340" s="436"/>
      <c r="CC1340" s="483"/>
      <c r="CD1340" s="480"/>
      <c r="CE1340" s="484"/>
      <c r="CF1340" s="440"/>
      <c r="CG1340" s="474"/>
      <c r="DB1340" s="436"/>
      <c r="DC1340" s="483"/>
      <c r="DD1340" s="480"/>
      <c r="DE1340" s="484"/>
      <c r="DF1340" s="440"/>
      <c r="DG1340" s="474"/>
      <c r="EB1340" s="436"/>
      <c r="EC1340" s="483"/>
      <c r="ED1340" s="480"/>
      <c r="EE1340" s="484"/>
      <c r="EF1340" s="440"/>
      <c r="EG1340" s="474"/>
    </row>
    <row r="1341" spans="53:137">
      <c r="BB1341" s="436"/>
      <c r="BC1341" s="120"/>
      <c r="BD1341" s="223"/>
      <c r="BE1341" s="467"/>
      <c r="BF1341" s="440"/>
      <c r="BG1341" s="474"/>
      <c r="CB1341" s="436"/>
      <c r="CC1341" s="120"/>
      <c r="CD1341" s="223"/>
      <c r="CE1341" s="467"/>
      <c r="CF1341" s="440"/>
      <c r="CG1341" s="474"/>
      <c r="DB1341" s="436"/>
      <c r="DC1341" s="120"/>
      <c r="DD1341" s="223"/>
      <c r="DE1341" s="467"/>
      <c r="DF1341" s="440"/>
      <c r="DG1341" s="474"/>
      <c r="EB1341" s="436"/>
      <c r="EC1341" s="120"/>
      <c r="ED1341" s="223"/>
      <c r="EE1341" s="467"/>
      <c r="EF1341" s="440"/>
      <c r="EG1341" s="474"/>
    </row>
    <row r="1342" spans="53:137">
      <c r="BB1342" s="436"/>
      <c r="BC1342" s="120"/>
      <c r="BD1342" s="466"/>
      <c r="BE1342" s="467"/>
      <c r="BF1342" s="440"/>
      <c r="BG1342" s="474"/>
      <c r="CB1342" s="436"/>
      <c r="CC1342" s="120"/>
      <c r="CD1342" s="466"/>
      <c r="CE1342" s="467"/>
      <c r="CF1342" s="440"/>
      <c r="CG1342" s="474"/>
      <c r="DB1342" s="436"/>
      <c r="DC1342" s="120"/>
      <c r="DD1342" s="466"/>
      <c r="DE1342" s="467"/>
      <c r="DF1342" s="440"/>
      <c r="DG1342" s="474"/>
      <c r="EB1342" s="436"/>
      <c r="EC1342" s="120"/>
      <c r="ED1342" s="466"/>
      <c r="EE1342" s="467"/>
      <c r="EF1342" s="440"/>
      <c r="EG1342" s="474"/>
    </row>
    <row r="1343" spans="53:137">
      <c r="BB1343" s="436"/>
      <c r="BC1343" s="120"/>
      <c r="BD1343" s="223"/>
      <c r="BE1343" s="467"/>
      <c r="BF1343" s="440"/>
      <c r="BG1343" s="474"/>
      <c r="CB1343" s="436"/>
      <c r="CC1343" s="120"/>
      <c r="CD1343" s="223"/>
      <c r="CE1343" s="467"/>
      <c r="CF1343" s="440"/>
      <c r="CG1343" s="474"/>
      <c r="DB1343" s="436"/>
      <c r="DC1343" s="120"/>
      <c r="DD1343" s="223"/>
      <c r="DE1343" s="467"/>
      <c r="DF1343" s="440"/>
      <c r="DG1343" s="474"/>
      <c r="EB1343" s="436"/>
      <c r="EC1343" s="120"/>
      <c r="ED1343" s="223"/>
      <c r="EE1343" s="467"/>
      <c r="EF1343" s="440"/>
      <c r="EG1343" s="474"/>
    </row>
    <row r="1344" spans="53:137">
      <c r="BB1344" s="436"/>
      <c r="BC1344" s="120"/>
      <c r="BD1344" s="223"/>
      <c r="BE1344" s="467"/>
      <c r="BF1344" s="440"/>
      <c r="CB1344" s="436"/>
      <c r="CC1344" s="120"/>
      <c r="CD1344" s="223"/>
      <c r="CE1344" s="467"/>
      <c r="CF1344" s="440"/>
      <c r="DB1344" s="436"/>
      <c r="DC1344" s="120"/>
      <c r="DD1344" s="223"/>
      <c r="DE1344" s="467"/>
      <c r="DF1344" s="440"/>
      <c r="EB1344" s="436"/>
      <c r="EC1344" s="120"/>
      <c r="ED1344" s="223"/>
      <c r="EE1344" s="467"/>
      <c r="EF1344" s="440"/>
    </row>
    <row r="1345" spans="54:136">
      <c r="BB1345" s="436"/>
      <c r="BC1345" s="120"/>
      <c r="BD1345" s="471"/>
      <c r="BE1345" s="467"/>
      <c r="BF1345" s="440"/>
      <c r="CB1345" s="436"/>
      <c r="CC1345" s="120"/>
      <c r="CD1345" s="471"/>
      <c r="CE1345" s="467"/>
      <c r="CF1345" s="440"/>
      <c r="DB1345" s="436"/>
      <c r="DC1345" s="120"/>
      <c r="DD1345" s="471"/>
      <c r="DE1345" s="467"/>
      <c r="DF1345" s="440"/>
      <c r="EB1345" s="436"/>
      <c r="EC1345" s="120"/>
      <c r="ED1345" s="471"/>
      <c r="EE1345" s="467"/>
      <c r="EF1345" s="440"/>
    </row>
    <row r="1346" spans="54:136">
      <c r="BB1346" s="436"/>
      <c r="BC1346" s="120"/>
      <c r="BD1346" s="223"/>
      <c r="BE1346" s="467"/>
      <c r="BF1346" s="440"/>
      <c r="CB1346" s="436"/>
      <c r="CC1346" s="120"/>
      <c r="CD1346" s="223"/>
      <c r="CE1346" s="467"/>
      <c r="CF1346" s="440"/>
      <c r="DB1346" s="436"/>
      <c r="DC1346" s="120"/>
      <c r="DD1346" s="223"/>
      <c r="DE1346" s="467"/>
      <c r="DF1346" s="440"/>
      <c r="EB1346" s="436"/>
      <c r="EC1346" s="120"/>
      <c r="ED1346" s="223"/>
      <c r="EE1346" s="467"/>
      <c r="EF1346" s="440"/>
    </row>
    <row r="1347" spans="54:136">
      <c r="BB1347" s="436"/>
      <c r="BC1347" s="120"/>
      <c r="BD1347" s="475"/>
      <c r="BE1347" s="467"/>
      <c r="BF1347" s="440"/>
      <c r="CB1347" s="436"/>
      <c r="CC1347" s="120"/>
      <c r="CD1347" s="475"/>
      <c r="CE1347" s="467"/>
      <c r="CF1347" s="440"/>
      <c r="DB1347" s="436"/>
      <c r="DC1347" s="120"/>
      <c r="DD1347" s="475"/>
      <c r="DE1347" s="467"/>
      <c r="DF1347" s="440"/>
      <c r="EB1347" s="436"/>
      <c r="EC1347" s="120"/>
      <c r="ED1347" s="475"/>
      <c r="EE1347" s="467"/>
      <c r="EF1347" s="440"/>
    </row>
    <row r="1348" spans="54:136">
      <c r="BB1348" s="436"/>
      <c r="BC1348" s="120"/>
      <c r="BD1348" s="223"/>
      <c r="BE1348" s="467"/>
      <c r="BF1348" s="440"/>
      <c r="CB1348" s="436"/>
      <c r="CC1348" s="120"/>
      <c r="CD1348" s="223"/>
      <c r="CE1348" s="467"/>
      <c r="CF1348" s="440"/>
      <c r="DB1348" s="436"/>
      <c r="DC1348" s="120"/>
      <c r="DD1348" s="223"/>
      <c r="DE1348" s="467"/>
      <c r="DF1348" s="440"/>
      <c r="EB1348" s="436"/>
      <c r="EC1348" s="120"/>
      <c r="ED1348" s="223"/>
      <c r="EE1348" s="467"/>
      <c r="EF1348" s="440"/>
    </row>
    <row r="1349" spans="54:136">
      <c r="BB1349" s="436"/>
      <c r="BC1349" s="120"/>
      <c r="BD1349" s="223"/>
      <c r="BE1349" s="467"/>
      <c r="BF1349" s="440"/>
      <c r="CB1349" s="436"/>
      <c r="CC1349" s="120"/>
      <c r="CD1349" s="223"/>
      <c r="CE1349" s="467"/>
      <c r="CF1349" s="440"/>
      <c r="DB1349" s="436"/>
      <c r="DC1349" s="120"/>
      <c r="DD1349" s="223"/>
      <c r="DE1349" s="467"/>
      <c r="DF1349" s="440"/>
      <c r="EB1349" s="436"/>
      <c r="EC1349" s="120"/>
      <c r="ED1349" s="223"/>
      <c r="EE1349" s="467"/>
      <c r="EF1349" s="440"/>
    </row>
    <row r="1350" spans="54:136">
      <c r="BB1350" s="436"/>
      <c r="BC1350" s="120"/>
      <c r="BD1350" s="223"/>
      <c r="BE1350" s="467"/>
      <c r="BF1350" s="440"/>
      <c r="CB1350" s="436"/>
      <c r="CC1350" s="120"/>
      <c r="CD1350" s="223"/>
      <c r="CE1350" s="467"/>
      <c r="CF1350" s="440"/>
      <c r="DB1350" s="436"/>
      <c r="DC1350" s="120"/>
      <c r="DD1350" s="223"/>
      <c r="DE1350" s="467"/>
      <c r="DF1350" s="440"/>
      <c r="EB1350" s="436"/>
      <c r="EC1350" s="120"/>
      <c r="ED1350" s="223"/>
      <c r="EE1350" s="467"/>
      <c r="EF1350" s="440"/>
    </row>
    <row r="1351" spans="54:136">
      <c r="BB1351" s="436"/>
      <c r="BC1351" s="120"/>
      <c r="BD1351" s="223"/>
      <c r="BE1351" s="467"/>
      <c r="BF1351" s="440"/>
      <c r="CB1351" s="436"/>
      <c r="CC1351" s="120"/>
      <c r="CD1351" s="223"/>
      <c r="CE1351" s="467"/>
      <c r="CF1351" s="440"/>
      <c r="DB1351" s="436"/>
      <c r="DC1351" s="120"/>
      <c r="DD1351" s="223"/>
      <c r="DE1351" s="467"/>
      <c r="DF1351" s="440"/>
      <c r="EB1351" s="436"/>
      <c r="EC1351" s="120"/>
      <c r="ED1351" s="223"/>
      <c r="EE1351" s="467"/>
      <c r="EF1351" s="440"/>
    </row>
    <row r="1352" spans="54:136">
      <c r="BB1352" s="436"/>
      <c r="BC1352" s="120"/>
      <c r="BD1352" s="120"/>
      <c r="BE1352" s="467"/>
      <c r="BF1352" s="440"/>
      <c r="CB1352" s="436"/>
      <c r="CC1352" s="120"/>
      <c r="CD1352" s="120"/>
      <c r="CE1352" s="467"/>
      <c r="CF1352" s="440"/>
      <c r="DB1352" s="436"/>
      <c r="DC1352" s="120"/>
      <c r="DD1352" s="120"/>
      <c r="DE1352" s="467"/>
      <c r="DF1352" s="440"/>
      <c r="EB1352" s="436"/>
      <c r="EC1352" s="120"/>
      <c r="ED1352" s="120"/>
      <c r="EE1352" s="467"/>
      <c r="EF1352" s="440"/>
    </row>
    <row r="1353" spans="54:136">
      <c r="BB1353" s="456"/>
      <c r="BC1353" s="457"/>
      <c r="BD1353" s="457"/>
      <c r="BE1353" s="477"/>
      <c r="BF1353" s="458"/>
      <c r="CB1353" s="456"/>
      <c r="CC1353" s="457"/>
      <c r="CD1353" s="457"/>
      <c r="CE1353" s="477"/>
      <c r="CF1353" s="458"/>
      <c r="DB1353" s="456"/>
      <c r="DC1353" s="457"/>
      <c r="DD1353" s="457"/>
      <c r="DE1353" s="477"/>
      <c r="DF1353" s="458"/>
      <c r="EB1353" s="456"/>
      <c r="EC1353" s="457"/>
      <c r="ED1353" s="457"/>
      <c r="EE1353" s="477"/>
      <c r="EF1353" s="458"/>
    </row>
    <row r="1354" spans="54:136">
      <c r="BB1354" s="449" t="s">
        <v>474</v>
      </c>
      <c r="BC1354" s="120"/>
      <c r="BD1354" s="120" t="s">
        <v>1</v>
      </c>
      <c r="BE1354" s="310" t="s">
        <v>307</v>
      </c>
      <c r="BF1354" s="440"/>
      <c r="CB1354" s="449" t="s">
        <v>474</v>
      </c>
      <c r="CC1354" s="120"/>
      <c r="CD1354" s="120" t="s">
        <v>1</v>
      </c>
      <c r="CE1354" s="310" t="s">
        <v>307</v>
      </c>
      <c r="CF1354" s="440"/>
      <c r="DB1354" s="449" t="s">
        <v>474</v>
      </c>
      <c r="DC1354" s="120"/>
      <c r="DD1354" s="120" t="s">
        <v>1</v>
      </c>
      <c r="DE1354" s="310" t="s">
        <v>307</v>
      </c>
      <c r="DF1354" s="440"/>
      <c r="EB1354" s="449" t="s">
        <v>474</v>
      </c>
      <c r="EC1354" s="120"/>
      <c r="ED1354" s="120" t="s">
        <v>1</v>
      </c>
      <c r="EE1354" s="310" t="s">
        <v>307</v>
      </c>
      <c r="EF1354" s="440"/>
    </row>
    <row r="1355" spans="54:136">
      <c r="BB1355" s="436"/>
      <c r="BC1355" s="223"/>
      <c r="BD1355" s="480"/>
      <c r="BE1355" s="484"/>
      <c r="BF1355" s="440"/>
      <c r="CB1355" s="436"/>
      <c r="CC1355" s="223"/>
      <c r="CD1355" s="480"/>
      <c r="CE1355" s="484"/>
      <c r="CF1355" s="440"/>
      <c r="DB1355" s="436"/>
      <c r="DC1355" s="223"/>
      <c r="DD1355" s="480"/>
      <c r="DE1355" s="484"/>
      <c r="DF1355" s="440"/>
      <c r="EB1355" s="436"/>
      <c r="EC1355" s="223"/>
      <c r="ED1355" s="480"/>
      <c r="EE1355" s="484"/>
      <c r="EF1355" s="440"/>
    </row>
    <row r="1356" spans="54:136">
      <c r="BB1356" s="436"/>
      <c r="BC1356" s="120"/>
      <c r="BD1356" s="120"/>
      <c r="BE1356" s="467"/>
      <c r="BF1356" s="440"/>
      <c r="CB1356" s="436"/>
      <c r="CC1356" s="120"/>
      <c r="CD1356" s="120"/>
      <c r="CE1356" s="467"/>
      <c r="CF1356" s="440"/>
      <c r="DB1356" s="436"/>
      <c r="DC1356" s="120"/>
      <c r="DD1356" s="120"/>
      <c r="DE1356" s="467"/>
      <c r="DF1356" s="440"/>
      <c r="EB1356" s="436"/>
      <c r="EC1356" s="120"/>
      <c r="ED1356" s="120"/>
      <c r="EE1356" s="467"/>
      <c r="EF1356" s="440"/>
    </row>
    <row r="1357" spans="54:136">
      <c r="BB1357" s="436"/>
      <c r="BC1357" s="120"/>
      <c r="BD1357" s="120"/>
      <c r="BE1357" s="467"/>
      <c r="BF1357" s="440"/>
      <c r="CB1357" s="436"/>
      <c r="CC1357" s="120"/>
      <c r="CD1357" s="120"/>
      <c r="CE1357" s="467"/>
      <c r="CF1357" s="440"/>
      <c r="DB1357" s="436"/>
      <c r="DC1357" s="120"/>
      <c r="DD1357" s="120"/>
      <c r="DE1357" s="467"/>
      <c r="DF1357" s="440"/>
      <c r="EB1357" s="436"/>
      <c r="EC1357" s="120"/>
      <c r="ED1357" s="120"/>
      <c r="EE1357" s="467"/>
      <c r="EF1357" s="440"/>
    </row>
    <row r="1358" spans="54:136">
      <c r="BB1358" s="436"/>
      <c r="BC1358" s="120"/>
      <c r="BD1358" s="120"/>
      <c r="BE1358" s="467"/>
      <c r="BF1358" s="440"/>
      <c r="CB1358" s="436"/>
      <c r="CC1358" s="120"/>
      <c r="CD1358" s="120"/>
      <c r="CE1358" s="467"/>
      <c r="CF1358" s="440"/>
      <c r="DB1358" s="436"/>
      <c r="DC1358" s="120"/>
      <c r="DD1358" s="120"/>
      <c r="DE1358" s="467"/>
      <c r="DF1358" s="440"/>
      <c r="EB1358" s="436"/>
      <c r="EC1358" s="120"/>
      <c r="ED1358" s="120"/>
      <c r="EE1358" s="467"/>
      <c r="EF1358" s="440"/>
    </row>
    <row r="1359" spans="54:136">
      <c r="BB1359" s="436"/>
      <c r="BC1359" s="120"/>
      <c r="BD1359" s="120"/>
      <c r="BE1359" s="467"/>
      <c r="BF1359" s="440"/>
      <c r="CB1359" s="436"/>
      <c r="CC1359" s="120"/>
      <c r="CD1359" s="120"/>
      <c r="CE1359" s="467"/>
      <c r="CF1359" s="440"/>
      <c r="DB1359" s="436"/>
      <c r="DC1359" s="120"/>
      <c r="DD1359" s="120"/>
      <c r="DE1359" s="467"/>
      <c r="DF1359" s="440"/>
      <c r="EB1359" s="436"/>
      <c r="EC1359" s="120"/>
      <c r="ED1359" s="120"/>
      <c r="EE1359" s="467"/>
      <c r="EF1359" s="440"/>
    </row>
    <row r="1360" spans="54:136">
      <c r="BB1360" s="436"/>
      <c r="BC1360" s="120"/>
      <c r="BD1360" s="120"/>
      <c r="BE1360" s="467"/>
      <c r="BF1360" s="440"/>
      <c r="CB1360" s="436"/>
      <c r="CC1360" s="120"/>
      <c r="CD1360" s="120"/>
      <c r="CE1360" s="467"/>
      <c r="CF1360" s="440"/>
      <c r="DB1360" s="436"/>
      <c r="DC1360" s="120"/>
      <c r="DD1360" s="120"/>
      <c r="DE1360" s="467"/>
      <c r="DF1360" s="440"/>
      <c r="EB1360" s="436"/>
      <c r="EC1360" s="120"/>
      <c r="ED1360" s="120"/>
      <c r="EE1360" s="467"/>
      <c r="EF1360" s="440"/>
    </row>
    <row r="1361" spans="54:136">
      <c r="BB1361" s="436"/>
      <c r="BC1361" s="120"/>
      <c r="BD1361" s="120"/>
      <c r="BE1361" s="467"/>
      <c r="BF1361" s="440"/>
      <c r="CB1361" s="436"/>
      <c r="CC1361" s="120"/>
      <c r="CD1361" s="120"/>
      <c r="CE1361" s="467"/>
      <c r="CF1361" s="440"/>
      <c r="DB1361" s="436"/>
      <c r="DC1361" s="120"/>
      <c r="DD1361" s="120"/>
      <c r="DE1361" s="467"/>
      <c r="DF1361" s="440"/>
      <c r="EB1361" s="436"/>
      <c r="EC1361" s="120"/>
      <c r="ED1361" s="120"/>
      <c r="EE1361" s="467"/>
      <c r="EF1361" s="440"/>
    </row>
    <row r="1362" spans="54:136">
      <c r="BB1362" s="436"/>
      <c r="BC1362" s="120"/>
      <c r="BD1362" s="120"/>
      <c r="BE1362" s="467"/>
      <c r="BF1362" s="440"/>
      <c r="CB1362" s="436"/>
      <c r="CC1362" s="120"/>
      <c r="CD1362" s="120"/>
      <c r="CE1362" s="467"/>
      <c r="CF1362" s="440"/>
      <c r="DB1362" s="436"/>
      <c r="DC1362" s="120"/>
      <c r="DD1362" s="120"/>
      <c r="DE1362" s="467"/>
      <c r="DF1362" s="440"/>
      <c r="EB1362" s="436"/>
      <c r="EC1362" s="120"/>
      <c r="ED1362" s="120"/>
      <c r="EE1362" s="467"/>
      <c r="EF1362" s="440"/>
    </row>
    <row r="1363" spans="54:136">
      <c r="BB1363" s="436"/>
      <c r="BC1363" s="120"/>
      <c r="BD1363" s="120"/>
      <c r="BE1363" s="467"/>
      <c r="BF1363" s="440"/>
      <c r="CB1363" s="436"/>
      <c r="CC1363" s="120"/>
      <c r="CD1363" s="120"/>
      <c r="CE1363" s="467"/>
      <c r="CF1363" s="440"/>
      <c r="DB1363" s="436"/>
      <c r="DC1363" s="120"/>
      <c r="DD1363" s="120"/>
      <c r="DE1363" s="467"/>
      <c r="DF1363" s="440"/>
      <c r="EB1363" s="436"/>
      <c r="EC1363" s="120"/>
      <c r="ED1363" s="120"/>
      <c r="EE1363" s="467"/>
      <c r="EF1363" s="440"/>
    </row>
    <row r="1364" spans="54:136">
      <c r="BB1364" s="436"/>
      <c r="BC1364" s="120"/>
      <c r="BD1364" s="120"/>
      <c r="BE1364" s="467"/>
      <c r="BF1364" s="440"/>
      <c r="CB1364" s="436"/>
      <c r="CC1364" s="120"/>
      <c r="CD1364" s="120"/>
      <c r="CE1364" s="467"/>
      <c r="CF1364" s="440"/>
      <c r="DB1364" s="436"/>
      <c r="DC1364" s="120"/>
      <c r="DD1364" s="120"/>
      <c r="DE1364" s="467"/>
      <c r="DF1364" s="440"/>
      <c r="EB1364" s="436"/>
      <c r="EC1364" s="120"/>
      <c r="ED1364" s="120"/>
      <c r="EE1364" s="467"/>
      <c r="EF1364" s="440"/>
    </row>
    <row r="1365" spans="54:136">
      <c r="BB1365" s="436"/>
      <c r="BC1365" s="120"/>
      <c r="BD1365" s="120"/>
      <c r="BE1365" s="467"/>
      <c r="BF1365" s="440"/>
      <c r="CB1365" s="436"/>
      <c r="CC1365" s="120"/>
      <c r="CD1365" s="120"/>
      <c r="CE1365" s="467"/>
      <c r="CF1365" s="440"/>
      <c r="DB1365" s="436"/>
      <c r="DC1365" s="120"/>
      <c r="DD1365" s="120"/>
      <c r="DE1365" s="467"/>
      <c r="DF1365" s="440"/>
      <c r="EB1365" s="436"/>
      <c r="EC1365" s="120"/>
      <c r="ED1365" s="120"/>
      <c r="EE1365" s="467"/>
      <c r="EF1365" s="440"/>
    </row>
    <row r="1366" spans="54:136">
      <c r="BB1366" s="436"/>
      <c r="BC1366" s="120"/>
      <c r="BD1366" s="120"/>
      <c r="BE1366" s="467"/>
      <c r="BF1366" s="440"/>
      <c r="CB1366" s="436"/>
      <c r="CC1366" s="120"/>
      <c r="CD1366" s="120"/>
      <c r="CE1366" s="467"/>
      <c r="CF1366" s="440"/>
      <c r="DB1366" s="436"/>
      <c r="DC1366" s="120"/>
      <c r="DD1366" s="120"/>
      <c r="DE1366" s="467"/>
      <c r="DF1366" s="440"/>
      <c r="EB1366" s="436"/>
      <c r="EC1366" s="120"/>
      <c r="ED1366" s="120"/>
      <c r="EE1366" s="467"/>
      <c r="EF1366" s="440"/>
    </row>
    <row r="1367" spans="54:136">
      <c r="BB1367" s="456"/>
      <c r="BC1367" s="457"/>
      <c r="BD1367" s="457"/>
      <c r="BE1367" s="477"/>
      <c r="BF1367" s="458"/>
      <c r="CB1367" s="456"/>
      <c r="CC1367" s="457"/>
      <c r="CD1367" s="457"/>
      <c r="CE1367" s="477"/>
      <c r="CF1367" s="458"/>
      <c r="DB1367" s="456"/>
      <c r="DC1367" s="457"/>
      <c r="DD1367" s="457"/>
      <c r="DE1367" s="477"/>
      <c r="DF1367" s="458"/>
      <c r="EB1367" s="456"/>
      <c r="EC1367" s="457"/>
      <c r="ED1367" s="457"/>
      <c r="EE1367" s="477"/>
      <c r="EF1367" s="458"/>
    </row>
    <row r="1368" spans="54:136">
      <c r="BB1368" s="456"/>
      <c r="BC1368" s="457"/>
      <c r="BD1368" s="457"/>
      <c r="BE1368" s="457"/>
      <c r="BF1368" s="458"/>
      <c r="CB1368" s="456"/>
      <c r="CC1368" s="457"/>
      <c r="CD1368" s="457"/>
      <c r="CE1368" s="457"/>
      <c r="CF1368" s="458"/>
      <c r="DB1368" s="456"/>
      <c r="DC1368" s="457"/>
      <c r="DD1368" s="457"/>
      <c r="DE1368" s="457"/>
      <c r="DF1368" s="458"/>
      <c r="EB1368" s="456"/>
      <c r="EC1368" s="457"/>
      <c r="ED1368" s="457"/>
      <c r="EE1368" s="457"/>
      <c r="EF1368" s="458"/>
    </row>
    <row r="1369" spans="54:136">
      <c r="BB1369" s="449" t="s">
        <v>475</v>
      </c>
      <c r="BC1369" s="120"/>
      <c r="BD1369" s="120"/>
      <c r="BE1369" s="120"/>
      <c r="BF1369" s="440"/>
      <c r="CB1369" s="449" t="s">
        <v>475</v>
      </c>
      <c r="CC1369" s="120"/>
      <c r="CD1369" s="120"/>
      <c r="CE1369" s="120"/>
      <c r="CF1369" s="440"/>
      <c r="DB1369" s="449" t="s">
        <v>475</v>
      </c>
      <c r="DC1369" s="120"/>
      <c r="DD1369" s="120"/>
      <c r="DE1369" s="120"/>
      <c r="DF1369" s="440"/>
      <c r="EB1369" s="449" t="s">
        <v>475</v>
      </c>
      <c r="EC1369" s="120"/>
      <c r="ED1369" s="120"/>
      <c r="EE1369" s="120"/>
      <c r="EF1369" s="440"/>
    </row>
    <row r="1370" spans="54:136">
      <c r="BB1370" s="436" t="s">
        <v>509</v>
      </c>
      <c r="BC1370" s="120"/>
      <c r="BD1370" s="120"/>
      <c r="BE1370" s="120"/>
      <c r="BF1370" s="440"/>
      <c r="CB1370" s="436" t="s">
        <v>509</v>
      </c>
      <c r="CC1370" s="120"/>
      <c r="CD1370" s="120"/>
      <c r="CE1370" s="120"/>
      <c r="CF1370" s="440"/>
      <c r="DB1370" s="436" t="s">
        <v>509</v>
      </c>
      <c r="DC1370" s="120"/>
      <c r="DD1370" s="120"/>
      <c r="DE1370" s="120"/>
      <c r="DF1370" s="440"/>
      <c r="EB1370" s="436" t="s">
        <v>509</v>
      </c>
      <c r="EC1370" s="120"/>
      <c r="ED1370" s="120"/>
      <c r="EE1370" s="120"/>
      <c r="EF1370" s="440"/>
    </row>
    <row r="1371" spans="54:136">
      <c r="BB1371" s="436" t="s">
        <v>510</v>
      </c>
      <c r="BC1371" s="120"/>
      <c r="BD1371" s="120"/>
      <c r="BE1371" s="120"/>
      <c r="BF1371" s="440"/>
      <c r="CB1371" s="436" t="s">
        <v>510</v>
      </c>
      <c r="CC1371" s="120"/>
      <c r="CD1371" s="120"/>
      <c r="CE1371" s="120"/>
      <c r="CF1371" s="440"/>
      <c r="DB1371" s="436" t="s">
        <v>510</v>
      </c>
      <c r="DC1371" s="120"/>
      <c r="DD1371" s="120"/>
      <c r="DE1371" s="120"/>
      <c r="DF1371" s="440"/>
      <c r="EB1371" s="436" t="s">
        <v>510</v>
      </c>
      <c r="EC1371" s="120"/>
      <c r="ED1371" s="120"/>
      <c r="EE1371" s="120"/>
      <c r="EF1371" s="440"/>
    </row>
    <row r="1372" spans="54:136">
      <c r="BB1372" s="436"/>
      <c r="BC1372" s="120"/>
      <c r="BD1372" s="120"/>
      <c r="BE1372" s="120"/>
      <c r="BF1372" s="440"/>
      <c r="CB1372" s="436"/>
      <c r="CC1372" s="120"/>
      <c r="CD1372" s="120"/>
      <c r="CE1372" s="120"/>
      <c r="CF1372" s="440"/>
      <c r="DB1372" s="436"/>
      <c r="DC1372" s="120"/>
      <c r="DD1372" s="120"/>
      <c r="DE1372" s="120"/>
      <c r="DF1372" s="440"/>
      <c r="EB1372" s="436"/>
      <c r="EC1372" s="120"/>
      <c r="ED1372" s="120"/>
      <c r="EE1372" s="120"/>
      <c r="EF1372" s="440"/>
    </row>
    <row r="1373" spans="54:136">
      <c r="BB1373" s="436"/>
      <c r="BC1373" s="120"/>
      <c r="BD1373" s="120"/>
      <c r="BE1373" s="120"/>
      <c r="BF1373" s="440"/>
      <c r="CB1373" s="436"/>
      <c r="CC1373" s="120"/>
      <c r="CD1373" s="120"/>
      <c r="CE1373" s="120"/>
      <c r="CF1373" s="440"/>
      <c r="DB1373" s="436"/>
      <c r="DC1373" s="120"/>
      <c r="DD1373" s="120"/>
      <c r="DE1373" s="120"/>
      <c r="DF1373" s="440"/>
      <c r="EB1373" s="436"/>
      <c r="EC1373" s="120"/>
      <c r="ED1373" s="120"/>
      <c r="EE1373" s="120"/>
      <c r="EF1373" s="440"/>
    </row>
    <row r="1374" spans="54:136">
      <c r="BB1374" s="436"/>
      <c r="BC1374" s="120"/>
      <c r="BD1374" s="120"/>
      <c r="BE1374" s="120"/>
      <c r="BF1374" s="440"/>
      <c r="CB1374" s="436"/>
      <c r="CC1374" s="120"/>
      <c r="CD1374" s="120"/>
      <c r="CE1374" s="120"/>
      <c r="CF1374" s="440"/>
      <c r="DB1374" s="436"/>
      <c r="DC1374" s="120"/>
      <c r="DD1374" s="120"/>
      <c r="DE1374" s="120"/>
      <c r="DF1374" s="440"/>
      <c r="EB1374" s="436"/>
      <c r="EC1374" s="120"/>
      <c r="ED1374" s="120"/>
      <c r="EE1374" s="120"/>
      <c r="EF1374" s="440"/>
    </row>
    <row r="1375" spans="54:136">
      <c r="BB1375" s="436"/>
      <c r="BC1375" s="120"/>
      <c r="BD1375" s="120"/>
      <c r="BE1375" s="120"/>
      <c r="BF1375" s="440"/>
      <c r="CB1375" s="436"/>
      <c r="CC1375" s="120"/>
      <c r="CD1375" s="120"/>
      <c r="CE1375" s="120"/>
      <c r="CF1375" s="440"/>
      <c r="DB1375" s="436"/>
      <c r="DC1375" s="120"/>
      <c r="DD1375" s="120"/>
      <c r="DE1375" s="120"/>
      <c r="DF1375" s="440"/>
      <c r="EB1375" s="436"/>
      <c r="EC1375" s="120"/>
      <c r="ED1375" s="120"/>
      <c r="EE1375" s="120"/>
      <c r="EF1375" s="440"/>
    </row>
    <row r="1376" spans="54:136">
      <c r="BB1376" s="436" t="s">
        <v>511</v>
      </c>
      <c r="BC1376" s="120">
        <v>0</v>
      </c>
      <c r="BD1376" s="120" t="s">
        <v>512</v>
      </c>
      <c r="BE1376" s="120"/>
      <c r="BF1376" s="440"/>
      <c r="CB1376" s="436" t="s">
        <v>511</v>
      </c>
      <c r="CC1376" s="120">
        <v>0</v>
      </c>
      <c r="CD1376" s="120" t="s">
        <v>512</v>
      </c>
      <c r="CE1376" s="120"/>
      <c r="CF1376" s="440"/>
      <c r="DB1376" s="436" t="s">
        <v>511</v>
      </c>
      <c r="DC1376" s="120">
        <v>0</v>
      </c>
      <c r="DD1376" s="120" t="s">
        <v>512</v>
      </c>
      <c r="DE1376" s="120"/>
      <c r="DF1376" s="440"/>
      <c r="EB1376" s="436" t="s">
        <v>511</v>
      </c>
      <c r="EC1376" s="120">
        <v>0</v>
      </c>
      <c r="ED1376" s="120" t="s">
        <v>512</v>
      </c>
      <c r="EE1376" s="120"/>
      <c r="EF1376" s="440"/>
    </row>
    <row r="1377" spans="54:136">
      <c r="BB1377" s="436" t="s">
        <v>513</v>
      </c>
      <c r="BC1377" s="120">
        <v>0</v>
      </c>
      <c r="BD1377" s="120" t="s">
        <v>512</v>
      </c>
      <c r="BE1377" s="120"/>
      <c r="BF1377" s="440"/>
      <c r="CB1377" s="436" t="s">
        <v>513</v>
      </c>
      <c r="CC1377" s="120">
        <v>0</v>
      </c>
      <c r="CD1377" s="120" t="s">
        <v>512</v>
      </c>
      <c r="CE1377" s="120"/>
      <c r="CF1377" s="440"/>
      <c r="DB1377" s="436" t="s">
        <v>513</v>
      </c>
      <c r="DC1377" s="120">
        <v>0</v>
      </c>
      <c r="DD1377" s="120" t="s">
        <v>512</v>
      </c>
      <c r="DE1377" s="120"/>
      <c r="DF1377" s="440"/>
      <c r="EB1377" s="436" t="s">
        <v>513</v>
      </c>
      <c r="EC1377" s="120">
        <v>0</v>
      </c>
      <c r="ED1377" s="120" t="s">
        <v>512</v>
      </c>
      <c r="EE1377" s="120"/>
      <c r="EF1377" s="440"/>
    </row>
    <row r="1378" spans="54:136">
      <c r="BB1378" s="456"/>
      <c r="BC1378" s="457"/>
      <c r="BD1378" s="457"/>
      <c r="BE1378" s="457"/>
      <c r="BF1378" s="458"/>
      <c r="CB1378" s="456"/>
      <c r="CC1378" s="457"/>
      <c r="CD1378" s="457"/>
      <c r="CE1378" s="457"/>
      <c r="CF1378" s="458"/>
      <c r="DB1378" s="456"/>
      <c r="DC1378" s="457"/>
      <c r="DD1378" s="457"/>
      <c r="DE1378" s="457"/>
      <c r="DF1378" s="458"/>
      <c r="EB1378" s="456"/>
      <c r="EC1378" s="457"/>
      <c r="ED1378" s="457"/>
      <c r="EE1378" s="457"/>
      <c r="EF1378" s="458"/>
    </row>
    <row r="1379" spans="54:136">
      <c r="BB1379" s="449" t="s">
        <v>461</v>
      </c>
      <c r="BC1379" s="120"/>
      <c r="BD1379" s="120"/>
      <c r="BE1379" s="120"/>
      <c r="BF1379" s="440"/>
      <c r="CB1379" s="449" t="s">
        <v>461</v>
      </c>
      <c r="CC1379" s="120"/>
      <c r="CD1379" s="120"/>
      <c r="CE1379" s="120"/>
      <c r="CF1379" s="440"/>
      <c r="DB1379" s="449" t="s">
        <v>461</v>
      </c>
      <c r="DC1379" s="120"/>
      <c r="DD1379" s="120"/>
      <c r="DE1379" s="120"/>
      <c r="DF1379" s="440"/>
      <c r="EB1379" s="449" t="s">
        <v>461</v>
      </c>
      <c r="EC1379" s="120"/>
      <c r="ED1379" s="120"/>
      <c r="EE1379" s="120"/>
      <c r="EF1379" s="440"/>
    </row>
    <row r="1380" spans="54:136">
      <c r="BB1380" s="436" t="s">
        <v>514</v>
      </c>
      <c r="BC1380" s="120">
        <f>VLOOKUP(BB1308,'Unit Ops'!$B$140:$K$209,10,FALSE)</f>
        <v>0</v>
      </c>
      <c r="BD1380" s="120" t="s">
        <v>515</v>
      </c>
      <c r="BE1380" s="120"/>
      <c r="BF1380" s="440"/>
      <c r="CB1380" s="436" t="s">
        <v>514</v>
      </c>
      <c r="CC1380" s="120">
        <f>VLOOKUP(CB1308,'Unit Ops'!$B$140:$K$209,10,FALSE)</f>
        <v>12</v>
      </c>
      <c r="CD1380" s="120" t="s">
        <v>515</v>
      </c>
      <c r="CE1380" s="120"/>
      <c r="CF1380" s="440"/>
      <c r="DB1380" s="436" t="s">
        <v>514</v>
      </c>
      <c r="DC1380" s="120">
        <f>VLOOKUP(DB1308,'Unit Ops'!$B$140:$K$209,10,FALSE)</f>
        <v>12</v>
      </c>
      <c r="DD1380" s="120" t="s">
        <v>515</v>
      </c>
      <c r="DE1380" s="120"/>
      <c r="DF1380" s="440"/>
      <c r="EB1380" s="436" t="s">
        <v>514</v>
      </c>
      <c r="EC1380" s="120">
        <f>VLOOKUP(EB1308,'Unit Ops'!$B$140:$K$209,10,FALSE)</f>
        <v>12</v>
      </c>
      <c r="ED1380" s="120" t="s">
        <v>515</v>
      </c>
      <c r="EE1380" s="120"/>
      <c r="EF1380" s="440"/>
    </row>
    <row r="1381" spans="54:136">
      <c r="BB1381" s="436" t="s">
        <v>516</v>
      </c>
      <c r="BC1381" s="120">
        <v>0</v>
      </c>
      <c r="BD1381" s="120" t="s">
        <v>515</v>
      </c>
      <c r="BE1381" s="120"/>
      <c r="BF1381" s="440"/>
      <c r="CB1381" s="436" t="s">
        <v>516</v>
      </c>
      <c r="CC1381" s="120">
        <v>0</v>
      </c>
      <c r="CD1381" s="120" t="s">
        <v>515</v>
      </c>
      <c r="CE1381" s="120"/>
      <c r="CF1381" s="440"/>
      <c r="DB1381" s="436" t="s">
        <v>516</v>
      </c>
      <c r="DC1381" s="120">
        <v>0</v>
      </c>
      <c r="DD1381" s="120" t="s">
        <v>515</v>
      </c>
      <c r="DE1381" s="120"/>
      <c r="DF1381" s="440"/>
      <c r="EB1381" s="436" t="s">
        <v>516</v>
      </c>
      <c r="EC1381" s="120">
        <v>0</v>
      </c>
      <c r="ED1381" s="120" t="s">
        <v>515</v>
      </c>
      <c r="EE1381" s="120"/>
      <c r="EF1381" s="440"/>
    </row>
    <row r="1382" spans="54:136">
      <c r="BB1382" s="436"/>
      <c r="BC1382" s="120"/>
      <c r="BD1382" s="120"/>
      <c r="BE1382" s="120"/>
      <c r="BF1382" s="440"/>
      <c r="CB1382" s="436"/>
      <c r="CC1382" s="120"/>
      <c r="CD1382" s="120"/>
      <c r="CE1382" s="120"/>
      <c r="CF1382" s="440"/>
      <c r="DB1382" s="436"/>
      <c r="DC1382" s="120"/>
      <c r="DD1382" s="120"/>
      <c r="DE1382" s="120"/>
      <c r="DF1382" s="440"/>
      <c r="EB1382" s="436"/>
      <c r="EC1382" s="120"/>
      <c r="ED1382" s="120"/>
      <c r="EE1382" s="120"/>
      <c r="EF1382" s="440"/>
    </row>
    <row r="1383" spans="54:136">
      <c r="BB1383" s="436"/>
      <c r="BC1383" s="120"/>
      <c r="BD1383" s="120"/>
      <c r="BE1383" s="120"/>
      <c r="BF1383" s="440"/>
      <c r="CB1383" s="436"/>
      <c r="CC1383" s="120"/>
      <c r="CD1383" s="120"/>
      <c r="CE1383" s="120"/>
      <c r="CF1383" s="440"/>
      <c r="DB1383" s="436"/>
      <c r="DC1383" s="120"/>
      <c r="DD1383" s="120"/>
      <c r="DE1383" s="120"/>
      <c r="DF1383" s="440"/>
      <c r="EB1383" s="436"/>
      <c r="EC1383" s="120"/>
      <c r="ED1383" s="120"/>
      <c r="EE1383" s="120"/>
      <c r="EF1383" s="440"/>
    </row>
    <row r="1384" spans="54:136">
      <c r="BB1384" s="436"/>
      <c r="BC1384" s="120"/>
      <c r="BD1384" s="120"/>
      <c r="BE1384" s="120"/>
      <c r="BF1384" s="440"/>
      <c r="CB1384" s="436"/>
      <c r="CC1384" s="120"/>
      <c r="CD1384" s="120"/>
      <c r="CE1384" s="120"/>
      <c r="CF1384" s="440"/>
      <c r="DB1384" s="436"/>
      <c r="DC1384" s="120"/>
      <c r="DD1384" s="120"/>
      <c r="DE1384" s="120"/>
      <c r="DF1384" s="440"/>
      <c r="EB1384" s="436"/>
      <c r="EC1384" s="120"/>
      <c r="ED1384" s="120"/>
      <c r="EE1384" s="120"/>
      <c r="EF1384" s="440"/>
    </row>
    <row r="1385" spans="54:136">
      <c r="BB1385" s="436"/>
      <c r="BC1385" s="120"/>
      <c r="BD1385" s="120"/>
      <c r="BE1385" s="120"/>
      <c r="BF1385" s="440"/>
      <c r="CB1385" s="436"/>
      <c r="CC1385" s="120"/>
      <c r="CD1385" s="120"/>
      <c r="CE1385" s="120"/>
      <c r="CF1385" s="440"/>
      <c r="DB1385" s="436"/>
      <c r="DC1385" s="120"/>
      <c r="DD1385" s="120"/>
      <c r="DE1385" s="120"/>
      <c r="DF1385" s="440"/>
      <c r="EB1385" s="436"/>
      <c r="EC1385" s="120"/>
      <c r="ED1385" s="120"/>
      <c r="EE1385" s="120"/>
      <c r="EF1385" s="440"/>
    </row>
    <row r="1386" spans="54:136">
      <c r="BB1386" s="436"/>
      <c r="BC1386" s="120"/>
      <c r="BD1386" s="120"/>
      <c r="BE1386" s="120"/>
      <c r="BF1386" s="440"/>
      <c r="CB1386" s="436"/>
      <c r="CC1386" s="120"/>
      <c r="CD1386" s="120"/>
      <c r="CE1386" s="120"/>
      <c r="CF1386" s="440"/>
      <c r="DB1386" s="436"/>
      <c r="DC1386" s="120"/>
      <c r="DD1386" s="120"/>
      <c r="DE1386" s="120"/>
      <c r="DF1386" s="440"/>
      <c r="EB1386" s="436"/>
      <c r="EC1386" s="120"/>
      <c r="ED1386" s="120"/>
      <c r="EE1386" s="120"/>
      <c r="EF1386" s="440"/>
    </row>
    <row r="1387" spans="54:136">
      <c r="BB1387" s="436" t="s">
        <v>464</v>
      </c>
      <c r="BC1387" s="120"/>
      <c r="BD1387" s="120"/>
      <c r="BE1387" s="120"/>
      <c r="BF1387" s="440"/>
      <c r="CB1387" s="436" t="s">
        <v>464</v>
      </c>
      <c r="CC1387" s="120"/>
      <c r="CD1387" s="120"/>
      <c r="CE1387" s="120"/>
      <c r="CF1387" s="440"/>
      <c r="DB1387" s="436" t="s">
        <v>464</v>
      </c>
      <c r="DC1387" s="120"/>
      <c r="DD1387" s="120"/>
      <c r="DE1387" s="120"/>
      <c r="DF1387" s="440"/>
      <c r="EB1387" s="436" t="s">
        <v>464</v>
      </c>
      <c r="EC1387" s="120"/>
      <c r="ED1387" s="120"/>
      <c r="EE1387" s="120"/>
      <c r="EF1387" s="440"/>
    </row>
    <row r="1388" spans="54:136">
      <c r="BB1388" s="456"/>
      <c r="BC1388" s="457"/>
      <c r="BD1388" s="457"/>
      <c r="BE1388" s="457"/>
      <c r="BF1388" s="458"/>
      <c r="CB1388" s="456"/>
      <c r="CC1388" s="457"/>
      <c r="CD1388" s="457"/>
      <c r="CE1388" s="457"/>
      <c r="CF1388" s="458"/>
      <c r="DB1388" s="456"/>
      <c r="DC1388" s="457"/>
      <c r="DD1388" s="457"/>
      <c r="DE1388" s="457"/>
      <c r="DF1388" s="458"/>
      <c r="EB1388" s="456"/>
      <c r="EC1388" s="457"/>
      <c r="ED1388" s="457"/>
      <c r="EE1388" s="457"/>
      <c r="EF1388" s="458"/>
    </row>
    <row r="1389" spans="54:136">
      <c r="BB1389" s="449" t="s">
        <v>472</v>
      </c>
      <c r="BC1389" s="467" t="s">
        <v>517</v>
      </c>
      <c r="BD1389" s="120" t="s">
        <v>518</v>
      </c>
      <c r="BE1389" s="467" t="s">
        <v>519</v>
      </c>
      <c r="BF1389" s="440" t="s">
        <v>518</v>
      </c>
      <c r="CB1389" s="449" t="s">
        <v>472</v>
      </c>
      <c r="CC1389" s="467" t="s">
        <v>517</v>
      </c>
      <c r="CD1389" s="120" t="s">
        <v>518</v>
      </c>
      <c r="CE1389" s="467" t="s">
        <v>519</v>
      </c>
      <c r="CF1389" s="440" t="s">
        <v>518</v>
      </c>
      <c r="DB1389" s="449" t="s">
        <v>472</v>
      </c>
      <c r="DC1389" s="467" t="s">
        <v>517</v>
      </c>
      <c r="DD1389" s="120" t="s">
        <v>518</v>
      </c>
      <c r="DE1389" s="467" t="s">
        <v>519</v>
      </c>
      <c r="DF1389" s="440" t="s">
        <v>518</v>
      </c>
      <c r="EB1389" s="449" t="s">
        <v>472</v>
      </c>
      <c r="EC1389" s="467" t="s">
        <v>517</v>
      </c>
      <c r="ED1389" s="120" t="s">
        <v>518</v>
      </c>
      <c r="EE1389" s="467" t="s">
        <v>519</v>
      </c>
      <c r="EF1389" s="440" t="s">
        <v>518</v>
      </c>
    </row>
    <row r="1390" spans="54:136">
      <c r="BB1390" s="436" t="s">
        <v>520</v>
      </c>
      <c r="BC1390" s="120"/>
      <c r="BD1390" s="120"/>
      <c r="BE1390" s="472">
        <f>((VLOOKUP(BB1308,'Unit Ops'!$B$140:$J$209,3,FALSE)*BC1310^VLOOKUP(BB1308,'Unit Ops'!$B$140:$J$209,4,FALSE)+VLOOKUP(BB1308,'Unit Ops'!$B$140:$J$209,5,FALSE))*VLOOKUP(BB1308,'Unit Ops'!$B$140:$J$209,6,FALSE))*IF(VLOOKUP(BB1308,'Unit Ops'!$B$140:$L$209,11,FALSE)=1,1,2)</f>
        <v>603160.15249670309</v>
      </c>
      <c r="BF1390" s="490">
        <f>$C$7</f>
        <v>2022</v>
      </c>
      <c r="CB1390" s="436" t="s">
        <v>520</v>
      </c>
      <c r="CC1390" s="120"/>
      <c r="CD1390" s="120"/>
      <c r="CE1390" s="472">
        <f>((VLOOKUP(CB1308,'Unit Ops'!$B$140:$J$209,3,FALSE)*CC1310^VLOOKUP(CB1308,'Unit Ops'!$B$140:$J$209,4,FALSE)+VLOOKUP(CB1308,'Unit Ops'!$B$140:$J$209,5,FALSE))*VLOOKUP(CB1308,'Unit Ops'!$B$140:$J$209,6,FALSE))*IF(VLOOKUP(CB1308,'Unit Ops'!$B$140:$L$209,11,FALSE)=1,1,2)</f>
        <v>1144168.7662890728</v>
      </c>
      <c r="CF1390" s="490">
        <f>$C$7</f>
        <v>2022</v>
      </c>
      <c r="DB1390" s="436" t="s">
        <v>520</v>
      </c>
      <c r="DC1390" s="120"/>
      <c r="DD1390" s="120"/>
      <c r="DE1390" s="472">
        <f>((VLOOKUP(DB1308,'Unit Ops'!$B$140:$J$209,3,FALSE)*DC1310^VLOOKUP(DB1308,'Unit Ops'!$B$140:$J$209,4,FALSE)+VLOOKUP(DB1308,'Unit Ops'!$B$140:$J$209,5,FALSE))*VLOOKUP(DB1308,'Unit Ops'!$B$140:$J$209,6,FALSE))*IF(VLOOKUP(DB1308,'Unit Ops'!$B$140:$L$209,11,FALSE)=1,1,2)</f>
        <v>1000000</v>
      </c>
      <c r="DF1390" s="490">
        <f>$C$7</f>
        <v>2022</v>
      </c>
      <c r="EB1390" s="436" t="s">
        <v>520</v>
      </c>
      <c r="EC1390" s="120"/>
      <c r="ED1390" s="120"/>
      <c r="EE1390" s="472">
        <f>((VLOOKUP(EB1308,'Unit Ops'!$B$140:$J$209,3,FALSE)*EC1310^VLOOKUP(EB1308,'Unit Ops'!$B$140:$J$209,4,FALSE)+VLOOKUP(EB1308,'Unit Ops'!$B$140:$J$209,5,FALSE))*VLOOKUP(EB1308,'Unit Ops'!$B$140:$J$209,6,FALSE))*IF(VLOOKUP(EB1308,'Unit Ops'!$B$140:$L$209,11,FALSE)=1,1,2)</f>
        <v>1342460.9338656482</v>
      </c>
      <c r="EF1390" s="490">
        <f>$C$7</f>
        <v>2022</v>
      </c>
    </row>
    <row r="1391" spans="54:136">
      <c r="BB1391" s="436"/>
      <c r="BC1391" s="120"/>
      <c r="BD1391" s="120"/>
      <c r="BE1391" s="120"/>
      <c r="BF1391" s="440"/>
      <c r="CB1391" s="436"/>
      <c r="CC1391" s="120"/>
      <c r="CD1391" s="120"/>
      <c r="CE1391" s="120"/>
      <c r="CF1391" s="440"/>
      <c r="DB1391" s="436"/>
      <c r="DC1391" s="120"/>
      <c r="DD1391" s="120"/>
      <c r="DE1391" s="120"/>
      <c r="DF1391" s="440"/>
      <c r="EB1391" s="436"/>
      <c r="EC1391" s="120"/>
      <c r="ED1391" s="120"/>
      <c r="EE1391" s="120"/>
      <c r="EF1391" s="440"/>
    </row>
    <row r="1392" spans="54:136">
      <c r="BB1392" s="436"/>
      <c r="BC1392" s="120"/>
      <c r="BD1392" s="120"/>
      <c r="BE1392" s="120"/>
      <c r="BF1392" s="440"/>
      <c r="CB1392" s="436"/>
      <c r="CC1392" s="120"/>
      <c r="CD1392" s="120"/>
      <c r="CE1392" s="120"/>
      <c r="CF1392" s="440"/>
      <c r="DB1392" s="436"/>
      <c r="DC1392" s="120"/>
      <c r="DD1392" s="120"/>
      <c r="DE1392" s="120"/>
      <c r="DF1392" s="440"/>
      <c r="EB1392" s="436"/>
      <c r="EC1392" s="120"/>
      <c r="ED1392" s="120"/>
      <c r="EE1392" s="120"/>
      <c r="EF1392" s="440"/>
    </row>
    <row r="1393" spans="53:136">
      <c r="BB1393" s="436"/>
      <c r="BC1393" s="120"/>
      <c r="BD1393" s="120"/>
      <c r="BE1393" s="120"/>
      <c r="BF1393" s="440"/>
      <c r="CB1393" s="436"/>
      <c r="CC1393" s="120"/>
      <c r="CD1393" s="120"/>
      <c r="CE1393" s="120"/>
      <c r="CF1393" s="440"/>
      <c r="DB1393" s="436"/>
      <c r="DC1393" s="120"/>
      <c r="DD1393" s="120"/>
      <c r="DE1393" s="120"/>
      <c r="DF1393" s="440"/>
      <c r="EB1393" s="436"/>
      <c r="EC1393" s="120"/>
      <c r="ED1393" s="120"/>
      <c r="EE1393" s="120"/>
      <c r="EF1393" s="440"/>
    </row>
    <row r="1394" spans="53:136">
      <c r="BB1394" s="436"/>
      <c r="BC1394" s="120"/>
      <c r="BD1394" s="120"/>
      <c r="BE1394" s="120"/>
      <c r="BF1394" s="440"/>
      <c r="CB1394" s="436"/>
      <c r="CC1394" s="120"/>
      <c r="CD1394" s="120"/>
      <c r="CE1394" s="120"/>
      <c r="CF1394" s="440"/>
      <c r="DB1394" s="436"/>
      <c r="DC1394" s="120"/>
      <c r="DD1394" s="120"/>
      <c r="DE1394" s="120"/>
      <c r="DF1394" s="440"/>
      <c r="EB1394" s="436"/>
      <c r="EC1394" s="120"/>
      <c r="ED1394" s="120"/>
      <c r="EE1394" s="120"/>
      <c r="EF1394" s="440"/>
    </row>
    <row r="1395" spans="53:136">
      <c r="BB1395" s="436"/>
      <c r="BC1395" s="120"/>
      <c r="BD1395" s="120"/>
      <c r="BE1395" s="120"/>
      <c r="BF1395" s="440"/>
      <c r="CB1395" s="436"/>
      <c r="CC1395" s="120"/>
      <c r="CD1395" s="120"/>
      <c r="CE1395" s="120"/>
      <c r="CF1395" s="440"/>
      <c r="DB1395" s="436"/>
      <c r="DC1395" s="120"/>
      <c r="DD1395" s="120"/>
      <c r="DE1395" s="120"/>
      <c r="DF1395" s="440"/>
      <c r="EB1395" s="436"/>
      <c r="EC1395" s="120"/>
      <c r="ED1395" s="120"/>
      <c r="EE1395" s="120"/>
      <c r="EF1395" s="440"/>
    </row>
    <row r="1396" spans="53:136">
      <c r="BB1396" s="436"/>
      <c r="BC1396" s="120"/>
      <c r="BD1396" s="120"/>
      <c r="BE1396" s="120"/>
      <c r="BF1396" s="440"/>
      <c r="CB1396" s="436"/>
      <c r="CC1396" s="120"/>
      <c r="CD1396" s="120"/>
      <c r="CE1396" s="120"/>
      <c r="CF1396" s="440"/>
      <c r="DB1396" s="436"/>
      <c r="DC1396" s="120"/>
      <c r="DD1396" s="120"/>
      <c r="DE1396" s="120"/>
      <c r="DF1396" s="440"/>
      <c r="EB1396" s="436"/>
      <c r="EC1396" s="120"/>
      <c r="ED1396" s="120"/>
      <c r="EE1396" s="120"/>
      <c r="EF1396" s="440"/>
    </row>
    <row r="1397" spans="53:136">
      <c r="BB1397" s="436"/>
      <c r="BC1397" s="120"/>
      <c r="BD1397" s="120"/>
      <c r="BE1397" s="120"/>
      <c r="BF1397" s="440"/>
      <c r="CB1397" s="436"/>
      <c r="CC1397" s="120"/>
      <c r="CD1397" s="120"/>
      <c r="CE1397" s="120"/>
      <c r="CF1397" s="440"/>
      <c r="DB1397" s="436"/>
      <c r="DC1397" s="120"/>
      <c r="DD1397" s="120"/>
      <c r="DE1397" s="120"/>
      <c r="DF1397" s="440"/>
      <c r="EB1397" s="436"/>
      <c r="EC1397" s="120"/>
      <c r="ED1397" s="120"/>
      <c r="EE1397" s="120"/>
      <c r="EF1397" s="440"/>
    </row>
    <row r="1398" spans="53:136">
      <c r="BB1398" s="436"/>
      <c r="BC1398" s="120"/>
      <c r="BD1398" s="120"/>
      <c r="BE1398" s="120"/>
      <c r="BF1398" s="440"/>
      <c r="CB1398" s="436"/>
      <c r="CC1398" s="120"/>
      <c r="CD1398" s="120"/>
      <c r="CE1398" s="120"/>
      <c r="CF1398" s="440"/>
      <c r="DB1398" s="436"/>
      <c r="DC1398" s="120"/>
      <c r="DD1398" s="120"/>
      <c r="DE1398" s="120"/>
      <c r="DF1398" s="440"/>
      <c r="EB1398" s="436"/>
      <c r="EC1398" s="120"/>
      <c r="ED1398" s="120"/>
      <c r="EE1398" s="120"/>
      <c r="EF1398" s="440"/>
    </row>
    <row r="1399" spans="53:136">
      <c r="BB1399" s="436"/>
      <c r="BC1399" s="120"/>
      <c r="BD1399" s="120"/>
      <c r="BE1399" s="120"/>
      <c r="BF1399" s="440"/>
      <c r="CB1399" s="436"/>
      <c r="CC1399" s="120"/>
      <c r="CD1399" s="120"/>
      <c r="CE1399" s="120"/>
      <c r="CF1399" s="440"/>
      <c r="DB1399" s="436"/>
      <c r="DC1399" s="120"/>
      <c r="DD1399" s="120"/>
      <c r="DE1399" s="120"/>
      <c r="DF1399" s="440"/>
      <c r="EB1399" s="436"/>
      <c r="EC1399" s="120"/>
      <c r="ED1399" s="120"/>
      <c r="EE1399" s="120"/>
      <c r="EF1399" s="440"/>
    </row>
    <row r="1400" spans="53:136">
      <c r="BB1400" s="436"/>
      <c r="BC1400" s="120"/>
      <c r="BD1400" s="120"/>
      <c r="BE1400" s="120"/>
      <c r="BF1400" s="440"/>
      <c r="CB1400" s="436"/>
      <c r="CC1400" s="120"/>
      <c r="CD1400" s="120"/>
      <c r="CE1400" s="120"/>
      <c r="CF1400" s="440"/>
      <c r="DB1400" s="436"/>
      <c r="DC1400" s="120"/>
      <c r="DD1400" s="120"/>
      <c r="DE1400" s="120"/>
      <c r="DF1400" s="440"/>
      <c r="EB1400" s="436"/>
      <c r="EC1400" s="120"/>
      <c r="ED1400" s="120"/>
      <c r="EE1400" s="120"/>
      <c r="EF1400" s="440"/>
    </row>
    <row r="1401" spans="53:136">
      <c r="BB1401" s="436"/>
      <c r="BC1401" s="120"/>
      <c r="BD1401" s="120"/>
      <c r="BE1401" s="120"/>
      <c r="BF1401" s="440"/>
      <c r="CB1401" s="436"/>
      <c r="CC1401" s="120"/>
      <c r="CD1401" s="120"/>
      <c r="CE1401" s="120"/>
      <c r="CF1401" s="440"/>
      <c r="DB1401" s="436"/>
      <c r="DC1401" s="120"/>
      <c r="DD1401" s="120"/>
      <c r="DE1401" s="120"/>
      <c r="DF1401" s="440"/>
      <c r="EB1401" s="436"/>
      <c r="EC1401" s="120"/>
      <c r="ED1401" s="120"/>
      <c r="EE1401" s="120"/>
      <c r="EF1401" s="440"/>
    </row>
    <row r="1402" spans="53:136">
      <c r="BB1402" s="436"/>
      <c r="BC1402" s="120"/>
      <c r="BD1402" s="120"/>
      <c r="BE1402" s="120"/>
      <c r="BF1402" s="440"/>
      <c r="CB1402" s="436"/>
      <c r="CC1402" s="120"/>
      <c r="CD1402" s="120"/>
      <c r="CE1402" s="120"/>
      <c r="CF1402" s="440"/>
      <c r="DB1402" s="436"/>
      <c r="DC1402" s="120"/>
      <c r="DD1402" s="120"/>
      <c r="DE1402" s="120"/>
      <c r="DF1402" s="440"/>
      <c r="EB1402" s="436"/>
      <c r="EC1402" s="120"/>
      <c r="ED1402" s="120"/>
      <c r="EE1402" s="120"/>
      <c r="EF1402" s="440"/>
    </row>
    <row r="1403" spans="53:136">
      <c r="BB1403" s="436"/>
      <c r="BC1403" s="120"/>
      <c r="BD1403" s="120"/>
      <c r="BE1403" s="120"/>
      <c r="BF1403" s="440"/>
      <c r="CB1403" s="436"/>
      <c r="CC1403" s="120"/>
      <c r="CD1403" s="120"/>
      <c r="CE1403" s="120"/>
      <c r="CF1403" s="440"/>
      <c r="DB1403" s="436"/>
      <c r="DC1403" s="120"/>
      <c r="DD1403" s="120"/>
      <c r="DE1403" s="120"/>
      <c r="DF1403" s="440"/>
      <c r="EB1403" s="436"/>
      <c r="EC1403" s="120"/>
      <c r="ED1403" s="120"/>
      <c r="EE1403" s="120"/>
      <c r="EF1403" s="440"/>
    </row>
    <row r="1404" spans="53:136" ht="14.5" thickBot="1">
      <c r="BB1404" s="492"/>
      <c r="BC1404" s="493"/>
      <c r="BD1404" s="493"/>
      <c r="BE1404" s="493"/>
      <c r="BF1404" s="453"/>
      <c r="CB1404" s="492"/>
      <c r="CC1404" s="493"/>
      <c r="CD1404" s="493"/>
      <c r="CE1404" s="493"/>
      <c r="CF1404" s="453"/>
      <c r="DB1404" s="492"/>
      <c r="DC1404" s="493"/>
      <c r="DD1404" s="493"/>
      <c r="DE1404" s="493"/>
      <c r="DF1404" s="453"/>
      <c r="EB1404" s="492"/>
      <c r="EC1404" s="493"/>
      <c r="ED1404" s="493"/>
      <c r="EE1404" s="493"/>
      <c r="EF1404" s="453"/>
    </row>
    <row r="1407" spans="53:136" ht="14.5" thickBot="1"/>
    <row r="1408" spans="53:136">
      <c r="BA1408" s="114" t="s">
        <v>478</v>
      </c>
      <c r="BB1408" s="431" t="str">
        <f>BB63</f>
        <v>Solvent extraction unit</v>
      </c>
      <c r="BC1408" s="432"/>
      <c r="BD1408" s="433"/>
      <c r="BE1408" s="434"/>
      <c r="BF1408" s="435"/>
      <c r="CA1408" s="114" t="s">
        <v>478</v>
      </c>
      <c r="CB1408" s="431" t="str">
        <f>CB63</f>
        <v>Centrifuge</v>
      </c>
      <c r="CC1408" s="432"/>
      <c r="CD1408" s="433"/>
      <c r="CE1408" s="434"/>
      <c r="CF1408" s="435"/>
      <c r="DA1408" s="114" t="s">
        <v>478</v>
      </c>
      <c r="DB1408" s="431" t="str">
        <f>DB63</f>
        <v>Wheel loader</v>
      </c>
      <c r="DC1408" s="432"/>
      <c r="DD1408" s="433"/>
      <c r="DE1408" s="434"/>
      <c r="DF1408" s="435"/>
      <c r="EA1408" s="114" t="s">
        <v>478</v>
      </c>
      <c r="EB1408" s="431" t="str">
        <f>EB65</f>
        <v>Centrifuge</v>
      </c>
      <c r="EC1408" s="432"/>
      <c r="ED1408" s="433"/>
      <c r="EE1408" s="434"/>
      <c r="EF1408" s="435"/>
    </row>
    <row r="1409" spans="53:137">
      <c r="BA1409" s="114" t="s">
        <v>5</v>
      </c>
      <c r="BB1409" s="436" t="s">
        <v>1</v>
      </c>
      <c r="BC1409" s="437">
        <f>BC$25/BC$22/BC$21*VLOOKUP(BB1408,'Unit Ops'!$B$140:$J$209,2,FALSE)*(BC47+BC48)</f>
        <v>0.27119642835308067</v>
      </c>
      <c r="BD1409" s="438" t="s">
        <v>586</v>
      </c>
      <c r="BE1409" s="1027">
        <f>BC1409*BC$310*BC$311</f>
        <v>2928.9214262132709</v>
      </c>
      <c r="BF1409" s="439" t="s">
        <v>585</v>
      </c>
      <c r="BG1409" s="408"/>
      <c r="CA1409" s="114" t="s">
        <v>5</v>
      </c>
      <c r="CB1409" s="436" t="s">
        <v>1</v>
      </c>
      <c r="CC1409" s="437">
        <f>CC$25/CC$22/CC$21*VLOOKUP(CB1408,'Unit Ops'!$B$140:$J$209,2,FALSE)</f>
        <v>0.91324200913242004</v>
      </c>
      <c r="CD1409" s="438" t="s">
        <v>586</v>
      </c>
      <c r="CE1409" s="1027">
        <f>CC1409*CC$310*CC$311</f>
        <v>10000</v>
      </c>
      <c r="CF1409" s="439" t="s">
        <v>585</v>
      </c>
      <c r="CG1409" s="408"/>
      <c r="DA1409" s="114" t="s">
        <v>5</v>
      </c>
      <c r="DB1409" s="436" t="s">
        <v>1</v>
      </c>
      <c r="DC1409" s="437">
        <f>DC$25/DC$22/DC$21*VLOOKUP(DB1408,'Unit Ops'!$B$140:$J$209,2,FALSE)</f>
        <v>0.92592592592592593</v>
      </c>
      <c r="DD1409" s="438" t="s">
        <v>586</v>
      </c>
      <c r="DE1409" s="1027">
        <f>DC1409*DC$310*DC$311</f>
        <v>10000</v>
      </c>
      <c r="DF1409" s="439" t="s">
        <v>585</v>
      </c>
      <c r="DG1409" s="408"/>
      <c r="EA1409" s="114" t="s">
        <v>5</v>
      </c>
      <c r="EB1409" s="436" t="s">
        <v>1</v>
      </c>
      <c r="EC1409" s="437">
        <f>EC$26/EC$23/EC$22*VLOOKUP(EB1408,'Unit Ops'!$B$140:$J$209,2,FALSE)</f>
        <v>1.3020833333333333</v>
      </c>
      <c r="ED1409" s="438" t="s">
        <v>586</v>
      </c>
      <c r="EE1409" s="1027">
        <f>EC1409*EC$310*EC$311</f>
        <v>10000</v>
      </c>
      <c r="EF1409" s="439" t="s">
        <v>585</v>
      </c>
      <c r="EG1409" s="408"/>
    </row>
    <row r="1410" spans="53:137">
      <c r="BA1410" s="114" t="str">
        <f>$BB$54</f>
        <v>Hopper</v>
      </c>
      <c r="BB1410" s="436" t="s">
        <v>505</v>
      </c>
      <c r="BC1410" s="437">
        <f>ROUNDUP(BC1409*IF(VLOOKUP(BB1408,'Unit Ops'!$B$140:$L$209,11,FALSE)=1,1.5,0.75),1)</f>
        <v>0.30000000000000004</v>
      </c>
      <c r="BD1410" s="438" t="s">
        <v>586</v>
      </c>
      <c r="BE1410" s="120">
        <f>BC1410*BC$310*BC$311</f>
        <v>3240.0000000000005</v>
      </c>
      <c r="BF1410" s="439" t="s">
        <v>585</v>
      </c>
      <c r="BG1410" s="520"/>
      <c r="CA1410" s="114" t="str">
        <f>$CB$54</f>
        <v>Conveyor</v>
      </c>
      <c r="CB1410" s="436" t="s">
        <v>505</v>
      </c>
      <c r="CC1410" s="437">
        <f>ROUNDUP(CC1409*IF(VLOOKUP(CB1408,'Unit Ops'!$B$140:$L$209,11,FALSE)=1,1.5,0.75),1)</f>
        <v>0.7</v>
      </c>
      <c r="CD1410" s="438" t="s">
        <v>586</v>
      </c>
      <c r="CE1410" s="120">
        <f>CC1410*CC$310*CC$311</f>
        <v>7665</v>
      </c>
      <c r="CF1410" s="439" t="s">
        <v>585</v>
      </c>
      <c r="CG1410" s="520"/>
      <c r="DA1410" s="114" t="str">
        <f>$DB$54</f>
        <v>Conveyor</v>
      </c>
      <c r="DB1410" s="436" t="s">
        <v>505</v>
      </c>
      <c r="DC1410" s="437">
        <f>ROUNDUP(DC1409*IF(VLOOKUP(DB1408,'Unit Ops'!$B$140:$L$209,11,FALSE)=1,1.5,0.75),1)</f>
        <v>0.7</v>
      </c>
      <c r="DD1410" s="438" t="s">
        <v>586</v>
      </c>
      <c r="DE1410" s="120">
        <f>DC1410*DC$310*DC$311</f>
        <v>7560</v>
      </c>
      <c r="DF1410" s="439" t="s">
        <v>585</v>
      </c>
      <c r="DG1410" s="520"/>
      <c r="EA1410" s="114" t="str">
        <f>$EB$56</f>
        <v>Conveyor</v>
      </c>
      <c r="EB1410" s="436" t="s">
        <v>505</v>
      </c>
      <c r="EC1410" s="437">
        <f>ROUNDUP(EC1409*IF(VLOOKUP(EB1408,'Unit Ops'!$B$140:$L$209,11,FALSE)=1,1.5,0.75),1)</f>
        <v>1</v>
      </c>
      <c r="ED1410" s="438" t="s">
        <v>586</v>
      </c>
      <c r="EE1410" s="120">
        <f>EC1410*EC$310*EC$311</f>
        <v>7680</v>
      </c>
      <c r="EF1410" s="439" t="s">
        <v>585</v>
      </c>
      <c r="EG1410" s="520"/>
    </row>
    <row r="1411" spans="53:137">
      <c r="BA1411" s="114" t="str">
        <f>$BB$55</f>
        <v>Conveyor</v>
      </c>
      <c r="BB1411" s="441" t="s">
        <v>521</v>
      </c>
      <c r="BC1411" s="442">
        <f>BC1409/BC1410</f>
        <v>0.90398809451026874</v>
      </c>
      <c r="BD1411" s="438"/>
      <c r="BE1411" s="443"/>
      <c r="BF1411" s="440"/>
      <c r="BG1411" s="521"/>
      <c r="CA1411" s="114" t="str">
        <f>$CB$55</f>
        <v>Leaching tank</v>
      </c>
      <c r="CB1411" s="441" t="s">
        <v>521</v>
      </c>
      <c r="CC1411" s="442">
        <f>CC1409/CC1410</f>
        <v>1.3046314416177429</v>
      </c>
      <c r="CD1411" s="438"/>
      <c r="CE1411" s="443"/>
      <c r="CF1411" s="440"/>
      <c r="CG1411" s="521"/>
      <c r="DA1411" s="114" t="str">
        <f>$DB$55</f>
        <v>Froth flotation cell</v>
      </c>
      <c r="DB1411" s="441" t="s">
        <v>521</v>
      </c>
      <c r="DC1411" s="442">
        <f>DC1409/DC1410</f>
        <v>1.3227513227513228</v>
      </c>
      <c r="DD1411" s="438"/>
      <c r="DE1411" s="443"/>
      <c r="DF1411" s="440"/>
      <c r="DG1411" s="521"/>
      <c r="EA1411" s="114" t="str">
        <f>$EB$57</f>
        <v>Leaching tank</v>
      </c>
      <c r="EB1411" s="441" t="s">
        <v>521</v>
      </c>
      <c r="EC1411" s="442">
        <f>EC1409/EC1410</f>
        <v>1.3020833333333333</v>
      </c>
      <c r="ED1411" s="438"/>
      <c r="EE1411" s="443"/>
      <c r="EF1411" s="440"/>
      <c r="EG1411" s="521"/>
    </row>
    <row r="1412" spans="53:137">
      <c r="BA1412" s="114" t="str">
        <f>$BB$56</f>
        <v>Smelter</v>
      </c>
      <c r="BB1412" s="441" t="s">
        <v>506</v>
      </c>
      <c r="BC1412" s="445"/>
      <c r="BD1412" s="438" t="s">
        <v>454</v>
      </c>
      <c r="BE1412" s="443"/>
      <c r="BF1412" s="440"/>
      <c r="BG1412" s="408"/>
      <c r="CA1412" s="114" t="str">
        <f>$CB$56</f>
        <v>Mixing tank</v>
      </c>
      <c r="CB1412" s="441" t="s">
        <v>506</v>
      </c>
      <c r="CC1412" s="445"/>
      <c r="CD1412" s="438" t="s">
        <v>454</v>
      </c>
      <c r="CE1412" s="443"/>
      <c r="CF1412" s="440"/>
      <c r="CG1412" s="408"/>
      <c r="DA1412" s="114" t="str">
        <f>$DB$56</f>
        <v>Filter press</v>
      </c>
      <c r="DB1412" s="441" t="s">
        <v>506</v>
      </c>
      <c r="DC1412" s="445"/>
      <c r="DD1412" s="438" t="s">
        <v>454</v>
      </c>
      <c r="DE1412" s="443"/>
      <c r="DF1412" s="440"/>
      <c r="DG1412" s="408"/>
      <c r="EA1412" s="114" t="str">
        <f>$EB$58</f>
        <v>Mixing tank</v>
      </c>
      <c r="EB1412" s="441" t="s">
        <v>506</v>
      </c>
      <c r="EC1412" s="445"/>
      <c r="ED1412" s="438" t="s">
        <v>454</v>
      </c>
      <c r="EE1412" s="443"/>
      <c r="EF1412" s="440"/>
      <c r="EG1412" s="408"/>
    </row>
    <row r="1413" spans="53:137">
      <c r="BA1413" s="114" t="str">
        <f>$BB$57</f>
        <v>Gas treatment</v>
      </c>
      <c r="BB1413" s="436" t="s">
        <v>507</v>
      </c>
      <c r="BC1413" s="225">
        <f>(VLOOKUP(BB1408,'Unit Ops'!$B$140:$J$209,7,FALSE)*BC1410^VLOOKUP(BB1408,'Unit Ops'!$B$140:$J$209,8,FALSE)+VLOOKUP(BB1408,'Unit Ops'!$B$140:$J$209,9,FALSE))*IF(VLOOKUP(BB1408,'Unit Ops'!$B$140:$L$209,11,FALSE)=1,1,2)</f>
        <v>8.948400000000003</v>
      </c>
      <c r="BD1413" s="446" t="s">
        <v>454</v>
      </c>
      <c r="BE1413" s="443"/>
      <c r="BF1413" s="440"/>
      <c r="BG1413" s="521"/>
      <c r="CA1413" s="114" t="str">
        <f>$CB$57</f>
        <v>Filter press</v>
      </c>
      <c r="CB1413" s="436" t="s">
        <v>507</v>
      </c>
      <c r="CC1413" s="225">
        <f>(VLOOKUP(CB1408,'Unit Ops'!$B$140:$J$209,7,FALSE)*CC1410^VLOOKUP(CB1408,'Unit Ops'!$B$140:$J$209,8,FALSE)+VLOOKUP(CB1408,'Unit Ops'!$B$140:$J$209,9,FALSE))*IF(VLOOKUP(CB1408,'Unit Ops'!$B$140:$L$209,11,FALSE)=1,1,2)</f>
        <v>0</v>
      </c>
      <c r="CD1413" s="446" t="s">
        <v>454</v>
      </c>
      <c r="CE1413" s="443"/>
      <c r="CF1413" s="440"/>
      <c r="CG1413" s="521"/>
      <c r="DA1413" s="114" t="str">
        <f>$DB$57</f>
        <v>Froth flotation cell</v>
      </c>
      <c r="DB1413" s="436" t="s">
        <v>507</v>
      </c>
      <c r="DC1413" s="225">
        <f>(VLOOKUP(DB1408,'Unit Ops'!$B$140:$J$209,7,FALSE)*DC1410^VLOOKUP(DB1408,'Unit Ops'!$B$140:$J$209,8,FALSE)+VLOOKUP(DB1408,'Unit Ops'!$B$140:$J$209,9,FALSE))*IF(VLOOKUP(DB1408,'Unit Ops'!$B$140:$L$209,11,FALSE)=1,1,2)</f>
        <v>0</v>
      </c>
      <c r="DD1413" s="446" t="s">
        <v>454</v>
      </c>
      <c r="DE1413" s="443"/>
      <c r="DF1413" s="440"/>
      <c r="DG1413" s="521"/>
      <c r="EA1413" s="114" t="str">
        <f>$EB$59</f>
        <v>Filter press</v>
      </c>
      <c r="EB1413" s="436" t="s">
        <v>507</v>
      </c>
      <c r="EC1413" s="225">
        <f>(VLOOKUP(EB1408,'Unit Ops'!$B$140:$J$209,7,FALSE)*EC1410^VLOOKUP(EB1408,'Unit Ops'!$B$140:$J$209,8,FALSE)+VLOOKUP(EB1408,'Unit Ops'!$B$140:$J$209,9,FALSE))*IF(VLOOKUP(EB1408,'Unit Ops'!$B$140:$L$209,11,FALSE)=1,1,2)</f>
        <v>0</v>
      </c>
      <c r="ED1413" s="446" t="s">
        <v>454</v>
      </c>
      <c r="EE1413" s="443"/>
      <c r="EF1413" s="440"/>
      <c r="EG1413" s="521"/>
    </row>
    <row r="1414" spans="53:137">
      <c r="BA1414" s="114" t="str">
        <f>$BB$58</f>
        <v>Conveyor</v>
      </c>
      <c r="BB1414" s="441"/>
      <c r="BC1414" s="445"/>
      <c r="BD1414" s="447"/>
      <c r="BE1414" s="443"/>
      <c r="BF1414" s="440"/>
      <c r="BG1414" s="470"/>
      <c r="CA1414" s="114" t="str">
        <f>$CB$58</f>
        <v>Solvent extraction unit</v>
      </c>
      <c r="CB1414" s="441"/>
      <c r="CC1414" s="445"/>
      <c r="CD1414" s="447"/>
      <c r="CE1414" s="443"/>
      <c r="CF1414" s="440"/>
      <c r="CG1414" s="470"/>
      <c r="DA1414" s="114" t="str">
        <f>$DB$58</f>
        <v>Filter press</v>
      </c>
      <c r="DB1414" s="441"/>
      <c r="DC1414" s="445"/>
      <c r="DD1414" s="447"/>
      <c r="DE1414" s="443"/>
      <c r="DF1414" s="440"/>
      <c r="DG1414" s="470"/>
      <c r="EA1414" s="114" t="str">
        <f>$EB$60</f>
        <v>Solvent extraction unit</v>
      </c>
      <c r="EB1414" s="441"/>
      <c r="EC1414" s="445"/>
      <c r="ED1414" s="447"/>
      <c r="EE1414" s="443"/>
      <c r="EF1414" s="440"/>
      <c r="EG1414" s="470"/>
    </row>
    <row r="1415" spans="53:137">
      <c r="BA1415" s="114" t="str">
        <f>$BB$59</f>
        <v>Granulator</v>
      </c>
      <c r="BB1415" s="441"/>
      <c r="BC1415" s="445"/>
      <c r="BD1415" s="447"/>
      <c r="BE1415" s="443"/>
      <c r="BF1415" s="440"/>
      <c r="BG1415" s="521"/>
      <c r="CA1415" s="114" t="str">
        <f>$CB$59</f>
        <v>Solvent extraction unit</v>
      </c>
      <c r="CB1415" s="441"/>
      <c r="CC1415" s="445"/>
      <c r="CD1415" s="447"/>
      <c r="CE1415" s="443"/>
      <c r="CF1415" s="440"/>
      <c r="CG1415" s="521"/>
      <c r="DA1415" s="114" t="str">
        <f>$DB$59</f>
        <v>Dryer</v>
      </c>
      <c r="DB1415" s="441"/>
      <c r="DC1415" s="445"/>
      <c r="DD1415" s="447"/>
      <c r="DE1415" s="443"/>
      <c r="DF1415" s="440"/>
      <c r="DG1415" s="521"/>
      <c r="EA1415" s="114" t="str">
        <f>$EB$61</f>
        <v>Solvent extraction unit</v>
      </c>
      <c r="EB1415" s="441"/>
      <c r="EC1415" s="445"/>
      <c r="ED1415" s="447"/>
      <c r="EE1415" s="443"/>
      <c r="EF1415" s="440"/>
      <c r="EG1415" s="521"/>
    </row>
    <row r="1416" spans="53:137">
      <c r="BA1416" s="114" t="str">
        <f>$BB$60</f>
        <v>Leaching tank</v>
      </c>
      <c r="BB1416" s="449"/>
      <c r="BC1416" s="445"/>
      <c r="BD1416" s="447"/>
      <c r="BE1416" s="443"/>
      <c r="BF1416" s="440"/>
      <c r="BG1416" s="507"/>
      <c r="CA1416" s="114" t="str">
        <f>$CB$60</f>
        <v>Solvent extraction unit</v>
      </c>
      <c r="CB1416" s="449"/>
      <c r="CC1416" s="445"/>
      <c r="CD1416" s="447"/>
      <c r="CE1416" s="443"/>
      <c r="CF1416" s="440"/>
      <c r="CG1416" s="507"/>
      <c r="DA1416" s="114" t="str">
        <f>$DB$60</f>
        <v>Ball mill</v>
      </c>
      <c r="DB1416" s="449"/>
      <c r="DC1416" s="445"/>
      <c r="DD1416" s="447"/>
      <c r="DE1416" s="443"/>
      <c r="DF1416" s="440"/>
      <c r="DG1416" s="507"/>
      <c r="EA1416" s="114" t="str">
        <f>$EB$62</f>
        <v>Solvent extraction unit</v>
      </c>
      <c r="EB1416" s="449"/>
      <c r="EC1416" s="445"/>
      <c r="ED1416" s="447"/>
      <c r="EE1416" s="443"/>
      <c r="EF1416" s="440"/>
      <c r="EG1416" s="507"/>
    </row>
    <row r="1417" spans="53:137" ht="14.5" thickBot="1">
      <c r="BA1417" s="114" t="str">
        <f>$BB$61</f>
        <v>Solvent extraction unit</v>
      </c>
      <c r="BB1417" s="450"/>
      <c r="BC1417" s="451"/>
      <c r="BD1417" s="451"/>
      <c r="BE1417" s="452"/>
      <c r="BF1417" s="453"/>
      <c r="BG1417" s="521"/>
      <c r="CA1417" s="114" t="str">
        <f>$CB$61</f>
        <v>Evaporator</v>
      </c>
      <c r="CB1417" s="450"/>
      <c r="CC1417" s="451"/>
      <c r="CD1417" s="451"/>
      <c r="CE1417" s="452"/>
      <c r="CF1417" s="453"/>
      <c r="CG1417" s="521"/>
      <c r="DA1417" s="114" t="str">
        <f>$DB$61</f>
        <v>Furnace+saggar handling system</v>
      </c>
      <c r="DB1417" s="450"/>
      <c r="DC1417" s="451"/>
      <c r="DD1417" s="451"/>
      <c r="DE1417" s="452"/>
      <c r="DF1417" s="453"/>
      <c r="DG1417" s="521"/>
      <c r="EA1417" s="114" t="str">
        <f>$EB$63</f>
        <v>Evaporator</v>
      </c>
      <c r="EB1417" s="450"/>
      <c r="EC1417" s="451"/>
      <c r="ED1417" s="451"/>
      <c r="EE1417" s="452"/>
      <c r="EF1417" s="453"/>
      <c r="EG1417" s="521"/>
    </row>
    <row r="1418" spans="53:137">
      <c r="BA1418" s="114" t="str">
        <f>$BB$62</f>
        <v>Electrowinning cell</v>
      </c>
      <c r="BB1418" s="449" t="s">
        <v>470</v>
      </c>
      <c r="BC1418" s="120"/>
      <c r="BD1418" s="454"/>
      <c r="BE1418" s="120"/>
      <c r="BF1418" s="440"/>
      <c r="BG1418" s="474"/>
      <c r="CA1418" s="114" t="str">
        <f>$CB$62</f>
        <v>Precipitation tank</v>
      </c>
      <c r="CB1418" s="449" t="s">
        <v>470</v>
      </c>
      <c r="CC1418" s="120"/>
      <c r="CD1418" s="454"/>
      <c r="CE1418" s="120"/>
      <c r="CF1418" s="440"/>
      <c r="CG1418" s="474"/>
      <c r="DA1418" s="114" t="str">
        <f>$DB$62</f>
        <v>Water treatment</v>
      </c>
      <c r="DB1418" s="449" t="s">
        <v>470</v>
      </c>
      <c r="DC1418" s="120"/>
      <c r="DD1418" s="454"/>
      <c r="DE1418" s="120"/>
      <c r="DF1418" s="440"/>
      <c r="DG1418" s="474"/>
      <c r="EA1418" s="114" t="str">
        <f>$EB$64</f>
        <v>Precipitation tank</v>
      </c>
      <c r="EB1418" s="449" t="s">
        <v>470</v>
      </c>
      <c r="EC1418" s="120"/>
      <c r="ED1418" s="454"/>
      <c r="EE1418" s="120"/>
      <c r="EF1418" s="440"/>
      <c r="EG1418" s="474"/>
    </row>
    <row r="1419" spans="53:137" ht="14.5" customHeight="1">
      <c r="BA1419" s="114" t="str">
        <f>$BB$63</f>
        <v>Solvent extraction unit</v>
      </c>
      <c r="BB1419" s="1698"/>
      <c r="BC1419" s="1699"/>
      <c r="BD1419" s="1699"/>
      <c r="BE1419" s="1699"/>
      <c r="BF1419" s="1700"/>
      <c r="BG1419" s="474"/>
      <c r="CA1419" s="114" t="str">
        <f>$CB$63</f>
        <v>Centrifuge</v>
      </c>
      <c r="CB1419" s="1698"/>
      <c r="CC1419" s="1699"/>
      <c r="CD1419" s="1699"/>
      <c r="CE1419" s="1699"/>
      <c r="CF1419" s="1700"/>
      <c r="CG1419" s="474"/>
      <c r="DA1419" s="114" t="str">
        <f>$DB$63</f>
        <v>Wheel loader</v>
      </c>
      <c r="DB1419" s="1698"/>
      <c r="DC1419" s="1699"/>
      <c r="DD1419" s="1699"/>
      <c r="DE1419" s="1699"/>
      <c r="DF1419" s="1700"/>
      <c r="DG1419" s="474"/>
      <c r="EA1419" s="114" t="str">
        <f>$EB$65</f>
        <v>Centrifuge</v>
      </c>
      <c r="EB1419" s="1698"/>
      <c r="EC1419" s="1699"/>
      <c r="ED1419" s="1699"/>
      <c r="EE1419" s="1699"/>
      <c r="EF1419" s="1700"/>
      <c r="EG1419" s="474"/>
    </row>
    <row r="1420" spans="53:137">
      <c r="BA1420" s="114" t="str">
        <f>$BB$64</f>
        <v>Solvent extraction unit</v>
      </c>
      <c r="BB1420" s="436"/>
      <c r="BC1420" s="120"/>
      <c r="BD1420" s="455"/>
      <c r="BE1420" s="120"/>
      <c r="BF1420" s="440"/>
      <c r="BG1420" s="474"/>
      <c r="CA1420" s="114" t="str">
        <f>$CB$64</f>
        <v>Dryer</v>
      </c>
      <c r="CB1420" s="436"/>
      <c r="CC1420" s="120"/>
      <c r="CD1420" s="455"/>
      <c r="CE1420" s="120"/>
      <c r="CF1420" s="440"/>
      <c r="CG1420" s="474"/>
      <c r="DA1420" s="114" t="str">
        <f>$DB$64</f>
        <v>Select Equipment</v>
      </c>
      <c r="DB1420" s="436"/>
      <c r="DC1420" s="120"/>
      <c r="DD1420" s="455"/>
      <c r="DE1420" s="120"/>
      <c r="DF1420" s="440"/>
      <c r="DG1420" s="474"/>
      <c r="EA1420" s="114" t="str">
        <f>$EB$66</f>
        <v>Dryer</v>
      </c>
      <c r="EB1420" s="436"/>
      <c r="EC1420" s="120"/>
      <c r="ED1420" s="455"/>
      <c r="EE1420" s="120"/>
      <c r="EF1420" s="440"/>
      <c r="EG1420" s="474"/>
    </row>
    <row r="1421" spans="53:137">
      <c r="BA1421" s="114" t="str">
        <f>$BB$65</f>
        <v>Wheel loader</v>
      </c>
      <c r="BB1421" s="436"/>
      <c r="BC1421" s="120"/>
      <c r="BD1421" s="455"/>
      <c r="BE1421" s="120"/>
      <c r="BF1421" s="440"/>
      <c r="BG1421" s="474"/>
      <c r="CA1421" s="114" t="str">
        <f>$CB$65</f>
        <v>Water treatment</v>
      </c>
      <c r="CB1421" s="436"/>
      <c r="CC1421" s="120"/>
      <c r="CD1421" s="455"/>
      <c r="CE1421" s="120"/>
      <c r="CF1421" s="440"/>
      <c r="CG1421" s="474"/>
      <c r="DA1421" s="114" t="str">
        <f>$DB$65</f>
        <v>Select Equipment</v>
      </c>
      <c r="DB1421" s="436"/>
      <c r="DC1421" s="120"/>
      <c r="DD1421" s="455"/>
      <c r="DE1421" s="120"/>
      <c r="DF1421" s="440"/>
      <c r="DG1421" s="474"/>
      <c r="EA1421" s="114" t="str">
        <f>$EB$67</f>
        <v>Water treatment</v>
      </c>
      <c r="EB1421" s="436"/>
      <c r="EC1421" s="120"/>
      <c r="ED1421" s="455"/>
      <c r="EE1421" s="120"/>
      <c r="EF1421" s="440"/>
      <c r="EG1421" s="474"/>
    </row>
    <row r="1422" spans="53:137">
      <c r="BA1422" s="114" t="str">
        <f>$BB$66</f>
        <v>Water treatment</v>
      </c>
      <c r="BB1422" s="456"/>
      <c r="BC1422" s="457"/>
      <c r="BD1422" s="457"/>
      <c r="BE1422" s="457"/>
      <c r="BF1422" s="458"/>
      <c r="CA1422" s="114" t="str">
        <f>$CB$66</f>
        <v>Wheel loader</v>
      </c>
      <c r="CB1422" s="456"/>
      <c r="CC1422" s="457"/>
      <c r="CD1422" s="457"/>
      <c r="CE1422" s="457"/>
      <c r="CF1422" s="458"/>
      <c r="DA1422" s="114" t="str">
        <f>$DB$66</f>
        <v>Select Equipment</v>
      </c>
      <c r="DB1422" s="456"/>
      <c r="DC1422" s="457"/>
      <c r="DD1422" s="457"/>
      <c r="DE1422" s="457"/>
      <c r="DF1422" s="458"/>
      <c r="EA1422" s="114" t="str">
        <f>$EB$68</f>
        <v>Wheel loader</v>
      </c>
      <c r="EB1422" s="456"/>
      <c r="EC1422" s="457"/>
      <c r="ED1422" s="457"/>
      <c r="EE1422" s="457"/>
      <c r="EF1422" s="458"/>
    </row>
    <row r="1423" spans="53:137">
      <c r="BA1423" s="114" t="str">
        <f>$BB$67</f>
        <v>Select Equipment</v>
      </c>
      <c r="BB1423" s="449" t="s">
        <v>471</v>
      </c>
      <c r="BC1423" s="120"/>
      <c r="BD1423" s="454"/>
      <c r="BE1423" s="120"/>
      <c r="BF1423" s="440"/>
      <c r="CA1423" s="114" t="str">
        <f>$CB$67</f>
        <v>Select Equipment</v>
      </c>
      <c r="CB1423" s="449" t="s">
        <v>471</v>
      </c>
      <c r="CC1423" s="120"/>
      <c r="CD1423" s="454"/>
      <c r="CE1423" s="120"/>
      <c r="CF1423" s="440"/>
      <c r="DA1423" s="114" t="str">
        <f>$DB$67</f>
        <v>Select Equipment</v>
      </c>
      <c r="DB1423" s="449" t="s">
        <v>471</v>
      </c>
      <c r="DC1423" s="120"/>
      <c r="DD1423" s="454"/>
      <c r="DE1423" s="120"/>
      <c r="DF1423" s="440"/>
      <c r="EA1423" s="114" t="str">
        <f>$EB$69</f>
        <v>Select Equipment</v>
      </c>
      <c r="EB1423" s="449" t="s">
        <v>471</v>
      </c>
      <c r="EC1423" s="120"/>
      <c r="ED1423" s="454"/>
      <c r="EE1423" s="120"/>
      <c r="EF1423" s="440"/>
    </row>
    <row r="1424" spans="53:137">
      <c r="BA1424" s="114" t="str">
        <f>$BB$68</f>
        <v>Select Equipment</v>
      </c>
      <c r="BB1424" s="436" t="s">
        <v>577</v>
      </c>
      <c r="BC1424" s="225">
        <f>BC1413*IF(BC1411&gt;1,1,BC1411)</f>
        <v>8.0892470649156909</v>
      </c>
      <c r="BD1424" s="446" t="s">
        <v>454</v>
      </c>
      <c r="BE1424" s="120"/>
      <c r="BF1424" s="440"/>
      <c r="CA1424" s="114" t="str">
        <f>$CB$68</f>
        <v>Select Equipment</v>
      </c>
      <c r="CB1424" s="436" t="s">
        <v>577</v>
      </c>
      <c r="CC1424" s="225">
        <f>CC1413*IF(CC1411&gt;1,1,CC1411)</f>
        <v>0</v>
      </c>
      <c r="CD1424" s="446" t="s">
        <v>454</v>
      </c>
      <c r="CE1424" s="120"/>
      <c r="CF1424" s="440"/>
      <c r="DA1424" s="114" t="str">
        <f>$DB$68</f>
        <v>Select Equipment</v>
      </c>
      <c r="DB1424" s="436" t="s">
        <v>577</v>
      </c>
      <c r="DC1424" s="225">
        <f>DC1413*IF(DC1411&gt;1,1,DC1411)</f>
        <v>0</v>
      </c>
      <c r="DD1424" s="446" t="s">
        <v>454</v>
      </c>
      <c r="DE1424" s="120"/>
      <c r="DF1424" s="440"/>
      <c r="EA1424" s="114" t="str">
        <f>$EB$70</f>
        <v>Select Equipment</v>
      </c>
      <c r="EB1424" s="436" t="s">
        <v>577</v>
      </c>
      <c r="EC1424" s="225">
        <f>EC1413*IF(EC1411&gt;1,1,EC1411)</f>
        <v>0</v>
      </c>
      <c r="ED1424" s="446" t="s">
        <v>454</v>
      </c>
      <c r="EE1424" s="120"/>
      <c r="EF1424" s="440"/>
    </row>
    <row r="1425" spans="53:136">
      <c r="BA1425" s="114" t="str">
        <f>$BB$69</f>
        <v>Select Equipment</v>
      </c>
      <c r="BB1425" s="436" t="s">
        <v>578</v>
      </c>
      <c r="BC1425" s="225"/>
      <c r="BD1425" s="446" t="s">
        <v>579</v>
      </c>
      <c r="BE1425" s="120"/>
      <c r="BF1425" s="440"/>
      <c r="CA1425" s="114" t="str">
        <f>$CB$69</f>
        <v>Select Equipment</v>
      </c>
      <c r="CB1425" s="436" t="s">
        <v>578</v>
      </c>
      <c r="CC1425" s="225"/>
      <c r="CD1425" s="446" t="s">
        <v>579</v>
      </c>
      <c r="CE1425" s="120"/>
      <c r="CF1425" s="440"/>
      <c r="DA1425" s="114" t="str">
        <f>$DB$69</f>
        <v>Select Equipment</v>
      </c>
      <c r="DB1425" s="436" t="s">
        <v>578</v>
      </c>
      <c r="DC1425" s="225"/>
      <c r="DD1425" s="446" t="s">
        <v>579</v>
      </c>
      <c r="DE1425" s="120"/>
      <c r="DF1425" s="440"/>
      <c r="EA1425" s="114" t="str">
        <f>$EB$71</f>
        <v>Select Equipment</v>
      </c>
      <c r="EB1425" s="436" t="s">
        <v>578</v>
      </c>
      <c r="EC1425" s="225"/>
      <c r="ED1425" s="446" t="s">
        <v>579</v>
      </c>
      <c r="EE1425" s="120"/>
      <c r="EF1425" s="440"/>
    </row>
    <row r="1426" spans="53:136">
      <c r="BA1426" s="114" t="str">
        <f>$BB$70</f>
        <v>Select Equipment</v>
      </c>
      <c r="BB1426" s="436"/>
      <c r="BC1426" s="120"/>
      <c r="BD1426" s="446"/>
      <c r="BE1426" s="120"/>
      <c r="BF1426" s="440"/>
      <c r="CA1426" s="114" t="str">
        <f>$CB$70</f>
        <v>Select Equipment</v>
      </c>
      <c r="CB1426" s="436"/>
      <c r="CC1426" s="120"/>
      <c r="CD1426" s="446"/>
      <c r="CE1426" s="120"/>
      <c r="CF1426" s="440"/>
      <c r="DA1426" s="114" t="str">
        <f>$DB$70</f>
        <v>Select Equipment</v>
      </c>
      <c r="DB1426" s="436"/>
      <c r="DC1426" s="120"/>
      <c r="DD1426" s="446"/>
      <c r="DE1426" s="120"/>
      <c r="DF1426" s="440"/>
      <c r="EA1426" s="114" t="str">
        <f>$EB$72</f>
        <v>Select Equipment</v>
      </c>
      <c r="EB1426" s="436"/>
      <c r="EC1426" s="120"/>
      <c r="ED1426" s="446"/>
      <c r="EE1426" s="120"/>
      <c r="EF1426" s="440"/>
    </row>
    <row r="1427" spans="53:136">
      <c r="BA1427" s="114" t="str">
        <f>$BB$71</f>
        <v>Select Equipment</v>
      </c>
      <c r="BB1427" s="436" t="s">
        <v>8</v>
      </c>
      <c r="BC1427" s="120"/>
      <c r="BD1427" s="459" t="s">
        <v>564</v>
      </c>
      <c r="BE1427" s="120"/>
      <c r="BF1427" s="440"/>
      <c r="CA1427" s="114" t="str">
        <f>$CB$71</f>
        <v>Select Equipment</v>
      </c>
      <c r="CB1427" s="436" t="s">
        <v>8</v>
      </c>
      <c r="CC1427" s="120"/>
      <c r="CD1427" s="459" t="s">
        <v>564</v>
      </c>
      <c r="CE1427" s="120"/>
      <c r="CF1427" s="440"/>
      <c r="DA1427" s="114" t="str">
        <f>$DB$71</f>
        <v>Select Equipment</v>
      </c>
      <c r="DB1427" s="436" t="s">
        <v>8</v>
      </c>
      <c r="DC1427" s="120"/>
      <c r="DD1427" s="459" t="s">
        <v>564</v>
      </c>
      <c r="DE1427" s="120"/>
      <c r="DF1427" s="440"/>
      <c r="EA1427" s="114" t="str">
        <f>$EB$73</f>
        <v>Select Equipment</v>
      </c>
      <c r="EB1427" s="436" t="s">
        <v>8</v>
      </c>
      <c r="EC1427" s="120"/>
      <c r="ED1427" s="459" t="s">
        <v>564</v>
      </c>
      <c r="EE1427" s="120"/>
      <c r="EF1427" s="440"/>
    </row>
    <row r="1428" spans="53:136">
      <c r="BA1428" s="114" t="str">
        <f>$BB$72</f>
        <v>Select Equipment</v>
      </c>
      <c r="BB1428" s="436"/>
      <c r="BC1428" s="120"/>
      <c r="BD1428" s="459"/>
      <c r="BE1428" s="120"/>
      <c r="BF1428" s="440"/>
      <c r="CA1428" s="114" t="str">
        <f>$CB$72</f>
        <v>Select Equipment</v>
      </c>
      <c r="CB1428" s="436"/>
      <c r="CC1428" s="120"/>
      <c r="CD1428" s="459"/>
      <c r="CE1428" s="120"/>
      <c r="CF1428" s="440"/>
      <c r="DA1428" s="114" t="str">
        <f>$DB$72</f>
        <v>Select Equipment</v>
      </c>
      <c r="DB1428" s="436"/>
      <c r="DC1428" s="120"/>
      <c r="DD1428" s="459"/>
      <c r="DE1428" s="120"/>
      <c r="DF1428" s="440"/>
      <c r="EA1428" s="114" t="str">
        <f>$EB$74</f>
        <v>Select Equipment</v>
      </c>
      <c r="EB1428" s="436"/>
      <c r="EC1428" s="120"/>
      <c r="ED1428" s="459"/>
      <c r="EE1428" s="120"/>
      <c r="EF1428" s="440"/>
    </row>
    <row r="1429" spans="53:136">
      <c r="BA1429" s="114" t="str">
        <f>$BB$73</f>
        <v>Select Equipment</v>
      </c>
      <c r="BB1429" s="436" t="s">
        <v>7</v>
      </c>
      <c r="BC1429" s="120"/>
      <c r="BD1429" s="459" t="s">
        <v>564</v>
      </c>
      <c r="BE1429" s="120"/>
      <c r="BF1429" s="440"/>
      <c r="CA1429" s="114" t="str">
        <f>$CB$73</f>
        <v>Select Equipment</v>
      </c>
      <c r="CB1429" s="436" t="s">
        <v>7</v>
      </c>
      <c r="CC1429" s="120"/>
      <c r="CD1429" s="459" t="s">
        <v>564</v>
      </c>
      <c r="CE1429" s="120"/>
      <c r="CF1429" s="440"/>
      <c r="DA1429" s="114" t="str">
        <f>$DB$73</f>
        <v>Select Equipment</v>
      </c>
      <c r="DB1429" s="436" t="s">
        <v>7</v>
      </c>
      <c r="DC1429" s="120"/>
      <c r="DD1429" s="459" t="s">
        <v>564</v>
      </c>
      <c r="DE1429" s="120"/>
      <c r="DF1429" s="440"/>
      <c r="EA1429" s="114" t="str">
        <f>$EB$75</f>
        <v>Select Equipment</v>
      </c>
      <c r="EB1429" s="436" t="s">
        <v>7</v>
      </c>
      <c r="EC1429" s="120"/>
      <c r="ED1429" s="459" t="s">
        <v>564</v>
      </c>
      <c r="EE1429" s="120"/>
      <c r="EF1429" s="440"/>
    </row>
    <row r="1430" spans="53:136">
      <c r="BA1430" s="114" t="str">
        <f>$BB$74</f>
        <v>Select Equipment</v>
      </c>
      <c r="BB1430" s="436"/>
      <c r="BC1430" s="120"/>
      <c r="BD1430" s="459"/>
      <c r="BE1430" s="120"/>
      <c r="BF1430" s="440"/>
      <c r="CA1430" s="114" t="str">
        <f>$CB$74</f>
        <v>Select Equipment</v>
      </c>
      <c r="CB1430" s="436"/>
      <c r="CC1430" s="120"/>
      <c r="CD1430" s="459"/>
      <c r="CE1430" s="120"/>
      <c r="CF1430" s="440"/>
      <c r="DA1430" s="114" t="str">
        <f>$DB$74</f>
        <v>Select Equipment</v>
      </c>
      <c r="DB1430" s="436"/>
      <c r="DC1430" s="120"/>
      <c r="DD1430" s="459"/>
      <c r="DE1430" s="120"/>
      <c r="DF1430" s="440"/>
      <c r="EA1430" s="114" t="str">
        <f>$EB$76</f>
        <v>Select Equipment</v>
      </c>
      <c r="EB1430" s="436"/>
      <c r="EC1430" s="120"/>
      <c r="ED1430" s="459"/>
      <c r="EE1430" s="120"/>
      <c r="EF1430" s="440"/>
    </row>
    <row r="1431" spans="53:136">
      <c r="BA1431" s="114" t="str">
        <f>$BB$75</f>
        <v>Select Equipment</v>
      </c>
      <c r="BB1431" s="436" t="s">
        <v>9</v>
      </c>
      <c r="BC1431" s="120"/>
      <c r="BD1431" s="459" t="s">
        <v>564</v>
      </c>
      <c r="BE1431" s="120"/>
      <c r="BF1431" s="440"/>
      <c r="CA1431" s="114" t="str">
        <f>$CB$75</f>
        <v>Select Equipment</v>
      </c>
      <c r="CB1431" s="436" t="s">
        <v>9</v>
      </c>
      <c r="CC1431" s="120"/>
      <c r="CD1431" s="459" t="s">
        <v>564</v>
      </c>
      <c r="CE1431" s="120"/>
      <c r="CF1431" s="440"/>
      <c r="DA1431" s="114" t="str">
        <f>$DB$75</f>
        <v>Select Equipment</v>
      </c>
      <c r="DB1431" s="436" t="s">
        <v>9</v>
      </c>
      <c r="DC1431" s="120"/>
      <c r="DD1431" s="459" t="s">
        <v>564</v>
      </c>
      <c r="DE1431" s="120"/>
      <c r="DF1431" s="440"/>
      <c r="EA1431" s="114" t="str">
        <f>$EB$77</f>
        <v>Select Equipment</v>
      </c>
      <c r="EB1431" s="436" t="s">
        <v>9</v>
      </c>
      <c r="EC1431" s="120"/>
      <c r="ED1431" s="459" t="s">
        <v>564</v>
      </c>
      <c r="EE1431" s="120"/>
      <c r="EF1431" s="440"/>
    </row>
    <row r="1432" spans="53:136">
      <c r="BA1432" s="114" t="str">
        <f>$BB$76</f>
        <v>Select Equipment</v>
      </c>
      <c r="BB1432" s="436"/>
      <c r="BC1432" s="120"/>
      <c r="BD1432" s="459"/>
      <c r="BE1432" s="120"/>
      <c r="BF1432" s="440"/>
      <c r="CA1432" s="114" t="str">
        <f>$CB$76</f>
        <v>Select Equipment</v>
      </c>
      <c r="CB1432" s="436"/>
      <c r="CC1432" s="120"/>
      <c r="CD1432" s="459"/>
      <c r="CE1432" s="120"/>
      <c r="CF1432" s="440"/>
      <c r="DA1432" s="114" t="str">
        <f>$DB$76</f>
        <v>Select Equipment</v>
      </c>
      <c r="DB1432" s="436"/>
      <c r="DC1432" s="120"/>
      <c r="DD1432" s="459"/>
      <c r="DE1432" s="120"/>
      <c r="DF1432" s="440"/>
      <c r="EA1432" s="114" t="str">
        <f>$EB$78</f>
        <v>Select Equipment</v>
      </c>
      <c r="EB1432" s="436"/>
      <c r="EC1432" s="120"/>
      <c r="ED1432" s="459"/>
      <c r="EE1432" s="120"/>
      <c r="EF1432" s="440"/>
    </row>
    <row r="1433" spans="53:136">
      <c r="BA1433" s="114" t="str">
        <f>$BB$77</f>
        <v>Select Equipment</v>
      </c>
      <c r="BB1433" s="436" t="s">
        <v>324</v>
      </c>
      <c r="BC1433" s="120"/>
      <c r="BD1433" s="459" t="s">
        <v>564</v>
      </c>
      <c r="BE1433" s="120"/>
      <c r="BF1433" s="440" t="s">
        <v>569</v>
      </c>
      <c r="CA1433" s="114" t="str">
        <f>$CB$77</f>
        <v>Select Equipment</v>
      </c>
      <c r="CB1433" s="436" t="s">
        <v>324</v>
      </c>
      <c r="CC1433" s="120"/>
      <c r="CD1433" s="459" t="s">
        <v>564</v>
      </c>
      <c r="CE1433" s="120"/>
      <c r="CF1433" s="440" t="s">
        <v>569</v>
      </c>
      <c r="DA1433" s="114" t="str">
        <f>$DB$77</f>
        <v>Select Equipment</v>
      </c>
      <c r="DB1433" s="436" t="s">
        <v>324</v>
      </c>
      <c r="DC1433" s="120"/>
      <c r="DD1433" s="459" t="s">
        <v>564</v>
      </c>
      <c r="DE1433" s="120"/>
      <c r="DF1433" s="440" t="s">
        <v>569</v>
      </c>
      <c r="EA1433" s="114" t="str">
        <f>$EB$79</f>
        <v>Select Equipment</v>
      </c>
      <c r="EB1433" s="436" t="s">
        <v>324</v>
      </c>
      <c r="EC1433" s="120"/>
      <c r="ED1433" s="459" t="s">
        <v>564</v>
      </c>
      <c r="EE1433" s="120"/>
      <c r="EF1433" s="440" t="s">
        <v>569</v>
      </c>
    </row>
    <row r="1434" spans="53:136">
      <c r="BA1434" s="114" t="str">
        <f>$BB$78</f>
        <v>Select Equipment</v>
      </c>
      <c r="BB1434" s="436"/>
      <c r="BC1434" s="120"/>
      <c r="BD1434" s="468"/>
      <c r="BE1434" s="469"/>
      <c r="BF1434" s="440"/>
      <c r="CA1434" s="114" t="str">
        <f>$CB$78</f>
        <v>Select Equipment</v>
      </c>
      <c r="CB1434" s="436"/>
      <c r="CC1434" s="120"/>
      <c r="CD1434" s="468"/>
      <c r="CE1434" s="469"/>
      <c r="CF1434" s="440"/>
      <c r="DA1434" s="114" t="str">
        <f>$DB$78</f>
        <v>Select Equipment</v>
      </c>
      <c r="DB1434" s="436"/>
      <c r="DC1434" s="120"/>
      <c r="DD1434" s="468"/>
      <c r="DE1434" s="469"/>
      <c r="DF1434" s="440"/>
      <c r="EA1434" s="114" t="str">
        <f>$EB$80</f>
        <v>Select Equipment</v>
      </c>
      <c r="EB1434" s="436"/>
      <c r="EC1434" s="120"/>
      <c r="ED1434" s="468"/>
      <c r="EE1434" s="469"/>
      <c r="EF1434" s="440"/>
    </row>
    <row r="1435" spans="53:136">
      <c r="BA1435" s="114" t="str">
        <f>$BB$79</f>
        <v>Select Equipment</v>
      </c>
      <c r="BB1435" s="436" t="s">
        <v>374</v>
      </c>
      <c r="BC1435" s="120"/>
      <c r="BD1435" s="459" t="s">
        <v>564</v>
      </c>
      <c r="BE1435" s="469"/>
      <c r="BF1435" s="440" t="s">
        <v>569</v>
      </c>
      <c r="CA1435" s="114" t="str">
        <f>$CB$79</f>
        <v>Select Equipment</v>
      </c>
      <c r="CB1435" s="436" t="s">
        <v>374</v>
      </c>
      <c r="CC1435" s="120"/>
      <c r="CD1435" s="459" t="s">
        <v>564</v>
      </c>
      <c r="CE1435" s="469"/>
      <c r="CF1435" s="440" t="s">
        <v>569</v>
      </c>
      <c r="DA1435" s="114" t="str">
        <f>$DB$79</f>
        <v>Select Equipment</v>
      </c>
      <c r="DB1435" s="436" t="s">
        <v>374</v>
      </c>
      <c r="DC1435" s="120"/>
      <c r="DD1435" s="459" t="s">
        <v>564</v>
      </c>
      <c r="DE1435" s="469"/>
      <c r="DF1435" s="440" t="s">
        <v>569</v>
      </c>
      <c r="EA1435" s="114" t="str">
        <f>$EB$81</f>
        <v>Select Equipment</v>
      </c>
      <c r="EB1435" s="436" t="s">
        <v>374</v>
      </c>
      <c r="EC1435" s="120"/>
      <c r="ED1435" s="459" t="s">
        <v>564</v>
      </c>
      <c r="EE1435" s="469"/>
      <c r="EF1435" s="440" t="s">
        <v>569</v>
      </c>
    </row>
    <row r="1436" spans="53:136">
      <c r="BA1436" s="114" t="str">
        <f>$BB$80</f>
        <v>Select Equipment</v>
      </c>
      <c r="BB1436" s="436"/>
      <c r="BC1436" s="120"/>
      <c r="BD1436" s="472"/>
      <c r="BE1436" s="473"/>
      <c r="BF1436" s="440"/>
      <c r="CA1436" s="114" t="str">
        <f>$CB$80</f>
        <v>Select Equipment</v>
      </c>
      <c r="CB1436" s="436"/>
      <c r="CC1436" s="120"/>
      <c r="CD1436" s="472"/>
      <c r="CE1436" s="473"/>
      <c r="CF1436" s="440"/>
      <c r="DA1436" s="114" t="str">
        <f>$DB$80</f>
        <v>Select Equipment</v>
      </c>
      <c r="DB1436" s="436"/>
      <c r="DC1436" s="120"/>
      <c r="DD1436" s="472"/>
      <c r="DE1436" s="473"/>
      <c r="DF1436" s="440"/>
      <c r="EA1436" s="114" t="str">
        <f>$EB$82</f>
        <v>Select Equipment</v>
      </c>
      <c r="EB1436" s="436"/>
      <c r="EC1436" s="120"/>
      <c r="ED1436" s="472"/>
      <c r="EE1436" s="473"/>
      <c r="EF1436" s="440"/>
    </row>
    <row r="1437" spans="53:136">
      <c r="BA1437" s="114" t="str">
        <f>$BB$81</f>
        <v>Select Equipment</v>
      </c>
      <c r="BB1437" s="436" t="s">
        <v>580</v>
      </c>
      <c r="BC1437" s="120"/>
      <c r="BD1437" s="459" t="s">
        <v>564</v>
      </c>
      <c r="BE1437" s="473"/>
      <c r="BF1437" s="440" t="s">
        <v>569</v>
      </c>
      <c r="CA1437" s="114" t="str">
        <f>$CB$81</f>
        <v>Select Equipment</v>
      </c>
      <c r="CB1437" s="436" t="s">
        <v>580</v>
      </c>
      <c r="CC1437" s="120"/>
      <c r="CD1437" s="459" t="s">
        <v>564</v>
      </c>
      <c r="CE1437" s="473"/>
      <c r="CF1437" s="440" t="s">
        <v>569</v>
      </c>
      <c r="DA1437" s="114" t="str">
        <f>$DB$81</f>
        <v>Select Equipment</v>
      </c>
      <c r="DB1437" s="436" t="s">
        <v>580</v>
      </c>
      <c r="DC1437" s="120"/>
      <c r="DD1437" s="459" t="s">
        <v>564</v>
      </c>
      <c r="DE1437" s="473"/>
      <c r="DF1437" s="440" t="s">
        <v>569</v>
      </c>
      <c r="EA1437" s="114" t="str">
        <f>$EB$83</f>
        <v>Select Equipment</v>
      </c>
      <c r="EB1437" s="436" t="s">
        <v>580</v>
      </c>
      <c r="EC1437" s="120"/>
      <c r="ED1437" s="459" t="s">
        <v>564</v>
      </c>
      <c r="EE1437" s="473"/>
      <c r="EF1437" s="440" t="s">
        <v>569</v>
      </c>
    </row>
    <row r="1438" spans="53:136">
      <c r="BA1438" s="114" t="str">
        <f>$BB$82</f>
        <v>Select Equipment</v>
      </c>
      <c r="BB1438" s="476"/>
      <c r="BC1438" s="477"/>
      <c r="BD1438" s="478"/>
      <c r="BE1438" s="479"/>
      <c r="BF1438" s="458"/>
      <c r="CA1438" s="114" t="str">
        <f>$CB$82</f>
        <v>Select Equipment</v>
      </c>
      <c r="CB1438" s="476"/>
      <c r="CC1438" s="477"/>
      <c r="CD1438" s="478"/>
      <c r="CE1438" s="479"/>
      <c r="CF1438" s="458"/>
      <c r="DA1438" s="114" t="str">
        <f>$DB$82</f>
        <v>Select Equipment</v>
      </c>
      <c r="DB1438" s="476"/>
      <c r="DC1438" s="477"/>
      <c r="DD1438" s="478"/>
      <c r="DE1438" s="479"/>
      <c r="DF1438" s="458"/>
      <c r="EA1438" s="114" t="str">
        <f>$EB$84</f>
        <v>Select Equipment</v>
      </c>
      <c r="EB1438" s="476"/>
      <c r="EC1438" s="477"/>
      <c r="ED1438" s="478"/>
      <c r="EE1438" s="479"/>
      <c r="EF1438" s="458"/>
    </row>
    <row r="1439" spans="53:136">
      <c r="BA1439" s="114" t="str">
        <f>$BB$83</f>
        <v>Select Equipment</v>
      </c>
      <c r="BB1439" s="449" t="s">
        <v>473</v>
      </c>
      <c r="BC1439" s="467" t="s">
        <v>508</v>
      </c>
      <c r="BD1439" s="480"/>
      <c r="BE1439" s="481" t="s">
        <v>308</v>
      </c>
      <c r="BF1439" s="440"/>
      <c r="CA1439" s="114" t="str">
        <f>$CB$83</f>
        <v>Select Equipment</v>
      </c>
      <c r="CB1439" s="449" t="s">
        <v>473</v>
      </c>
      <c r="CC1439" s="467" t="s">
        <v>508</v>
      </c>
      <c r="CD1439" s="480"/>
      <c r="CE1439" s="481" t="s">
        <v>308</v>
      </c>
      <c r="CF1439" s="440"/>
      <c r="DA1439" s="114" t="str">
        <f>$DB$83</f>
        <v>Select Equipment</v>
      </c>
      <c r="DB1439" s="449" t="s">
        <v>473</v>
      </c>
      <c r="DC1439" s="467" t="s">
        <v>508</v>
      </c>
      <c r="DD1439" s="480"/>
      <c r="DE1439" s="481" t="s">
        <v>308</v>
      </c>
      <c r="DF1439" s="440"/>
      <c r="EA1439" s="114" t="str">
        <f>$EB$85</f>
        <v>Select Equipment</v>
      </c>
      <c r="EB1439" s="449" t="s">
        <v>473</v>
      </c>
      <c r="EC1439" s="467" t="s">
        <v>508</v>
      </c>
      <c r="ED1439" s="480"/>
      <c r="EE1439" s="481" t="s">
        <v>308</v>
      </c>
      <c r="EF1439" s="440"/>
    </row>
    <row r="1440" spans="53:136">
      <c r="BB1440" s="436"/>
      <c r="BC1440" s="483"/>
      <c r="BD1440" s="480"/>
      <c r="BE1440" s="484"/>
      <c r="BF1440" s="440"/>
      <c r="CB1440" s="436"/>
      <c r="CC1440" s="483"/>
      <c r="CD1440" s="480"/>
      <c r="CE1440" s="484"/>
      <c r="CF1440" s="440"/>
      <c r="DB1440" s="436"/>
      <c r="DC1440" s="483"/>
      <c r="DD1440" s="480"/>
      <c r="DE1440" s="484"/>
      <c r="DF1440" s="440"/>
      <c r="EB1440" s="436"/>
      <c r="EC1440" s="483"/>
      <c r="ED1440" s="480"/>
      <c r="EE1440" s="484"/>
      <c r="EF1440" s="440"/>
    </row>
    <row r="1441" spans="54:136">
      <c r="BB1441" s="436"/>
      <c r="BC1441" s="120"/>
      <c r="BD1441" s="223"/>
      <c r="BE1441" s="467"/>
      <c r="BF1441" s="440"/>
      <c r="CB1441" s="436"/>
      <c r="CC1441" s="120"/>
      <c r="CD1441" s="223"/>
      <c r="CE1441" s="467"/>
      <c r="CF1441" s="440"/>
      <c r="DB1441" s="436"/>
      <c r="DC1441" s="120"/>
      <c r="DD1441" s="223"/>
      <c r="DE1441" s="467"/>
      <c r="DF1441" s="440"/>
      <c r="EB1441" s="436"/>
      <c r="EC1441" s="120"/>
      <c r="ED1441" s="223"/>
      <c r="EE1441" s="467"/>
      <c r="EF1441" s="440"/>
    </row>
    <row r="1442" spans="54:136">
      <c r="BB1442" s="436"/>
      <c r="BC1442" s="120"/>
      <c r="BD1442" s="466"/>
      <c r="BE1442" s="467"/>
      <c r="BF1442" s="440"/>
      <c r="CB1442" s="436"/>
      <c r="CC1442" s="120"/>
      <c r="CD1442" s="466"/>
      <c r="CE1442" s="467"/>
      <c r="CF1442" s="440"/>
      <c r="DB1442" s="436"/>
      <c r="DC1442" s="120"/>
      <c r="DD1442" s="466"/>
      <c r="DE1442" s="467"/>
      <c r="DF1442" s="440"/>
      <c r="EB1442" s="436"/>
      <c r="EC1442" s="120"/>
      <c r="ED1442" s="466"/>
      <c r="EE1442" s="467"/>
      <c r="EF1442" s="440"/>
    </row>
    <row r="1443" spans="54:136">
      <c r="BB1443" s="436"/>
      <c r="BC1443" s="120"/>
      <c r="BD1443" s="223"/>
      <c r="BE1443" s="467"/>
      <c r="BF1443" s="440"/>
      <c r="CB1443" s="436"/>
      <c r="CC1443" s="120"/>
      <c r="CD1443" s="223"/>
      <c r="CE1443" s="467"/>
      <c r="CF1443" s="440"/>
      <c r="DB1443" s="436"/>
      <c r="DC1443" s="120"/>
      <c r="DD1443" s="223"/>
      <c r="DE1443" s="467"/>
      <c r="DF1443" s="440"/>
      <c r="EB1443" s="436"/>
      <c r="EC1443" s="120"/>
      <c r="ED1443" s="223"/>
      <c r="EE1443" s="467"/>
      <c r="EF1443" s="440"/>
    </row>
    <row r="1444" spans="54:136">
      <c r="BB1444" s="436"/>
      <c r="BC1444" s="120"/>
      <c r="BD1444" s="223"/>
      <c r="BE1444" s="467"/>
      <c r="BF1444" s="440"/>
      <c r="CB1444" s="436"/>
      <c r="CC1444" s="120"/>
      <c r="CD1444" s="223"/>
      <c r="CE1444" s="467"/>
      <c r="CF1444" s="440"/>
      <c r="DB1444" s="436"/>
      <c r="DC1444" s="120"/>
      <c r="DD1444" s="223"/>
      <c r="DE1444" s="467"/>
      <c r="DF1444" s="440"/>
      <c r="EB1444" s="436"/>
      <c r="EC1444" s="120"/>
      <c r="ED1444" s="223"/>
      <c r="EE1444" s="467"/>
      <c r="EF1444" s="440"/>
    </row>
    <row r="1445" spans="54:136">
      <c r="BB1445" s="436"/>
      <c r="BC1445" s="120"/>
      <c r="BD1445" s="471"/>
      <c r="BE1445" s="467"/>
      <c r="BF1445" s="440"/>
      <c r="CB1445" s="436"/>
      <c r="CC1445" s="120"/>
      <c r="CD1445" s="471"/>
      <c r="CE1445" s="467"/>
      <c r="CF1445" s="440"/>
      <c r="DB1445" s="436"/>
      <c r="DC1445" s="120"/>
      <c r="DD1445" s="471"/>
      <c r="DE1445" s="467"/>
      <c r="DF1445" s="440"/>
      <c r="EB1445" s="436"/>
      <c r="EC1445" s="120"/>
      <c r="ED1445" s="471"/>
      <c r="EE1445" s="467"/>
      <c r="EF1445" s="440"/>
    </row>
    <row r="1446" spans="54:136">
      <c r="BB1446" s="436"/>
      <c r="BC1446" s="120"/>
      <c r="BD1446" s="223"/>
      <c r="BE1446" s="467"/>
      <c r="BF1446" s="440"/>
      <c r="CB1446" s="436"/>
      <c r="CC1446" s="120"/>
      <c r="CD1446" s="223"/>
      <c r="CE1446" s="467"/>
      <c r="CF1446" s="440"/>
      <c r="DB1446" s="436"/>
      <c r="DC1446" s="120"/>
      <c r="DD1446" s="223"/>
      <c r="DE1446" s="467"/>
      <c r="DF1446" s="440"/>
      <c r="EB1446" s="436"/>
      <c r="EC1446" s="120"/>
      <c r="ED1446" s="223"/>
      <c r="EE1446" s="467"/>
      <c r="EF1446" s="440"/>
    </row>
    <row r="1447" spans="54:136">
      <c r="BB1447" s="436"/>
      <c r="BC1447" s="120"/>
      <c r="BD1447" s="475"/>
      <c r="BE1447" s="467"/>
      <c r="BF1447" s="440"/>
      <c r="CB1447" s="436"/>
      <c r="CC1447" s="120"/>
      <c r="CD1447" s="475"/>
      <c r="CE1447" s="467"/>
      <c r="CF1447" s="440"/>
      <c r="DB1447" s="436"/>
      <c r="DC1447" s="120"/>
      <c r="DD1447" s="475"/>
      <c r="DE1447" s="467"/>
      <c r="DF1447" s="440"/>
      <c r="EB1447" s="436"/>
      <c r="EC1447" s="120"/>
      <c r="ED1447" s="475"/>
      <c r="EE1447" s="467"/>
      <c r="EF1447" s="440"/>
    </row>
    <row r="1448" spans="54:136">
      <c r="BB1448" s="436"/>
      <c r="BC1448" s="120"/>
      <c r="BD1448" s="223"/>
      <c r="BE1448" s="467"/>
      <c r="BF1448" s="440"/>
      <c r="CB1448" s="436"/>
      <c r="CC1448" s="120"/>
      <c r="CD1448" s="223"/>
      <c r="CE1448" s="467"/>
      <c r="CF1448" s="440"/>
      <c r="DB1448" s="436"/>
      <c r="DC1448" s="120"/>
      <c r="DD1448" s="223"/>
      <c r="DE1448" s="467"/>
      <c r="DF1448" s="440"/>
      <c r="EB1448" s="436"/>
      <c r="EC1448" s="120"/>
      <c r="ED1448" s="223"/>
      <c r="EE1448" s="467"/>
      <c r="EF1448" s="440"/>
    </row>
    <row r="1449" spans="54:136">
      <c r="BB1449" s="436"/>
      <c r="BC1449" s="120"/>
      <c r="BD1449" s="223"/>
      <c r="BE1449" s="467"/>
      <c r="BF1449" s="440"/>
      <c r="CB1449" s="436"/>
      <c r="CC1449" s="120"/>
      <c r="CD1449" s="223"/>
      <c r="CE1449" s="467"/>
      <c r="CF1449" s="440"/>
      <c r="DB1449" s="436"/>
      <c r="DC1449" s="120"/>
      <c r="DD1449" s="223"/>
      <c r="DE1449" s="467"/>
      <c r="DF1449" s="440"/>
      <c r="EB1449" s="436"/>
      <c r="EC1449" s="120"/>
      <c r="ED1449" s="223"/>
      <c r="EE1449" s="467"/>
      <c r="EF1449" s="440"/>
    </row>
    <row r="1450" spans="54:136">
      <c r="BB1450" s="436"/>
      <c r="BC1450" s="120"/>
      <c r="BD1450" s="223"/>
      <c r="BE1450" s="467"/>
      <c r="BF1450" s="440"/>
      <c r="CB1450" s="436"/>
      <c r="CC1450" s="120"/>
      <c r="CD1450" s="223"/>
      <c r="CE1450" s="467"/>
      <c r="CF1450" s="440"/>
      <c r="DB1450" s="436"/>
      <c r="DC1450" s="120"/>
      <c r="DD1450" s="223"/>
      <c r="DE1450" s="467"/>
      <c r="DF1450" s="440"/>
      <c r="EB1450" s="436"/>
      <c r="EC1450" s="120"/>
      <c r="ED1450" s="223"/>
      <c r="EE1450" s="467"/>
      <c r="EF1450" s="440"/>
    </row>
    <row r="1451" spans="54:136">
      <c r="BB1451" s="436"/>
      <c r="BC1451" s="120"/>
      <c r="BD1451" s="223"/>
      <c r="BE1451" s="467"/>
      <c r="BF1451" s="440"/>
      <c r="CB1451" s="436"/>
      <c r="CC1451" s="120"/>
      <c r="CD1451" s="223"/>
      <c r="CE1451" s="467"/>
      <c r="CF1451" s="440"/>
      <c r="DB1451" s="436"/>
      <c r="DC1451" s="120"/>
      <c r="DD1451" s="223"/>
      <c r="DE1451" s="467"/>
      <c r="DF1451" s="440"/>
      <c r="EB1451" s="436"/>
      <c r="EC1451" s="120"/>
      <c r="ED1451" s="223"/>
      <c r="EE1451" s="467"/>
      <c r="EF1451" s="440"/>
    </row>
    <row r="1452" spans="54:136">
      <c r="BB1452" s="436"/>
      <c r="BC1452" s="120"/>
      <c r="BD1452" s="120"/>
      <c r="BE1452" s="467"/>
      <c r="BF1452" s="440"/>
      <c r="CB1452" s="436"/>
      <c r="CC1452" s="120"/>
      <c r="CD1452" s="120"/>
      <c r="CE1452" s="467"/>
      <c r="CF1452" s="440"/>
      <c r="DB1452" s="436"/>
      <c r="DC1452" s="120"/>
      <c r="DD1452" s="120"/>
      <c r="DE1452" s="467"/>
      <c r="DF1452" s="440"/>
      <c r="EB1452" s="436"/>
      <c r="EC1452" s="120"/>
      <c r="ED1452" s="120"/>
      <c r="EE1452" s="467"/>
      <c r="EF1452" s="440"/>
    </row>
    <row r="1453" spans="54:136">
      <c r="BB1453" s="456"/>
      <c r="BC1453" s="457"/>
      <c r="BD1453" s="457"/>
      <c r="BE1453" s="477"/>
      <c r="BF1453" s="458"/>
      <c r="CB1453" s="456"/>
      <c r="CC1453" s="457"/>
      <c r="CD1453" s="457"/>
      <c r="CE1453" s="477"/>
      <c r="CF1453" s="458"/>
      <c r="DB1453" s="456"/>
      <c r="DC1453" s="457"/>
      <c r="DD1453" s="457"/>
      <c r="DE1453" s="477"/>
      <c r="DF1453" s="458"/>
      <c r="EB1453" s="456"/>
      <c r="EC1453" s="457"/>
      <c r="ED1453" s="457"/>
      <c r="EE1453" s="477"/>
      <c r="EF1453" s="458"/>
    </row>
    <row r="1454" spans="54:136">
      <c r="BB1454" s="449" t="s">
        <v>474</v>
      </c>
      <c r="BC1454" s="120"/>
      <c r="BD1454" s="120" t="s">
        <v>1</v>
      </c>
      <c r="BE1454" s="310" t="s">
        <v>307</v>
      </c>
      <c r="BF1454" s="440"/>
      <c r="CB1454" s="449" t="s">
        <v>474</v>
      </c>
      <c r="CC1454" s="120"/>
      <c r="CD1454" s="120" t="s">
        <v>1</v>
      </c>
      <c r="CE1454" s="310" t="s">
        <v>307</v>
      </c>
      <c r="CF1454" s="440"/>
      <c r="DB1454" s="449" t="s">
        <v>474</v>
      </c>
      <c r="DC1454" s="120"/>
      <c r="DD1454" s="120" t="s">
        <v>1</v>
      </c>
      <c r="DE1454" s="310" t="s">
        <v>307</v>
      </c>
      <c r="DF1454" s="440"/>
      <c r="EB1454" s="449" t="s">
        <v>474</v>
      </c>
      <c r="EC1454" s="120"/>
      <c r="ED1454" s="120" t="s">
        <v>1</v>
      </c>
      <c r="EE1454" s="310" t="s">
        <v>307</v>
      </c>
      <c r="EF1454" s="440"/>
    </row>
    <row r="1455" spans="54:136">
      <c r="BB1455" s="436"/>
      <c r="BC1455" s="223"/>
      <c r="BD1455" s="480"/>
      <c r="BE1455" s="484"/>
      <c r="BF1455" s="440"/>
      <c r="CB1455" s="436"/>
      <c r="CC1455" s="223"/>
      <c r="CD1455" s="480"/>
      <c r="CE1455" s="484"/>
      <c r="CF1455" s="440"/>
      <c r="DB1455" s="436"/>
      <c r="DC1455" s="223"/>
      <c r="DD1455" s="480"/>
      <c r="DE1455" s="484"/>
      <c r="DF1455" s="440"/>
      <c r="EB1455" s="436"/>
      <c r="EC1455" s="223"/>
      <c r="ED1455" s="480"/>
      <c r="EE1455" s="484"/>
      <c r="EF1455" s="440"/>
    </row>
    <row r="1456" spans="54:136">
      <c r="BB1456" s="436"/>
      <c r="BC1456" s="120"/>
      <c r="BD1456" s="120"/>
      <c r="BE1456" s="467"/>
      <c r="BF1456" s="440"/>
      <c r="CB1456" s="436"/>
      <c r="CC1456" s="120"/>
      <c r="CD1456" s="120"/>
      <c r="CE1456" s="467"/>
      <c r="CF1456" s="440"/>
      <c r="DB1456" s="436"/>
      <c r="DC1456" s="120"/>
      <c r="DD1456" s="120"/>
      <c r="DE1456" s="467"/>
      <c r="DF1456" s="440"/>
      <c r="EB1456" s="436"/>
      <c r="EC1456" s="120"/>
      <c r="ED1456" s="120"/>
      <c r="EE1456" s="467"/>
      <c r="EF1456" s="440"/>
    </row>
    <row r="1457" spans="54:136">
      <c r="BB1457" s="436"/>
      <c r="BC1457" s="120"/>
      <c r="BD1457" s="120"/>
      <c r="BE1457" s="467"/>
      <c r="BF1457" s="440"/>
      <c r="CB1457" s="436"/>
      <c r="CC1457" s="120"/>
      <c r="CD1457" s="120"/>
      <c r="CE1457" s="467"/>
      <c r="CF1457" s="440"/>
      <c r="DB1457" s="436"/>
      <c r="DC1457" s="120"/>
      <c r="DD1457" s="120"/>
      <c r="DE1457" s="467"/>
      <c r="DF1457" s="440"/>
      <c r="EB1457" s="436"/>
      <c r="EC1457" s="120"/>
      <c r="ED1457" s="120"/>
      <c r="EE1457" s="467"/>
      <c r="EF1457" s="440"/>
    </row>
    <row r="1458" spans="54:136">
      <c r="BB1458" s="436"/>
      <c r="BC1458" s="120"/>
      <c r="BD1458" s="120"/>
      <c r="BE1458" s="467"/>
      <c r="BF1458" s="440"/>
      <c r="CB1458" s="436"/>
      <c r="CC1458" s="120"/>
      <c r="CD1458" s="120"/>
      <c r="CE1458" s="467"/>
      <c r="CF1458" s="440"/>
      <c r="DB1458" s="436"/>
      <c r="DC1458" s="120"/>
      <c r="DD1458" s="120"/>
      <c r="DE1458" s="467"/>
      <c r="DF1458" s="440"/>
      <c r="EB1458" s="436"/>
      <c r="EC1458" s="120"/>
      <c r="ED1458" s="120"/>
      <c r="EE1458" s="467"/>
      <c r="EF1458" s="440"/>
    </row>
    <row r="1459" spans="54:136">
      <c r="BB1459" s="436"/>
      <c r="BC1459" s="120"/>
      <c r="BD1459" s="120"/>
      <c r="BE1459" s="467"/>
      <c r="BF1459" s="440"/>
      <c r="CB1459" s="436"/>
      <c r="CC1459" s="120"/>
      <c r="CD1459" s="120"/>
      <c r="CE1459" s="467"/>
      <c r="CF1459" s="440"/>
      <c r="DB1459" s="436"/>
      <c r="DC1459" s="120"/>
      <c r="DD1459" s="120"/>
      <c r="DE1459" s="467"/>
      <c r="DF1459" s="440"/>
      <c r="EB1459" s="436"/>
      <c r="EC1459" s="120"/>
      <c r="ED1459" s="120"/>
      <c r="EE1459" s="467"/>
      <c r="EF1459" s="440"/>
    </row>
    <row r="1460" spans="54:136">
      <c r="BB1460" s="436"/>
      <c r="BC1460" s="120"/>
      <c r="BD1460" s="120"/>
      <c r="BE1460" s="467"/>
      <c r="BF1460" s="440"/>
      <c r="CB1460" s="436"/>
      <c r="CC1460" s="120"/>
      <c r="CD1460" s="120"/>
      <c r="CE1460" s="467"/>
      <c r="CF1460" s="440"/>
      <c r="DB1460" s="436"/>
      <c r="DC1460" s="120"/>
      <c r="DD1460" s="120"/>
      <c r="DE1460" s="467"/>
      <c r="DF1460" s="440"/>
      <c r="EB1460" s="436"/>
      <c r="EC1460" s="120"/>
      <c r="ED1460" s="120"/>
      <c r="EE1460" s="467"/>
      <c r="EF1460" s="440"/>
    </row>
    <row r="1461" spans="54:136">
      <c r="BB1461" s="436"/>
      <c r="BC1461" s="120"/>
      <c r="BD1461" s="120"/>
      <c r="BE1461" s="467"/>
      <c r="BF1461" s="440"/>
      <c r="CB1461" s="436"/>
      <c r="CC1461" s="120"/>
      <c r="CD1461" s="120"/>
      <c r="CE1461" s="467"/>
      <c r="CF1461" s="440"/>
      <c r="DB1461" s="436"/>
      <c r="DC1461" s="120"/>
      <c r="DD1461" s="120"/>
      <c r="DE1461" s="467"/>
      <c r="DF1461" s="440"/>
      <c r="EB1461" s="436"/>
      <c r="EC1461" s="120"/>
      <c r="ED1461" s="120"/>
      <c r="EE1461" s="467"/>
      <c r="EF1461" s="440"/>
    </row>
    <row r="1462" spans="54:136">
      <c r="BB1462" s="436"/>
      <c r="BC1462" s="120"/>
      <c r="BD1462" s="120"/>
      <c r="BE1462" s="467"/>
      <c r="BF1462" s="440"/>
      <c r="CB1462" s="436"/>
      <c r="CC1462" s="120"/>
      <c r="CD1462" s="120"/>
      <c r="CE1462" s="467"/>
      <c r="CF1462" s="440"/>
      <c r="DB1462" s="436"/>
      <c r="DC1462" s="120"/>
      <c r="DD1462" s="120"/>
      <c r="DE1462" s="467"/>
      <c r="DF1462" s="440"/>
      <c r="EB1462" s="436"/>
      <c r="EC1462" s="120"/>
      <c r="ED1462" s="120"/>
      <c r="EE1462" s="467"/>
      <c r="EF1462" s="440"/>
    </row>
    <row r="1463" spans="54:136">
      <c r="BB1463" s="436"/>
      <c r="BC1463" s="120"/>
      <c r="BD1463" s="120"/>
      <c r="BE1463" s="467"/>
      <c r="BF1463" s="440"/>
      <c r="CB1463" s="436"/>
      <c r="CC1463" s="120"/>
      <c r="CD1463" s="120"/>
      <c r="CE1463" s="467"/>
      <c r="CF1463" s="440"/>
      <c r="DB1463" s="436"/>
      <c r="DC1463" s="120"/>
      <c r="DD1463" s="120"/>
      <c r="DE1463" s="467"/>
      <c r="DF1463" s="440"/>
      <c r="EB1463" s="436"/>
      <c r="EC1463" s="120"/>
      <c r="ED1463" s="120"/>
      <c r="EE1463" s="467"/>
      <c r="EF1463" s="440"/>
    </row>
    <row r="1464" spans="54:136">
      <c r="BB1464" s="436"/>
      <c r="BC1464" s="120"/>
      <c r="BD1464" s="120"/>
      <c r="BE1464" s="467"/>
      <c r="BF1464" s="440"/>
      <c r="CB1464" s="436"/>
      <c r="CC1464" s="120"/>
      <c r="CD1464" s="120"/>
      <c r="CE1464" s="467"/>
      <c r="CF1464" s="440"/>
      <c r="DB1464" s="436"/>
      <c r="DC1464" s="120"/>
      <c r="DD1464" s="120"/>
      <c r="DE1464" s="467"/>
      <c r="DF1464" s="440"/>
      <c r="EB1464" s="436"/>
      <c r="EC1464" s="120"/>
      <c r="ED1464" s="120"/>
      <c r="EE1464" s="467"/>
      <c r="EF1464" s="440"/>
    </row>
    <row r="1465" spans="54:136">
      <c r="BB1465" s="436"/>
      <c r="BC1465" s="120"/>
      <c r="BD1465" s="120"/>
      <c r="BE1465" s="467"/>
      <c r="BF1465" s="440"/>
      <c r="CB1465" s="436"/>
      <c r="CC1465" s="120"/>
      <c r="CD1465" s="120"/>
      <c r="CE1465" s="467"/>
      <c r="CF1465" s="440"/>
      <c r="DB1465" s="436"/>
      <c r="DC1465" s="120"/>
      <c r="DD1465" s="120"/>
      <c r="DE1465" s="467"/>
      <c r="DF1465" s="440"/>
      <c r="EB1465" s="436"/>
      <c r="EC1465" s="120"/>
      <c r="ED1465" s="120"/>
      <c r="EE1465" s="467"/>
      <c r="EF1465" s="440"/>
    </row>
    <row r="1466" spans="54:136">
      <c r="BB1466" s="436"/>
      <c r="BC1466" s="120"/>
      <c r="BD1466" s="120"/>
      <c r="BE1466" s="467"/>
      <c r="BF1466" s="440"/>
      <c r="CB1466" s="436"/>
      <c r="CC1466" s="120"/>
      <c r="CD1466" s="120"/>
      <c r="CE1466" s="467"/>
      <c r="CF1466" s="440"/>
      <c r="DB1466" s="436"/>
      <c r="DC1466" s="120"/>
      <c r="DD1466" s="120"/>
      <c r="DE1466" s="467"/>
      <c r="DF1466" s="440"/>
      <c r="EB1466" s="436"/>
      <c r="EC1466" s="120"/>
      <c r="ED1466" s="120"/>
      <c r="EE1466" s="467"/>
      <c r="EF1466" s="440"/>
    </row>
    <row r="1467" spans="54:136">
      <c r="BB1467" s="456"/>
      <c r="BC1467" s="457"/>
      <c r="BD1467" s="457"/>
      <c r="BE1467" s="477"/>
      <c r="BF1467" s="458"/>
      <c r="CB1467" s="456"/>
      <c r="CC1467" s="457"/>
      <c r="CD1467" s="457"/>
      <c r="CE1467" s="477"/>
      <c r="CF1467" s="458"/>
      <c r="DB1467" s="456"/>
      <c r="DC1467" s="457"/>
      <c r="DD1467" s="457"/>
      <c r="DE1467" s="477"/>
      <c r="DF1467" s="458"/>
      <c r="EB1467" s="456"/>
      <c r="EC1467" s="457"/>
      <c r="ED1467" s="457"/>
      <c r="EE1467" s="477"/>
      <c r="EF1467" s="458"/>
    </row>
    <row r="1468" spans="54:136">
      <c r="BB1468" s="456"/>
      <c r="BC1468" s="457"/>
      <c r="BD1468" s="457"/>
      <c r="BE1468" s="457"/>
      <c r="BF1468" s="458"/>
      <c r="CB1468" s="456"/>
      <c r="CC1468" s="457"/>
      <c r="CD1468" s="457"/>
      <c r="CE1468" s="457"/>
      <c r="CF1468" s="458"/>
      <c r="DB1468" s="456"/>
      <c r="DC1468" s="457"/>
      <c r="DD1468" s="457"/>
      <c r="DE1468" s="457"/>
      <c r="DF1468" s="458"/>
      <c r="EB1468" s="456"/>
      <c r="EC1468" s="457"/>
      <c r="ED1468" s="457"/>
      <c r="EE1468" s="457"/>
      <c r="EF1468" s="458"/>
    </row>
    <row r="1469" spans="54:136">
      <c r="BB1469" s="449" t="s">
        <v>475</v>
      </c>
      <c r="BC1469" s="120"/>
      <c r="BD1469" s="120"/>
      <c r="BE1469" s="120"/>
      <c r="BF1469" s="440"/>
      <c r="CB1469" s="449" t="s">
        <v>475</v>
      </c>
      <c r="CC1469" s="120"/>
      <c r="CD1469" s="120"/>
      <c r="CE1469" s="120"/>
      <c r="CF1469" s="440"/>
      <c r="DB1469" s="449" t="s">
        <v>475</v>
      </c>
      <c r="DC1469" s="120"/>
      <c r="DD1469" s="120"/>
      <c r="DE1469" s="120"/>
      <c r="DF1469" s="440"/>
      <c r="EB1469" s="449" t="s">
        <v>475</v>
      </c>
      <c r="EC1469" s="120"/>
      <c r="ED1469" s="120"/>
      <c r="EE1469" s="120"/>
      <c r="EF1469" s="440"/>
    </row>
    <row r="1470" spans="54:136">
      <c r="BB1470" s="436" t="s">
        <v>509</v>
      </c>
      <c r="BC1470" s="120"/>
      <c r="BD1470" s="120"/>
      <c r="BE1470" s="120"/>
      <c r="BF1470" s="440"/>
      <c r="CB1470" s="436" t="s">
        <v>509</v>
      </c>
      <c r="CC1470" s="120"/>
      <c r="CD1470" s="120"/>
      <c r="CE1470" s="120"/>
      <c r="CF1470" s="440"/>
      <c r="DB1470" s="436" t="s">
        <v>509</v>
      </c>
      <c r="DC1470" s="120"/>
      <c r="DD1470" s="120"/>
      <c r="DE1470" s="120"/>
      <c r="DF1470" s="440"/>
      <c r="EB1470" s="436" t="s">
        <v>509</v>
      </c>
      <c r="EC1470" s="120"/>
      <c r="ED1470" s="120"/>
      <c r="EE1470" s="120"/>
      <c r="EF1470" s="440"/>
    </row>
    <row r="1471" spans="54:136">
      <c r="BB1471" s="436" t="s">
        <v>510</v>
      </c>
      <c r="BC1471" s="120"/>
      <c r="BD1471" s="120"/>
      <c r="BE1471" s="120"/>
      <c r="BF1471" s="440"/>
      <c r="CB1471" s="436" t="s">
        <v>510</v>
      </c>
      <c r="CC1471" s="120"/>
      <c r="CD1471" s="120"/>
      <c r="CE1471" s="120"/>
      <c r="CF1471" s="440"/>
      <c r="DB1471" s="436" t="s">
        <v>510</v>
      </c>
      <c r="DC1471" s="120"/>
      <c r="DD1471" s="120"/>
      <c r="DE1471" s="120"/>
      <c r="DF1471" s="440"/>
      <c r="EB1471" s="436" t="s">
        <v>510</v>
      </c>
      <c r="EC1471" s="120"/>
      <c r="ED1471" s="120"/>
      <c r="EE1471" s="120"/>
      <c r="EF1471" s="440"/>
    </row>
    <row r="1472" spans="54:136">
      <c r="BB1472" s="436"/>
      <c r="BC1472" s="120"/>
      <c r="BD1472" s="120"/>
      <c r="BE1472" s="120"/>
      <c r="BF1472" s="440"/>
      <c r="CB1472" s="436"/>
      <c r="CC1472" s="120"/>
      <c r="CD1472" s="120"/>
      <c r="CE1472" s="120"/>
      <c r="CF1472" s="440"/>
      <c r="DB1472" s="436"/>
      <c r="DC1472" s="120"/>
      <c r="DD1472" s="120"/>
      <c r="DE1472" s="120"/>
      <c r="DF1472" s="440"/>
      <c r="EB1472" s="436"/>
      <c r="EC1472" s="120"/>
      <c r="ED1472" s="120"/>
      <c r="EE1472" s="120"/>
      <c r="EF1472" s="440"/>
    </row>
    <row r="1473" spans="54:136">
      <c r="BB1473" s="436"/>
      <c r="BC1473" s="120"/>
      <c r="BD1473" s="120"/>
      <c r="BE1473" s="120"/>
      <c r="BF1473" s="440"/>
      <c r="CB1473" s="436"/>
      <c r="CC1473" s="120"/>
      <c r="CD1473" s="120"/>
      <c r="CE1473" s="120"/>
      <c r="CF1473" s="440"/>
      <c r="DB1473" s="436"/>
      <c r="DC1473" s="120"/>
      <c r="DD1473" s="120"/>
      <c r="DE1473" s="120"/>
      <c r="DF1473" s="440"/>
      <c r="EB1473" s="436"/>
      <c r="EC1473" s="120"/>
      <c r="ED1473" s="120"/>
      <c r="EE1473" s="120"/>
      <c r="EF1473" s="440"/>
    </row>
    <row r="1474" spans="54:136">
      <c r="BB1474" s="436"/>
      <c r="BC1474" s="120"/>
      <c r="BD1474" s="120"/>
      <c r="BE1474" s="120"/>
      <c r="BF1474" s="440"/>
      <c r="CB1474" s="436"/>
      <c r="CC1474" s="120"/>
      <c r="CD1474" s="120"/>
      <c r="CE1474" s="120"/>
      <c r="CF1474" s="440"/>
      <c r="DB1474" s="436"/>
      <c r="DC1474" s="120"/>
      <c r="DD1474" s="120"/>
      <c r="DE1474" s="120"/>
      <c r="DF1474" s="440"/>
      <c r="EB1474" s="436"/>
      <c r="EC1474" s="120"/>
      <c r="ED1474" s="120"/>
      <c r="EE1474" s="120"/>
      <c r="EF1474" s="440"/>
    </row>
    <row r="1475" spans="54:136">
      <c r="BB1475" s="436"/>
      <c r="BC1475" s="120"/>
      <c r="BD1475" s="120"/>
      <c r="BE1475" s="120"/>
      <c r="BF1475" s="440"/>
      <c r="CB1475" s="436"/>
      <c r="CC1475" s="120"/>
      <c r="CD1475" s="120"/>
      <c r="CE1475" s="120"/>
      <c r="CF1475" s="440"/>
      <c r="DB1475" s="436"/>
      <c r="DC1475" s="120"/>
      <c r="DD1475" s="120"/>
      <c r="DE1475" s="120"/>
      <c r="DF1475" s="440"/>
      <c r="EB1475" s="436"/>
      <c r="EC1475" s="120"/>
      <c r="ED1475" s="120"/>
      <c r="EE1475" s="120"/>
      <c r="EF1475" s="440"/>
    </row>
    <row r="1476" spans="54:136">
      <c r="BB1476" s="436" t="s">
        <v>511</v>
      </c>
      <c r="BC1476" s="120">
        <v>0</v>
      </c>
      <c r="BD1476" s="120" t="s">
        <v>512</v>
      </c>
      <c r="BE1476" s="120"/>
      <c r="BF1476" s="440"/>
      <c r="CB1476" s="436" t="s">
        <v>511</v>
      </c>
      <c r="CC1476" s="120">
        <v>0</v>
      </c>
      <c r="CD1476" s="120" t="s">
        <v>512</v>
      </c>
      <c r="CE1476" s="120"/>
      <c r="CF1476" s="440"/>
      <c r="DB1476" s="436" t="s">
        <v>511</v>
      </c>
      <c r="DC1476" s="120">
        <v>0</v>
      </c>
      <c r="DD1476" s="120" t="s">
        <v>512</v>
      </c>
      <c r="DE1476" s="120"/>
      <c r="DF1476" s="440"/>
      <c r="EB1476" s="436" t="s">
        <v>511</v>
      </c>
      <c r="EC1476" s="120">
        <v>0</v>
      </c>
      <c r="ED1476" s="120" t="s">
        <v>512</v>
      </c>
      <c r="EE1476" s="120"/>
      <c r="EF1476" s="440"/>
    </row>
    <row r="1477" spans="54:136">
      <c r="BB1477" s="436" t="s">
        <v>513</v>
      </c>
      <c r="BC1477" s="120">
        <v>0</v>
      </c>
      <c r="BD1477" s="120" t="s">
        <v>512</v>
      </c>
      <c r="BE1477" s="120"/>
      <c r="BF1477" s="440"/>
      <c r="CB1477" s="436" t="s">
        <v>513</v>
      </c>
      <c r="CC1477" s="120">
        <v>0</v>
      </c>
      <c r="CD1477" s="120" t="s">
        <v>512</v>
      </c>
      <c r="CE1477" s="120"/>
      <c r="CF1477" s="440"/>
      <c r="DB1477" s="436" t="s">
        <v>513</v>
      </c>
      <c r="DC1477" s="120">
        <v>0</v>
      </c>
      <c r="DD1477" s="120" t="s">
        <v>512</v>
      </c>
      <c r="DE1477" s="120"/>
      <c r="DF1477" s="440"/>
      <c r="EB1477" s="436" t="s">
        <v>513</v>
      </c>
      <c r="EC1477" s="120">
        <v>0</v>
      </c>
      <c r="ED1477" s="120" t="s">
        <v>512</v>
      </c>
      <c r="EE1477" s="120"/>
      <c r="EF1477" s="440"/>
    </row>
    <row r="1478" spans="54:136">
      <c r="BB1478" s="456"/>
      <c r="BC1478" s="457"/>
      <c r="BD1478" s="457"/>
      <c r="BE1478" s="457"/>
      <c r="BF1478" s="458"/>
      <c r="CB1478" s="456"/>
      <c r="CC1478" s="457"/>
      <c r="CD1478" s="457"/>
      <c r="CE1478" s="457"/>
      <c r="CF1478" s="458"/>
      <c r="DB1478" s="456"/>
      <c r="DC1478" s="457"/>
      <c r="DD1478" s="457"/>
      <c r="DE1478" s="457"/>
      <c r="DF1478" s="458"/>
      <c r="EB1478" s="456"/>
      <c r="EC1478" s="457"/>
      <c r="ED1478" s="457"/>
      <c r="EE1478" s="457"/>
      <c r="EF1478" s="458"/>
    </row>
    <row r="1479" spans="54:136">
      <c r="BB1479" s="449" t="s">
        <v>461</v>
      </c>
      <c r="BC1479" s="120"/>
      <c r="BD1479" s="120"/>
      <c r="BE1479" s="120"/>
      <c r="BF1479" s="440"/>
      <c r="CB1479" s="449" t="s">
        <v>461</v>
      </c>
      <c r="CC1479" s="120"/>
      <c r="CD1479" s="120"/>
      <c r="CE1479" s="120"/>
      <c r="CF1479" s="440"/>
      <c r="DB1479" s="449" t="s">
        <v>461</v>
      </c>
      <c r="DC1479" s="120"/>
      <c r="DD1479" s="120"/>
      <c r="DE1479" s="120"/>
      <c r="DF1479" s="440"/>
      <c r="EB1479" s="449" t="s">
        <v>461</v>
      </c>
      <c r="EC1479" s="120"/>
      <c r="ED1479" s="120"/>
      <c r="EE1479" s="120"/>
      <c r="EF1479" s="440"/>
    </row>
    <row r="1480" spans="54:136">
      <c r="BB1480" s="436" t="s">
        <v>514</v>
      </c>
      <c r="BC1480" s="120">
        <f>VLOOKUP(BB1408,'Unit Ops'!$B$140:$K$209,10,FALSE)</f>
        <v>12</v>
      </c>
      <c r="BD1480" s="120" t="s">
        <v>515</v>
      </c>
      <c r="BE1480" s="120"/>
      <c r="BF1480" s="440"/>
      <c r="CB1480" s="436" t="s">
        <v>514</v>
      </c>
      <c r="CC1480" s="120">
        <f>VLOOKUP(CB1408,'Unit Ops'!$B$140:$K$209,10,FALSE)</f>
        <v>0</v>
      </c>
      <c r="CD1480" s="120" t="s">
        <v>515</v>
      </c>
      <c r="CE1480" s="120"/>
      <c r="CF1480" s="440"/>
      <c r="DB1480" s="436" t="s">
        <v>514</v>
      </c>
      <c r="DC1480" s="120">
        <f>VLOOKUP(DB1408,'Unit Ops'!$B$140:$K$209,10,FALSE)</f>
        <v>20</v>
      </c>
      <c r="DD1480" s="120" t="s">
        <v>515</v>
      </c>
      <c r="DE1480" s="120"/>
      <c r="DF1480" s="440"/>
      <c r="EB1480" s="436" t="s">
        <v>514</v>
      </c>
      <c r="EC1480" s="120">
        <f>VLOOKUP(EB1408,'Unit Ops'!$B$140:$K$209,10,FALSE)</f>
        <v>0</v>
      </c>
      <c r="ED1480" s="120" t="s">
        <v>515</v>
      </c>
      <c r="EE1480" s="120"/>
      <c r="EF1480" s="440"/>
    </row>
    <row r="1481" spans="54:136">
      <c r="BB1481" s="436" t="s">
        <v>516</v>
      </c>
      <c r="BC1481" s="120">
        <v>0</v>
      </c>
      <c r="BD1481" s="120" t="s">
        <v>515</v>
      </c>
      <c r="BE1481" s="120"/>
      <c r="BF1481" s="440"/>
      <c r="CB1481" s="436" t="s">
        <v>516</v>
      </c>
      <c r="CC1481" s="120">
        <v>0</v>
      </c>
      <c r="CD1481" s="120" t="s">
        <v>515</v>
      </c>
      <c r="CE1481" s="120"/>
      <c r="CF1481" s="440"/>
      <c r="DB1481" s="436" t="s">
        <v>516</v>
      </c>
      <c r="DC1481" s="120">
        <v>0</v>
      </c>
      <c r="DD1481" s="120" t="s">
        <v>515</v>
      </c>
      <c r="DE1481" s="120"/>
      <c r="DF1481" s="440"/>
      <c r="EB1481" s="436" t="s">
        <v>516</v>
      </c>
      <c r="EC1481" s="120">
        <v>0</v>
      </c>
      <c r="ED1481" s="120" t="s">
        <v>515</v>
      </c>
      <c r="EE1481" s="120"/>
      <c r="EF1481" s="440"/>
    </row>
    <row r="1482" spans="54:136">
      <c r="BB1482" s="436"/>
      <c r="BC1482" s="120"/>
      <c r="BD1482" s="120"/>
      <c r="BE1482" s="120"/>
      <c r="BF1482" s="440"/>
      <c r="CB1482" s="436"/>
      <c r="CC1482" s="120"/>
      <c r="CD1482" s="120"/>
      <c r="CE1482" s="120"/>
      <c r="CF1482" s="440"/>
      <c r="DB1482" s="436"/>
      <c r="DC1482" s="120"/>
      <c r="DD1482" s="120"/>
      <c r="DE1482" s="120"/>
      <c r="DF1482" s="440"/>
      <c r="EB1482" s="436"/>
      <c r="EC1482" s="120"/>
      <c r="ED1482" s="120"/>
      <c r="EE1482" s="120"/>
      <c r="EF1482" s="440"/>
    </row>
    <row r="1483" spans="54:136">
      <c r="BB1483" s="436"/>
      <c r="BC1483" s="120"/>
      <c r="BD1483" s="120"/>
      <c r="BE1483" s="120"/>
      <c r="BF1483" s="440"/>
      <c r="CB1483" s="436"/>
      <c r="CC1483" s="120"/>
      <c r="CD1483" s="120"/>
      <c r="CE1483" s="120"/>
      <c r="CF1483" s="440"/>
      <c r="DB1483" s="436"/>
      <c r="DC1483" s="120"/>
      <c r="DD1483" s="120"/>
      <c r="DE1483" s="120"/>
      <c r="DF1483" s="440"/>
      <c r="EB1483" s="436"/>
      <c r="EC1483" s="120"/>
      <c r="ED1483" s="120"/>
      <c r="EE1483" s="120"/>
      <c r="EF1483" s="440"/>
    </row>
    <row r="1484" spans="54:136">
      <c r="BB1484" s="436"/>
      <c r="BC1484" s="120"/>
      <c r="BD1484" s="120"/>
      <c r="BE1484" s="120"/>
      <c r="BF1484" s="440"/>
      <c r="CB1484" s="436"/>
      <c r="CC1484" s="120"/>
      <c r="CD1484" s="120"/>
      <c r="CE1484" s="120"/>
      <c r="CF1484" s="440"/>
      <c r="DB1484" s="436"/>
      <c r="DC1484" s="120"/>
      <c r="DD1484" s="120"/>
      <c r="DE1484" s="120"/>
      <c r="DF1484" s="440"/>
      <c r="EB1484" s="436"/>
      <c r="EC1484" s="120"/>
      <c r="ED1484" s="120"/>
      <c r="EE1484" s="120"/>
      <c r="EF1484" s="440"/>
    </row>
    <row r="1485" spans="54:136">
      <c r="BB1485" s="436"/>
      <c r="BC1485" s="120"/>
      <c r="BD1485" s="120"/>
      <c r="BE1485" s="120"/>
      <c r="BF1485" s="440"/>
      <c r="CB1485" s="436"/>
      <c r="CC1485" s="120"/>
      <c r="CD1485" s="120"/>
      <c r="CE1485" s="120"/>
      <c r="CF1485" s="440"/>
      <c r="DB1485" s="436"/>
      <c r="DC1485" s="120"/>
      <c r="DD1485" s="120"/>
      <c r="DE1485" s="120"/>
      <c r="DF1485" s="440"/>
      <c r="EB1485" s="436"/>
      <c r="EC1485" s="120"/>
      <c r="ED1485" s="120"/>
      <c r="EE1485" s="120"/>
      <c r="EF1485" s="440"/>
    </row>
    <row r="1486" spans="54:136">
      <c r="BB1486" s="436"/>
      <c r="BC1486" s="120"/>
      <c r="BD1486" s="120"/>
      <c r="BE1486" s="120"/>
      <c r="BF1486" s="440"/>
      <c r="CB1486" s="436"/>
      <c r="CC1486" s="120"/>
      <c r="CD1486" s="120"/>
      <c r="CE1486" s="120"/>
      <c r="CF1486" s="440"/>
      <c r="DB1486" s="436"/>
      <c r="DC1486" s="120"/>
      <c r="DD1486" s="120"/>
      <c r="DE1486" s="120"/>
      <c r="DF1486" s="440"/>
      <c r="EB1486" s="436"/>
      <c r="EC1486" s="120"/>
      <c r="ED1486" s="120"/>
      <c r="EE1486" s="120"/>
      <c r="EF1486" s="440"/>
    </row>
    <row r="1487" spans="54:136">
      <c r="BB1487" s="436" t="s">
        <v>464</v>
      </c>
      <c r="BC1487" s="120"/>
      <c r="BD1487" s="120"/>
      <c r="BE1487" s="120"/>
      <c r="BF1487" s="440"/>
      <c r="CB1487" s="436" t="s">
        <v>464</v>
      </c>
      <c r="CC1487" s="120"/>
      <c r="CD1487" s="120"/>
      <c r="CE1487" s="120"/>
      <c r="CF1487" s="440"/>
      <c r="DB1487" s="436" t="s">
        <v>464</v>
      </c>
      <c r="DC1487" s="120"/>
      <c r="DD1487" s="120"/>
      <c r="DE1487" s="120"/>
      <c r="DF1487" s="440"/>
      <c r="EB1487" s="436" t="s">
        <v>464</v>
      </c>
      <c r="EC1487" s="120"/>
      <c r="ED1487" s="120"/>
      <c r="EE1487" s="120"/>
      <c r="EF1487" s="440"/>
    </row>
    <row r="1488" spans="54:136">
      <c r="BB1488" s="456"/>
      <c r="BC1488" s="457"/>
      <c r="BD1488" s="457"/>
      <c r="BE1488" s="457"/>
      <c r="BF1488" s="458"/>
      <c r="CB1488" s="456"/>
      <c r="CC1488" s="457"/>
      <c r="CD1488" s="457"/>
      <c r="CE1488" s="457"/>
      <c r="CF1488" s="458"/>
      <c r="DB1488" s="456"/>
      <c r="DC1488" s="457"/>
      <c r="DD1488" s="457"/>
      <c r="DE1488" s="457"/>
      <c r="DF1488" s="458"/>
      <c r="EB1488" s="456"/>
      <c r="EC1488" s="457"/>
      <c r="ED1488" s="457"/>
      <c r="EE1488" s="457"/>
      <c r="EF1488" s="458"/>
    </row>
    <row r="1489" spans="54:136">
      <c r="BB1489" s="449" t="s">
        <v>472</v>
      </c>
      <c r="BC1489" s="467" t="s">
        <v>517</v>
      </c>
      <c r="BD1489" s="120" t="s">
        <v>518</v>
      </c>
      <c r="BE1489" s="467" t="s">
        <v>519</v>
      </c>
      <c r="BF1489" s="440" t="s">
        <v>518</v>
      </c>
      <c r="CB1489" s="449" t="s">
        <v>472</v>
      </c>
      <c r="CC1489" s="467" t="s">
        <v>517</v>
      </c>
      <c r="CD1489" s="120" t="s">
        <v>518</v>
      </c>
      <c r="CE1489" s="467" t="s">
        <v>519</v>
      </c>
      <c r="CF1489" s="440" t="s">
        <v>518</v>
      </c>
      <c r="DB1489" s="449" t="s">
        <v>472</v>
      </c>
      <c r="DC1489" s="467" t="s">
        <v>517</v>
      </c>
      <c r="DD1489" s="120" t="s">
        <v>518</v>
      </c>
      <c r="DE1489" s="467" t="s">
        <v>519</v>
      </c>
      <c r="DF1489" s="440" t="s">
        <v>518</v>
      </c>
      <c r="EB1489" s="449" t="s">
        <v>472</v>
      </c>
      <c r="EC1489" s="467" t="s">
        <v>517</v>
      </c>
      <c r="ED1489" s="120" t="s">
        <v>518</v>
      </c>
      <c r="EE1489" s="467" t="s">
        <v>519</v>
      </c>
      <c r="EF1489" s="440" t="s">
        <v>518</v>
      </c>
    </row>
    <row r="1490" spans="54:136">
      <c r="BB1490" s="436" t="s">
        <v>520</v>
      </c>
      <c r="BC1490" s="120"/>
      <c r="BD1490" s="120"/>
      <c r="BE1490" s="472">
        <f>((VLOOKUP(BB1408,'Unit Ops'!$B$140:$J$209,3,FALSE)*BC1410^VLOOKUP(BB1408,'Unit Ops'!$B$140:$J$209,4,FALSE)+VLOOKUP(BB1408,'Unit Ops'!$B$140:$J$209,5,FALSE))*VLOOKUP(BB1408,'Unit Ops'!$B$140:$J$209,6,FALSE))*IF(VLOOKUP(BB1408,'Unit Ops'!$B$140:$L$209,11,FALSE)=1,1,2)</f>
        <v>782707.85207714408</v>
      </c>
      <c r="BF1490" s="490">
        <f>$C$7</f>
        <v>2022</v>
      </c>
      <c r="CB1490" s="436" t="s">
        <v>520</v>
      </c>
      <c r="CC1490" s="120"/>
      <c r="CD1490" s="120"/>
      <c r="CE1490" s="472">
        <f>((VLOOKUP(CB1408,'Unit Ops'!$B$140:$J$209,3,FALSE)*CC1410^VLOOKUP(CB1408,'Unit Ops'!$B$140:$J$209,4,FALSE)+VLOOKUP(CB1408,'Unit Ops'!$B$140:$J$209,5,FALSE))*VLOOKUP(CB1408,'Unit Ops'!$B$140:$J$209,6,FALSE))*IF(VLOOKUP(CB1408,'Unit Ops'!$B$140:$L$209,11,FALSE)=1,1,2)</f>
        <v>756464.47761194035</v>
      </c>
      <c r="CF1490" s="490">
        <f>$C$7</f>
        <v>2022</v>
      </c>
      <c r="DB1490" s="436" t="s">
        <v>520</v>
      </c>
      <c r="DC1490" s="120"/>
      <c r="DD1490" s="120"/>
      <c r="DE1490" s="472">
        <f>((VLOOKUP(DB1408,'Unit Ops'!$B$140:$J$209,3,FALSE)*DC1410^VLOOKUP(DB1408,'Unit Ops'!$B$140:$J$209,4,FALSE)+VLOOKUP(DB1408,'Unit Ops'!$B$140:$J$209,5,FALSE))*VLOOKUP(DB1408,'Unit Ops'!$B$140:$J$209,6,FALSE))*IF(VLOOKUP(DB1408,'Unit Ops'!$B$140:$L$209,11,FALSE)=1,1,2)</f>
        <v>300000</v>
      </c>
      <c r="DF1490" s="490">
        <f>$C$7</f>
        <v>2022</v>
      </c>
      <c r="EB1490" s="436" t="s">
        <v>520</v>
      </c>
      <c r="EC1490" s="120"/>
      <c r="ED1490" s="120"/>
      <c r="EE1490" s="472">
        <f>((VLOOKUP(EB1408,'Unit Ops'!$B$140:$J$209,3,FALSE)*EC1410^VLOOKUP(EB1408,'Unit Ops'!$B$140:$J$209,4,FALSE)+VLOOKUP(EB1408,'Unit Ops'!$B$140:$J$209,5,FALSE))*VLOOKUP(EB1408,'Unit Ops'!$B$140:$J$209,6,FALSE))*IF(VLOOKUP(EB1408,'Unit Ops'!$B$140:$L$209,11,FALSE)=1,1,2)</f>
        <v>756464.47761194035</v>
      </c>
      <c r="EF1490" s="490">
        <f>$C$7</f>
        <v>2022</v>
      </c>
    </row>
    <row r="1491" spans="54:136">
      <c r="BB1491" s="436"/>
      <c r="BC1491" s="120"/>
      <c r="BD1491" s="120"/>
      <c r="BE1491" s="120"/>
      <c r="BF1491" s="440"/>
      <c r="CB1491" s="436"/>
      <c r="CC1491" s="120"/>
      <c r="CD1491" s="120"/>
      <c r="CE1491" s="120"/>
      <c r="CF1491" s="440"/>
      <c r="DB1491" s="436"/>
      <c r="DC1491" s="120"/>
      <c r="DD1491" s="120"/>
      <c r="DE1491" s="120"/>
      <c r="DF1491" s="440"/>
      <c r="EB1491" s="436"/>
      <c r="EC1491" s="120"/>
      <c r="ED1491" s="120"/>
      <c r="EE1491" s="120"/>
      <c r="EF1491" s="440"/>
    </row>
    <row r="1492" spans="54:136">
      <c r="BB1492" s="436"/>
      <c r="BC1492" s="120"/>
      <c r="BD1492" s="120"/>
      <c r="BE1492" s="120"/>
      <c r="BF1492" s="440"/>
      <c r="CB1492" s="436"/>
      <c r="CC1492" s="120"/>
      <c r="CD1492" s="120"/>
      <c r="CE1492" s="120"/>
      <c r="CF1492" s="440"/>
      <c r="DB1492" s="436"/>
      <c r="DC1492" s="120"/>
      <c r="DD1492" s="120"/>
      <c r="DE1492" s="120"/>
      <c r="DF1492" s="440"/>
      <c r="EB1492" s="436"/>
      <c r="EC1492" s="120"/>
      <c r="ED1492" s="120"/>
      <c r="EE1492" s="120"/>
      <c r="EF1492" s="440"/>
    </row>
    <row r="1493" spans="54:136">
      <c r="BB1493" s="436"/>
      <c r="BC1493" s="120"/>
      <c r="BD1493" s="120"/>
      <c r="BE1493" s="120"/>
      <c r="BF1493" s="440"/>
      <c r="CB1493" s="436"/>
      <c r="CC1493" s="120"/>
      <c r="CD1493" s="120"/>
      <c r="CE1493" s="120"/>
      <c r="CF1493" s="440"/>
      <c r="DB1493" s="436"/>
      <c r="DC1493" s="120"/>
      <c r="DD1493" s="120"/>
      <c r="DE1493" s="120"/>
      <c r="DF1493" s="440"/>
      <c r="EB1493" s="436"/>
      <c r="EC1493" s="120"/>
      <c r="ED1493" s="120"/>
      <c r="EE1493" s="120"/>
      <c r="EF1493" s="440"/>
    </row>
    <row r="1494" spans="54:136">
      <c r="BB1494" s="436"/>
      <c r="BC1494" s="120"/>
      <c r="BD1494" s="120"/>
      <c r="BE1494" s="120"/>
      <c r="BF1494" s="440"/>
      <c r="CB1494" s="436"/>
      <c r="CC1494" s="120"/>
      <c r="CD1494" s="120"/>
      <c r="CE1494" s="120"/>
      <c r="CF1494" s="440"/>
      <c r="DB1494" s="436"/>
      <c r="DC1494" s="120"/>
      <c r="DD1494" s="120"/>
      <c r="DE1494" s="120"/>
      <c r="DF1494" s="440"/>
      <c r="EB1494" s="436"/>
      <c r="EC1494" s="120"/>
      <c r="ED1494" s="120"/>
      <c r="EE1494" s="120"/>
      <c r="EF1494" s="440"/>
    </row>
    <row r="1495" spans="54:136">
      <c r="BB1495" s="436"/>
      <c r="BC1495" s="120"/>
      <c r="BD1495" s="120"/>
      <c r="BE1495" s="120"/>
      <c r="BF1495" s="440"/>
      <c r="CB1495" s="436"/>
      <c r="CC1495" s="120"/>
      <c r="CD1495" s="120"/>
      <c r="CE1495" s="120"/>
      <c r="CF1495" s="440"/>
      <c r="DB1495" s="436"/>
      <c r="DC1495" s="120"/>
      <c r="DD1495" s="120"/>
      <c r="DE1495" s="120"/>
      <c r="DF1495" s="440"/>
      <c r="EB1495" s="436"/>
      <c r="EC1495" s="120"/>
      <c r="ED1495" s="120"/>
      <c r="EE1495" s="120"/>
      <c r="EF1495" s="440"/>
    </row>
    <row r="1496" spans="54:136">
      <c r="BB1496" s="436"/>
      <c r="BC1496" s="120"/>
      <c r="BD1496" s="120"/>
      <c r="BE1496" s="120"/>
      <c r="BF1496" s="440"/>
      <c r="CB1496" s="436"/>
      <c r="CC1496" s="120"/>
      <c r="CD1496" s="120"/>
      <c r="CE1496" s="120"/>
      <c r="CF1496" s="440"/>
      <c r="DB1496" s="436"/>
      <c r="DC1496" s="120"/>
      <c r="DD1496" s="120"/>
      <c r="DE1496" s="120"/>
      <c r="DF1496" s="440"/>
      <c r="EB1496" s="436"/>
      <c r="EC1496" s="120"/>
      <c r="ED1496" s="120"/>
      <c r="EE1496" s="120"/>
      <c r="EF1496" s="440"/>
    </row>
    <row r="1497" spans="54:136">
      <c r="BB1497" s="436"/>
      <c r="BC1497" s="120"/>
      <c r="BD1497" s="120"/>
      <c r="BE1497" s="120"/>
      <c r="BF1497" s="440"/>
      <c r="CB1497" s="436"/>
      <c r="CC1497" s="120"/>
      <c r="CD1497" s="120"/>
      <c r="CE1497" s="120"/>
      <c r="CF1497" s="440"/>
      <c r="DB1497" s="436"/>
      <c r="DC1497" s="120"/>
      <c r="DD1497" s="120"/>
      <c r="DE1497" s="120"/>
      <c r="DF1497" s="440"/>
      <c r="EB1497" s="436"/>
      <c r="EC1497" s="120"/>
      <c r="ED1497" s="120"/>
      <c r="EE1497" s="120"/>
      <c r="EF1497" s="440"/>
    </row>
    <row r="1498" spans="54:136">
      <c r="BB1498" s="436"/>
      <c r="BC1498" s="120"/>
      <c r="BD1498" s="120"/>
      <c r="BE1498" s="120"/>
      <c r="BF1498" s="440"/>
      <c r="CB1498" s="436"/>
      <c r="CC1498" s="120"/>
      <c r="CD1498" s="120"/>
      <c r="CE1498" s="120"/>
      <c r="CF1498" s="440"/>
      <c r="DB1498" s="436"/>
      <c r="DC1498" s="120"/>
      <c r="DD1498" s="120"/>
      <c r="DE1498" s="120"/>
      <c r="DF1498" s="440"/>
      <c r="EB1498" s="436"/>
      <c r="EC1498" s="120"/>
      <c r="ED1498" s="120"/>
      <c r="EE1498" s="120"/>
      <c r="EF1498" s="440"/>
    </row>
    <row r="1499" spans="54:136">
      <c r="BB1499" s="436"/>
      <c r="BC1499" s="120"/>
      <c r="BD1499" s="120"/>
      <c r="BE1499" s="120"/>
      <c r="BF1499" s="440"/>
      <c r="CB1499" s="436"/>
      <c r="CC1499" s="120"/>
      <c r="CD1499" s="120"/>
      <c r="CE1499" s="120"/>
      <c r="CF1499" s="440"/>
      <c r="DB1499" s="436"/>
      <c r="DC1499" s="120"/>
      <c r="DD1499" s="120"/>
      <c r="DE1499" s="120"/>
      <c r="DF1499" s="440"/>
      <c r="EB1499" s="436"/>
      <c r="EC1499" s="120"/>
      <c r="ED1499" s="120"/>
      <c r="EE1499" s="120"/>
      <c r="EF1499" s="440"/>
    </row>
    <row r="1500" spans="54:136">
      <c r="BB1500" s="436"/>
      <c r="BC1500" s="120"/>
      <c r="BD1500" s="120"/>
      <c r="BE1500" s="120"/>
      <c r="BF1500" s="440"/>
      <c r="CB1500" s="436"/>
      <c r="CC1500" s="120"/>
      <c r="CD1500" s="120"/>
      <c r="CE1500" s="120"/>
      <c r="CF1500" s="440"/>
      <c r="DB1500" s="436"/>
      <c r="DC1500" s="120"/>
      <c r="DD1500" s="120"/>
      <c r="DE1500" s="120"/>
      <c r="DF1500" s="440"/>
      <c r="EB1500" s="436"/>
      <c r="EC1500" s="120"/>
      <c r="ED1500" s="120"/>
      <c r="EE1500" s="120"/>
      <c r="EF1500" s="440"/>
    </row>
    <row r="1501" spans="54:136">
      <c r="BB1501" s="436"/>
      <c r="BC1501" s="120"/>
      <c r="BD1501" s="120"/>
      <c r="BE1501" s="120"/>
      <c r="BF1501" s="440"/>
      <c r="CB1501" s="436"/>
      <c r="CC1501" s="120"/>
      <c r="CD1501" s="120"/>
      <c r="CE1501" s="120"/>
      <c r="CF1501" s="440"/>
      <c r="DB1501" s="436"/>
      <c r="DC1501" s="120"/>
      <c r="DD1501" s="120"/>
      <c r="DE1501" s="120"/>
      <c r="DF1501" s="440"/>
      <c r="EB1501" s="436"/>
      <c r="EC1501" s="120"/>
      <c r="ED1501" s="120"/>
      <c r="EE1501" s="120"/>
      <c r="EF1501" s="440"/>
    </row>
    <row r="1502" spans="54:136">
      <c r="BB1502" s="436"/>
      <c r="BC1502" s="120"/>
      <c r="BD1502" s="120"/>
      <c r="BE1502" s="120"/>
      <c r="BF1502" s="440"/>
      <c r="CB1502" s="436"/>
      <c r="CC1502" s="120"/>
      <c r="CD1502" s="120"/>
      <c r="CE1502" s="120"/>
      <c r="CF1502" s="440"/>
      <c r="DB1502" s="436"/>
      <c r="DC1502" s="120"/>
      <c r="DD1502" s="120"/>
      <c r="DE1502" s="120"/>
      <c r="DF1502" s="440"/>
      <c r="EB1502" s="436"/>
      <c r="EC1502" s="120"/>
      <c r="ED1502" s="120"/>
      <c r="EE1502" s="120"/>
      <c r="EF1502" s="440"/>
    </row>
    <row r="1503" spans="54:136">
      <c r="BB1503" s="436"/>
      <c r="BC1503" s="120"/>
      <c r="BD1503" s="120"/>
      <c r="BE1503" s="120"/>
      <c r="BF1503" s="440"/>
      <c r="CB1503" s="436"/>
      <c r="CC1503" s="120"/>
      <c r="CD1503" s="120"/>
      <c r="CE1503" s="120"/>
      <c r="CF1503" s="440"/>
      <c r="DB1503" s="436"/>
      <c r="DC1503" s="120"/>
      <c r="DD1503" s="120"/>
      <c r="DE1503" s="120"/>
      <c r="DF1503" s="440"/>
      <c r="EB1503" s="436"/>
      <c r="EC1503" s="120"/>
      <c r="ED1503" s="120"/>
      <c r="EE1503" s="120"/>
      <c r="EF1503" s="440"/>
    </row>
    <row r="1504" spans="54:136" ht="14.5" thickBot="1">
      <c r="BB1504" s="492"/>
      <c r="BC1504" s="493"/>
      <c r="BD1504" s="493"/>
      <c r="BE1504" s="493"/>
      <c r="BF1504" s="453"/>
      <c r="CB1504" s="492"/>
      <c r="CC1504" s="493"/>
      <c r="CD1504" s="493"/>
      <c r="CE1504" s="493"/>
      <c r="CF1504" s="453"/>
      <c r="DB1504" s="492"/>
      <c r="DC1504" s="493"/>
      <c r="DD1504" s="493"/>
      <c r="DE1504" s="493"/>
      <c r="DF1504" s="453"/>
      <c r="EB1504" s="492"/>
      <c r="EC1504" s="493"/>
      <c r="ED1504" s="493"/>
      <c r="EE1504" s="493"/>
      <c r="EF1504" s="453"/>
    </row>
    <row r="1507" spans="53:137" ht="14.5" thickBot="1"/>
    <row r="1508" spans="53:137">
      <c r="BA1508" s="114" t="s">
        <v>478</v>
      </c>
      <c r="BB1508" s="431" t="str">
        <f>BB64</f>
        <v>Solvent extraction unit</v>
      </c>
      <c r="BC1508" s="432"/>
      <c r="BD1508" s="433"/>
      <c r="BE1508" s="434"/>
      <c r="BF1508" s="435"/>
      <c r="CA1508" s="114" t="s">
        <v>478</v>
      </c>
      <c r="CB1508" s="431" t="str">
        <f>CB64</f>
        <v>Dryer</v>
      </c>
      <c r="CC1508" s="432"/>
      <c r="CD1508" s="433"/>
      <c r="CE1508" s="434"/>
      <c r="CF1508" s="435"/>
      <c r="DA1508" s="114" t="s">
        <v>478</v>
      </c>
      <c r="DB1508" s="431" t="str">
        <f>DB64</f>
        <v>Select Equipment</v>
      </c>
      <c r="DC1508" s="432"/>
      <c r="DD1508" s="433"/>
      <c r="DE1508" s="434"/>
      <c r="DF1508" s="435"/>
      <c r="EA1508" s="114" t="s">
        <v>478</v>
      </c>
      <c r="EB1508" s="431" t="str">
        <f>EB66</f>
        <v>Dryer</v>
      </c>
      <c r="EC1508" s="432"/>
      <c r="ED1508" s="433"/>
      <c r="EE1508" s="434"/>
      <c r="EF1508" s="435"/>
    </row>
    <row r="1509" spans="53:137">
      <c r="BA1509" s="114" t="s">
        <v>5</v>
      </c>
      <c r="BB1509" s="436" t="s">
        <v>1</v>
      </c>
      <c r="BC1509" s="437">
        <f>BC$25/BC$22/BC$21*VLOOKUP(BB1508,'Unit Ops'!$B$140:$J$209,2,FALSE)*BC48</f>
        <v>0.20318960694765412</v>
      </c>
      <c r="BD1509" s="438" t="s">
        <v>586</v>
      </c>
      <c r="BE1509" s="1027">
        <f>BC1509*BC$310*BC$311</f>
        <v>2194.4477550346646</v>
      </c>
      <c r="BF1509" s="439" t="s">
        <v>585</v>
      </c>
      <c r="BG1509" s="408"/>
      <c r="CA1509" s="114" t="s">
        <v>5</v>
      </c>
      <c r="CB1509" s="436" t="s">
        <v>1</v>
      </c>
      <c r="CC1509" s="437">
        <f>CC$25/CC$22/CC$21*VLOOKUP(CB1508,'Unit Ops'!$B$140:$J$209,2,FALSE)</f>
        <v>0.36529680365296802</v>
      </c>
      <c r="CD1509" s="438" t="s">
        <v>586</v>
      </c>
      <c r="CE1509" s="1027">
        <f>CC1509*CC$310*CC$311</f>
        <v>4000</v>
      </c>
      <c r="CF1509" s="439" t="s">
        <v>585</v>
      </c>
      <c r="CG1509" s="408"/>
      <c r="DA1509" s="114" t="s">
        <v>5</v>
      </c>
      <c r="DB1509" s="436" t="s">
        <v>1</v>
      </c>
      <c r="DC1509" s="437">
        <f>DC$25/DC$22/DC$21*VLOOKUP(DB1508,'Unit Ops'!$B$140:$J$209,2,FALSE)</f>
        <v>0.92592592592592593</v>
      </c>
      <c r="DD1509" s="438" t="s">
        <v>586</v>
      </c>
      <c r="DE1509" s="1027">
        <f>DC1509*DC$310*DC$311</f>
        <v>10000</v>
      </c>
      <c r="DF1509" s="439" t="s">
        <v>585</v>
      </c>
      <c r="DG1509" s="408"/>
      <c r="EA1509" s="114" t="s">
        <v>5</v>
      </c>
      <c r="EB1509" s="436" t="s">
        <v>1</v>
      </c>
      <c r="EC1509" s="437">
        <f>EC$26/EC$23/EC$22*VLOOKUP(EB1508,'Unit Ops'!$B$140:$J$209,2,FALSE)</f>
        <v>0.52083333333333337</v>
      </c>
      <c r="ED1509" s="438" t="s">
        <v>586</v>
      </c>
      <c r="EE1509" s="1027">
        <f>EC1509*EC$310*EC$311</f>
        <v>4000</v>
      </c>
      <c r="EF1509" s="439" t="s">
        <v>585</v>
      </c>
      <c r="EG1509" s="408"/>
    </row>
    <row r="1510" spans="53:137">
      <c r="BA1510" s="114" t="str">
        <f>$BB$54</f>
        <v>Hopper</v>
      </c>
      <c r="BB1510" s="436" t="s">
        <v>505</v>
      </c>
      <c r="BC1510" s="437">
        <f>ROUNDUP(BC1509*IF(VLOOKUP(BB1508,'Unit Ops'!$B$140:$L$209,11,FALSE)=1,1.5,0.75),1)</f>
        <v>0.2</v>
      </c>
      <c r="BD1510" s="438" t="s">
        <v>586</v>
      </c>
      <c r="BE1510" s="120">
        <f>BC1510*BC$310*BC$311</f>
        <v>2160</v>
      </c>
      <c r="BF1510" s="439" t="s">
        <v>585</v>
      </c>
      <c r="BG1510" s="520"/>
      <c r="CA1510" s="114" t="str">
        <f>$CB$54</f>
        <v>Conveyor</v>
      </c>
      <c r="CB1510" s="436" t="s">
        <v>505</v>
      </c>
      <c r="CC1510" s="437">
        <f>ROUNDUP(CC1509*IF(VLOOKUP(CB1508,'Unit Ops'!$B$140:$L$209,11,FALSE)=1,1.5,0.75),1)</f>
        <v>0.6</v>
      </c>
      <c r="CD1510" s="438" t="s">
        <v>586</v>
      </c>
      <c r="CE1510" s="120">
        <f>CC1510*CC$310*CC$311</f>
        <v>6570</v>
      </c>
      <c r="CF1510" s="439" t="s">
        <v>585</v>
      </c>
      <c r="CG1510" s="520"/>
      <c r="DA1510" s="114" t="str">
        <f>$DB$54</f>
        <v>Conveyor</v>
      </c>
      <c r="DB1510" s="436" t="s">
        <v>505</v>
      </c>
      <c r="DC1510" s="437">
        <f>ROUNDUP(DC1509*IF(VLOOKUP(DB1508,'Unit Ops'!$B$140:$L$209,11,FALSE)=1,1.5,0.75),1)</f>
        <v>0.7</v>
      </c>
      <c r="DD1510" s="438" t="s">
        <v>586</v>
      </c>
      <c r="DE1510" s="120">
        <f>DC1510*DC$310*DC$311</f>
        <v>7560</v>
      </c>
      <c r="DF1510" s="439" t="s">
        <v>585</v>
      </c>
      <c r="DG1510" s="520"/>
      <c r="EA1510" s="114" t="str">
        <f>$EB$56</f>
        <v>Conveyor</v>
      </c>
      <c r="EB1510" s="436" t="s">
        <v>505</v>
      </c>
      <c r="EC1510" s="437">
        <f>ROUNDUP(EC1509*IF(VLOOKUP(EB1508,'Unit Ops'!$B$140:$L$209,11,FALSE)=1,1.5,0.75),1)</f>
        <v>0.79999999999999993</v>
      </c>
      <c r="ED1510" s="438" t="s">
        <v>586</v>
      </c>
      <c r="EE1510" s="120">
        <f>EC1510*EC$310*EC$311</f>
        <v>6144</v>
      </c>
      <c r="EF1510" s="439" t="s">
        <v>585</v>
      </c>
      <c r="EG1510" s="520"/>
    </row>
    <row r="1511" spans="53:137">
      <c r="BA1511" s="114" t="str">
        <f>$BB$55</f>
        <v>Conveyor</v>
      </c>
      <c r="BB1511" s="441" t="s">
        <v>521</v>
      </c>
      <c r="BC1511" s="442">
        <f>BC1509/BC1510</f>
        <v>1.0159480347382706</v>
      </c>
      <c r="BD1511" s="438"/>
      <c r="BE1511" s="443"/>
      <c r="BF1511" s="440"/>
      <c r="BG1511" s="521"/>
      <c r="CA1511" s="114" t="str">
        <f>$CB$55</f>
        <v>Leaching tank</v>
      </c>
      <c r="CB1511" s="441" t="s">
        <v>521</v>
      </c>
      <c r="CC1511" s="442">
        <f>CC1509/CC1510</f>
        <v>0.60882800608828003</v>
      </c>
      <c r="CD1511" s="438"/>
      <c r="CE1511" s="443"/>
      <c r="CF1511" s="440"/>
      <c r="CG1511" s="521"/>
      <c r="DA1511" s="114" t="str">
        <f>$DB$55</f>
        <v>Froth flotation cell</v>
      </c>
      <c r="DB1511" s="441" t="s">
        <v>521</v>
      </c>
      <c r="DC1511" s="442">
        <f>DC1509/DC1510</f>
        <v>1.3227513227513228</v>
      </c>
      <c r="DD1511" s="438"/>
      <c r="DE1511" s="443"/>
      <c r="DF1511" s="440"/>
      <c r="DG1511" s="521"/>
      <c r="EA1511" s="114" t="str">
        <f>$EB$57</f>
        <v>Leaching tank</v>
      </c>
      <c r="EB1511" s="441" t="s">
        <v>521</v>
      </c>
      <c r="EC1511" s="442">
        <f>EC1509/EC1510</f>
        <v>0.65104166666666674</v>
      </c>
      <c r="ED1511" s="438"/>
      <c r="EE1511" s="443"/>
      <c r="EF1511" s="440"/>
      <c r="EG1511" s="521"/>
    </row>
    <row r="1512" spans="53:137">
      <c r="BA1512" s="114" t="str">
        <f>$BB$56</f>
        <v>Smelter</v>
      </c>
      <c r="BB1512" s="441" t="s">
        <v>506</v>
      </c>
      <c r="BC1512" s="445"/>
      <c r="BD1512" s="438" t="s">
        <v>454</v>
      </c>
      <c r="BE1512" s="443"/>
      <c r="BF1512" s="440"/>
      <c r="BG1512" s="408"/>
      <c r="CA1512" s="114" t="str">
        <f>$CB$56</f>
        <v>Mixing tank</v>
      </c>
      <c r="CB1512" s="441" t="s">
        <v>506</v>
      </c>
      <c r="CC1512" s="445"/>
      <c r="CD1512" s="438" t="s">
        <v>454</v>
      </c>
      <c r="CE1512" s="443"/>
      <c r="CF1512" s="440"/>
      <c r="CG1512" s="408"/>
      <c r="DA1512" s="114" t="str">
        <f>$DB$56</f>
        <v>Filter press</v>
      </c>
      <c r="DB1512" s="441" t="s">
        <v>506</v>
      </c>
      <c r="DC1512" s="445"/>
      <c r="DD1512" s="438" t="s">
        <v>454</v>
      </c>
      <c r="DE1512" s="443"/>
      <c r="DF1512" s="440"/>
      <c r="DG1512" s="408"/>
      <c r="EA1512" s="114" t="str">
        <f>$EB$58</f>
        <v>Mixing tank</v>
      </c>
      <c r="EB1512" s="441" t="s">
        <v>506</v>
      </c>
      <c r="EC1512" s="445"/>
      <c r="ED1512" s="438" t="s">
        <v>454</v>
      </c>
      <c r="EE1512" s="443"/>
      <c r="EF1512" s="440"/>
      <c r="EG1512" s="408"/>
    </row>
    <row r="1513" spans="53:137">
      <c r="BA1513" s="114" t="str">
        <f>$BB$57</f>
        <v>Gas treatment</v>
      </c>
      <c r="BB1513" s="436" t="s">
        <v>507</v>
      </c>
      <c r="BC1513" s="225">
        <f>(VLOOKUP(BB1508,'Unit Ops'!$B$140:$J$209,7,FALSE)*BC1510^VLOOKUP(BB1508,'Unit Ops'!$B$140:$J$209,8,FALSE)+VLOOKUP(BB1508,'Unit Ops'!$B$140:$J$209,9,FALSE))*IF(VLOOKUP(BB1508,'Unit Ops'!$B$140:$L$209,11,FALSE)=1,1,2)</f>
        <v>5.9656000000000011</v>
      </c>
      <c r="BD1513" s="446" t="s">
        <v>454</v>
      </c>
      <c r="BE1513" s="443"/>
      <c r="BF1513" s="440"/>
      <c r="BG1513" s="521"/>
      <c r="CA1513" s="114" t="str">
        <f>$CB$57</f>
        <v>Filter press</v>
      </c>
      <c r="CB1513" s="436" t="s">
        <v>507</v>
      </c>
      <c r="CC1513" s="225">
        <f>(VLOOKUP(CB1508,'Unit Ops'!$B$140:$J$209,7,FALSE)*CC1510^VLOOKUP(CB1508,'Unit Ops'!$B$140:$J$209,8,FALSE)+VLOOKUP(CB1508,'Unit Ops'!$B$140:$J$209,9,FALSE))*IF(VLOOKUP(CB1508,'Unit Ops'!$B$140:$L$209,11,FALSE)=1,1,2)</f>
        <v>437.24566666666664</v>
      </c>
      <c r="CD1513" s="446" t="s">
        <v>454</v>
      </c>
      <c r="CE1513" s="443"/>
      <c r="CF1513" s="440"/>
      <c r="CG1513" s="521"/>
      <c r="DA1513" s="114" t="str">
        <f>$DB$57</f>
        <v>Froth flotation cell</v>
      </c>
      <c r="DB1513" s="436" t="s">
        <v>507</v>
      </c>
      <c r="DC1513" s="225">
        <f>(VLOOKUP(DB1508,'Unit Ops'!$B$140:$J$209,7,FALSE)*DC1510^VLOOKUP(DB1508,'Unit Ops'!$B$140:$J$209,8,FALSE)+VLOOKUP(DB1508,'Unit Ops'!$B$140:$J$209,9,FALSE))*IF(VLOOKUP(DB1508,'Unit Ops'!$B$140:$L$209,11,FALSE)=1,1,2)</f>
        <v>0</v>
      </c>
      <c r="DD1513" s="446" t="s">
        <v>454</v>
      </c>
      <c r="DE1513" s="443"/>
      <c r="DF1513" s="440"/>
      <c r="DG1513" s="521"/>
      <c r="EA1513" s="114" t="str">
        <f>$EB$59</f>
        <v>Filter press</v>
      </c>
      <c r="EB1513" s="436" t="s">
        <v>507</v>
      </c>
      <c r="EC1513" s="225">
        <f>(VLOOKUP(EB1508,'Unit Ops'!$B$140:$J$209,7,FALSE)*EC1510^VLOOKUP(EB1508,'Unit Ops'!$B$140:$J$209,8,FALSE)+VLOOKUP(EB1508,'Unit Ops'!$B$140:$J$209,9,FALSE))*IF(VLOOKUP(EB1508,'Unit Ops'!$B$140:$L$209,11,FALSE)=1,1,2)</f>
        <v>582.99422222222211</v>
      </c>
      <c r="ED1513" s="446" t="s">
        <v>454</v>
      </c>
      <c r="EE1513" s="443"/>
      <c r="EF1513" s="440"/>
      <c r="EG1513" s="521"/>
    </row>
    <row r="1514" spans="53:137">
      <c r="BA1514" s="114" t="str">
        <f>$BB$58</f>
        <v>Conveyor</v>
      </c>
      <c r="BB1514" s="441"/>
      <c r="BC1514" s="445"/>
      <c r="BD1514" s="447"/>
      <c r="BE1514" s="443"/>
      <c r="BF1514" s="440"/>
      <c r="BG1514" s="470"/>
      <c r="CA1514" s="114" t="str">
        <f>$CB$58</f>
        <v>Solvent extraction unit</v>
      </c>
      <c r="CB1514" s="441"/>
      <c r="CC1514" s="445"/>
      <c r="CD1514" s="447"/>
      <c r="CE1514" s="443"/>
      <c r="CF1514" s="440"/>
      <c r="CG1514" s="470"/>
      <c r="DA1514" s="114" t="str">
        <f>$DB$58</f>
        <v>Filter press</v>
      </c>
      <c r="DB1514" s="441"/>
      <c r="DC1514" s="445"/>
      <c r="DD1514" s="447"/>
      <c r="DE1514" s="443"/>
      <c r="DF1514" s="440"/>
      <c r="DG1514" s="470"/>
      <c r="EA1514" s="114" t="str">
        <f>$EB$60</f>
        <v>Solvent extraction unit</v>
      </c>
      <c r="EB1514" s="441"/>
      <c r="EC1514" s="445"/>
      <c r="ED1514" s="447"/>
      <c r="EE1514" s="443"/>
      <c r="EF1514" s="440"/>
      <c r="EG1514" s="470"/>
    </row>
    <row r="1515" spans="53:137">
      <c r="BA1515" s="114" t="str">
        <f>$BB$59</f>
        <v>Granulator</v>
      </c>
      <c r="BB1515" s="441"/>
      <c r="BC1515" s="445"/>
      <c r="BD1515" s="447"/>
      <c r="BE1515" s="443"/>
      <c r="BF1515" s="440"/>
      <c r="BG1515" s="521"/>
      <c r="CA1515" s="114" t="str">
        <f>$CB$59</f>
        <v>Solvent extraction unit</v>
      </c>
      <c r="CB1515" s="441"/>
      <c r="CC1515" s="445"/>
      <c r="CD1515" s="447"/>
      <c r="CE1515" s="443"/>
      <c r="CF1515" s="440"/>
      <c r="CG1515" s="521"/>
      <c r="DA1515" s="114" t="str">
        <f>$DB$59</f>
        <v>Dryer</v>
      </c>
      <c r="DB1515" s="441"/>
      <c r="DC1515" s="445"/>
      <c r="DD1515" s="447"/>
      <c r="DE1515" s="443"/>
      <c r="DF1515" s="440"/>
      <c r="DG1515" s="521"/>
      <c r="EA1515" s="114" t="str">
        <f>$EB$61</f>
        <v>Solvent extraction unit</v>
      </c>
      <c r="EB1515" s="441"/>
      <c r="EC1515" s="445"/>
      <c r="ED1515" s="447"/>
      <c r="EE1515" s="443"/>
      <c r="EF1515" s="440"/>
      <c r="EG1515" s="521"/>
    </row>
    <row r="1516" spans="53:137">
      <c r="BA1516" s="114" t="str">
        <f>$BB$60</f>
        <v>Leaching tank</v>
      </c>
      <c r="BB1516" s="449"/>
      <c r="BC1516" s="445"/>
      <c r="BD1516" s="447"/>
      <c r="BE1516" s="443"/>
      <c r="BF1516" s="440"/>
      <c r="BG1516" s="507"/>
      <c r="CA1516" s="114" t="str">
        <f>$CB$60</f>
        <v>Solvent extraction unit</v>
      </c>
      <c r="CB1516" s="449"/>
      <c r="CC1516" s="445"/>
      <c r="CD1516" s="447"/>
      <c r="CE1516" s="443"/>
      <c r="CF1516" s="440"/>
      <c r="CG1516" s="507"/>
      <c r="DA1516" s="114" t="str">
        <f>$DB$60</f>
        <v>Ball mill</v>
      </c>
      <c r="DB1516" s="449"/>
      <c r="DC1516" s="445"/>
      <c r="DD1516" s="447"/>
      <c r="DE1516" s="443"/>
      <c r="DF1516" s="440"/>
      <c r="DG1516" s="507"/>
      <c r="EA1516" s="114" t="str">
        <f>$EB$62</f>
        <v>Solvent extraction unit</v>
      </c>
      <c r="EB1516" s="449"/>
      <c r="EC1516" s="445"/>
      <c r="ED1516" s="447"/>
      <c r="EE1516" s="443"/>
      <c r="EF1516" s="440"/>
      <c r="EG1516" s="507"/>
    </row>
    <row r="1517" spans="53:137" ht="14.5" thickBot="1">
      <c r="BA1517" s="114" t="str">
        <f>$BB$61</f>
        <v>Solvent extraction unit</v>
      </c>
      <c r="BB1517" s="450"/>
      <c r="BC1517" s="451"/>
      <c r="BD1517" s="451"/>
      <c r="BE1517" s="452"/>
      <c r="BF1517" s="453"/>
      <c r="BG1517" s="521"/>
      <c r="CA1517" s="114" t="str">
        <f>$CB$61</f>
        <v>Evaporator</v>
      </c>
      <c r="CB1517" s="450"/>
      <c r="CC1517" s="451"/>
      <c r="CD1517" s="451"/>
      <c r="CE1517" s="452"/>
      <c r="CF1517" s="453"/>
      <c r="CG1517" s="521"/>
      <c r="DA1517" s="114" t="str">
        <f>$DB$61</f>
        <v>Furnace+saggar handling system</v>
      </c>
      <c r="DB1517" s="450"/>
      <c r="DC1517" s="451"/>
      <c r="DD1517" s="451"/>
      <c r="DE1517" s="452"/>
      <c r="DF1517" s="453"/>
      <c r="DG1517" s="521"/>
      <c r="EA1517" s="114" t="str">
        <f>$EB$63</f>
        <v>Evaporator</v>
      </c>
      <c r="EB1517" s="450"/>
      <c r="EC1517" s="451"/>
      <c r="ED1517" s="451"/>
      <c r="EE1517" s="452"/>
      <c r="EF1517" s="453"/>
      <c r="EG1517" s="521"/>
    </row>
    <row r="1518" spans="53:137">
      <c r="BA1518" s="114" t="str">
        <f>$BB$62</f>
        <v>Electrowinning cell</v>
      </c>
      <c r="BB1518" s="449" t="s">
        <v>470</v>
      </c>
      <c r="BC1518" s="120"/>
      <c r="BD1518" s="454"/>
      <c r="BE1518" s="120"/>
      <c r="BF1518" s="440"/>
      <c r="BG1518" s="474"/>
      <c r="CA1518" s="114" t="str">
        <f>$CB$62</f>
        <v>Precipitation tank</v>
      </c>
      <c r="CB1518" s="449" t="s">
        <v>470</v>
      </c>
      <c r="CC1518" s="120"/>
      <c r="CD1518" s="454"/>
      <c r="CE1518" s="120"/>
      <c r="CF1518" s="440"/>
      <c r="CG1518" s="474"/>
      <c r="DA1518" s="114" t="str">
        <f>$DB$62</f>
        <v>Water treatment</v>
      </c>
      <c r="DB1518" s="449" t="s">
        <v>470</v>
      </c>
      <c r="DC1518" s="120"/>
      <c r="DD1518" s="454"/>
      <c r="DE1518" s="120"/>
      <c r="DF1518" s="440"/>
      <c r="DG1518" s="474"/>
      <c r="EA1518" s="114" t="str">
        <f>$EB$64</f>
        <v>Precipitation tank</v>
      </c>
      <c r="EB1518" s="449" t="s">
        <v>470</v>
      </c>
      <c r="EC1518" s="120"/>
      <c r="ED1518" s="454"/>
      <c r="EE1518" s="120"/>
      <c r="EF1518" s="440"/>
      <c r="EG1518" s="474"/>
    </row>
    <row r="1519" spans="53:137" ht="14.5" customHeight="1">
      <c r="BA1519" s="114" t="str">
        <f>$BB$63</f>
        <v>Solvent extraction unit</v>
      </c>
      <c r="BB1519" s="1698"/>
      <c r="BC1519" s="1699"/>
      <c r="BD1519" s="1699"/>
      <c r="BE1519" s="1699"/>
      <c r="BF1519" s="1700"/>
      <c r="BG1519" s="474"/>
      <c r="CA1519" s="114" t="str">
        <f>$CB$63</f>
        <v>Centrifuge</v>
      </c>
      <c r="CB1519" s="1698"/>
      <c r="CC1519" s="1699"/>
      <c r="CD1519" s="1699"/>
      <c r="CE1519" s="1699"/>
      <c r="CF1519" s="1700"/>
      <c r="CG1519" s="474"/>
      <c r="DA1519" s="114" t="str">
        <f>$DB$63</f>
        <v>Wheel loader</v>
      </c>
      <c r="DB1519" s="1698"/>
      <c r="DC1519" s="1699"/>
      <c r="DD1519" s="1699"/>
      <c r="DE1519" s="1699"/>
      <c r="DF1519" s="1700"/>
      <c r="DG1519" s="474"/>
      <c r="EA1519" s="114" t="str">
        <f>$EB$65</f>
        <v>Centrifuge</v>
      </c>
      <c r="EB1519" s="1698"/>
      <c r="EC1519" s="1699"/>
      <c r="ED1519" s="1699"/>
      <c r="EE1519" s="1699"/>
      <c r="EF1519" s="1700"/>
      <c r="EG1519" s="474"/>
    </row>
    <row r="1520" spans="53:137">
      <c r="BA1520" s="114" t="str">
        <f>$BB$64</f>
        <v>Solvent extraction unit</v>
      </c>
      <c r="BB1520" s="436"/>
      <c r="BC1520" s="120"/>
      <c r="BD1520" s="455"/>
      <c r="BE1520" s="120"/>
      <c r="BF1520" s="440"/>
      <c r="BG1520" s="474"/>
      <c r="CA1520" s="114" t="str">
        <f>$CB$64</f>
        <v>Dryer</v>
      </c>
      <c r="CB1520" s="436"/>
      <c r="CC1520" s="120"/>
      <c r="CD1520" s="455"/>
      <c r="CE1520" s="120"/>
      <c r="CF1520" s="440"/>
      <c r="CG1520" s="474"/>
      <c r="DA1520" s="114" t="str">
        <f>$DB$64</f>
        <v>Select Equipment</v>
      </c>
      <c r="DB1520" s="436"/>
      <c r="DC1520" s="120"/>
      <c r="DD1520" s="455"/>
      <c r="DE1520" s="120"/>
      <c r="DF1520" s="440"/>
      <c r="DG1520" s="474"/>
      <c r="EA1520" s="114" t="str">
        <f>$EB$66</f>
        <v>Dryer</v>
      </c>
      <c r="EB1520" s="436"/>
      <c r="EC1520" s="120"/>
      <c r="ED1520" s="455"/>
      <c r="EE1520" s="120"/>
      <c r="EF1520" s="440"/>
      <c r="EG1520" s="474"/>
    </row>
    <row r="1521" spans="53:137">
      <c r="BA1521" s="114" t="str">
        <f>$BB$65</f>
        <v>Wheel loader</v>
      </c>
      <c r="BB1521" s="436"/>
      <c r="BC1521" s="120"/>
      <c r="BD1521" s="455"/>
      <c r="BE1521" s="120"/>
      <c r="BF1521" s="440"/>
      <c r="BG1521" s="474"/>
      <c r="CA1521" s="114" t="str">
        <f>$CB$65</f>
        <v>Water treatment</v>
      </c>
      <c r="CB1521" s="436"/>
      <c r="CC1521" s="120"/>
      <c r="CD1521" s="455"/>
      <c r="CE1521" s="120"/>
      <c r="CF1521" s="440"/>
      <c r="CG1521" s="474"/>
      <c r="DA1521" s="114" t="str">
        <f>$DB$65</f>
        <v>Select Equipment</v>
      </c>
      <c r="DB1521" s="436"/>
      <c r="DC1521" s="120"/>
      <c r="DD1521" s="455"/>
      <c r="DE1521" s="120"/>
      <c r="DF1521" s="440"/>
      <c r="DG1521" s="474"/>
      <c r="EA1521" s="114" t="str">
        <f>$EB$67</f>
        <v>Water treatment</v>
      </c>
      <c r="EB1521" s="436"/>
      <c r="EC1521" s="120"/>
      <c r="ED1521" s="455"/>
      <c r="EE1521" s="120"/>
      <c r="EF1521" s="440"/>
      <c r="EG1521" s="474"/>
    </row>
    <row r="1522" spans="53:137">
      <c r="BA1522" s="114" t="str">
        <f>$BB$66</f>
        <v>Water treatment</v>
      </c>
      <c r="BB1522" s="456"/>
      <c r="BC1522" s="457"/>
      <c r="BD1522" s="457"/>
      <c r="BE1522" s="457"/>
      <c r="BF1522" s="458"/>
      <c r="CA1522" s="114" t="str">
        <f>$CB$66</f>
        <v>Wheel loader</v>
      </c>
      <c r="CB1522" s="456"/>
      <c r="CC1522" s="457"/>
      <c r="CD1522" s="457"/>
      <c r="CE1522" s="457"/>
      <c r="CF1522" s="458"/>
      <c r="DA1522" s="114" t="str">
        <f>$DB$66</f>
        <v>Select Equipment</v>
      </c>
      <c r="DB1522" s="456"/>
      <c r="DC1522" s="457"/>
      <c r="DD1522" s="457"/>
      <c r="DE1522" s="457"/>
      <c r="DF1522" s="458"/>
      <c r="EA1522" s="114" t="str">
        <f>$EB$68</f>
        <v>Wheel loader</v>
      </c>
      <c r="EB1522" s="456"/>
      <c r="EC1522" s="457"/>
      <c r="ED1522" s="457"/>
      <c r="EE1522" s="457"/>
      <c r="EF1522" s="458"/>
    </row>
    <row r="1523" spans="53:137">
      <c r="BA1523" s="114" t="str">
        <f>$BB$67</f>
        <v>Select Equipment</v>
      </c>
      <c r="BB1523" s="449" t="s">
        <v>471</v>
      </c>
      <c r="BC1523" s="120"/>
      <c r="BD1523" s="454"/>
      <c r="BE1523" s="120"/>
      <c r="BF1523" s="440"/>
      <c r="CA1523" s="114" t="str">
        <f>$CB$67</f>
        <v>Select Equipment</v>
      </c>
      <c r="CB1523" s="449" t="s">
        <v>471</v>
      </c>
      <c r="CC1523" s="120"/>
      <c r="CD1523" s="454"/>
      <c r="CE1523" s="120"/>
      <c r="CF1523" s="440"/>
      <c r="DA1523" s="114" t="str">
        <f>$DB$67</f>
        <v>Select Equipment</v>
      </c>
      <c r="DB1523" s="449" t="s">
        <v>471</v>
      </c>
      <c r="DC1523" s="120"/>
      <c r="DD1523" s="454"/>
      <c r="DE1523" s="120"/>
      <c r="DF1523" s="440"/>
      <c r="EA1523" s="114" t="str">
        <f>$EB$69</f>
        <v>Select Equipment</v>
      </c>
      <c r="EB1523" s="449" t="s">
        <v>471</v>
      </c>
      <c r="EC1523" s="120"/>
      <c r="ED1523" s="454"/>
      <c r="EE1523" s="120"/>
      <c r="EF1523" s="440"/>
    </row>
    <row r="1524" spans="53:137">
      <c r="BA1524" s="114" t="str">
        <f>$BB$68</f>
        <v>Select Equipment</v>
      </c>
      <c r="BB1524" s="436" t="s">
        <v>577</v>
      </c>
      <c r="BC1524" s="225">
        <f>BC1513*IF(BC1511&gt;1,1,BC1511)</f>
        <v>5.9656000000000011</v>
      </c>
      <c r="BD1524" s="446" t="s">
        <v>454</v>
      </c>
      <c r="BE1524" s="120"/>
      <c r="BF1524" s="440"/>
      <c r="CA1524" s="114" t="str">
        <f>$CB$68</f>
        <v>Select Equipment</v>
      </c>
      <c r="CB1524" s="436" t="s">
        <v>577</v>
      </c>
      <c r="CC1524" s="225">
        <f>CC1513*IF(CC1511&gt;1,1,CC1511)</f>
        <v>266.2074074074074</v>
      </c>
      <c r="CD1524" s="446" t="s">
        <v>454</v>
      </c>
      <c r="CE1524" s="120"/>
      <c r="CF1524" s="440"/>
      <c r="DA1524" s="114" t="str">
        <f>$DB$68</f>
        <v>Select Equipment</v>
      </c>
      <c r="DB1524" s="436" t="s">
        <v>577</v>
      </c>
      <c r="DC1524" s="225">
        <f>DC1513*IF(DC1511&gt;1,1,DC1511)</f>
        <v>0</v>
      </c>
      <c r="DD1524" s="446" t="s">
        <v>454</v>
      </c>
      <c r="DE1524" s="120"/>
      <c r="DF1524" s="440"/>
      <c r="EA1524" s="114" t="str">
        <f>$EB$70</f>
        <v>Select Equipment</v>
      </c>
      <c r="EB1524" s="436" t="s">
        <v>577</v>
      </c>
      <c r="EC1524" s="225">
        <f>EC1513*IF(EC1511&gt;1,1,EC1511)</f>
        <v>379.55353009259255</v>
      </c>
      <c r="ED1524" s="446" t="s">
        <v>454</v>
      </c>
      <c r="EE1524" s="120"/>
      <c r="EF1524" s="440"/>
    </row>
    <row r="1525" spans="53:137">
      <c r="BA1525" s="114" t="str">
        <f>$BB$69</f>
        <v>Select Equipment</v>
      </c>
      <c r="BB1525" s="436" t="s">
        <v>578</v>
      </c>
      <c r="BC1525" s="225"/>
      <c r="BD1525" s="446" t="s">
        <v>579</v>
      </c>
      <c r="BE1525" s="120"/>
      <c r="BF1525" s="440"/>
      <c r="CA1525" s="114" t="str">
        <f>$CB$69</f>
        <v>Select Equipment</v>
      </c>
      <c r="CB1525" s="436" t="s">
        <v>578</v>
      </c>
      <c r="CC1525" s="225"/>
      <c r="CD1525" s="446" t="s">
        <v>579</v>
      </c>
      <c r="CE1525" s="120"/>
      <c r="CF1525" s="440"/>
      <c r="DA1525" s="114" t="str">
        <f>$DB$69</f>
        <v>Select Equipment</v>
      </c>
      <c r="DB1525" s="436" t="s">
        <v>578</v>
      </c>
      <c r="DC1525" s="225"/>
      <c r="DD1525" s="446" t="s">
        <v>579</v>
      </c>
      <c r="DE1525" s="120"/>
      <c r="DF1525" s="440"/>
      <c r="EA1525" s="114" t="str">
        <f>$EB$71</f>
        <v>Select Equipment</v>
      </c>
      <c r="EB1525" s="436" t="s">
        <v>578</v>
      </c>
      <c r="EC1525" s="225"/>
      <c r="ED1525" s="446" t="s">
        <v>579</v>
      </c>
      <c r="EE1525" s="120"/>
      <c r="EF1525" s="440"/>
    </row>
    <row r="1526" spans="53:137">
      <c r="BA1526" s="114" t="str">
        <f>$BB$70</f>
        <v>Select Equipment</v>
      </c>
      <c r="BB1526" s="436"/>
      <c r="BC1526" s="120"/>
      <c r="BD1526" s="446"/>
      <c r="BE1526" s="120"/>
      <c r="BF1526" s="440"/>
      <c r="CA1526" s="114" t="str">
        <f>$CB$70</f>
        <v>Select Equipment</v>
      </c>
      <c r="CB1526" s="436"/>
      <c r="CC1526" s="120"/>
      <c r="CD1526" s="446"/>
      <c r="CE1526" s="120"/>
      <c r="CF1526" s="440"/>
      <c r="DA1526" s="114" t="str">
        <f>$DB$70</f>
        <v>Select Equipment</v>
      </c>
      <c r="DB1526" s="436"/>
      <c r="DC1526" s="120"/>
      <c r="DD1526" s="446"/>
      <c r="DE1526" s="120"/>
      <c r="DF1526" s="440"/>
      <c r="EA1526" s="114" t="str">
        <f>$EB$72</f>
        <v>Select Equipment</v>
      </c>
      <c r="EB1526" s="436"/>
      <c r="EC1526" s="120"/>
      <c r="ED1526" s="446"/>
      <c r="EE1526" s="120"/>
      <c r="EF1526" s="440"/>
    </row>
    <row r="1527" spans="53:137">
      <c r="BA1527" s="114" t="str">
        <f>$BB$71</f>
        <v>Select Equipment</v>
      </c>
      <c r="BB1527" s="436" t="s">
        <v>8</v>
      </c>
      <c r="BC1527" s="120"/>
      <c r="BD1527" s="459" t="s">
        <v>564</v>
      </c>
      <c r="BE1527" s="120"/>
      <c r="BF1527" s="440"/>
      <c r="CA1527" s="114" t="str">
        <f>$CB$71</f>
        <v>Select Equipment</v>
      </c>
      <c r="CB1527" s="436" t="s">
        <v>8</v>
      </c>
      <c r="CC1527" s="120"/>
      <c r="CD1527" s="459" t="s">
        <v>564</v>
      </c>
      <c r="CE1527" s="120"/>
      <c r="CF1527" s="440"/>
      <c r="DA1527" s="114" t="str">
        <f>$DB$71</f>
        <v>Select Equipment</v>
      </c>
      <c r="DB1527" s="436" t="s">
        <v>8</v>
      </c>
      <c r="DC1527" s="120"/>
      <c r="DD1527" s="459" t="s">
        <v>564</v>
      </c>
      <c r="DE1527" s="120"/>
      <c r="DF1527" s="440"/>
      <c r="EA1527" s="114" t="str">
        <f>$EB$73</f>
        <v>Select Equipment</v>
      </c>
      <c r="EB1527" s="436" t="s">
        <v>8</v>
      </c>
      <c r="EC1527" s="120"/>
      <c r="ED1527" s="459" t="s">
        <v>564</v>
      </c>
      <c r="EE1527" s="120"/>
      <c r="EF1527" s="440"/>
    </row>
    <row r="1528" spans="53:137">
      <c r="BA1528" s="114" t="str">
        <f>$BB$72</f>
        <v>Select Equipment</v>
      </c>
      <c r="BB1528" s="436"/>
      <c r="BC1528" s="120"/>
      <c r="BD1528" s="459"/>
      <c r="BE1528" s="120"/>
      <c r="BF1528" s="440"/>
      <c r="CA1528" s="114" t="str">
        <f>$CB$72</f>
        <v>Select Equipment</v>
      </c>
      <c r="CB1528" s="436"/>
      <c r="CC1528" s="120"/>
      <c r="CD1528" s="459"/>
      <c r="CE1528" s="120"/>
      <c r="CF1528" s="440"/>
      <c r="DA1528" s="114" t="str">
        <f>$DB$72</f>
        <v>Select Equipment</v>
      </c>
      <c r="DB1528" s="436"/>
      <c r="DC1528" s="120"/>
      <c r="DD1528" s="459"/>
      <c r="DE1528" s="120"/>
      <c r="DF1528" s="440"/>
      <c r="EA1528" s="114" t="str">
        <f>$EB$74</f>
        <v>Select Equipment</v>
      </c>
      <c r="EB1528" s="436"/>
      <c r="EC1528" s="120"/>
      <c r="ED1528" s="459"/>
      <c r="EE1528" s="120"/>
      <c r="EF1528" s="440"/>
    </row>
    <row r="1529" spans="53:137">
      <c r="BA1529" s="114" t="str">
        <f>$BB$73</f>
        <v>Select Equipment</v>
      </c>
      <c r="BB1529" s="436" t="s">
        <v>7</v>
      </c>
      <c r="BC1529" s="120"/>
      <c r="BD1529" s="459" t="s">
        <v>564</v>
      </c>
      <c r="BE1529" s="120"/>
      <c r="BF1529" s="440"/>
      <c r="CA1529" s="114" t="str">
        <f>$CB$73</f>
        <v>Select Equipment</v>
      </c>
      <c r="CB1529" s="436" t="s">
        <v>7</v>
      </c>
      <c r="CC1529" s="120"/>
      <c r="CD1529" s="459" t="s">
        <v>564</v>
      </c>
      <c r="CE1529" s="120"/>
      <c r="CF1529" s="440"/>
      <c r="DA1529" s="114" t="str">
        <f>$DB$73</f>
        <v>Select Equipment</v>
      </c>
      <c r="DB1529" s="436" t="s">
        <v>7</v>
      </c>
      <c r="DC1529" s="120"/>
      <c r="DD1529" s="459" t="s">
        <v>564</v>
      </c>
      <c r="DE1529" s="120"/>
      <c r="DF1529" s="440"/>
      <c r="EA1529" s="114" t="str">
        <f>$EB$75</f>
        <v>Select Equipment</v>
      </c>
      <c r="EB1529" s="436" t="s">
        <v>7</v>
      </c>
      <c r="EC1529" s="120"/>
      <c r="ED1529" s="459" t="s">
        <v>564</v>
      </c>
      <c r="EE1529" s="120"/>
      <c r="EF1529" s="440"/>
    </row>
    <row r="1530" spans="53:137">
      <c r="BA1530" s="114" t="str">
        <f>$BB$74</f>
        <v>Select Equipment</v>
      </c>
      <c r="BB1530" s="436"/>
      <c r="BC1530" s="120"/>
      <c r="BD1530" s="459"/>
      <c r="BE1530" s="120"/>
      <c r="BF1530" s="440"/>
      <c r="CA1530" s="114" t="str">
        <f>$CB$74</f>
        <v>Select Equipment</v>
      </c>
      <c r="CB1530" s="436"/>
      <c r="CC1530" s="120"/>
      <c r="CD1530" s="459"/>
      <c r="CE1530" s="120"/>
      <c r="CF1530" s="440"/>
      <c r="DA1530" s="114" t="str">
        <f>$DB$74</f>
        <v>Select Equipment</v>
      </c>
      <c r="DB1530" s="436"/>
      <c r="DC1530" s="120"/>
      <c r="DD1530" s="459"/>
      <c r="DE1530" s="120"/>
      <c r="DF1530" s="440"/>
      <c r="EA1530" s="114" t="str">
        <f>$EB$76</f>
        <v>Select Equipment</v>
      </c>
      <c r="EB1530" s="436"/>
      <c r="EC1530" s="120"/>
      <c r="ED1530" s="459"/>
      <c r="EE1530" s="120"/>
      <c r="EF1530" s="440"/>
    </row>
    <row r="1531" spans="53:137">
      <c r="BA1531" s="114" t="str">
        <f>$BB$75</f>
        <v>Select Equipment</v>
      </c>
      <c r="BB1531" s="436" t="s">
        <v>9</v>
      </c>
      <c r="BC1531" s="120"/>
      <c r="BD1531" s="459" t="s">
        <v>564</v>
      </c>
      <c r="BE1531" s="120"/>
      <c r="BF1531" s="440"/>
      <c r="CA1531" s="114" t="str">
        <f>$CB$75</f>
        <v>Select Equipment</v>
      </c>
      <c r="CB1531" s="436" t="s">
        <v>9</v>
      </c>
      <c r="CC1531" s="120"/>
      <c r="CD1531" s="459" t="s">
        <v>564</v>
      </c>
      <c r="CE1531" s="120"/>
      <c r="CF1531" s="440"/>
      <c r="DA1531" s="114" t="str">
        <f>$DB$75</f>
        <v>Select Equipment</v>
      </c>
      <c r="DB1531" s="436" t="s">
        <v>9</v>
      </c>
      <c r="DC1531" s="120"/>
      <c r="DD1531" s="459" t="s">
        <v>564</v>
      </c>
      <c r="DE1531" s="120"/>
      <c r="DF1531" s="440"/>
      <c r="EA1531" s="114" t="str">
        <f>$EB$77</f>
        <v>Select Equipment</v>
      </c>
      <c r="EB1531" s="436" t="s">
        <v>9</v>
      </c>
      <c r="EC1531" s="120"/>
      <c r="ED1531" s="459" t="s">
        <v>564</v>
      </c>
      <c r="EE1531" s="120"/>
      <c r="EF1531" s="440"/>
    </row>
    <row r="1532" spans="53:137">
      <c r="BA1532" s="114" t="str">
        <f>$BB$76</f>
        <v>Select Equipment</v>
      </c>
      <c r="BB1532" s="436"/>
      <c r="BC1532" s="120"/>
      <c r="BD1532" s="459"/>
      <c r="BE1532" s="120"/>
      <c r="BF1532" s="440"/>
      <c r="CA1532" s="114" t="str">
        <f>$CB$76</f>
        <v>Select Equipment</v>
      </c>
      <c r="CB1532" s="436"/>
      <c r="CC1532" s="120"/>
      <c r="CD1532" s="459"/>
      <c r="CE1532" s="120"/>
      <c r="CF1532" s="440"/>
      <c r="DA1532" s="114" t="str">
        <f>$DB$76</f>
        <v>Select Equipment</v>
      </c>
      <c r="DB1532" s="436"/>
      <c r="DC1532" s="120"/>
      <c r="DD1532" s="459"/>
      <c r="DE1532" s="120"/>
      <c r="DF1532" s="440"/>
      <c r="EA1532" s="114" t="str">
        <f>$EB$78</f>
        <v>Select Equipment</v>
      </c>
      <c r="EB1532" s="436"/>
      <c r="EC1532" s="120"/>
      <c r="ED1532" s="459"/>
      <c r="EE1532" s="120"/>
      <c r="EF1532" s="440"/>
    </row>
    <row r="1533" spans="53:137">
      <c r="BA1533" s="114" t="str">
        <f>$BB$77</f>
        <v>Select Equipment</v>
      </c>
      <c r="BB1533" s="436" t="s">
        <v>324</v>
      </c>
      <c r="BC1533" s="120"/>
      <c r="BD1533" s="459" t="s">
        <v>564</v>
      </c>
      <c r="BE1533" s="120"/>
      <c r="BF1533" s="440" t="s">
        <v>569</v>
      </c>
      <c r="CA1533" s="114" t="str">
        <f>$CB$77</f>
        <v>Select Equipment</v>
      </c>
      <c r="CB1533" s="436" t="s">
        <v>324</v>
      </c>
      <c r="CC1533" s="120"/>
      <c r="CD1533" s="459" t="s">
        <v>564</v>
      </c>
      <c r="CE1533" s="120"/>
      <c r="CF1533" s="440" t="s">
        <v>569</v>
      </c>
      <c r="DA1533" s="114" t="str">
        <f>$DB$77</f>
        <v>Select Equipment</v>
      </c>
      <c r="DB1533" s="436" t="s">
        <v>324</v>
      </c>
      <c r="DC1533" s="120"/>
      <c r="DD1533" s="459" t="s">
        <v>564</v>
      </c>
      <c r="DE1533" s="120"/>
      <c r="DF1533" s="440" t="s">
        <v>569</v>
      </c>
      <c r="EA1533" s="114" t="str">
        <f>$EB$79</f>
        <v>Select Equipment</v>
      </c>
      <c r="EB1533" s="436" t="s">
        <v>324</v>
      </c>
      <c r="EC1533" s="120"/>
      <c r="ED1533" s="459" t="s">
        <v>564</v>
      </c>
      <c r="EE1533" s="120"/>
      <c r="EF1533" s="440" t="s">
        <v>569</v>
      </c>
    </row>
    <row r="1534" spans="53:137">
      <c r="BA1534" s="114" t="str">
        <f>$BB$78</f>
        <v>Select Equipment</v>
      </c>
      <c r="BB1534" s="436"/>
      <c r="BC1534" s="120"/>
      <c r="BD1534" s="468"/>
      <c r="BE1534" s="469"/>
      <c r="BF1534" s="440"/>
      <c r="CA1534" s="114" t="str">
        <f>$CB$78</f>
        <v>Select Equipment</v>
      </c>
      <c r="CB1534" s="436"/>
      <c r="CC1534" s="120"/>
      <c r="CD1534" s="468"/>
      <c r="CE1534" s="469"/>
      <c r="CF1534" s="440"/>
      <c r="DA1534" s="114" t="str">
        <f>$DB$78</f>
        <v>Select Equipment</v>
      </c>
      <c r="DB1534" s="436"/>
      <c r="DC1534" s="120"/>
      <c r="DD1534" s="468"/>
      <c r="DE1534" s="469"/>
      <c r="DF1534" s="440"/>
      <c r="EA1534" s="114" t="str">
        <f>$EB$80</f>
        <v>Select Equipment</v>
      </c>
      <c r="EB1534" s="436"/>
      <c r="EC1534" s="120"/>
      <c r="ED1534" s="468"/>
      <c r="EE1534" s="469"/>
      <c r="EF1534" s="440"/>
    </row>
    <row r="1535" spans="53:137">
      <c r="BA1535" s="114" t="str">
        <f>$BB$79</f>
        <v>Select Equipment</v>
      </c>
      <c r="BB1535" s="436" t="s">
        <v>374</v>
      </c>
      <c r="BC1535" s="120"/>
      <c r="BD1535" s="459" t="s">
        <v>564</v>
      </c>
      <c r="BE1535" s="469"/>
      <c r="BF1535" s="440" t="s">
        <v>569</v>
      </c>
      <c r="CA1535" s="114" t="str">
        <f>$CB$79</f>
        <v>Select Equipment</v>
      </c>
      <c r="CB1535" s="436" t="s">
        <v>374</v>
      </c>
      <c r="CC1535" s="120"/>
      <c r="CD1535" s="459" t="s">
        <v>564</v>
      </c>
      <c r="CE1535" s="469"/>
      <c r="CF1535" s="440" t="s">
        <v>569</v>
      </c>
      <c r="DA1535" s="114" t="str">
        <f>$DB$79</f>
        <v>Select Equipment</v>
      </c>
      <c r="DB1535" s="436" t="s">
        <v>374</v>
      </c>
      <c r="DC1535" s="120"/>
      <c r="DD1535" s="459" t="s">
        <v>564</v>
      </c>
      <c r="DE1535" s="469"/>
      <c r="DF1535" s="440" t="s">
        <v>569</v>
      </c>
      <c r="EA1535" s="114" t="str">
        <f>$EB$81</f>
        <v>Select Equipment</v>
      </c>
      <c r="EB1535" s="436" t="s">
        <v>374</v>
      </c>
      <c r="EC1535" s="120"/>
      <c r="ED1535" s="459" t="s">
        <v>564</v>
      </c>
      <c r="EE1535" s="469"/>
      <c r="EF1535" s="440" t="s">
        <v>569</v>
      </c>
    </row>
    <row r="1536" spans="53:137">
      <c r="BA1536" s="114" t="str">
        <f>$BB$80</f>
        <v>Select Equipment</v>
      </c>
      <c r="BB1536" s="436"/>
      <c r="BC1536" s="120"/>
      <c r="BD1536" s="472"/>
      <c r="BE1536" s="473"/>
      <c r="BF1536" s="440"/>
      <c r="CA1536" s="114" t="str">
        <f>$CB$80</f>
        <v>Select Equipment</v>
      </c>
      <c r="CB1536" s="436"/>
      <c r="CC1536" s="120"/>
      <c r="CD1536" s="472"/>
      <c r="CE1536" s="473"/>
      <c r="CF1536" s="440"/>
      <c r="DA1536" s="114" t="str">
        <f>$DB$80</f>
        <v>Select Equipment</v>
      </c>
      <c r="DB1536" s="436"/>
      <c r="DC1536" s="120"/>
      <c r="DD1536" s="472"/>
      <c r="DE1536" s="473"/>
      <c r="DF1536" s="440"/>
      <c r="EA1536" s="114" t="str">
        <f>$EB$82</f>
        <v>Select Equipment</v>
      </c>
      <c r="EB1536" s="436"/>
      <c r="EC1536" s="120"/>
      <c r="ED1536" s="472"/>
      <c r="EE1536" s="473"/>
      <c r="EF1536" s="440"/>
    </row>
    <row r="1537" spans="53:136">
      <c r="BA1537" s="114" t="str">
        <f>$BB$81</f>
        <v>Select Equipment</v>
      </c>
      <c r="BB1537" s="436" t="s">
        <v>580</v>
      </c>
      <c r="BC1537" s="120"/>
      <c r="BD1537" s="459" t="s">
        <v>564</v>
      </c>
      <c r="BE1537" s="473"/>
      <c r="BF1537" s="440" t="s">
        <v>569</v>
      </c>
      <c r="CA1537" s="114" t="str">
        <f>$CB$81</f>
        <v>Select Equipment</v>
      </c>
      <c r="CB1537" s="436" t="s">
        <v>580</v>
      </c>
      <c r="CC1537" s="120"/>
      <c r="CD1537" s="459" t="s">
        <v>564</v>
      </c>
      <c r="CE1537" s="473"/>
      <c r="CF1537" s="440" t="s">
        <v>569</v>
      </c>
      <c r="DA1537" s="114" t="str">
        <f>$DB$81</f>
        <v>Select Equipment</v>
      </c>
      <c r="DB1537" s="436" t="s">
        <v>580</v>
      </c>
      <c r="DC1537" s="120"/>
      <c r="DD1537" s="459" t="s">
        <v>564</v>
      </c>
      <c r="DE1537" s="473"/>
      <c r="DF1537" s="440" t="s">
        <v>569</v>
      </c>
      <c r="EA1537" s="114" t="str">
        <f>$EB$83</f>
        <v>Select Equipment</v>
      </c>
      <c r="EB1537" s="436" t="s">
        <v>580</v>
      </c>
      <c r="EC1537" s="120"/>
      <c r="ED1537" s="459" t="s">
        <v>564</v>
      </c>
      <c r="EE1537" s="473"/>
      <c r="EF1537" s="440" t="s">
        <v>569</v>
      </c>
    </row>
    <row r="1538" spans="53:136">
      <c r="BA1538" s="114" t="str">
        <f>$BB$82</f>
        <v>Select Equipment</v>
      </c>
      <c r="BB1538" s="476"/>
      <c r="BC1538" s="477"/>
      <c r="BD1538" s="478"/>
      <c r="BE1538" s="479"/>
      <c r="BF1538" s="458"/>
      <c r="CA1538" s="114" t="str">
        <f>$CB$82</f>
        <v>Select Equipment</v>
      </c>
      <c r="CB1538" s="476"/>
      <c r="CC1538" s="477"/>
      <c r="CD1538" s="478"/>
      <c r="CE1538" s="479"/>
      <c r="CF1538" s="458"/>
      <c r="DA1538" s="114" t="str">
        <f>$DB$82</f>
        <v>Select Equipment</v>
      </c>
      <c r="DB1538" s="476"/>
      <c r="DC1538" s="477"/>
      <c r="DD1538" s="478"/>
      <c r="DE1538" s="479"/>
      <c r="DF1538" s="458"/>
      <c r="EA1538" s="114" t="str">
        <f>$EB$84</f>
        <v>Select Equipment</v>
      </c>
      <c r="EB1538" s="476"/>
      <c r="EC1538" s="477"/>
      <c r="ED1538" s="478"/>
      <c r="EE1538" s="479"/>
      <c r="EF1538" s="458"/>
    </row>
    <row r="1539" spans="53:136">
      <c r="BA1539" s="114" t="str">
        <f>$BB$83</f>
        <v>Select Equipment</v>
      </c>
      <c r="BB1539" s="449" t="s">
        <v>473</v>
      </c>
      <c r="BC1539" s="467" t="s">
        <v>508</v>
      </c>
      <c r="BD1539" s="480"/>
      <c r="BE1539" s="481" t="s">
        <v>308</v>
      </c>
      <c r="BF1539" s="440"/>
      <c r="CA1539" s="114" t="str">
        <f>$CB$83</f>
        <v>Select Equipment</v>
      </c>
      <c r="CB1539" s="449" t="s">
        <v>473</v>
      </c>
      <c r="CC1539" s="467" t="s">
        <v>508</v>
      </c>
      <c r="CD1539" s="480"/>
      <c r="CE1539" s="481" t="s">
        <v>308</v>
      </c>
      <c r="CF1539" s="440"/>
      <c r="DA1539" s="114" t="str">
        <f>$DB$83</f>
        <v>Select Equipment</v>
      </c>
      <c r="DB1539" s="449" t="s">
        <v>473</v>
      </c>
      <c r="DC1539" s="467" t="s">
        <v>508</v>
      </c>
      <c r="DD1539" s="480"/>
      <c r="DE1539" s="481" t="s">
        <v>308</v>
      </c>
      <c r="DF1539" s="440"/>
      <c r="EA1539" s="114" t="str">
        <f>$EB$85</f>
        <v>Select Equipment</v>
      </c>
      <c r="EB1539" s="449" t="s">
        <v>473</v>
      </c>
      <c r="EC1539" s="467" t="s">
        <v>508</v>
      </c>
      <c r="ED1539" s="480"/>
      <c r="EE1539" s="481" t="s">
        <v>308</v>
      </c>
      <c r="EF1539" s="440"/>
    </row>
    <row r="1540" spans="53:136">
      <c r="BB1540" s="436"/>
      <c r="BC1540" s="483"/>
      <c r="BD1540" s="480"/>
      <c r="BE1540" s="484"/>
      <c r="BF1540" s="440"/>
      <c r="CB1540" s="436"/>
      <c r="CC1540" s="483"/>
      <c r="CD1540" s="480"/>
      <c r="CE1540" s="484"/>
      <c r="CF1540" s="440"/>
      <c r="DB1540" s="436"/>
      <c r="DC1540" s="483"/>
      <c r="DD1540" s="480"/>
      <c r="DE1540" s="484"/>
      <c r="DF1540" s="440"/>
      <c r="EB1540" s="436"/>
      <c r="EC1540" s="483"/>
      <c r="ED1540" s="480"/>
      <c r="EE1540" s="484"/>
      <c r="EF1540" s="440"/>
    </row>
    <row r="1541" spans="53:136">
      <c r="BB1541" s="436"/>
      <c r="BC1541" s="120"/>
      <c r="BD1541" s="223"/>
      <c r="BE1541" s="467"/>
      <c r="BF1541" s="440"/>
      <c r="CB1541" s="436"/>
      <c r="CC1541" s="120"/>
      <c r="CD1541" s="223"/>
      <c r="CE1541" s="467"/>
      <c r="CF1541" s="440"/>
      <c r="DB1541" s="436"/>
      <c r="DC1541" s="120"/>
      <c r="DD1541" s="223"/>
      <c r="DE1541" s="467"/>
      <c r="DF1541" s="440"/>
      <c r="EB1541" s="436"/>
      <c r="EC1541" s="120"/>
      <c r="ED1541" s="223"/>
      <c r="EE1541" s="467"/>
      <c r="EF1541" s="440"/>
    </row>
    <row r="1542" spans="53:136">
      <c r="BB1542" s="436"/>
      <c r="BC1542" s="120"/>
      <c r="BD1542" s="466"/>
      <c r="BE1542" s="467"/>
      <c r="BF1542" s="440"/>
      <c r="CB1542" s="436"/>
      <c r="CC1542" s="120"/>
      <c r="CD1542" s="466"/>
      <c r="CE1542" s="467"/>
      <c r="CF1542" s="440"/>
      <c r="DB1542" s="436"/>
      <c r="DC1542" s="120"/>
      <c r="DD1542" s="466"/>
      <c r="DE1542" s="467"/>
      <c r="DF1542" s="440"/>
      <c r="EB1542" s="436"/>
      <c r="EC1542" s="120"/>
      <c r="ED1542" s="466"/>
      <c r="EE1542" s="467"/>
      <c r="EF1542" s="440"/>
    </row>
    <row r="1543" spans="53:136">
      <c r="BB1543" s="436"/>
      <c r="BC1543" s="120"/>
      <c r="BD1543" s="223"/>
      <c r="BE1543" s="467"/>
      <c r="BF1543" s="440"/>
      <c r="CB1543" s="436"/>
      <c r="CC1543" s="120"/>
      <c r="CD1543" s="223"/>
      <c r="CE1543" s="467"/>
      <c r="CF1543" s="440"/>
      <c r="DB1543" s="436"/>
      <c r="DC1543" s="120"/>
      <c r="DD1543" s="223"/>
      <c r="DE1543" s="467"/>
      <c r="DF1543" s="440"/>
      <c r="EB1543" s="436"/>
      <c r="EC1543" s="120"/>
      <c r="ED1543" s="223"/>
      <c r="EE1543" s="467"/>
      <c r="EF1543" s="440"/>
    </row>
    <row r="1544" spans="53:136">
      <c r="BB1544" s="436"/>
      <c r="BC1544" s="120"/>
      <c r="BD1544" s="223"/>
      <c r="BE1544" s="467"/>
      <c r="BF1544" s="440"/>
      <c r="CB1544" s="436"/>
      <c r="CC1544" s="120"/>
      <c r="CD1544" s="223"/>
      <c r="CE1544" s="467"/>
      <c r="CF1544" s="440"/>
      <c r="DB1544" s="436"/>
      <c r="DC1544" s="120"/>
      <c r="DD1544" s="223"/>
      <c r="DE1544" s="467"/>
      <c r="DF1544" s="440"/>
      <c r="EB1544" s="436"/>
      <c r="EC1544" s="120"/>
      <c r="ED1544" s="223"/>
      <c r="EE1544" s="467"/>
      <c r="EF1544" s="440"/>
    </row>
    <row r="1545" spans="53:136">
      <c r="BB1545" s="436"/>
      <c r="BC1545" s="120"/>
      <c r="BD1545" s="471"/>
      <c r="BE1545" s="467"/>
      <c r="BF1545" s="440"/>
      <c r="CB1545" s="436"/>
      <c r="CC1545" s="120"/>
      <c r="CD1545" s="471"/>
      <c r="CE1545" s="467"/>
      <c r="CF1545" s="440"/>
      <c r="DB1545" s="436"/>
      <c r="DC1545" s="120"/>
      <c r="DD1545" s="471"/>
      <c r="DE1545" s="467"/>
      <c r="DF1545" s="440"/>
      <c r="EB1545" s="436"/>
      <c r="EC1545" s="120"/>
      <c r="ED1545" s="471"/>
      <c r="EE1545" s="467"/>
      <c r="EF1545" s="440"/>
    </row>
    <row r="1546" spans="53:136">
      <c r="BB1546" s="436"/>
      <c r="BC1546" s="120"/>
      <c r="BD1546" s="223"/>
      <c r="BE1546" s="467"/>
      <c r="BF1546" s="440"/>
      <c r="CB1546" s="436"/>
      <c r="CC1546" s="120"/>
      <c r="CD1546" s="223"/>
      <c r="CE1546" s="467"/>
      <c r="CF1546" s="440"/>
      <c r="DB1546" s="436"/>
      <c r="DC1546" s="120"/>
      <c r="DD1546" s="223"/>
      <c r="DE1546" s="467"/>
      <c r="DF1546" s="440"/>
      <c r="EB1546" s="436"/>
      <c r="EC1546" s="120"/>
      <c r="ED1546" s="223"/>
      <c r="EE1546" s="467"/>
      <c r="EF1546" s="440"/>
    </row>
    <row r="1547" spans="53:136">
      <c r="BB1547" s="436"/>
      <c r="BC1547" s="120"/>
      <c r="BD1547" s="475"/>
      <c r="BE1547" s="467"/>
      <c r="BF1547" s="440"/>
      <c r="CB1547" s="436"/>
      <c r="CC1547" s="120"/>
      <c r="CD1547" s="475"/>
      <c r="CE1547" s="467"/>
      <c r="CF1547" s="440"/>
      <c r="DB1547" s="436"/>
      <c r="DC1547" s="120"/>
      <c r="DD1547" s="475"/>
      <c r="DE1547" s="467"/>
      <c r="DF1547" s="440"/>
      <c r="EB1547" s="436"/>
      <c r="EC1547" s="120"/>
      <c r="ED1547" s="475"/>
      <c r="EE1547" s="467"/>
      <c r="EF1547" s="440"/>
    </row>
    <row r="1548" spans="53:136">
      <c r="BB1548" s="436"/>
      <c r="BC1548" s="120"/>
      <c r="BD1548" s="223"/>
      <c r="BE1548" s="467"/>
      <c r="BF1548" s="440"/>
      <c r="CB1548" s="436"/>
      <c r="CC1548" s="120"/>
      <c r="CD1548" s="223"/>
      <c r="CE1548" s="467"/>
      <c r="CF1548" s="440"/>
      <c r="DB1548" s="436"/>
      <c r="DC1548" s="120"/>
      <c r="DD1548" s="223"/>
      <c r="DE1548" s="467"/>
      <c r="DF1548" s="440"/>
      <c r="EB1548" s="436"/>
      <c r="EC1548" s="120"/>
      <c r="ED1548" s="223"/>
      <c r="EE1548" s="467"/>
      <c r="EF1548" s="440"/>
    </row>
    <row r="1549" spans="53:136">
      <c r="BB1549" s="436"/>
      <c r="BC1549" s="120"/>
      <c r="BD1549" s="223"/>
      <c r="BE1549" s="467"/>
      <c r="BF1549" s="440"/>
      <c r="CB1549" s="436"/>
      <c r="CC1549" s="120"/>
      <c r="CD1549" s="223"/>
      <c r="CE1549" s="467"/>
      <c r="CF1549" s="440"/>
      <c r="DB1549" s="436"/>
      <c r="DC1549" s="120"/>
      <c r="DD1549" s="223"/>
      <c r="DE1549" s="467"/>
      <c r="DF1549" s="440"/>
      <c r="EB1549" s="436"/>
      <c r="EC1549" s="120"/>
      <c r="ED1549" s="223"/>
      <c r="EE1549" s="467"/>
      <c r="EF1549" s="440"/>
    </row>
    <row r="1550" spans="53:136">
      <c r="BB1550" s="436"/>
      <c r="BC1550" s="120"/>
      <c r="BD1550" s="223"/>
      <c r="BE1550" s="467"/>
      <c r="BF1550" s="440"/>
      <c r="CB1550" s="436"/>
      <c r="CC1550" s="120"/>
      <c r="CD1550" s="223"/>
      <c r="CE1550" s="467"/>
      <c r="CF1550" s="440"/>
      <c r="DB1550" s="436"/>
      <c r="DC1550" s="120"/>
      <c r="DD1550" s="223"/>
      <c r="DE1550" s="467"/>
      <c r="DF1550" s="440"/>
      <c r="EB1550" s="436"/>
      <c r="EC1550" s="120"/>
      <c r="ED1550" s="223"/>
      <c r="EE1550" s="467"/>
      <c r="EF1550" s="440"/>
    </row>
    <row r="1551" spans="53:136">
      <c r="BB1551" s="436"/>
      <c r="BC1551" s="120"/>
      <c r="BD1551" s="223"/>
      <c r="BE1551" s="467"/>
      <c r="BF1551" s="440"/>
      <c r="CB1551" s="436"/>
      <c r="CC1551" s="120"/>
      <c r="CD1551" s="223"/>
      <c r="CE1551" s="467"/>
      <c r="CF1551" s="440"/>
      <c r="DB1551" s="436"/>
      <c r="DC1551" s="120"/>
      <c r="DD1551" s="223"/>
      <c r="DE1551" s="467"/>
      <c r="DF1551" s="440"/>
      <c r="EB1551" s="436"/>
      <c r="EC1551" s="120"/>
      <c r="ED1551" s="223"/>
      <c r="EE1551" s="467"/>
      <c r="EF1551" s="440"/>
    </row>
    <row r="1552" spans="53:136">
      <c r="BB1552" s="436"/>
      <c r="BC1552" s="120"/>
      <c r="BD1552" s="120"/>
      <c r="BE1552" s="467"/>
      <c r="BF1552" s="440"/>
      <c r="CB1552" s="436"/>
      <c r="CC1552" s="120"/>
      <c r="CD1552" s="120"/>
      <c r="CE1552" s="467"/>
      <c r="CF1552" s="440"/>
      <c r="DB1552" s="436"/>
      <c r="DC1552" s="120"/>
      <c r="DD1552" s="120"/>
      <c r="DE1552" s="467"/>
      <c r="DF1552" s="440"/>
      <c r="EB1552" s="436"/>
      <c r="EC1552" s="120"/>
      <c r="ED1552" s="120"/>
      <c r="EE1552" s="467"/>
      <c r="EF1552" s="440"/>
    </row>
    <row r="1553" spans="54:136">
      <c r="BB1553" s="456"/>
      <c r="BC1553" s="457"/>
      <c r="BD1553" s="457"/>
      <c r="BE1553" s="477"/>
      <c r="BF1553" s="458"/>
      <c r="CB1553" s="456"/>
      <c r="CC1553" s="457"/>
      <c r="CD1553" s="457"/>
      <c r="CE1553" s="477"/>
      <c r="CF1553" s="458"/>
      <c r="DB1553" s="456"/>
      <c r="DC1553" s="457"/>
      <c r="DD1553" s="457"/>
      <c r="DE1553" s="477"/>
      <c r="DF1553" s="458"/>
      <c r="EB1553" s="456"/>
      <c r="EC1553" s="457"/>
      <c r="ED1553" s="457"/>
      <c r="EE1553" s="477"/>
      <c r="EF1553" s="458"/>
    </row>
    <row r="1554" spans="54:136">
      <c r="BB1554" s="449" t="s">
        <v>474</v>
      </c>
      <c r="BC1554" s="120"/>
      <c r="BD1554" s="120" t="s">
        <v>1</v>
      </c>
      <c r="BE1554" s="310" t="s">
        <v>307</v>
      </c>
      <c r="BF1554" s="440"/>
      <c r="CB1554" s="449" t="s">
        <v>474</v>
      </c>
      <c r="CC1554" s="120"/>
      <c r="CD1554" s="120" t="s">
        <v>1</v>
      </c>
      <c r="CE1554" s="310" t="s">
        <v>307</v>
      </c>
      <c r="CF1554" s="440"/>
      <c r="DB1554" s="449" t="s">
        <v>474</v>
      </c>
      <c r="DC1554" s="120"/>
      <c r="DD1554" s="120" t="s">
        <v>1</v>
      </c>
      <c r="DE1554" s="310" t="s">
        <v>307</v>
      </c>
      <c r="DF1554" s="440"/>
      <c r="EB1554" s="449" t="s">
        <v>474</v>
      </c>
      <c r="EC1554" s="120"/>
      <c r="ED1554" s="120" t="s">
        <v>1</v>
      </c>
      <c r="EE1554" s="310" t="s">
        <v>307</v>
      </c>
      <c r="EF1554" s="440"/>
    </row>
    <row r="1555" spans="54:136">
      <c r="BB1555" s="436"/>
      <c r="BC1555" s="223"/>
      <c r="BD1555" s="480"/>
      <c r="BE1555" s="484"/>
      <c r="BF1555" s="440"/>
      <c r="CB1555" s="436"/>
      <c r="CC1555" s="223"/>
      <c r="CD1555" s="480"/>
      <c r="CE1555" s="484"/>
      <c r="CF1555" s="440"/>
      <c r="DB1555" s="436"/>
      <c r="DC1555" s="223"/>
      <c r="DD1555" s="480"/>
      <c r="DE1555" s="484"/>
      <c r="DF1555" s="440"/>
      <c r="EB1555" s="436"/>
      <c r="EC1555" s="223"/>
      <c r="ED1555" s="480"/>
      <c r="EE1555" s="484"/>
      <c r="EF1555" s="440"/>
    </row>
    <row r="1556" spans="54:136">
      <c r="BB1556" s="436"/>
      <c r="BC1556" s="120"/>
      <c r="BD1556" s="120"/>
      <c r="BE1556" s="467"/>
      <c r="BF1556" s="440"/>
      <c r="CB1556" s="436"/>
      <c r="CC1556" s="120"/>
      <c r="CD1556" s="120"/>
      <c r="CE1556" s="467"/>
      <c r="CF1556" s="440"/>
      <c r="DB1556" s="436"/>
      <c r="DC1556" s="120"/>
      <c r="DD1556" s="120"/>
      <c r="DE1556" s="467"/>
      <c r="DF1556" s="440"/>
      <c r="EB1556" s="436"/>
      <c r="EC1556" s="120"/>
      <c r="ED1556" s="120"/>
      <c r="EE1556" s="467"/>
      <c r="EF1556" s="440"/>
    </row>
    <row r="1557" spans="54:136">
      <c r="BB1557" s="436"/>
      <c r="BC1557" s="120"/>
      <c r="BD1557" s="120"/>
      <c r="BE1557" s="467"/>
      <c r="BF1557" s="440"/>
      <c r="CB1557" s="436"/>
      <c r="CC1557" s="120"/>
      <c r="CD1557" s="120"/>
      <c r="CE1557" s="467"/>
      <c r="CF1557" s="440"/>
      <c r="DB1557" s="436"/>
      <c r="DC1557" s="120"/>
      <c r="DD1557" s="120"/>
      <c r="DE1557" s="467"/>
      <c r="DF1557" s="440"/>
      <c r="EB1557" s="436"/>
      <c r="EC1557" s="120"/>
      <c r="ED1557" s="120"/>
      <c r="EE1557" s="467"/>
      <c r="EF1557" s="440"/>
    </row>
    <row r="1558" spans="54:136">
      <c r="BB1558" s="436"/>
      <c r="BC1558" s="120"/>
      <c r="BD1558" s="120"/>
      <c r="BE1558" s="467"/>
      <c r="BF1558" s="440"/>
      <c r="CB1558" s="436"/>
      <c r="CC1558" s="120"/>
      <c r="CD1558" s="120"/>
      <c r="CE1558" s="467"/>
      <c r="CF1558" s="440"/>
      <c r="DB1558" s="436"/>
      <c r="DC1558" s="120"/>
      <c r="DD1558" s="120"/>
      <c r="DE1558" s="467"/>
      <c r="DF1558" s="440"/>
      <c r="EB1558" s="436"/>
      <c r="EC1558" s="120"/>
      <c r="ED1558" s="120"/>
      <c r="EE1558" s="467"/>
      <c r="EF1558" s="440"/>
    </row>
    <row r="1559" spans="54:136">
      <c r="BB1559" s="436"/>
      <c r="BC1559" s="120"/>
      <c r="BD1559" s="120"/>
      <c r="BE1559" s="467"/>
      <c r="BF1559" s="440"/>
      <c r="CB1559" s="436"/>
      <c r="CC1559" s="120"/>
      <c r="CD1559" s="120"/>
      <c r="CE1559" s="467"/>
      <c r="CF1559" s="440"/>
      <c r="DB1559" s="436"/>
      <c r="DC1559" s="120"/>
      <c r="DD1559" s="120"/>
      <c r="DE1559" s="467"/>
      <c r="DF1559" s="440"/>
      <c r="EB1559" s="436"/>
      <c r="EC1559" s="120"/>
      <c r="ED1559" s="120"/>
      <c r="EE1559" s="467"/>
      <c r="EF1559" s="440"/>
    </row>
    <row r="1560" spans="54:136">
      <c r="BB1560" s="436"/>
      <c r="BC1560" s="120"/>
      <c r="BD1560" s="120"/>
      <c r="BE1560" s="467"/>
      <c r="BF1560" s="440"/>
      <c r="CB1560" s="436"/>
      <c r="CC1560" s="120"/>
      <c r="CD1560" s="120"/>
      <c r="CE1560" s="467"/>
      <c r="CF1560" s="440"/>
      <c r="DB1560" s="436"/>
      <c r="DC1560" s="120"/>
      <c r="DD1560" s="120"/>
      <c r="DE1560" s="467"/>
      <c r="DF1560" s="440"/>
      <c r="EB1560" s="436"/>
      <c r="EC1560" s="120"/>
      <c r="ED1560" s="120"/>
      <c r="EE1560" s="467"/>
      <c r="EF1560" s="440"/>
    </row>
    <row r="1561" spans="54:136">
      <c r="BB1561" s="436"/>
      <c r="BC1561" s="120"/>
      <c r="BD1561" s="120"/>
      <c r="BE1561" s="467"/>
      <c r="BF1561" s="440"/>
      <c r="CB1561" s="436"/>
      <c r="CC1561" s="120"/>
      <c r="CD1561" s="120"/>
      <c r="CE1561" s="467"/>
      <c r="CF1561" s="440"/>
      <c r="DB1561" s="436"/>
      <c r="DC1561" s="120"/>
      <c r="DD1561" s="120"/>
      <c r="DE1561" s="467"/>
      <c r="DF1561" s="440"/>
      <c r="EB1561" s="436"/>
      <c r="EC1561" s="120"/>
      <c r="ED1561" s="120"/>
      <c r="EE1561" s="467"/>
      <c r="EF1561" s="440"/>
    </row>
    <row r="1562" spans="54:136">
      <c r="BB1562" s="436"/>
      <c r="BC1562" s="120"/>
      <c r="BD1562" s="120"/>
      <c r="BE1562" s="467"/>
      <c r="BF1562" s="440"/>
      <c r="CB1562" s="436"/>
      <c r="CC1562" s="120"/>
      <c r="CD1562" s="120"/>
      <c r="CE1562" s="467"/>
      <c r="CF1562" s="440"/>
      <c r="DB1562" s="436"/>
      <c r="DC1562" s="120"/>
      <c r="DD1562" s="120"/>
      <c r="DE1562" s="467"/>
      <c r="DF1562" s="440"/>
      <c r="EB1562" s="436"/>
      <c r="EC1562" s="120"/>
      <c r="ED1562" s="120"/>
      <c r="EE1562" s="467"/>
      <c r="EF1562" s="440"/>
    </row>
    <row r="1563" spans="54:136">
      <c r="BB1563" s="436"/>
      <c r="BC1563" s="120"/>
      <c r="BD1563" s="120"/>
      <c r="BE1563" s="467"/>
      <c r="BF1563" s="440"/>
      <c r="CB1563" s="436"/>
      <c r="CC1563" s="120"/>
      <c r="CD1563" s="120"/>
      <c r="CE1563" s="467"/>
      <c r="CF1563" s="440"/>
      <c r="DB1563" s="436"/>
      <c r="DC1563" s="120"/>
      <c r="DD1563" s="120"/>
      <c r="DE1563" s="467"/>
      <c r="DF1563" s="440"/>
      <c r="EB1563" s="436"/>
      <c r="EC1563" s="120"/>
      <c r="ED1563" s="120"/>
      <c r="EE1563" s="467"/>
      <c r="EF1563" s="440"/>
    </row>
    <row r="1564" spans="54:136">
      <c r="BB1564" s="436"/>
      <c r="BC1564" s="120"/>
      <c r="BD1564" s="120"/>
      <c r="BE1564" s="467"/>
      <c r="BF1564" s="440"/>
      <c r="CB1564" s="436"/>
      <c r="CC1564" s="120"/>
      <c r="CD1564" s="120"/>
      <c r="CE1564" s="467"/>
      <c r="CF1564" s="440"/>
      <c r="DB1564" s="436"/>
      <c r="DC1564" s="120"/>
      <c r="DD1564" s="120"/>
      <c r="DE1564" s="467"/>
      <c r="DF1564" s="440"/>
      <c r="EB1564" s="436"/>
      <c r="EC1564" s="120"/>
      <c r="ED1564" s="120"/>
      <c r="EE1564" s="467"/>
      <c r="EF1564" s="440"/>
    </row>
    <row r="1565" spans="54:136">
      <c r="BB1565" s="436"/>
      <c r="BC1565" s="120"/>
      <c r="BD1565" s="120"/>
      <c r="BE1565" s="467"/>
      <c r="BF1565" s="440"/>
      <c r="CB1565" s="436"/>
      <c r="CC1565" s="120"/>
      <c r="CD1565" s="120"/>
      <c r="CE1565" s="467"/>
      <c r="CF1565" s="440"/>
      <c r="DB1565" s="436"/>
      <c r="DC1565" s="120"/>
      <c r="DD1565" s="120"/>
      <c r="DE1565" s="467"/>
      <c r="DF1565" s="440"/>
      <c r="EB1565" s="436"/>
      <c r="EC1565" s="120"/>
      <c r="ED1565" s="120"/>
      <c r="EE1565" s="467"/>
      <c r="EF1565" s="440"/>
    </row>
    <row r="1566" spans="54:136">
      <c r="BB1566" s="436"/>
      <c r="BC1566" s="120"/>
      <c r="BD1566" s="120"/>
      <c r="BE1566" s="467"/>
      <c r="BF1566" s="440"/>
      <c r="CB1566" s="436"/>
      <c r="CC1566" s="120"/>
      <c r="CD1566" s="120"/>
      <c r="CE1566" s="467"/>
      <c r="CF1566" s="440"/>
      <c r="DB1566" s="436"/>
      <c r="DC1566" s="120"/>
      <c r="DD1566" s="120"/>
      <c r="DE1566" s="467"/>
      <c r="DF1566" s="440"/>
      <c r="EB1566" s="436"/>
      <c r="EC1566" s="120"/>
      <c r="ED1566" s="120"/>
      <c r="EE1566" s="467"/>
      <c r="EF1566" s="440"/>
    </row>
    <row r="1567" spans="54:136">
      <c r="BB1567" s="456"/>
      <c r="BC1567" s="457"/>
      <c r="BD1567" s="457"/>
      <c r="BE1567" s="477"/>
      <c r="BF1567" s="458"/>
      <c r="CB1567" s="456"/>
      <c r="CC1567" s="457"/>
      <c r="CD1567" s="457"/>
      <c r="CE1567" s="477"/>
      <c r="CF1567" s="458"/>
      <c r="DB1567" s="456"/>
      <c r="DC1567" s="457"/>
      <c r="DD1567" s="457"/>
      <c r="DE1567" s="477"/>
      <c r="DF1567" s="458"/>
      <c r="EB1567" s="456"/>
      <c r="EC1567" s="457"/>
      <c r="ED1567" s="457"/>
      <c r="EE1567" s="477"/>
      <c r="EF1567" s="458"/>
    </row>
    <row r="1568" spans="54:136">
      <c r="BB1568" s="456"/>
      <c r="BC1568" s="457"/>
      <c r="BD1568" s="457"/>
      <c r="BE1568" s="457"/>
      <c r="BF1568" s="458"/>
      <c r="CB1568" s="456"/>
      <c r="CC1568" s="457"/>
      <c r="CD1568" s="457"/>
      <c r="CE1568" s="457"/>
      <c r="CF1568" s="458"/>
      <c r="DB1568" s="456"/>
      <c r="DC1568" s="457"/>
      <c r="DD1568" s="457"/>
      <c r="DE1568" s="457"/>
      <c r="DF1568" s="458"/>
      <c r="EB1568" s="456"/>
      <c r="EC1568" s="457"/>
      <c r="ED1568" s="457"/>
      <c r="EE1568" s="457"/>
      <c r="EF1568" s="458"/>
    </row>
    <row r="1569" spans="54:136">
      <c r="BB1569" s="449" t="s">
        <v>475</v>
      </c>
      <c r="BC1569" s="120"/>
      <c r="BD1569" s="120"/>
      <c r="BE1569" s="120"/>
      <c r="BF1569" s="440"/>
      <c r="CB1569" s="449" t="s">
        <v>475</v>
      </c>
      <c r="CC1569" s="120"/>
      <c r="CD1569" s="120"/>
      <c r="CE1569" s="120"/>
      <c r="CF1569" s="440"/>
      <c r="DB1569" s="449" t="s">
        <v>475</v>
      </c>
      <c r="DC1569" s="120"/>
      <c r="DD1569" s="120"/>
      <c r="DE1569" s="120"/>
      <c r="DF1569" s="440"/>
      <c r="EB1569" s="449" t="s">
        <v>475</v>
      </c>
      <c r="EC1569" s="120"/>
      <c r="ED1569" s="120"/>
      <c r="EE1569" s="120"/>
      <c r="EF1569" s="440"/>
    </row>
    <row r="1570" spans="54:136">
      <c r="BB1570" s="436" t="s">
        <v>509</v>
      </c>
      <c r="BC1570" s="120"/>
      <c r="BD1570" s="120"/>
      <c r="BE1570" s="120"/>
      <c r="BF1570" s="440"/>
      <c r="CB1570" s="436" t="s">
        <v>509</v>
      </c>
      <c r="CC1570" s="120"/>
      <c r="CD1570" s="120"/>
      <c r="CE1570" s="120"/>
      <c r="CF1570" s="440"/>
      <c r="DB1570" s="436" t="s">
        <v>509</v>
      </c>
      <c r="DC1570" s="120"/>
      <c r="DD1570" s="120"/>
      <c r="DE1570" s="120"/>
      <c r="DF1570" s="440"/>
      <c r="EB1570" s="436" t="s">
        <v>509</v>
      </c>
      <c r="EC1570" s="120"/>
      <c r="ED1570" s="120"/>
      <c r="EE1570" s="120"/>
      <c r="EF1570" s="440"/>
    </row>
    <row r="1571" spans="54:136">
      <c r="BB1571" s="436" t="s">
        <v>510</v>
      </c>
      <c r="BC1571" s="120"/>
      <c r="BD1571" s="120"/>
      <c r="BE1571" s="120"/>
      <c r="BF1571" s="440"/>
      <c r="CB1571" s="436" t="s">
        <v>510</v>
      </c>
      <c r="CC1571" s="120"/>
      <c r="CD1571" s="120"/>
      <c r="CE1571" s="120"/>
      <c r="CF1571" s="440"/>
      <c r="DB1571" s="436" t="s">
        <v>510</v>
      </c>
      <c r="DC1571" s="120"/>
      <c r="DD1571" s="120"/>
      <c r="DE1571" s="120"/>
      <c r="DF1571" s="440"/>
      <c r="EB1571" s="436" t="s">
        <v>510</v>
      </c>
      <c r="EC1571" s="120"/>
      <c r="ED1571" s="120"/>
      <c r="EE1571" s="120"/>
      <c r="EF1571" s="440"/>
    </row>
    <row r="1572" spans="54:136">
      <c r="BB1572" s="436"/>
      <c r="BC1572" s="120"/>
      <c r="BD1572" s="120"/>
      <c r="BE1572" s="120"/>
      <c r="BF1572" s="440"/>
      <c r="CB1572" s="436"/>
      <c r="CC1572" s="120"/>
      <c r="CD1572" s="120"/>
      <c r="CE1572" s="120"/>
      <c r="CF1572" s="440"/>
      <c r="DB1572" s="436"/>
      <c r="DC1572" s="120"/>
      <c r="DD1572" s="120"/>
      <c r="DE1572" s="120"/>
      <c r="DF1572" s="440"/>
      <c r="EB1572" s="436"/>
      <c r="EC1572" s="120"/>
      <c r="ED1572" s="120"/>
      <c r="EE1572" s="120"/>
      <c r="EF1572" s="440"/>
    </row>
    <row r="1573" spans="54:136">
      <c r="BB1573" s="436"/>
      <c r="BC1573" s="120"/>
      <c r="BD1573" s="120"/>
      <c r="BE1573" s="120"/>
      <c r="BF1573" s="440"/>
      <c r="CB1573" s="436"/>
      <c r="CC1573" s="120"/>
      <c r="CD1573" s="120"/>
      <c r="CE1573" s="120"/>
      <c r="CF1573" s="440"/>
      <c r="DB1573" s="436"/>
      <c r="DC1573" s="120"/>
      <c r="DD1573" s="120"/>
      <c r="DE1573" s="120"/>
      <c r="DF1573" s="440"/>
      <c r="EB1573" s="436"/>
      <c r="EC1573" s="120"/>
      <c r="ED1573" s="120"/>
      <c r="EE1573" s="120"/>
      <c r="EF1573" s="440"/>
    </row>
    <row r="1574" spans="54:136">
      <c r="BB1574" s="436"/>
      <c r="BC1574" s="120"/>
      <c r="BD1574" s="120"/>
      <c r="BE1574" s="120"/>
      <c r="BF1574" s="440"/>
      <c r="CB1574" s="436"/>
      <c r="CC1574" s="120"/>
      <c r="CD1574" s="120"/>
      <c r="CE1574" s="120"/>
      <c r="CF1574" s="440"/>
      <c r="DB1574" s="436"/>
      <c r="DC1574" s="120"/>
      <c r="DD1574" s="120"/>
      <c r="DE1574" s="120"/>
      <c r="DF1574" s="440"/>
      <c r="EB1574" s="436"/>
      <c r="EC1574" s="120"/>
      <c r="ED1574" s="120"/>
      <c r="EE1574" s="120"/>
      <c r="EF1574" s="440"/>
    </row>
    <row r="1575" spans="54:136">
      <c r="BB1575" s="436"/>
      <c r="BC1575" s="120"/>
      <c r="BD1575" s="120"/>
      <c r="BE1575" s="120"/>
      <c r="BF1575" s="440"/>
      <c r="CB1575" s="436"/>
      <c r="CC1575" s="120"/>
      <c r="CD1575" s="120"/>
      <c r="CE1575" s="120"/>
      <c r="CF1575" s="440"/>
      <c r="DB1575" s="436"/>
      <c r="DC1575" s="120"/>
      <c r="DD1575" s="120"/>
      <c r="DE1575" s="120"/>
      <c r="DF1575" s="440"/>
      <c r="EB1575" s="436"/>
      <c r="EC1575" s="120"/>
      <c r="ED1575" s="120"/>
      <c r="EE1575" s="120"/>
      <c r="EF1575" s="440"/>
    </row>
    <row r="1576" spans="54:136">
      <c r="BB1576" s="436" t="s">
        <v>511</v>
      </c>
      <c r="BC1576" s="120">
        <v>0</v>
      </c>
      <c r="BD1576" s="120" t="s">
        <v>512</v>
      </c>
      <c r="BE1576" s="120"/>
      <c r="BF1576" s="440"/>
      <c r="CB1576" s="436" t="s">
        <v>511</v>
      </c>
      <c r="CC1576" s="120">
        <v>0</v>
      </c>
      <c r="CD1576" s="120" t="s">
        <v>512</v>
      </c>
      <c r="CE1576" s="120"/>
      <c r="CF1576" s="440"/>
      <c r="DB1576" s="436" t="s">
        <v>511</v>
      </c>
      <c r="DC1576" s="120">
        <v>0</v>
      </c>
      <c r="DD1576" s="120" t="s">
        <v>512</v>
      </c>
      <c r="DE1576" s="120"/>
      <c r="DF1576" s="440"/>
      <c r="EB1576" s="436" t="s">
        <v>511</v>
      </c>
      <c r="EC1576" s="120">
        <v>0</v>
      </c>
      <c r="ED1576" s="120" t="s">
        <v>512</v>
      </c>
      <c r="EE1576" s="120"/>
      <c r="EF1576" s="440"/>
    </row>
    <row r="1577" spans="54:136">
      <c r="BB1577" s="436" t="s">
        <v>513</v>
      </c>
      <c r="BC1577" s="120">
        <v>0</v>
      </c>
      <c r="BD1577" s="120" t="s">
        <v>512</v>
      </c>
      <c r="BE1577" s="120"/>
      <c r="BF1577" s="440"/>
      <c r="CB1577" s="436" t="s">
        <v>513</v>
      </c>
      <c r="CC1577" s="120">
        <v>0</v>
      </c>
      <c r="CD1577" s="120" t="s">
        <v>512</v>
      </c>
      <c r="CE1577" s="120"/>
      <c r="CF1577" s="440"/>
      <c r="DB1577" s="436" t="s">
        <v>513</v>
      </c>
      <c r="DC1577" s="120">
        <v>0</v>
      </c>
      <c r="DD1577" s="120" t="s">
        <v>512</v>
      </c>
      <c r="DE1577" s="120"/>
      <c r="DF1577" s="440"/>
      <c r="EB1577" s="436" t="s">
        <v>513</v>
      </c>
      <c r="EC1577" s="120">
        <v>0</v>
      </c>
      <c r="ED1577" s="120" t="s">
        <v>512</v>
      </c>
      <c r="EE1577" s="120"/>
      <c r="EF1577" s="440"/>
    </row>
    <row r="1578" spans="54:136">
      <c r="BB1578" s="456"/>
      <c r="BC1578" s="457"/>
      <c r="BD1578" s="457"/>
      <c r="BE1578" s="457"/>
      <c r="BF1578" s="458"/>
      <c r="CB1578" s="456"/>
      <c r="CC1578" s="457"/>
      <c r="CD1578" s="457"/>
      <c r="CE1578" s="457"/>
      <c r="CF1578" s="458"/>
      <c r="DB1578" s="456"/>
      <c r="DC1578" s="457"/>
      <c r="DD1578" s="457"/>
      <c r="DE1578" s="457"/>
      <c r="DF1578" s="458"/>
      <c r="EB1578" s="456"/>
      <c r="EC1578" s="457"/>
      <c r="ED1578" s="457"/>
      <c r="EE1578" s="457"/>
      <c r="EF1578" s="458"/>
    </row>
    <row r="1579" spans="54:136">
      <c r="BB1579" s="449" t="s">
        <v>461</v>
      </c>
      <c r="BC1579" s="120"/>
      <c r="BD1579" s="120"/>
      <c r="BE1579" s="120"/>
      <c r="BF1579" s="440"/>
      <c r="CB1579" s="449" t="s">
        <v>461</v>
      </c>
      <c r="CC1579" s="120"/>
      <c r="CD1579" s="120"/>
      <c r="CE1579" s="120"/>
      <c r="CF1579" s="440"/>
      <c r="DB1579" s="449" t="s">
        <v>461</v>
      </c>
      <c r="DC1579" s="120"/>
      <c r="DD1579" s="120"/>
      <c r="DE1579" s="120"/>
      <c r="DF1579" s="440"/>
      <c r="EB1579" s="449" t="s">
        <v>461</v>
      </c>
      <c r="EC1579" s="120"/>
      <c r="ED1579" s="120"/>
      <c r="EE1579" s="120"/>
      <c r="EF1579" s="440"/>
    </row>
    <row r="1580" spans="54:136">
      <c r="BB1580" s="436" t="s">
        <v>514</v>
      </c>
      <c r="BC1580" s="120">
        <f>VLOOKUP(BB1508,'Unit Ops'!$B$140:$K$209,10,FALSE)</f>
        <v>12</v>
      </c>
      <c r="BD1580" s="120" t="s">
        <v>515</v>
      </c>
      <c r="BE1580" s="120"/>
      <c r="BF1580" s="440"/>
      <c r="CB1580" s="436" t="s">
        <v>514</v>
      </c>
      <c r="CC1580" s="120">
        <f>VLOOKUP(CB1508,'Unit Ops'!$B$140:$K$209,10,FALSE)</f>
        <v>6</v>
      </c>
      <c r="CD1580" s="120" t="s">
        <v>515</v>
      </c>
      <c r="CE1580" s="120"/>
      <c r="CF1580" s="440"/>
      <c r="DB1580" s="436" t="s">
        <v>514</v>
      </c>
      <c r="DC1580" s="120">
        <f>VLOOKUP(DB1508,'Unit Ops'!$B$140:$K$209,10,FALSE)</f>
        <v>0</v>
      </c>
      <c r="DD1580" s="120" t="s">
        <v>515</v>
      </c>
      <c r="DE1580" s="120"/>
      <c r="DF1580" s="440"/>
      <c r="EB1580" s="436" t="s">
        <v>514</v>
      </c>
      <c r="EC1580" s="120">
        <f>VLOOKUP(EB1508,'Unit Ops'!$B$140:$K$209,10,FALSE)</f>
        <v>6</v>
      </c>
      <c r="ED1580" s="120" t="s">
        <v>515</v>
      </c>
      <c r="EE1580" s="120"/>
      <c r="EF1580" s="440"/>
    </row>
    <row r="1581" spans="54:136">
      <c r="BB1581" s="436" t="s">
        <v>516</v>
      </c>
      <c r="BC1581" s="120">
        <v>0</v>
      </c>
      <c r="BD1581" s="120" t="s">
        <v>515</v>
      </c>
      <c r="BE1581" s="120"/>
      <c r="BF1581" s="440"/>
      <c r="CB1581" s="436" t="s">
        <v>516</v>
      </c>
      <c r="CC1581" s="120">
        <v>0</v>
      </c>
      <c r="CD1581" s="120" t="s">
        <v>515</v>
      </c>
      <c r="CE1581" s="120"/>
      <c r="CF1581" s="440"/>
      <c r="DB1581" s="436" t="s">
        <v>516</v>
      </c>
      <c r="DC1581" s="120">
        <v>0</v>
      </c>
      <c r="DD1581" s="120" t="s">
        <v>515</v>
      </c>
      <c r="DE1581" s="120"/>
      <c r="DF1581" s="440"/>
      <c r="EB1581" s="436" t="s">
        <v>516</v>
      </c>
      <c r="EC1581" s="120">
        <v>0</v>
      </c>
      <c r="ED1581" s="120" t="s">
        <v>515</v>
      </c>
      <c r="EE1581" s="120"/>
      <c r="EF1581" s="440"/>
    </row>
    <row r="1582" spans="54:136">
      <c r="BB1582" s="436"/>
      <c r="BC1582" s="120"/>
      <c r="BD1582" s="120"/>
      <c r="BE1582" s="120"/>
      <c r="BF1582" s="440"/>
      <c r="CB1582" s="436"/>
      <c r="CC1582" s="120"/>
      <c r="CD1582" s="120"/>
      <c r="CE1582" s="120"/>
      <c r="CF1582" s="440"/>
      <c r="DB1582" s="436"/>
      <c r="DC1582" s="120"/>
      <c r="DD1582" s="120"/>
      <c r="DE1582" s="120"/>
      <c r="DF1582" s="440"/>
      <c r="EB1582" s="436"/>
      <c r="EC1582" s="120"/>
      <c r="ED1582" s="120"/>
      <c r="EE1582" s="120"/>
      <c r="EF1582" s="440"/>
    </row>
    <row r="1583" spans="54:136">
      <c r="BB1583" s="436"/>
      <c r="BC1583" s="120"/>
      <c r="BD1583" s="120"/>
      <c r="BE1583" s="120"/>
      <c r="BF1583" s="440"/>
      <c r="CB1583" s="436"/>
      <c r="CC1583" s="120"/>
      <c r="CD1583" s="120"/>
      <c r="CE1583" s="120"/>
      <c r="CF1583" s="440"/>
      <c r="DB1583" s="436"/>
      <c r="DC1583" s="120"/>
      <c r="DD1583" s="120"/>
      <c r="DE1583" s="120"/>
      <c r="DF1583" s="440"/>
      <c r="EB1583" s="436"/>
      <c r="EC1583" s="120"/>
      <c r="ED1583" s="120"/>
      <c r="EE1583" s="120"/>
      <c r="EF1583" s="440"/>
    </row>
    <row r="1584" spans="54:136">
      <c r="BB1584" s="436"/>
      <c r="BC1584" s="120"/>
      <c r="BD1584" s="120"/>
      <c r="BE1584" s="120"/>
      <c r="BF1584" s="440"/>
      <c r="CB1584" s="436"/>
      <c r="CC1584" s="120"/>
      <c r="CD1584" s="120"/>
      <c r="CE1584" s="120"/>
      <c r="CF1584" s="440"/>
      <c r="DB1584" s="436"/>
      <c r="DC1584" s="120"/>
      <c r="DD1584" s="120"/>
      <c r="DE1584" s="120"/>
      <c r="DF1584" s="440"/>
      <c r="EB1584" s="436"/>
      <c r="EC1584" s="120"/>
      <c r="ED1584" s="120"/>
      <c r="EE1584" s="120"/>
      <c r="EF1584" s="440"/>
    </row>
    <row r="1585" spans="54:136">
      <c r="BB1585" s="436"/>
      <c r="BC1585" s="120"/>
      <c r="BD1585" s="120"/>
      <c r="BE1585" s="120"/>
      <c r="BF1585" s="440"/>
      <c r="CB1585" s="436"/>
      <c r="CC1585" s="120"/>
      <c r="CD1585" s="120"/>
      <c r="CE1585" s="120"/>
      <c r="CF1585" s="440"/>
      <c r="DB1585" s="436"/>
      <c r="DC1585" s="120"/>
      <c r="DD1585" s="120"/>
      <c r="DE1585" s="120"/>
      <c r="DF1585" s="440"/>
      <c r="EB1585" s="436"/>
      <c r="EC1585" s="120"/>
      <c r="ED1585" s="120"/>
      <c r="EE1585" s="120"/>
      <c r="EF1585" s="440"/>
    </row>
    <row r="1586" spans="54:136">
      <c r="BB1586" s="436"/>
      <c r="BC1586" s="120"/>
      <c r="BD1586" s="120"/>
      <c r="BE1586" s="120"/>
      <c r="BF1586" s="440"/>
      <c r="CB1586" s="436"/>
      <c r="CC1586" s="120"/>
      <c r="CD1586" s="120"/>
      <c r="CE1586" s="120"/>
      <c r="CF1586" s="440"/>
      <c r="DB1586" s="436"/>
      <c r="DC1586" s="120"/>
      <c r="DD1586" s="120"/>
      <c r="DE1586" s="120"/>
      <c r="DF1586" s="440"/>
      <c r="EB1586" s="436"/>
      <c r="EC1586" s="120"/>
      <c r="ED1586" s="120"/>
      <c r="EE1586" s="120"/>
      <c r="EF1586" s="440"/>
    </row>
    <row r="1587" spans="54:136">
      <c r="BB1587" s="436" t="s">
        <v>464</v>
      </c>
      <c r="BC1587" s="120"/>
      <c r="BD1587" s="120"/>
      <c r="BE1587" s="120"/>
      <c r="BF1587" s="440"/>
      <c r="CB1587" s="436" t="s">
        <v>464</v>
      </c>
      <c r="CC1587" s="120"/>
      <c r="CD1587" s="120"/>
      <c r="CE1587" s="120"/>
      <c r="CF1587" s="440"/>
      <c r="DB1587" s="436" t="s">
        <v>464</v>
      </c>
      <c r="DC1587" s="120"/>
      <c r="DD1587" s="120"/>
      <c r="DE1587" s="120"/>
      <c r="DF1587" s="440"/>
      <c r="EB1587" s="436" t="s">
        <v>464</v>
      </c>
      <c r="EC1587" s="120"/>
      <c r="ED1587" s="120"/>
      <c r="EE1587" s="120"/>
      <c r="EF1587" s="440"/>
    </row>
    <row r="1588" spans="54:136">
      <c r="BB1588" s="456"/>
      <c r="BC1588" s="457"/>
      <c r="BD1588" s="457"/>
      <c r="BE1588" s="457"/>
      <c r="BF1588" s="458"/>
      <c r="CB1588" s="456"/>
      <c r="CC1588" s="457"/>
      <c r="CD1588" s="457"/>
      <c r="CE1588" s="457"/>
      <c r="CF1588" s="458"/>
      <c r="DB1588" s="456"/>
      <c r="DC1588" s="457"/>
      <c r="DD1588" s="457"/>
      <c r="DE1588" s="457"/>
      <c r="DF1588" s="458"/>
      <c r="EB1588" s="456"/>
      <c r="EC1588" s="457"/>
      <c r="ED1588" s="457"/>
      <c r="EE1588" s="457"/>
      <c r="EF1588" s="458"/>
    </row>
    <row r="1589" spans="54:136">
      <c r="BB1589" s="449" t="s">
        <v>472</v>
      </c>
      <c r="BC1589" s="467" t="s">
        <v>517</v>
      </c>
      <c r="BD1589" s="120" t="s">
        <v>518</v>
      </c>
      <c r="BE1589" s="467" t="s">
        <v>519</v>
      </c>
      <c r="BF1589" s="440" t="s">
        <v>518</v>
      </c>
      <c r="CB1589" s="449" t="s">
        <v>472</v>
      </c>
      <c r="CC1589" s="467" t="s">
        <v>517</v>
      </c>
      <c r="CD1589" s="120" t="s">
        <v>518</v>
      </c>
      <c r="CE1589" s="467" t="s">
        <v>519</v>
      </c>
      <c r="CF1589" s="440" t="s">
        <v>518</v>
      </c>
      <c r="DB1589" s="449" t="s">
        <v>472</v>
      </c>
      <c r="DC1589" s="467" t="s">
        <v>517</v>
      </c>
      <c r="DD1589" s="120" t="s">
        <v>518</v>
      </c>
      <c r="DE1589" s="467" t="s">
        <v>519</v>
      </c>
      <c r="DF1589" s="440" t="s">
        <v>518</v>
      </c>
      <c r="EB1589" s="449" t="s">
        <v>472</v>
      </c>
      <c r="EC1589" s="467" t="s">
        <v>517</v>
      </c>
      <c r="ED1589" s="120" t="s">
        <v>518</v>
      </c>
      <c r="EE1589" s="467" t="s">
        <v>519</v>
      </c>
      <c r="EF1589" s="440" t="s">
        <v>518</v>
      </c>
    </row>
    <row r="1590" spans="54:136">
      <c r="BB1590" s="436" t="s">
        <v>520</v>
      </c>
      <c r="BC1590" s="120"/>
      <c r="BD1590" s="120"/>
      <c r="BE1590" s="472">
        <f>((VLOOKUP(BB1508,'Unit Ops'!$B$140:$J$209,3,FALSE)*BC1510^VLOOKUP(BB1508,'Unit Ops'!$B$140:$J$209,4,FALSE)+VLOOKUP(BB1508,'Unit Ops'!$B$140:$J$209,5,FALSE))*VLOOKUP(BB1508,'Unit Ops'!$B$140:$J$209,6,FALSE))*IF(VLOOKUP(BB1508,'Unit Ops'!$B$140:$L$209,11,FALSE)=1,1,2)</f>
        <v>652669.31874006835</v>
      </c>
      <c r="BF1590" s="490">
        <f>$C$7</f>
        <v>2022</v>
      </c>
      <c r="CB1590" s="436" t="s">
        <v>520</v>
      </c>
      <c r="CC1590" s="120"/>
      <c r="CD1590" s="120"/>
      <c r="CE1590" s="472">
        <f>((VLOOKUP(CB1508,'Unit Ops'!$B$140:$J$209,3,FALSE)*CC1510^VLOOKUP(CB1508,'Unit Ops'!$B$140:$J$209,4,FALSE)+VLOOKUP(CB1508,'Unit Ops'!$B$140:$J$209,5,FALSE))*VLOOKUP(CB1508,'Unit Ops'!$B$140:$J$209,6,FALSE))*IF(VLOOKUP(CB1508,'Unit Ops'!$B$140:$L$209,11,FALSE)=1,1,2)</f>
        <v>883315.41043266095</v>
      </c>
      <c r="CF1590" s="490">
        <f>$C$7</f>
        <v>2022</v>
      </c>
      <c r="DB1590" s="436" t="s">
        <v>520</v>
      </c>
      <c r="DC1590" s="120"/>
      <c r="DD1590" s="120"/>
      <c r="DE1590" s="472">
        <f>((VLOOKUP(DB1508,'Unit Ops'!$B$140:$J$209,3,FALSE)*DC1510^VLOOKUP(DB1508,'Unit Ops'!$B$140:$J$209,4,FALSE)+VLOOKUP(DB1508,'Unit Ops'!$B$140:$J$209,5,FALSE))*VLOOKUP(DB1508,'Unit Ops'!$B$140:$J$209,6,FALSE))*IF(VLOOKUP(DB1508,'Unit Ops'!$B$140:$L$209,11,FALSE)=1,1,2)</f>
        <v>0</v>
      </c>
      <c r="DF1590" s="490">
        <f>$C$7</f>
        <v>2022</v>
      </c>
      <c r="EB1590" s="436" t="s">
        <v>520</v>
      </c>
      <c r="EC1590" s="120"/>
      <c r="ED1590" s="120"/>
      <c r="EE1590" s="472">
        <f>((VLOOKUP(EB1508,'Unit Ops'!$B$140:$J$209,3,FALSE)*EC1510^VLOOKUP(EB1508,'Unit Ops'!$B$140:$J$209,4,FALSE)+VLOOKUP(EB1508,'Unit Ops'!$B$140:$J$209,5,FALSE))*VLOOKUP(EB1508,'Unit Ops'!$B$140:$J$209,6,FALSE))*IF(VLOOKUP(EB1508,'Unit Ops'!$B$140:$L$209,11,FALSE)=1,1,2)</f>
        <v>1049733.4811976738</v>
      </c>
      <c r="EF1590" s="490">
        <f>$C$7</f>
        <v>2022</v>
      </c>
    </row>
    <row r="1591" spans="54:136">
      <c r="BB1591" s="436"/>
      <c r="BC1591" s="120"/>
      <c r="BD1591" s="120"/>
      <c r="BE1591" s="120"/>
      <c r="BF1591" s="440"/>
      <c r="CB1591" s="436"/>
      <c r="CC1591" s="120"/>
      <c r="CD1591" s="120"/>
      <c r="CE1591" s="120"/>
      <c r="CF1591" s="440"/>
      <c r="DB1591" s="436"/>
      <c r="DC1591" s="120"/>
      <c r="DD1591" s="120"/>
      <c r="DE1591" s="120"/>
      <c r="DF1591" s="440"/>
      <c r="EB1591" s="436"/>
      <c r="EC1591" s="120"/>
      <c r="ED1591" s="120"/>
      <c r="EE1591" s="120"/>
      <c r="EF1591" s="440"/>
    </row>
    <row r="1592" spans="54:136">
      <c r="BB1592" s="436"/>
      <c r="BC1592" s="120"/>
      <c r="BD1592" s="120"/>
      <c r="BE1592" s="120"/>
      <c r="BF1592" s="440"/>
      <c r="CB1592" s="436"/>
      <c r="CC1592" s="120"/>
      <c r="CD1592" s="120"/>
      <c r="CE1592" s="120"/>
      <c r="CF1592" s="440"/>
      <c r="DB1592" s="436"/>
      <c r="DC1592" s="120"/>
      <c r="DD1592" s="120"/>
      <c r="DE1592" s="120"/>
      <c r="DF1592" s="440"/>
      <c r="EB1592" s="436"/>
      <c r="EC1592" s="120"/>
      <c r="ED1592" s="120"/>
      <c r="EE1592" s="120"/>
      <c r="EF1592" s="440"/>
    </row>
    <row r="1593" spans="54:136">
      <c r="BB1593" s="436"/>
      <c r="BC1593" s="120"/>
      <c r="BD1593" s="120"/>
      <c r="BE1593" s="120"/>
      <c r="BF1593" s="440"/>
      <c r="CB1593" s="436"/>
      <c r="CC1593" s="120"/>
      <c r="CD1593" s="120"/>
      <c r="CE1593" s="120"/>
      <c r="CF1593" s="440"/>
      <c r="DB1593" s="436"/>
      <c r="DC1593" s="120"/>
      <c r="DD1593" s="120"/>
      <c r="DE1593" s="120"/>
      <c r="DF1593" s="440"/>
      <c r="EB1593" s="436"/>
      <c r="EC1593" s="120"/>
      <c r="ED1593" s="120"/>
      <c r="EE1593" s="120"/>
      <c r="EF1593" s="440"/>
    </row>
    <row r="1594" spans="54:136">
      <c r="BB1594" s="436"/>
      <c r="BC1594" s="120"/>
      <c r="BD1594" s="120"/>
      <c r="BE1594" s="120"/>
      <c r="BF1594" s="440"/>
      <c r="CB1594" s="436"/>
      <c r="CC1594" s="120"/>
      <c r="CD1594" s="120"/>
      <c r="CE1594" s="120"/>
      <c r="CF1594" s="440"/>
      <c r="DB1594" s="436"/>
      <c r="DC1594" s="120"/>
      <c r="DD1594" s="120"/>
      <c r="DE1594" s="120"/>
      <c r="DF1594" s="440"/>
      <c r="EB1594" s="436"/>
      <c r="EC1594" s="120"/>
      <c r="ED1594" s="120"/>
      <c r="EE1594" s="120"/>
      <c r="EF1594" s="440"/>
    </row>
    <row r="1595" spans="54:136">
      <c r="BB1595" s="436"/>
      <c r="BC1595" s="120"/>
      <c r="BD1595" s="120"/>
      <c r="BE1595" s="120"/>
      <c r="BF1595" s="440"/>
      <c r="CB1595" s="436"/>
      <c r="CC1595" s="120"/>
      <c r="CD1595" s="120"/>
      <c r="CE1595" s="120"/>
      <c r="CF1595" s="440"/>
      <c r="DB1595" s="436"/>
      <c r="DC1595" s="120"/>
      <c r="DD1595" s="120"/>
      <c r="DE1595" s="120"/>
      <c r="DF1595" s="440"/>
      <c r="EB1595" s="436"/>
      <c r="EC1595" s="120"/>
      <c r="ED1595" s="120"/>
      <c r="EE1595" s="120"/>
      <c r="EF1595" s="440"/>
    </row>
    <row r="1596" spans="54:136">
      <c r="BB1596" s="436"/>
      <c r="BC1596" s="120"/>
      <c r="BD1596" s="120"/>
      <c r="BE1596" s="120"/>
      <c r="BF1596" s="440"/>
      <c r="CB1596" s="436"/>
      <c r="CC1596" s="120"/>
      <c r="CD1596" s="120"/>
      <c r="CE1596" s="120"/>
      <c r="CF1596" s="440"/>
      <c r="DB1596" s="436"/>
      <c r="DC1596" s="120"/>
      <c r="DD1596" s="120"/>
      <c r="DE1596" s="120"/>
      <c r="DF1596" s="440"/>
      <c r="EB1596" s="436"/>
      <c r="EC1596" s="120"/>
      <c r="ED1596" s="120"/>
      <c r="EE1596" s="120"/>
      <c r="EF1596" s="440"/>
    </row>
    <row r="1597" spans="54:136">
      <c r="BB1597" s="436"/>
      <c r="BC1597" s="120"/>
      <c r="BD1597" s="120"/>
      <c r="BE1597" s="120"/>
      <c r="BF1597" s="440"/>
      <c r="CB1597" s="436"/>
      <c r="CC1597" s="120"/>
      <c r="CD1597" s="120"/>
      <c r="CE1597" s="120"/>
      <c r="CF1597" s="440"/>
      <c r="DB1597" s="436"/>
      <c r="DC1597" s="120"/>
      <c r="DD1597" s="120"/>
      <c r="DE1597" s="120"/>
      <c r="DF1597" s="440"/>
      <c r="EB1597" s="436"/>
      <c r="EC1597" s="120"/>
      <c r="ED1597" s="120"/>
      <c r="EE1597" s="120"/>
      <c r="EF1597" s="440"/>
    </row>
    <row r="1598" spans="54:136">
      <c r="BB1598" s="436"/>
      <c r="BC1598" s="120"/>
      <c r="BD1598" s="120"/>
      <c r="BE1598" s="120"/>
      <c r="BF1598" s="440"/>
      <c r="CB1598" s="436"/>
      <c r="CC1598" s="120"/>
      <c r="CD1598" s="120"/>
      <c r="CE1598" s="120"/>
      <c r="CF1598" s="440"/>
      <c r="DB1598" s="436"/>
      <c r="DC1598" s="120"/>
      <c r="DD1598" s="120"/>
      <c r="DE1598" s="120"/>
      <c r="DF1598" s="440"/>
      <c r="EB1598" s="436"/>
      <c r="EC1598" s="120"/>
      <c r="ED1598" s="120"/>
      <c r="EE1598" s="120"/>
      <c r="EF1598" s="440"/>
    </row>
    <row r="1599" spans="54:136">
      <c r="BB1599" s="436"/>
      <c r="BC1599" s="120"/>
      <c r="BD1599" s="120"/>
      <c r="BE1599" s="120"/>
      <c r="BF1599" s="440"/>
      <c r="CB1599" s="436"/>
      <c r="CC1599" s="120"/>
      <c r="CD1599" s="120"/>
      <c r="CE1599" s="120"/>
      <c r="CF1599" s="440"/>
      <c r="DB1599" s="436"/>
      <c r="DC1599" s="120"/>
      <c r="DD1599" s="120"/>
      <c r="DE1599" s="120"/>
      <c r="DF1599" s="440"/>
      <c r="EB1599" s="436"/>
      <c r="EC1599" s="120"/>
      <c r="ED1599" s="120"/>
      <c r="EE1599" s="120"/>
      <c r="EF1599" s="440"/>
    </row>
    <row r="1600" spans="54:136">
      <c r="BB1600" s="436"/>
      <c r="BC1600" s="120"/>
      <c r="BD1600" s="120"/>
      <c r="BE1600" s="120"/>
      <c r="BF1600" s="440"/>
      <c r="CB1600" s="436"/>
      <c r="CC1600" s="120"/>
      <c r="CD1600" s="120"/>
      <c r="CE1600" s="120"/>
      <c r="CF1600" s="440"/>
      <c r="DB1600" s="436"/>
      <c r="DC1600" s="120"/>
      <c r="DD1600" s="120"/>
      <c r="DE1600" s="120"/>
      <c r="DF1600" s="440"/>
      <c r="EB1600" s="436"/>
      <c r="EC1600" s="120"/>
      <c r="ED1600" s="120"/>
      <c r="EE1600" s="120"/>
      <c r="EF1600" s="440"/>
    </row>
    <row r="1601" spans="53:137">
      <c r="BB1601" s="436"/>
      <c r="BC1601" s="120"/>
      <c r="BD1601" s="120"/>
      <c r="BE1601" s="120"/>
      <c r="BF1601" s="440"/>
      <c r="CB1601" s="436"/>
      <c r="CC1601" s="120"/>
      <c r="CD1601" s="120"/>
      <c r="CE1601" s="120"/>
      <c r="CF1601" s="440"/>
      <c r="DB1601" s="436"/>
      <c r="DC1601" s="120"/>
      <c r="DD1601" s="120"/>
      <c r="DE1601" s="120"/>
      <c r="DF1601" s="440"/>
      <c r="EB1601" s="436"/>
      <c r="EC1601" s="120"/>
      <c r="ED1601" s="120"/>
      <c r="EE1601" s="120"/>
      <c r="EF1601" s="440"/>
    </row>
    <row r="1602" spans="53:137">
      <c r="BB1602" s="436"/>
      <c r="BC1602" s="120"/>
      <c r="BD1602" s="120"/>
      <c r="BE1602" s="120"/>
      <c r="BF1602" s="440"/>
      <c r="CB1602" s="436"/>
      <c r="CC1602" s="120"/>
      <c r="CD1602" s="120"/>
      <c r="CE1602" s="120"/>
      <c r="CF1602" s="440"/>
      <c r="DB1602" s="436"/>
      <c r="DC1602" s="120"/>
      <c r="DD1602" s="120"/>
      <c r="DE1602" s="120"/>
      <c r="DF1602" s="440"/>
      <c r="EB1602" s="436"/>
      <c r="EC1602" s="120"/>
      <c r="ED1602" s="120"/>
      <c r="EE1602" s="120"/>
      <c r="EF1602" s="440"/>
    </row>
    <row r="1603" spans="53:137">
      <c r="BB1603" s="436"/>
      <c r="BC1603" s="120"/>
      <c r="BD1603" s="120"/>
      <c r="BE1603" s="120"/>
      <c r="BF1603" s="440"/>
      <c r="CB1603" s="436"/>
      <c r="CC1603" s="120"/>
      <c r="CD1603" s="120"/>
      <c r="CE1603" s="120"/>
      <c r="CF1603" s="440"/>
      <c r="DB1603" s="436"/>
      <c r="DC1603" s="120"/>
      <c r="DD1603" s="120"/>
      <c r="DE1603" s="120"/>
      <c r="DF1603" s="440"/>
      <c r="EB1603" s="436"/>
      <c r="EC1603" s="120"/>
      <c r="ED1603" s="120"/>
      <c r="EE1603" s="120"/>
      <c r="EF1603" s="440"/>
    </row>
    <row r="1604" spans="53:137" ht="14.5" thickBot="1">
      <c r="BB1604" s="492"/>
      <c r="BC1604" s="493"/>
      <c r="BD1604" s="493"/>
      <c r="BE1604" s="493"/>
      <c r="BF1604" s="453"/>
      <c r="CB1604" s="492"/>
      <c r="CC1604" s="493"/>
      <c r="CD1604" s="493"/>
      <c r="CE1604" s="493"/>
      <c r="CF1604" s="453"/>
      <c r="DB1604" s="492"/>
      <c r="DC1604" s="493"/>
      <c r="DD1604" s="493"/>
      <c r="DE1604" s="493"/>
      <c r="DF1604" s="453"/>
      <c r="EB1604" s="492"/>
      <c r="EC1604" s="493"/>
      <c r="ED1604" s="493"/>
      <c r="EE1604" s="493"/>
      <c r="EF1604" s="453"/>
    </row>
    <row r="1607" spans="53:137" ht="14.5" thickBot="1"/>
    <row r="1608" spans="53:137">
      <c r="BA1608" s="114" t="s">
        <v>478</v>
      </c>
      <c r="BB1608" s="431" t="str">
        <f>BB65</f>
        <v>Wheel loader</v>
      </c>
      <c r="BC1608" s="432"/>
      <c r="BD1608" s="433"/>
      <c r="BE1608" s="434"/>
      <c r="BF1608" s="435"/>
      <c r="CA1608" s="114" t="s">
        <v>478</v>
      </c>
      <c r="CB1608" s="431" t="str">
        <f>CB65</f>
        <v>Water treatment</v>
      </c>
      <c r="CC1608" s="432"/>
      <c r="CD1608" s="433"/>
      <c r="CE1608" s="434"/>
      <c r="CF1608" s="435"/>
      <c r="DA1608" s="114" t="s">
        <v>478</v>
      </c>
      <c r="DB1608" s="431" t="str">
        <f>DB65</f>
        <v>Select Equipment</v>
      </c>
      <c r="DC1608" s="432"/>
      <c r="DD1608" s="433"/>
      <c r="DE1608" s="434"/>
      <c r="DF1608" s="435"/>
      <c r="EA1608" s="114" t="s">
        <v>478</v>
      </c>
      <c r="EB1608" s="431" t="str">
        <f>EB67</f>
        <v>Water treatment</v>
      </c>
      <c r="EC1608" s="432"/>
      <c r="ED1608" s="433"/>
      <c r="EE1608" s="434"/>
      <c r="EF1608" s="435"/>
    </row>
    <row r="1609" spans="53:137">
      <c r="BA1609" s="114" t="s">
        <v>5</v>
      </c>
      <c r="BB1609" s="436" t="s">
        <v>1</v>
      </c>
      <c r="BC1609" s="437">
        <f>BC$25/BC$22/BC$21*VLOOKUP(BB1608,'Unit Ops'!$B$140:$J$209,2,FALSE)</f>
        <v>0.92592592592592593</v>
      </c>
      <c r="BD1609" s="438" t="s">
        <v>586</v>
      </c>
      <c r="BE1609" s="1027">
        <f>BC1609*BC$310*BC$311</f>
        <v>10000</v>
      </c>
      <c r="BF1609" s="439" t="s">
        <v>585</v>
      </c>
      <c r="BG1609" s="408"/>
      <c r="CA1609" s="114" t="s">
        <v>5</v>
      </c>
      <c r="CB1609" s="436" t="s">
        <v>1</v>
      </c>
      <c r="CC1609" s="437">
        <f>CC$25/CC$22/CC$21*VLOOKUP(CB1608,'Unit Ops'!$B$140:$J$209,2,FALSE)</f>
        <v>0.91324200913242004</v>
      </c>
      <c r="CD1609" s="438" t="s">
        <v>586</v>
      </c>
      <c r="CE1609" s="1027">
        <f>CC1609*CC$310*CC$311</f>
        <v>10000</v>
      </c>
      <c r="CF1609" s="439" t="s">
        <v>585</v>
      </c>
      <c r="CG1609" s="408"/>
      <c r="DA1609" s="114" t="s">
        <v>5</v>
      </c>
      <c r="DB1609" s="436" t="s">
        <v>1</v>
      </c>
      <c r="DC1609" s="437">
        <f>DC$25/DC$22/DC$21*VLOOKUP(DB1608,'Unit Ops'!$B$140:$J$209,2,FALSE)</f>
        <v>0.92592592592592593</v>
      </c>
      <c r="DD1609" s="438" t="s">
        <v>586</v>
      </c>
      <c r="DE1609" s="1027">
        <f>DC1609*DC$310*DC$311</f>
        <v>10000</v>
      </c>
      <c r="DF1609" s="439" t="s">
        <v>585</v>
      </c>
      <c r="DG1609" s="408"/>
      <c r="EA1609" s="114" t="s">
        <v>5</v>
      </c>
      <c r="EB1609" s="436" t="s">
        <v>1</v>
      </c>
      <c r="EC1609" s="437">
        <f>EC$26/EC$23/EC$22*VLOOKUP(EB1608,'Unit Ops'!$B$140:$J$209,2,FALSE)</f>
        <v>1.3020833333333333</v>
      </c>
      <c r="ED1609" s="438" t="s">
        <v>586</v>
      </c>
      <c r="EE1609" s="1027">
        <f>EC1609*EC$310*EC$311</f>
        <v>10000</v>
      </c>
      <c r="EF1609" s="439" t="s">
        <v>585</v>
      </c>
      <c r="EG1609" s="408"/>
    </row>
    <row r="1610" spans="53:137">
      <c r="BA1610" s="114" t="str">
        <f>$BB$54</f>
        <v>Hopper</v>
      </c>
      <c r="BB1610" s="436" t="s">
        <v>505</v>
      </c>
      <c r="BC1610" s="437">
        <f>ROUNDUP(BC1609*IF(VLOOKUP(BB1608,'Unit Ops'!$B$140:$L$209,11,FALSE)=1,1.5,0.75),1)</f>
        <v>0.7</v>
      </c>
      <c r="BD1610" s="438" t="s">
        <v>586</v>
      </c>
      <c r="BE1610" s="120">
        <f>BC1610*BC$310*BC$311</f>
        <v>7560</v>
      </c>
      <c r="BF1610" s="439" t="s">
        <v>585</v>
      </c>
      <c r="BG1610" s="520"/>
      <c r="CA1610" s="114" t="str">
        <f>$CB$54</f>
        <v>Conveyor</v>
      </c>
      <c r="CB1610" s="436" t="s">
        <v>505</v>
      </c>
      <c r="CC1610" s="437">
        <f>ROUNDUP(CC1609*IF(VLOOKUP(CB1608,'Unit Ops'!$B$140:$L$209,11,FALSE)=1,1.5,0.75),1)</f>
        <v>1.4000000000000001</v>
      </c>
      <c r="CD1610" s="438" t="s">
        <v>586</v>
      </c>
      <c r="CE1610" s="120">
        <f>CC1610*CC$310*CC$311</f>
        <v>15330.000000000002</v>
      </c>
      <c r="CF1610" s="439" t="s">
        <v>585</v>
      </c>
      <c r="CG1610" s="520"/>
      <c r="DA1610" s="114" t="str">
        <f>$DB$54</f>
        <v>Conveyor</v>
      </c>
      <c r="DB1610" s="436" t="s">
        <v>505</v>
      </c>
      <c r="DC1610" s="437">
        <f>ROUNDUP(DC1609*IF(VLOOKUP(DB1608,'Unit Ops'!$B$140:$L$209,11,FALSE)=1,1.5,0.75),1)</f>
        <v>0.7</v>
      </c>
      <c r="DD1610" s="438" t="s">
        <v>586</v>
      </c>
      <c r="DE1610" s="120">
        <f>DC1610*DC$310*DC$311</f>
        <v>7560</v>
      </c>
      <c r="DF1610" s="439" t="s">
        <v>585</v>
      </c>
      <c r="DG1610" s="520"/>
      <c r="EA1610" s="114" t="str">
        <f>$EB$56</f>
        <v>Conveyor</v>
      </c>
      <c r="EB1610" s="436" t="s">
        <v>505</v>
      </c>
      <c r="EC1610" s="437">
        <f>ROUNDUP(EC1609*IF(VLOOKUP(EB1608,'Unit Ops'!$B$140:$L$209,11,FALSE)=1,1.5,0.75),1)</f>
        <v>2</v>
      </c>
      <c r="ED1610" s="438" t="s">
        <v>586</v>
      </c>
      <c r="EE1610" s="120">
        <f>EC1610*EC$310*EC$311</f>
        <v>15360</v>
      </c>
      <c r="EF1610" s="439" t="s">
        <v>585</v>
      </c>
      <c r="EG1610" s="520"/>
    </row>
    <row r="1611" spans="53:137">
      <c r="BA1611" s="114" t="str">
        <f>$BB$55</f>
        <v>Conveyor</v>
      </c>
      <c r="BB1611" s="441" t="s">
        <v>521</v>
      </c>
      <c r="BC1611" s="442">
        <f>BC1609/BC1610</f>
        <v>1.3227513227513228</v>
      </c>
      <c r="BD1611" s="438"/>
      <c r="BE1611" s="443"/>
      <c r="BF1611" s="440"/>
      <c r="BG1611" s="521"/>
      <c r="CA1611" s="114" t="str">
        <f>$CB$55</f>
        <v>Leaching tank</v>
      </c>
      <c r="CB1611" s="441" t="s">
        <v>521</v>
      </c>
      <c r="CC1611" s="442">
        <f>CC1609/CC1610</f>
        <v>0.65231572080887135</v>
      </c>
      <c r="CD1611" s="438"/>
      <c r="CE1611" s="443"/>
      <c r="CF1611" s="440"/>
      <c r="CG1611" s="521"/>
      <c r="DA1611" s="114" t="str">
        <f>$DB$55</f>
        <v>Froth flotation cell</v>
      </c>
      <c r="DB1611" s="441" t="s">
        <v>521</v>
      </c>
      <c r="DC1611" s="442">
        <f>DC1609/DC1610</f>
        <v>1.3227513227513228</v>
      </c>
      <c r="DD1611" s="438"/>
      <c r="DE1611" s="443"/>
      <c r="DF1611" s="440"/>
      <c r="DG1611" s="521"/>
      <c r="EA1611" s="114" t="str">
        <f>$EB$57</f>
        <v>Leaching tank</v>
      </c>
      <c r="EB1611" s="441" t="s">
        <v>521</v>
      </c>
      <c r="EC1611" s="442">
        <f>EC1609/EC1610</f>
        <v>0.65104166666666663</v>
      </c>
      <c r="ED1611" s="438"/>
      <c r="EE1611" s="443"/>
      <c r="EF1611" s="440"/>
      <c r="EG1611" s="521"/>
    </row>
    <row r="1612" spans="53:137">
      <c r="BA1612" s="114" t="str">
        <f>$BB$56</f>
        <v>Smelter</v>
      </c>
      <c r="BB1612" s="441" t="s">
        <v>506</v>
      </c>
      <c r="BC1612" s="445"/>
      <c r="BD1612" s="438" t="s">
        <v>454</v>
      </c>
      <c r="BE1612" s="443"/>
      <c r="BF1612" s="440"/>
      <c r="BG1612" s="408"/>
      <c r="CA1612" s="114" t="str">
        <f>$CB$56</f>
        <v>Mixing tank</v>
      </c>
      <c r="CB1612" s="441" t="s">
        <v>506</v>
      </c>
      <c r="CC1612" s="445"/>
      <c r="CD1612" s="438" t="s">
        <v>454</v>
      </c>
      <c r="CE1612" s="443"/>
      <c r="CF1612" s="440"/>
      <c r="CG1612" s="408"/>
      <c r="DA1612" s="114" t="str">
        <f>$DB$56</f>
        <v>Filter press</v>
      </c>
      <c r="DB1612" s="441" t="s">
        <v>506</v>
      </c>
      <c r="DC1612" s="445"/>
      <c r="DD1612" s="438" t="s">
        <v>454</v>
      </c>
      <c r="DE1612" s="443"/>
      <c r="DF1612" s="440"/>
      <c r="DG1612" s="408"/>
      <c r="EA1612" s="114" t="str">
        <f>$EB$58</f>
        <v>Mixing tank</v>
      </c>
      <c r="EB1612" s="441" t="s">
        <v>506</v>
      </c>
      <c r="EC1612" s="445"/>
      <c r="ED1612" s="438" t="s">
        <v>454</v>
      </c>
      <c r="EE1612" s="443"/>
      <c r="EF1612" s="440"/>
      <c r="EG1612" s="408"/>
    </row>
    <row r="1613" spans="53:137">
      <c r="BA1613" s="114" t="str">
        <f>$BB$57</f>
        <v>Gas treatment</v>
      </c>
      <c r="BB1613" s="436" t="s">
        <v>507</v>
      </c>
      <c r="BC1613" s="225">
        <f>(VLOOKUP(BB1608,'Unit Ops'!$B$140:$J$209,7,FALSE)*BC1610^VLOOKUP(BB1608,'Unit Ops'!$B$140:$J$209,8,FALSE)+VLOOKUP(BB1608,'Unit Ops'!$B$140:$J$209,9,FALSE))*IF(VLOOKUP(BB1608,'Unit Ops'!$B$140:$L$209,11,FALSE)=1,1,2)</f>
        <v>0</v>
      </c>
      <c r="BD1613" s="446" t="s">
        <v>454</v>
      </c>
      <c r="BE1613" s="443"/>
      <c r="BF1613" s="440"/>
      <c r="BG1613" s="521"/>
      <c r="CA1613" s="114" t="str">
        <f>$CB$57</f>
        <v>Filter press</v>
      </c>
      <c r="CB1613" s="436" t="s">
        <v>507</v>
      </c>
      <c r="CC1613" s="225">
        <f>(VLOOKUP(CB1608,'Unit Ops'!$B$140:$J$209,7,FALSE)*CC1610^VLOOKUP(CB1608,'Unit Ops'!$B$140:$J$209,8,FALSE)+VLOOKUP(CB1608,'Unit Ops'!$B$140:$J$209,9,FALSE))*IF(VLOOKUP(CB1608,'Unit Ops'!$B$140:$L$209,11,FALSE)=1,1,2)</f>
        <v>1000</v>
      </c>
      <c r="CD1613" s="446" t="s">
        <v>454</v>
      </c>
      <c r="CE1613" s="443"/>
      <c r="CF1613" s="440"/>
      <c r="CG1613" s="521"/>
      <c r="DA1613" s="114" t="str">
        <f>$DB$57</f>
        <v>Froth flotation cell</v>
      </c>
      <c r="DB1613" s="436" t="s">
        <v>507</v>
      </c>
      <c r="DC1613" s="225">
        <f>(VLOOKUP(DB1608,'Unit Ops'!$B$140:$J$209,7,FALSE)*DC1610^VLOOKUP(DB1608,'Unit Ops'!$B$140:$J$209,8,FALSE)+VLOOKUP(DB1608,'Unit Ops'!$B$140:$J$209,9,FALSE))*IF(VLOOKUP(DB1608,'Unit Ops'!$B$140:$L$209,11,FALSE)=1,1,2)</f>
        <v>0</v>
      </c>
      <c r="DD1613" s="446" t="s">
        <v>454</v>
      </c>
      <c r="DE1613" s="443"/>
      <c r="DF1613" s="440"/>
      <c r="DG1613" s="521"/>
      <c r="EA1613" s="114" t="str">
        <f>$EB$59</f>
        <v>Filter press</v>
      </c>
      <c r="EB1613" s="436" t="s">
        <v>507</v>
      </c>
      <c r="EC1613" s="225">
        <f>(VLOOKUP(EB1608,'Unit Ops'!$B$140:$J$209,7,FALSE)*EC1610^VLOOKUP(EB1608,'Unit Ops'!$B$140:$J$209,8,FALSE)+VLOOKUP(EB1608,'Unit Ops'!$B$140:$J$209,9,FALSE))*IF(VLOOKUP(EB1608,'Unit Ops'!$B$140:$L$209,11,FALSE)=1,1,2)</f>
        <v>1000</v>
      </c>
      <c r="ED1613" s="446" t="s">
        <v>454</v>
      </c>
      <c r="EE1613" s="443"/>
      <c r="EF1613" s="440"/>
      <c r="EG1613" s="521"/>
    </row>
    <row r="1614" spans="53:137">
      <c r="BA1614" s="114" t="str">
        <f>$BB$58</f>
        <v>Conveyor</v>
      </c>
      <c r="BB1614" s="441"/>
      <c r="BC1614" s="445"/>
      <c r="BD1614" s="447"/>
      <c r="BE1614" s="443"/>
      <c r="BF1614" s="440"/>
      <c r="BG1614" s="470"/>
      <c r="CA1614" s="114" t="str">
        <f>$CB$58</f>
        <v>Solvent extraction unit</v>
      </c>
      <c r="CB1614" s="441"/>
      <c r="CC1614" s="445"/>
      <c r="CD1614" s="447"/>
      <c r="CE1614" s="443"/>
      <c r="CF1614" s="440"/>
      <c r="CG1614" s="470"/>
      <c r="DA1614" s="114" t="str">
        <f>$DB$58</f>
        <v>Filter press</v>
      </c>
      <c r="DB1614" s="441"/>
      <c r="DC1614" s="445"/>
      <c r="DD1614" s="447"/>
      <c r="DE1614" s="443"/>
      <c r="DF1614" s="440"/>
      <c r="DG1614" s="470"/>
      <c r="EA1614" s="114" t="str">
        <f>$EB$60</f>
        <v>Solvent extraction unit</v>
      </c>
      <c r="EB1614" s="441"/>
      <c r="EC1614" s="445"/>
      <c r="ED1614" s="447"/>
      <c r="EE1614" s="443"/>
      <c r="EF1614" s="440"/>
      <c r="EG1614" s="470"/>
    </row>
    <row r="1615" spans="53:137">
      <c r="BA1615" s="114" t="str">
        <f>$BB$59</f>
        <v>Granulator</v>
      </c>
      <c r="BB1615" s="441"/>
      <c r="BC1615" s="445"/>
      <c r="BD1615" s="447"/>
      <c r="BE1615" s="443"/>
      <c r="BF1615" s="440"/>
      <c r="BG1615" s="521"/>
      <c r="CA1615" s="114" t="str">
        <f>$CB$59</f>
        <v>Solvent extraction unit</v>
      </c>
      <c r="CB1615" s="441"/>
      <c r="CC1615" s="445"/>
      <c r="CD1615" s="447"/>
      <c r="CE1615" s="443"/>
      <c r="CF1615" s="440"/>
      <c r="CG1615" s="521"/>
      <c r="DA1615" s="114" t="str">
        <f>$DB$59</f>
        <v>Dryer</v>
      </c>
      <c r="DB1615" s="441"/>
      <c r="DC1615" s="445"/>
      <c r="DD1615" s="447"/>
      <c r="DE1615" s="443"/>
      <c r="DF1615" s="440"/>
      <c r="DG1615" s="521"/>
      <c r="EA1615" s="114" t="str">
        <f>$EB$61</f>
        <v>Solvent extraction unit</v>
      </c>
      <c r="EB1615" s="441"/>
      <c r="EC1615" s="445"/>
      <c r="ED1615" s="447"/>
      <c r="EE1615" s="443"/>
      <c r="EF1615" s="440"/>
      <c r="EG1615" s="521"/>
    </row>
    <row r="1616" spans="53:137">
      <c r="BA1616" s="114" t="str">
        <f>$BB$60</f>
        <v>Leaching tank</v>
      </c>
      <c r="BB1616" s="449"/>
      <c r="BC1616" s="445"/>
      <c r="BD1616" s="447"/>
      <c r="BE1616" s="443"/>
      <c r="BF1616" s="440"/>
      <c r="BG1616" s="507"/>
      <c r="CA1616" s="114" t="str">
        <f>$CB$60</f>
        <v>Solvent extraction unit</v>
      </c>
      <c r="CB1616" s="449"/>
      <c r="CC1616" s="445"/>
      <c r="CD1616" s="447"/>
      <c r="CE1616" s="443"/>
      <c r="CF1616" s="440"/>
      <c r="CG1616" s="507"/>
      <c r="DA1616" s="114" t="str">
        <f>$DB$60</f>
        <v>Ball mill</v>
      </c>
      <c r="DB1616" s="449"/>
      <c r="DC1616" s="445"/>
      <c r="DD1616" s="447"/>
      <c r="DE1616" s="443"/>
      <c r="DF1616" s="440"/>
      <c r="DG1616" s="507"/>
      <c r="EA1616" s="114" t="str">
        <f>$EB$62</f>
        <v>Solvent extraction unit</v>
      </c>
      <c r="EB1616" s="449"/>
      <c r="EC1616" s="445"/>
      <c r="ED1616" s="447"/>
      <c r="EE1616" s="443"/>
      <c r="EF1616" s="440"/>
      <c r="EG1616" s="507"/>
    </row>
    <row r="1617" spans="53:137" ht="14.5" thickBot="1">
      <c r="BA1617" s="114" t="str">
        <f>$BB$61</f>
        <v>Solvent extraction unit</v>
      </c>
      <c r="BB1617" s="450"/>
      <c r="BC1617" s="451"/>
      <c r="BD1617" s="451"/>
      <c r="BE1617" s="452"/>
      <c r="BF1617" s="453"/>
      <c r="BG1617" s="521"/>
      <c r="CA1617" s="114" t="str">
        <f>$CB$61</f>
        <v>Evaporator</v>
      </c>
      <c r="CB1617" s="450"/>
      <c r="CC1617" s="451"/>
      <c r="CD1617" s="451"/>
      <c r="CE1617" s="452"/>
      <c r="CF1617" s="453"/>
      <c r="CG1617" s="521"/>
      <c r="DA1617" s="114" t="str">
        <f>$DB$61</f>
        <v>Furnace+saggar handling system</v>
      </c>
      <c r="DB1617" s="450"/>
      <c r="DC1617" s="451"/>
      <c r="DD1617" s="451"/>
      <c r="DE1617" s="452"/>
      <c r="DF1617" s="453"/>
      <c r="DG1617" s="521"/>
      <c r="EA1617" s="114" t="str">
        <f>$EB$63</f>
        <v>Evaporator</v>
      </c>
      <c r="EB1617" s="450"/>
      <c r="EC1617" s="451"/>
      <c r="ED1617" s="451"/>
      <c r="EE1617" s="452"/>
      <c r="EF1617" s="453"/>
      <c r="EG1617" s="521"/>
    </row>
    <row r="1618" spans="53:137">
      <c r="BA1618" s="114" t="str">
        <f>$BB$62</f>
        <v>Electrowinning cell</v>
      </c>
      <c r="BB1618" s="449" t="s">
        <v>470</v>
      </c>
      <c r="BC1618" s="120"/>
      <c r="BD1618" s="454"/>
      <c r="BE1618" s="120"/>
      <c r="BF1618" s="440"/>
      <c r="BG1618" s="474"/>
      <c r="CA1618" s="114" t="str">
        <f>$CB$62</f>
        <v>Precipitation tank</v>
      </c>
      <c r="CB1618" s="449" t="s">
        <v>470</v>
      </c>
      <c r="CC1618" s="120"/>
      <c r="CD1618" s="454"/>
      <c r="CE1618" s="120"/>
      <c r="CF1618" s="440"/>
      <c r="CG1618" s="474"/>
      <c r="DA1618" s="114" t="str">
        <f>$DB$62</f>
        <v>Water treatment</v>
      </c>
      <c r="DB1618" s="449" t="s">
        <v>470</v>
      </c>
      <c r="DC1618" s="120"/>
      <c r="DD1618" s="454"/>
      <c r="DE1618" s="120"/>
      <c r="DF1618" s="440"/>
      <c r="DG1618" s="474"/>
      <c r="EA1618" s="114" t="str">
        <f>$EB$64</f>
        <v>Precipitation tank</v>
      </c>
      <c r="EB1618" s="449" t="s">
        <v>470</v>
      </c>
      <c r="EC1618" s="120"/>
      <c r="ED1618" s="454"/>
      <c r="EE1618" s="120"/>
      <c r="EF1618" s="440"/>
      <c r="EG1618" s="474"/>
    </row>
    <row r="1619" spans="53:137" ht="14.5" customHeight="1">
      <c r="BA1619" s="114" t="str">
        <f>$BB$63</f>
        <v>Solvent extraction unit</v>
      </c>
      <c r="BB1619" s="1698"/>
      <c r="BC1619" s="1699"/>
      <c r="BD1619" s="1699"/>
      <c r="BE1619" s="1699"/>
      <c r="BF1619" s="1700"/>
      <c r="BG1619" s="474"/>
      <c r="CA1619" s="114" t="str">
        <f>$CB$63</f>
        <v>Centrifuge</v>
      </c>
      <c r="CB1619" s="1698"/>
      <c r="CC1619" s="1699"/>
      <c r="CD1619" s="1699"/>
      <c r="CE1619" s="1699"/>
      <c r="CF1619" s="1700"/>
      <c r="CG1619" s="474"/>
      <c r="DA1619" s="114" t="str">
        <f>$DB$63</f>
        <v>Wheel loader</v>
      </c>
      <c r="DB1619" s="1698"/>
      <c r="DC1619" s="1699"/>
      <c r="DD1619" s="1699"/>
      <c r="DE1619" s="1699"/>
      <c r="DF1619" s="1700"/>
      <c r="DG1619" s="474"/>
      <c r="EA1619" s="114" t="str">
        <f>$EB$65</f>
        <v>Centrifuge</v>
      </c>
      <c r="EB1619" s="1698"/>
      <c r="EC1619" s="1699"/>
      <c r="ED1619" s="1699"/>
      <c r="EE1619" s="1699"/>
      <c r="EF1619" s="1700"/>
      <c r="EG1619" s="474"/>
    </row>
    <row r="1620" spans="53:137">
      <c r="BA1620" s="114" t="str">
        <f>$BB$64</f>
        <v>Solvent extraction unit</v>
      </c>
      <c r="BB1620" s="436"/>
      <c r="BC1620" s="120"/>
      <c r="BD1620" s="455"/>
      <c r="BE1620" s="120"/>
      <c r="BF1620" s="440"/>
      <c r="BG1620" s="474"/>
      <c r="CA1620" s="114" t="str">
        <f>$CB$64</f>
        <v>Dryer</v>
      </c>
      <c r="CB1620" s="436"/>
      <c r="CC1620" s="120"/>
      <c r="CD1620" s="455"/>
      <c r="CE1620" s="120"/>
      <c r="CF1620" s="440"/>
      <c r="CG1620" s="474"/>
      <c r="DA1620" s="114" t="str">
        <f>$DB$64</f>
        <v>Select Equipment</v>
      </c>
      <c r="DB1620" s="436"/>
      <c r="DC1620" s="120"/>
      <c r="DD1620" s="455"/>
      <c r="DE1620" s="120"/>
      <c r="DF1620" s="440"/>
      <c r="DG1620" s="474"/>
      <c r="EA1620" s="114" t="str">
        <f>$EB$66</f>
        <v>Dryer</v>
      </c>
      <c r="EB1620" s="436"/>
      <c r="EC1620" s="120"/>
      <c r="ED1620" s="455"/>
      <c r="EE1620" s="120"/>
      <c r="EF1620" s="440"/>
      <c r="EG1620" s="474"/>
    </row>
    <row r="1621" spans="53:137">
      <c r="BA1621" s="114" t="str">
        <f>$BB$65</f>
        <v>Wheel loader</v>
      </c>
      <c r="BB1621" s="436"/>
      <c r="BC1621" s="120"/>
      <c r="BD1621" s="455"/>
      <c r="BE1621" s="120"/>
      <c r="BF1621" s="440"/>
      <c r="BG1621" s="474"/>
      <c r="CA1621" s="114" t="str">
        <f>$CB$65</f>
        <v>Water treatment</v>
      </c>
      <c r="CB1621" s="436"/>
      <c r="CC1621" s="120"/>
      <c r="CD1621" s="455"/>
      <c r="CE1621" s="120"/>
      <c r="CF1621" s="440"/>
      <c r="CG1621" s="474"/>
      <c r="DA1621" s="114" t="str">
        <f>$DB$65</f>
        <v>Select Equipment</v>
      </c>
      <c r="DB1621" s="436"/>
      <c r="DC1621" s="120"/>
      <c r="DD1621" s="455"/>
      <c r="DE1621" s="120"/>
      <c r="DF1621" s="440"/>
      <c r="DG1621" s="474"/>
      <c r="EA1621" s="114" t="str">
        <f>$EB$67</f>
        <v>Water treatment</v>
      </c>
      <c r="EB1621" s="436"/>
      <c r="EC1621" s="120"/>
      <c r="ED1621" s="455"/>
      <c r="EE1621" s="120"/>
      <c r="EF1621" s="440"/>
      <c r="EG1621" s="474"/>
    </row>
    <row r="1622" spans="53:137">
      <c r="BA1622" s="114" t="str">
        <f>$BB$66</f>
        <v>Water treatment</v>
      </c>
      <c r="BB1622" s="456"/>
      <c r="BC1622" s="457"/>
      <c r="BD1622" s="457"/>
      <c r="BE1622" s="457"/>
      <c r="BF1622" s="458"/>
      <c r="BG1622" s="474"/>
      <c r="CA1622" s="114" t="str">
        <f>$CB$66</f>
        <v>Wheel loader</v>
      </c>
      <c r="CB1622" s="456"/>
      <c r="CC1622" s="457"/>
      <c r="CD1622" s="457"/>
      <c r="CE1622" s="457"/>
      <c r="CF1622" s="458"/>
      <c r="CG1622" s="474"/>
      <c r="DA1622" s="114" t="str">
        <f>$DB$66</f>
        <v>Select Equipment</v>
      </c>
      <c r="DB1622" s="456"/>
      <c r="DC1622" s="457"/>
      <c r="DD1622" s="457"/>
      <c r="DE1622" s="457"/>
      <c r="DF1622" s="458"/>
      <c r="DG1622" s="474"/>
      <c r="EA1622" s="114" t="str">
        <f>$EB$68</f>
        <v>Wheel loader</v>
      </c>
      <c r="EB1622" s="456"/>
      <c r="EC1622" s="457"/>
      <c r="ED1622" s="457"/>
      <c r="EE1622" s="457"/>
      <c r="EF1622" s="458"/>
      <c r="EG1622" s="474"/>
    </row>
    <row r="1623" spans="53:137">
      <c r="BA1623" s="114" t="str">
        <f>$BB$67</f>
        <v>Select Equipment</v>
      </c>
      <c r="BB1623" s="449" t="s">
        <v>471</v>
      </c>
      <c r="BC1623" s="120"/>
      <c r="BD1623" s="454"/>
      <c r="BE1623" s="120"/>
      <c r="BF1623" s="440"/>
      <c r="CA1623" s="114" t="str">
        <f>$CB$67</f>
        <v>Select Equipment</v>
      </c>
      <c r="CB1623" s="449" t="s">
        <v>471</v>
      </c>
      <c r="CC1623" s="120"/>
      <c r="CD1623" s="454"/>
      <c r="CE1623" s="120"/>
      <c r="CF1623" s="440"/>
      <c r="DA1623" s="114" t="str">
        <f>$DB$67</f>
        <v>Select Equipment</v>
      </c>
      <c r="DB1623" s="449" t="s">
        <v>471</v>
      </c>
      <c r="DC1623" s="120"/>
      <c r="DD1623" s="454"/>
      <c r="DE1623" s="120"/>
      <c r="DF1623" s="440"/>
      <c r="EA1623" s="114" t="str">
        <f>$EB$69</f>
        <v>Select Equipment</v>
      </c>
      <c r="EB1623" s="449" t="s">
        <v>471</v>
      </c>
      <c r="EC1623" s="120"/>
      <c r="ED1623" s="454"/>
      <c r="EE1623" s="120"/>
      <c r="EF1623" s="440"/>
    </row>
    <row r="1624" spans="53:137">
      <c r="BA1624" s="114" t="str">
        <f>$BB$68</f>
        <v>Select Equipment</v>
      </c>
      <c r="BB1624" s="436" t="s">
        <v>577</v>
      </c>
      <c r="BC1624" s="225">
        <f>BC1613*IF(BC1611&gt;1,1,BC1611)</f>
        <v>0</v>
      </c>
      <c r="BD1624" s="446" t="s">
        <v>454</v>
      </c>
      <c r="BE1624" s="120"/>
      <c r="BF1624" s="440"/>
      <c r="CA1624" s="114" t="str">
        <f>$CB$68</f>
        <v>Select Equipment</v>
      </c>
      <c r="CB1624" s="436" t="s">
        <v>577</v>
      </c>
      <c r="CC1624" s="225">
        <f>CC1613*IF(CC1611&gt;1,1,CC1611)</f>
        <v>652.31572080887133</v>
      </c>
      <c r="CD1624" s="446" t="s">
        <v>454</v>
      </c>
      <c r="CE1624" s="120"/>
      <c r="CF1624" s="440"/>
      <c r="DA1624" s="114" t="str">
        <f>$DB$68</f>
        <v>Select Equipment</v>
      </c>
      <c r="DB1624" s="436" t="s">
        <v>577</v>
      </c>
      <c r="DC1624" s="225">
        <f>DC1613*IF(DC1611&gt;1,1,DC1611)</f>
        <v>0</v>
      </c>
      <c r="DD1624" s="446" t="s">
        <v>454</v>
      </c>
      <c r="DE1624" s="120"/>
      <c r="DF1624" s="440"/>
      <c r="EA1624" s="114" t="str">
        <f>$EB$70</f>
        <v>Select Equipment</v>
      </c>
      <c r="EB1624" s="436" t="s">
        <v>577</v>
      </c>
      <c r="EC1624" s="225">
        <f>EC1613*IF(EC1611&gt;1,1,EC1611)</f>
        <v>651.04166666666663</v>
      </c>
      <c r="ED1624" s="446" t="s">
        <v>454</v>
      </c>
      <c r="EE1624" s="120"/>
      <c r="EF1624" s="440"/>
    </row>
    <row r="1625" spans="53:137">
      <c r="BA1625" s="114" t="str">
        <f>$BB$69</f>
        <v>Select Equipment</v>
      </c>
      <c r="BB1625" s="436" t="s">
        <v>578</v>
      </c>
      <c r="BC1625" s="225"/>
      <c r="BD1625" s="446" t="s">
        <v>579</v>
      </c>
      <c r="BE1625" s="120"/>
      <c r="BF1625" s="440"/>
      <c r="CA1625" s="114" t="str">
        <f>$CB$69</f>
        <v>Select Equipment</v>
      </c>
      <c r="CB1625" s="436" t="s">
        <v>578</v>
      </c>
      <c r="CC1625" s="225"/>
      <c r="CD1625" s="446" t="s">
        <v>579</v>
      </c>
      <c r="CE1625" s="120"/>
      <c r="CF1625" s="440"/>
      <c r="DA1625" s="114" t="str">
        <f>$DB$69</f>
        <v>Select Equipment</v>
      </c>
      <c r="DB1625" s="436" t="s">
        <v>578</v>
      </c>
      <c r="DC1625" s="225"/>
      <c r="DD1625" s="446" t="s">
        <v>579</v>
      </c>
      <c r="DE1625" s="120"/>
      <c r="DF1625" s="440"/>
      <c r="EA1625" s="114" t="str">
        <f>$EB$71</f>
        <v>Select Equipment</v>
      </c>
      <c r="EB1625" s="436" t="s">
        <v>578</v>
      </c>
      <c r="EC1625" s="225"/>
      <c r="ED1625" s="446" t="s">
        <v>579</v>
      </c>
      <c r="EE1625" s="120"/>
      <c r="EF1625" s="440"/>
    </row>
    <row r="1626" spans="53:137">
      <c r="BA1626" s="114" t="str">
        <f>$BB$70</f>
        <v>Select Equipment</v>
      </c>
      <c r="BB1626" s="436"/>
      <c r="BC1626" s="120"/>
      <c r="BD1626" s="446"/>
      <c r="BE1626" s="120"/>
      <c r="BF1626" s="440"/>
      <c r="CA1626" s="114" t="str">
        <f>$CB$70</f>
        <v>Select Equipment</v>
      </c>
      <c r="CB1626" s="436"/>
      <c r="CC1626" s="120"/>
      <c r="CD1626" s="446"/>
      <c r="CE1626" s="120"/>
      <c r="CF1626" s="440"/>
      <c r="DA1626" s="114" t="str">
        <f>$DB$70</f>
        <v>Select Equipment</v>
      </c>
      <c r="DB1626" s="436"/>
      <c r="DC1626" s="120"/>
      <c r="DD1626" s="446"/>
      <c r="DE1626" s="120"/>
      <c r="DF1626" s="440"/>
      <c r="EA1626" s="114" t="str">
        <f>$EB$72</f>
        <v>Select Equipment</v>
      </c>
      <c r="EB1626" s="436"/>
      <c r="EC1626" s="120"/>
      <c r="ED1626" s="446"/>
      <c r="EE1626" s="120"/>
      <c r="EF1626" s="440"/>
    </row>
    <row r="1627" spans="53:137">
      <c r="BA1627" s="114" t="str">
        <f>$BB$71</f>
        <v>Select Equipment</v>
      </c>
      <c r="BB1627" s="436" t="s">
        <v>8</v>
      </c>
      <c r="BC1627" s="120"/>
      <c r="BD1627" s="459" t="s">
        <v>564</v>
      </c>
      <c r="BE1627" s="120"/>
      <c r="BF1627" s="440"/>
      <c r="CA1627" s="114" t="str">
        <f>$CB$71</f>
        <v>Select Equipment</v>
      </c>
      <c r="CB1627" s="436" t="s">
        <v>8</v>
      </c>
      <c r="CC1627" s="120"/>
      <c r="CD1627" s="459" t="s">
        <v>564</v>
      </c>
      <c r="CE1627" s="120"/>
      <c r="CF1627" s="440"/>
      <c r="DA1627" s="114" t="str">
        <f>$DB$71</f>
        <v>Select Equipment</v>
      </c>
      <c r="DB1627" s="436" t="s">
        <v>8</v>
      </c>
      <c r="DC1627" s="120"/>
      <c r="DD1627" s="459" t="s">
        <v>564</v>
      </c>
      <c r="DE1627" s="120"/>
      <c r="DF1627" s="440"/>
      <c r="EA1627" s="114" t="str">
        <f>$EB$73</f>
        <v>Select Equipment</v>
      </c>
      <c r="EB1627" s="436" t="s">
        <v>8</v>
      </c>
      <c r="EC1627" s="120"/>
      <c r="ED1627" s="459" t="s">
        <v>564</v>
      </c>
      <c r="EE1627" s="120"/>
      <c r="EF1627" s="440"/>
    </row>
    <row r="1628" spans="53:137">
      <c r="BA1628" s="114" t="str">
        <f>$BB$72</f>
        <v>Select Equipment</v>
      </c>
      <c r="BB1628" s="436"/>
      <c r="BC1628" s="120"/>
      <c r="BD1628" s="459"/>
      <c r="BE1628" s="120"/>
      <c r="BF1628" s="440"/>
      <c r="CA1628" s="114" t="str">
        <f>$CB$72</f>
        <v>Select Equipment</v>
      </c>
      <c r="CB1628" s="436"/>
      <c r="CC1628" s="120"/>
      <c r="CD1628" s="459"/>
      <c r="CE1628" s="120"/>
      <c r="CF1628" s="440"/>
      <c r="DA1628" s="114" t="str">
        <f>$DB$72</f>
        <v>Select Equipment</v>
      </c>
      <c r="DB1628" s="436"/>
      <c r="DC1628" s="120"/>
      <c r="DD1628" s="459"/>
      <c r="DE1628" s="120"/>
      <c r="DF1628" s="440"/>
      <c r="EA1628" s="114" t="str">
        <f>$EB$74</f>
        <v>Select Equipment</v>
      </c>
      <c r="EB1628" s="436"/>
      <c r="EC1628" s="120"/>
      <c r="ED1628" s="459"/>
      <c r="EE1628" s="120"/>
      <c r="EF1628" s="440"/>
    </row>
    <row r="1629" spans="53:137">
      <c r="BA1629" s="114" t="str">
        <f>$BB$73</f>
        <v>Select Equipment</v>
      </c>
      <c r="BB1629" s="436" t="s">
        <v>7</v>
      </c>
      <c r="BC1629" s="120"/>
      <c r="BD1629" s="459" t="s">
        <v>564</v>
      </c>
      <c r="BE1629" s="120"/>
      <c r="BF1629" s="440"/>
      <c r="CA1629" s="114" t="str">
        <f>$CB$73</f>
        <v>Select Equipment</v>
      </c>
      <c r="CB1629" s="436" t="s">
        <v>7</v>
      </c>
      <c r="CC1629" s="120"/>
      <c r="CD1629" s="459" t="s">
        <v>564</v>
      </c>
      <c r="CE1629" s="120"/>
      <c r="CF1629" s="440"/>
      <c r="DA1629" s="114" t="str">
        <f>$DB$73</f>
        <v>Select Equipment</v>
      </c>
      <c r="DB1629" s="436" t="s">
        <v>7</v>
      </c>
      <c r="DC1629" s="120"/>
      <c r="DD1629" s="459" t="s">
        <v>564</v>
      </c>
      <c r="DE1629" s="120"/>
      <c r="DF1629" s="440"/>
      <c r="EA1629" s="114" t="str">
        <f>$EB$75</f>
        <v>Select Equipment</v>
      </c>
      <c r="EB1629" s="436" t="s">
        <v>7</v>
      </c>
      <c r="EC1629" s="120"/>
      <c r="ED1629" s="459" t="s">
        <v>564</v>
      </c>
      <c r="EE1629" s="120"/>
      <c r="EF1629" s="440"/>
    </row>
    <row r="1630" spans="53:137">
      <c r="BA1630" s="114" t="str">
        <f>$BB$74</f>
        <v>Select Equipment</v>
      </c>
      <c r="BB1630" s="436"/>
      <c r="BC1630" s="120"/>
      <c r="BD1630" s="459"/>
      <c r="BE1630" s="120"/>
      <c r="BF1630" s="440"/>
      <c r="CA1630" s="114" t="str">
        <f>$CB$74</f>
        <v>Select Equipment</v>
      </c>
      <c r="CB1630" s="436"/>
      <c r="CC1630" s="120"/>
      <c r="CD1630" s="459"/>
      <c r="CE1630" s="120"/>
      <c r="CF1630" s="440"/>
      <c r="DA1630" s="114" t="str">
        <f>$DB$74</f>
        <v>Select Equipment</v>
      </c>
      <c r="DB1630" s="436"/>
      <c r="DC1630" s="120"/>
      <c r="DD1630" s="459"/>
      <c r="DE1630" s="120"/>
      <c r="DF1630" s="440"/>
      <c r="EA1630" s="114" t="str">
        <f>$EB$76</f>
        <v>Select Equipment</v>
      </c>
      <c r="EB1630" s="436"/>
      <c r="EC1630" s="120"/>
      <c r="ED1630" s="459"/>
      <c r="EE1630" s="120"/>
      <c r="EF1630" s="440"/>
    </row>
    <row r="1631" spans="53:137">
      <c r="BA1631" s="114" t="str">
        <f>$BB$75</f>
        <v>Select Equipment</v>
      </c>
      <c r="BB1631" s="436" t="s">
        <v>9</v>
      </c>
      <c r="BC1631" s="120"/>
      <c r="BD1631" s="459" t="s">
        <v>564</v>
      </c>
      <c r="BE1631" s="120"/>
      <c r="BF1631" s="440"/>
      <c r="CA1631" s="114" t="str">
        <f>$CB$75</f>
        <v>Select Equipment</v>
      </c>
      <c r="CB1631" s="436" t="s">
        <v>9</v>
      </c>
      <c r="CC1631" s="120"/>
      <c r="CD1631" s="459" t="s">
        <v>564</v>
      </c>
      <c r="CE1631" s="120"/>
      <c r="CF1631" s="440"/>
      <c r="DA1631" s="114" t="str">
        <f>$DB$75</f>
        <v>Select Equipment</v>
      </c>
      <c r="DB1631" s="436" t="s">
        <v>9</v>
      </c>
      <c r="DC1631" s="120"/>
      <c r="DD1631" s="459" t="s">
        <v>564</v>
      </c>
      <c r="DE1631" s="120"/>
      <c r="DF1631" s="440"/>
      <c r="EA1631" s="114" t="str">
        <f>$EB$77</f>
        <v>Select Equipment</v>
      </c>
      <c r="EB1631" s="436" t="s">
        <v>9</v>
      </c>
      <c r="EC1631" s="120"/>
      <c r="ED1631" s="459" t="s">
        <v>564</v>
      </c>
      <c r="EE1631" s="120"/>
      <c r="EF1631" s="440"/>
    </row>
    <row r="1632" spans="53:137">
      <c r="BA1632" s="114" t="str">
        <f>$BB$76</f>
        <v>Select Equipment</v>
      </c>
      <c r="BB1632" s="436"/>
      <c r="BC1632" s="120"/>
      <c r="BD1632" s="459"/>
      <c r="BE1632" s="120"/>
      <c r="BF1632" s="440"/>
      <c r="CA1632" s="114" t="str">
        <f>$CB$76</f>
        <v>Select Equipment</v>
      </c>
      <c r="CB1632" s="436"/>
      <c r="CC1632" s="120"/>
      <c r="CD1632" s="459"/>
      <c r="CE1632" s="120"/>
      <c r="CF1632" s="440"/>
      <c r="DA1632" s="114" t="str">
        <f>$DB$76</f>
        <v>Select Equipment</v>
      </c>
      <c r="DB1632" s="436"/>
      <c r="DC1632" s="120"/>
      <c r="DD1632" s="459"/>
      <c r="DE1632" s="120"/>
      <c r="DF1632" s="440"/>
      <c r="EA1632" s="114" t="str">
        <f>$EB$78</f>
        <v>Select Equipment</v>
      </c>
      <c r="EB1632" s="436"/>
      <c r="EC1632" s="120"/>
      <c r="ED1632" s="459"/>
      <c r="EE1632" s="120"/>
      <c r="EF1632" s="440"/>
    </row>
    <row r="1633" spans="53:136">
      <c r="BA1633" s="114" t="str">
        <f>$BB$77</f>
        <v>Select Equipment</v>
      </c>
      <c r="BB1633" s="436" t="s">
        <v>324</v>
      </c>
      <c r="BC1633" s="120"/>
      <c r="BD1633" s="459" t="s">
        <v>564</v>
      </c>
      <c r="BE1633" s="120"/>
      <c r="BF1633" s="440" t="s">
        <v>569</v>
      </c>
      <c r="CA1633" s="114" t="str">
        <f>$CB$77</f>
        <v>Select Equipment</v>
      </c>
      <c r="CB1633" s="436" t="s">
        <v>324</v>
      </c>
      <c r="CC1633" s="120"/>
      <c r="CD1633" s="459" t="s">
        <v>564</v>
      </c>
      <c r="CE1633" s="120"/>
      <c r="CF1633" s="440" t="s">
        <v>569</v>
      </c>
      <c r="DA1633" s="114" t="str">
        <f>$DB$77</f>
        <v>Select Equipment</v>
      </c>
      <c r="DB1633" s="436" t="s">
        <v>324</v>
      </c>
      <c r="DC1633" s="120"/>
      <c r="DD1633" s="459" t="s">
        <v>564</v>
      </c>
      <c r="DE1633" s="120"/>
      <c r="DF1633" s="440" t="s">
        <v>569</v>
      </c>
      <c r="EA1633" s="114" t="str">
        <f>$EB$79</f>
        <v>Select Equipment</v>
      </c>
      <c r="EB1633" s="436" t="s">
        <v>324</v>
      </c>
      <c r="EC1633" s="120"/>
      <c r="ED1633" s="459" t="s">
        <v>564</v>
      </c>
      <c r="EE1633" s="120"/>
      <c r="EF1633" s="440" t="s">
        <v>569</v>
      </c>
    </row>
    <row r="1634" spans="53:136">
      <c r="BA1634" s="114" t="str">
        <f>$BB$78</f>
        <v>Select Equipment</v>
      </c>
      <c r="BB1634" s="436"/>
      <c r="BC1634" s="120"/>
      <c r="BD1634" s="468"/>
      <c r="BE1634" s="469"/>
      <c r="BF1634" s="440"/>
      <c r="CA1634" s="114" t="str">
        <f>$CB$78</f>
        <v>Select Equipment</v>
      </c>
      <c r="CB1634" s="436"/>
      <c r="CC1634" s="120"/>
      <c r="CD1634" s="468"/>
      <c r="CE1634" s="469"/>
      <c r="CF1634" s="440"/>
      <c r="DA1634" s="114" t="str">
        <f>$DB$78</f>
        <v>Select Equipment</v>
      </c>
      <c r="DB1634" s="436"/>
      <c r="DC1634" s="120"/>
      <c r="DD1634" s="468"/>
      <c r="DE1634" s="469"/>
      <c r="DF1634" s="440"/>
      <c r="EA1634" s="114" t="str">
        <f>$EB$80</f>
        <v>Select Equipment</v>
      </c>
      <c r="EB1634" s="436"/>
      <c r="EC1634" s="120"/>
      <c r="ED1634" s="468"/>
      <c r="EE1634" s="469"/>
      <c r="EF1634" s="440"/>
    </row>
    <row r="1635" spans="53:136">
      <c r="BA1635" s="114" t="str">
        <f>$BB$79</f>
        <v>Select Equipment</v>
      </c>
      <c r="BB1635" s="436" t="s">
        <v>374</v>
      </c>
      <c r="BC1635" s="120"/>
      <c r="BD1635" s="459" t="s">
        <v>564</v>
      </c>
      <c r="BE1635" s="469"/>
      <c r="BF1635" s="440" t="s">
        <v>569</v>
      </c>
      <c r="CA1635" s="114" t="str">
        <f>$CB$79</f>
        <v>Select Equipment</v>
      </c>
      <c r="CB1635" s="436" t="s">
        <v>374</v>
      </c>
      <c r="CC1635" s="120"/>
      <c r="CD1635" s="459" t="s">
        <v>564</v>
      </c>
      <c r="CE1635" s="469"/>
      <c r="CF1635" s="440" t="s">
        <v>569</v>
      </c>
      <c r="DA1635" s="114" t="str">
        <f>$DB$79</f>
        <v>Select Equipment</v>
      </c>
      <c r="DB1635" s="436" t="s">
        <v>374</v>
      </c>
      <c r="DC1635" s="120"/>
      <c r="DD1635" s="459" t="s">
        <v>564</v>
      </c>
      <c r="DE1635" s="469"/>
      <c r="DF1635" s="440" t="s">
        <v>569</v>
      </c>
      <c r="EA1635" s="114" t="str">
        <f>$EB$81</f>
        <v>Select Equipment</v>
      </c>
      <c r="EB1635" s="436" t="s">
        <v>374</v>
      </c>
      <c r="EC1635" s="120"/>
      <c r="ED1635" s="459" t="s">
        <v>564</v>
      </c>
      <c r="EE1635" s="469"/>
      <c r="EF1635" s="440" t="s">
        <v>569</v>
      </c>
    </row>
    <row r="1636" spans="53:136">
      <c r="BA1636" s="114" t="str">
        <f>$BB$80</f>
        <v>Select Equipment</v>
      </c>
      <c r="BB1636" s="436"/>
      <c r="BC1636" s="120"/>
      <c r="BD1636" s="472"/>
      <c r="BE1636" s="473"/>
      <c r="BF1636" s="440"/>
      <c r="CA1636" s="114" t="str">
        <f>$CB$80</f>
        <v>Select Equipment</v>
      </c>
      <c r="CB1636" s="436"/>
      <c r="CC1636" s="120"/>
      <c r="CD1636" s="472"/>
      <c r="CE1636" s="473"/>
      <c r="CF1636" s="440"/>
      <c r="DA1636" s="114" t="str">
        <f>$DB$80</f>
        <v>Select Equipment</v>
      </c>
      <c r="DB1636" s="436"/>
      <c r="DC1636" s="120"/>
      <c r="DD1636" s="472"/>
      <c r="DE1636" s="473"/>
      <c r="DF1636" s="440"/>
      <c r="EA1636" s="114" t="str">
        <f>$EB$82</f>
        <v>Select Equipment</v>
      </c>
      <c r="EB1636" s="436"/>
      <c r="EC1636" s="120"/>
      <c r="ED1636" s="472"/>
      <c r="EE1636" s="473"/>
      <c r="EF1636" s="440"/>
    </row>
    <row r="1637" spans="53:136">
      <c r="BA1637" s="114" t="str">
        <f>$BB$81</f>
        <v>Select Equipment</v>
      </c>
      <c r="BB1637" s="436" t="s">
        <v>580</v>
      </c>
      <c r="BC1637" s="120"/>
      <c r="BD1637" s="459" t="s">
        <v>564</v>
      </c>
      <c r="BE1637" s="473"/>
      <c r="BF1637" s="440" t="s">
        <v>569</v>
      </c>
      <c r="CA1637" s="114" t="str">
        <f>$CB$81</f>
        <v>Select Equipment</v>
      </c>
      <c r="CB1637" s="436" t="s">
        <v>580</v>
      </c>
      <c r="CC1637" s="120"/>
      <c r="CD1637" s="459" t="s">
        <v>564</v>
      </c>
      <c r="CE1637" s="473"/>
      <c r="CF1637" s="440" t="s">
        <v>569</v>
      </c>
      <c r="DA1637" s="114" t="str">
        <f>$DB$81</f>
        <v>Select Equipment</v>
      </c>
      <c r="DB1637" s="436" t="s">
        <v>580</v>
      </c>
      <c r="DC1637" s="120"/>
      <c r="DD1637" s="459" t="s">
        <v>564</v>
      </c>
      <c r="DE1637" s="473"/>
      <c r="DF1637" s="440" t="s">
        <v>569</v>
      </c>
      <c r="EA1637" s="114" t="str">
        <f>$EB$83</f>
        <v>Select Equipment</v>
      </c>
      <c r="EB1637" s="436" t="s">
        <v>580</v>
      </c>
      <c r="EC1637" s="120"/>
      <c r="ED1637" s="459" t="s">
        <v>564</v>
      </c>
      <c r="EE1637" s="473"/>
      <c r="EF1637" s="440" t="s">
        <v>569</v>
      </c>
    </row>
    <row r="1638" spans="53:136">
      <c r="BA1638" s="114" t="str">
        <f>$BB$82</f>
        <v>Select Equipment</v>
      </c>
      <c r="BB1638" s="476"/>
      <c r="BC1638" s="477"/>
      <c r="BD1638" s="478"/>
      <c r="BE1638" s="479"/>
      <c r="BF1638" s="458"/>
      <c r="CA1638" s="114" t="str">
        <f>$CB$82</f>
        <v>Select Equipment</v>
      </c>
      <c r="CB1638" s="476"/>
      <c r="CC1638" s="477"/>
      <c r="CD1638" s="478"/>
      <c r="CE1638" s="479"/>
      <c r="CF1638" s="458"/>
      <c r="DA1638" s="114" t="str">
        <f>$DB$82</f>
        <v>Select Equipment</v>
      </c>
      <c r="DB1638" s="476"/>
      <c r="DC1638" s="477"/>
      <c r="DD1638" s="478"/>
      <c r="DE1638" s="479"/>
      <c r="DF1638" s="458"/>
      <c r="EA1638" s="114" t="str">
        <f>$EB$84</f>
        <v>Select Equipment</v>
      </c>
      <c r="EB1638" s="476"/>
      <c r="EC1638" s="477"/>
      <c r="ED1638" s="478"/>
      <c r="EE1638" s="479"/>
      <c r="EF1638" s="458"/>
    </row>
    <row r="1639" spans="53:136">
      <c r="BA1639" s="114" t="str">
        <f>$BB$83</f>
        <v>Select Equipment</v>
      </c>
      <c r="BB1639" s="449" t="s">
        <v>473</v>
      </c>
      <c r="BC1639" s="467" t="s">
        <v>508</v>
      </c>
      <c r="BD1639" s="480"/>
      <c r="BE1639" s="481" t="s">
        <v>308</v>
      </c>
      <c r="BF1639" s="440"/>
      <c r="CA1639" s="114" t="str">
        <f>$CB$83</f>
        <v>Select Equipment</v>
      </c>
      <c r="CB1639" s="449" t="s">
        <v>473</v>
      </c>
      <c r="CC1639" s="467" t="s">
        <v>508</v>
      </c>
      <c r="CD1639" s="480"/>
      <c r="CE1639" s="481" t="s">
        <v>308</v>
      </c>
      <c r="CF1639" s="440"/>
      <c r="DA1639" s="114" t="str">
        <f>$DB$83</f>
        <v>Select Equipment</v>
      </c>
      <c r="DB1639" s="449" t="s">
        <v>473</v>
      </c>
      <c r="DC1639" s="467" t="s">
        <v>508</v>
      </c>
      <c r="DD1639" s="480"/>
      <c r="DE1639" s="481" t="s">
        <v>308</v>
      </c>
      <c r="DF1639" s="440"/>
      <c r="EA1639" s="114" t="str">
        <f>$EB$85</f>
        <v>Select Equipment</v>
      </c>
      <c r="EB1639" s="449" t="s">
        <v>473</v>
      </c>
      <c r="EC1639" s="467" t="s">
        <v>508</v>
      </c>
      <c r="ED1639" s="480"/>
      <c r="EE1639" s="481" t="s">
        <v>308</v>
      </c>
      <c r="EF1639" s="440"/>
    </row>
    <row r="1640" spans="53:136">
      <c r="BB1640" s="436"/>
      <c r="BC1640" s="483"/>
      <c r="BD1640" s="480"/>
      <c r="BE1640" s="484"/>
      <c r="BF1640" s="440"/>
      <c r="CB1640" s="436"/>
      <c r="CC1640" s="483"/>
      <c r="CD1640" s="480"/>
      <c r="CE1640" s="484"/>
      <c r="CF1640" s="440"/>
      <c r="DB1640" s="436"/>
      <c r="DC1640" s="483"/>
      <c r="DD1640" s="480"/>
      <c r="DE1640" s="484"/>
      <c r="DF1640" s="440"/>
      <c r="EB1640" s="436"/>
      <c r="EC1640" s="483"/>
      <c r="ED1640" s="480"/>
      <c r="EE1640" s="484"/>
      <c r="EF1640" s="440"/>
    </row>
    <row r="1641" spans="53:136">
      <c r="BB1641" s="436"/>
      <c r="BC1641" s="120"/>
      <c r="BD1641" s="223"/>
      <c r="BE1641" s="467"/>
      <c r="BF1641" s="440"/>
      <c r="CB1641" s="436"/>
      <c r="CC1641" s="120"/>
      <c r="CD1641" s="223"/>
      <c r="CE1641" s="467"/>
      <c r="CF1641" s="440"/>
      <c r="DB1641" s="436"/>
      <c r="DC1641" s="120"/>
      <c r="DD1641" s="223"/>
      <c r="DE1641" s="467"/>
      <c r="DF1641" s="440"/>
      <c r="EB1641" s="436"/>
      <c r="EC1641" s="120"/>
      <c r="ED1641" s="223"/>
      <c r="EE1641" s="467"/>
      <c r="EF1641" s="440"/>
    </row>
    <row r="1642" spans="53:136">
      <c r="BB1642" s="436"/>
      <c r="BC1642" s="120"/>
      <c r="BD1642" s="466"/>
      <c r="BE1642" s="467"/>
      <c r="BF1642" s="440"/>
      <c r="CB1642" s="436"/>
      <c r="CC1642" s="120"/>
      <c r="CD1642" s="466"/>
      <c r="CE1642" s="467"/>
      <c r="CF1642" s="440"/>
      <c r="DB1642" s="436"/>
      <c r="DC1642" s="120"/>
      <c r="DD1642" s="466"/>
      <c r="DE1642" s="467"/>
      <c r="DF1642" s="440"/>
      <c r="EB1642" s="436"/>
      <c r="EC1642" s="120"/>
      <c r="ED1642" s="466"/>
      <c r="EE1642" s="467"/>
      <c r="EF1642" s="440"/>
    </row>
    <row r="1643" spans="53:136">
      <c r="BB1643" s="436"/>
      <c r="BC1643" s="120"/>
      <c r="BD1643" s="223"/>
      <c r="BE1643" s="467"/>
      <c r="BF1643" s="440"/>
      <c r="CB1643" s="436"/>
      <c r="CC1643" s="120"/>
      <c r="CD1643" s="223"/>
      <c r="CE1643" s="467"/>
      <c r="CF1643" s="440"/>
      <c r="DB1643" s="436"/>
      <c r="DC1643" s="120"/>
      <c r="DD1643" s="223"/>
      <c r="DE1643" s="467"/>
      <c r="DF1643" s="440"/>
      <c r="EB1643" s="436"/>
      <c r="EC1643" s="120"/>
      <c r="ED1643" s="223"/>
      <c r="EE1643" s="467"/>
      <c r="EF1643" s="440"/>
    </row>
    <row r="1644" spans="53:136">
      <c r="BB1644" s="436"/>
      <c r="BC1644" s="120"/>
      <c r="BD1644" s="223"/>
      <c r="BE1644" s="467"/>
      <c r="BF1644" s="440"/>
      <c r="CB1644" s="436"/>
      <c r="CC1644" s="120"/>
      <c r="CD1644" s="223"/>
      <c r="CE1644" s="467"/>
      <c r="CF1644" s="440"/>
      <c r="DB1644" s="436"/>
      <c r="DC1644" s="120"/>
      <c r="DD1644" s="223"/>
      <c r="DE1644" s="467"/>
      <c r="DF1644" s="440"/>
      <c r="EB1644" s="436"/>
      <c r="EC1644" s="120"/>
      <c r="ED1644" s="223"/>
      <c r="EE1644" s="467"/>
      <c r="EF1644" s="440"/>
    </row>
    <row r="1645" spans="53:136">
      <c r="BB1645" s="436"/>
      <c r="BC1645" s="120"/>
      <c r="BD1645" s="471"/>
      <c r="BE1645" s="467"/>
      <c r="BF1645" s="440"/>
      <c r="CB1645" s="436"/>
      <c r="CC1645" s="120"/>
      <c r="CD1645" s="471"/>
      <c r="CE1645" s="467"/>
      <c r="CF1645" s="440"/>
      <c r="DB1645" s="436"/>
      <c r="DC1645" s="120"/>
      <c r="DD1645" s="471"/>
      <c r="DE1645" s="467"/>
      <c r="DF1645" s="440"/>
      <c r="EB1645" s="436"/>
      <c r="EC1645" s="120"/>
      <c r="ED1645" s="471"/>
      <c r="EE1645" s="467"/>
      <c r="EF1645" s="440"/>
    </row>
    <row r="1646" spans="53:136">
      <c r="BB1646" s="436"/>
      <c r="BC1646" s="120"/>
      <c r="BD1646" s="223"/>
      <c r="BE1646" s="467"/>
      <c r="BF1646" s="440"/>
      <c r="CB1646" s="436"/>
      <c r="CC1646" s="120"/>
      <c r="CD1646" s="223"/>
      <c r="CE1646" s="467"/>
      <c r="CF1646" s="440"/>
      <c r="DB1646" s="436"/>
      <c r="DC1646" s="120"/>
      <c r="DD1646" s="223"/>
      <c r="DE1646" s="467"/>
      <c r="DF1646" s="440"/>
      <c r="EB1646" s="436"/>
      <c r="EC1646" s="120"/>
      <c r="ED1646" s="223"/>
      <c r="EE1646" s="467"/>
      <c r="EF1646" s="440"/>
    </row>
    <row r="1647" spans="53:136">
      <c r="BB1647" s="436"/>
      <c r="BC1647" s="120"/>
      <c r="BD1647" s="475"/>
      <c r="BE1647" s="467"/>
      <c r="BF1647" s="440"/>
      <c r="CB1647" s="436"/>
      <c r="CC1647" s="120"/>
      <c r="CD1647" s="475"/>
      <c r="CE1647" s="467"/>
      <c r="CF1647" s="440"/>
      <c r="DB1647" s="436"/>
      <c r="DC1647" s="120"/>
      <c r="DD1647" s="475"/>
      <c r="DE1647" s="467"/>
      <c r="DF1647" s="440"/>
      <c r="EB1647" s="436"/>
      <c r="EC1647" s="120"/>
      <c r="ED1647" s="475"/>
      <c r="EE1647" s="467"/>
      <c r="EF1647" s="440"/>
    </row>
    <row r="1648" spans="53:136">
      <c r="BB1648" s="436"/>
      <c r="BC1648" s="120"/>
      <c r="BD1648" s="223"/>
      <c r="BE1648" s="467"/>
      <c r="BF1648" s="440"/>
      <c r="CB1648" s="436"/>
      <c r="CC1648" s="120"/>
      <c r="CD1648" s="223"/>
      <c r="CE1648" s="467"/>
      <c r="CF1648" s="440"/>
      <c r="DB1648" s="436"/>
      <c r="DC1648" s="120"/>
      <c r="DD1648" s="223"/>
      <c r="DE1648" s="467"/>
      <c r="DF1648" s="440"/>
      <c r="EB1648" s="436"/>
      <c r="EC1648" s="120"/>
      <c r="ED1648" s="223"/>
      <c r="EE1648" s="467"/>
      <c r="EF1648" s="440"/>
    </row>
    <row r="1649" spans="54:136">
      <c r="BB1649" s="436"/>
      <c r="BC1649" s="120"/>
      <c r="BD1649" s="223"/>
      <c r="BE1649" s="467"/>
      <c r="BF1649" s="440"/>
      <c r="CB1649" s="436"/>
      <c r="CC1649" s="120"/>
      <c r="CD1649" s="223"/>
      <c r="CE1649" s="467"/>
      <c r="CF1649" s="440"/>
      <c r="DB1649" s="436"/>
      <c r="DC1649" s="120"/>
      <c r="DD1649" s="223"/>
      <c r="DE1649" s="467"/>
      <c r="DF1649" s="440"/>
      <c r="EB1649" s="436"/>
      <c r="EC1649" s="120"/>
      <c r="ED1649" s="223"/>
      <c r="EE1649" s="467"/>
      <c r="EF1649" s="440"/>
    </row>
    <row r="1650" spans="54:136">
      <c r="BB1650" s="436"/>
      <c r="BC1650" s="120"/>
      <c r="BD1650" s="223"/>
      <c r="BE1650" s="467"/>
      <c r="BF1650" s="440"/>
      <c r="CB1650" s="436"/>
      <c r="CC1650" s="120"/>
      <c r="CD1650" s="223"/>
      <c r="CE1650" s="467"/>
      <c r="CF1650" s="440"/>
      <c r="DB1650" s="436"/>
      <c r="DC1650" s="120"/>
      <c r="DD1650" s="223"/>
      <c r="DE1650" s="467"/>
      <c r="DF1650" s="440"/>
      <c r="EB1650" s="436"/>
      <c r="EC1650" s="120"/>
      <c r="ED1650" s="223"/>
      <c r="EE1650" s="467"/>
      <c r="EF1650" s="440"/>
    </row>
    <row r="1651" spans="54:136">
      <c r="BB1651" s="436"/>
      <c r="BC1651" s="120"/>
      <c r="BD1651" s="223"/>
      <c r="BE1651" s="467"/>
      <c r="BF1651" s="440"/>
      <c r="CB1651" s="436"/>
      <c r="CC1651" s="120"/>
      <c r="CD1651" s="223"/>
      <c r="CE1651" s="467"/>
      <c r="CF1651" s="440"/>
      <c r="DB1651" s="436"/>
      <c r="DC1651" s="120"/>
      <c r="DD1651" s="223"/>
      <c r="DE1651" s="467"/>
      <c r="DF1651" s="440"/>
      <c r="EB1651" s="436"/>
      <c r="EC1651" s="120"/>
      <c r="ED1651" s="223"/>
      <c r="EE1651" s="467"/>
      <c r="EF1651" s="440"/>
    </row>
    <row r="1652" spans="54:136">
      <c r="BB1652" s="436"/>
      <c r="BC1652" s="120"/>
      <c r="BD1652" s="120"/>
      <c r="BE1652" s="467"/>
      <c r="BF1652" s="440"/>
      <c r="CB1652" s="436"/>
      <c r="CC1652" s="120"/>
      <c r="CD1652" s="120"/>
      <c r="CE1652" s="467"/>
      <c r="CF1652" s="440"/>
      <c r="DB1652" s="436"/>
      <c r="DC1652" s="120"/>
      <c r="DD1652" s="120"/>
      <c r="DE1652" s="467"/>
      <c r="DF1652" s="440"/>
      <c r="EB1652" s="436"/>
      <c r="EC1652" s="120"/>
      <c r="ED1652" s="120"/>
      <c r="EE1652" s="467"/>
      <c r="EF1652" s="440"/>
    </row>
    <row r="1653" spans="54:136">
      <c r="BB1653" s="456"/>
      <c r="BC1653" s="457"/>
      <c r="BD1653" s="457"/>
      <c r="BE1653" s="477"/>
      <c r="BF1653" s="458"/>
      <c r="CB1653" s="456"/>
      <c r="CC1653" s="457"/>
      <c r="CD1653" s="457"/>
      <c r="CE1653" s="477"/>
      <c r="CF1653" s="458"/>
      <c r="DB1653" s="456"/>
      <c r="DC1653" s="457"/>
      <c r="DD1653" s="457"/>
      <c r="DE1653" s="477"/>
      <c r="DF1653" s="458"/>
      <c r="EB1653" s="456"/>
      <c r="EC1653" s="457"/>
      <c r="ED1653" s="457"/>
      <c r="EE1653" s="477"/>
      <c r="EF1653" s="458"/>
    </row>
    <row r="1654" spans="54:136">
      <c r="BB1654" s="449" t="s">
        <v>474</v>
      </c>
      <c r="BC1654" s="120"/>
      <c r="BD1654" s="120" t="s">
        <v>1</v>
      </c>
      <c r="BE1654" s="310" t="s">
        <v>307</v>
      </c>
      <c r="BF1654" s="440"/>
      <c r="CB1654" s="449" t="s">
        <v>474</v>
      </c>
      <c r="CC1654" s="120"/>
      <c r="CD1654" s="120" t="s">
        <v>1</v>
      </c>
      <c r="CE1654" s="310" t="s">
        <v>307</v>
      </c>
      <c r="CF1654" s="440"/>
      <c r="DB1654" s="449" t="s">
        <v>474</v>
      </c>
      <c r="DC1654" s="120"/>
      <c r="DD1654" s="120" t="s">
        <v>1</v>
      </c>
      <c r="DE1654" s="310" t="s">
        <v>307</v>
      </c>
      <c r="DF1654" s="440"/>
      <c r="EB1654" s="449" t="s">
        <v>474</v>
      </c>
      <c r="EC1654" s="120"/>
      <c r="ED1654" s="120" t="s">
        <v>1</v>
      </c>
      <c r="EE1654" s="310" t="s">
        <v>307</v>
      </c>
      <c r="EF1654" s="440"/>
    </row>
    <row r="1655" spans="54:136">
      <c r="BB1655" s="436"/>
      <c r="BC1655" s="223"/>
      <c r="BD1655" s="480"/>
      <c r="BE1655" s="484"/>
      <c r="BF1655" s="440"/>
      <c r="CB1655" s="436"/>
      <c r="CC1655" s="223"/>
      <c r="CD1655" s="480"/>
      <c r="CE1655" s="484"/>
      <c r="CF1655" s="440"/>
      <c r="DB1655" s="436"/>
      <c r="DC1655" s="223"/>
      <c r="DD1655" s="480"/>
      <c r="DE1655" s="484"/>
      <c r="DF1655" s="440"/>
      <c r="EB1655" s="436"/>
      <c r="EC1655" s="223"/>
      <c r="ED1655" s="480"/>
      <c r="EE1655" s="484"/>
      <c r="EF1655" s="440"/>
    </row>
    <row r="1656" spans="54:136">
      <c r="BB1656" s="436"/>
      <c r="BC1656" s="120"/>
      <c r="BD1656" s="120"/>
      <c r="BE1656" s="467"/>
      <c r="BF1656" s="440"/>
      <c r="CB1656" s="436"/>
      <c r="CC1656" s="120"/>
      <c r="CD1656" s="120"/>
      <c r="CE1656" s="467"/>
      <c r="CF1656" s="440"/>
      <c r="DB1656" s="436"/>
      <c r="DC1656" s="120"/>
      <c r="DD1656" s="120"/>
      <c r="DE1656" s="467"/>
      <c r="DF1656" s="440"/>
      <c r="EB1656" s="436"/>
      <c r="EC1656" s="120"/>
      <c r="ED1656" s="120"/>
      <c r="EE1656" s="467"/>
      <c r="EF1656" s="440"/>
    </row>
    <row r="1657" spans="54:136">
      <c r="BB1657" s="436"/>
      <c r="BC1657" s="120"/>
      <c r="BD1657" s="120"/>
      <c r="BE1657" s="467"/>
      <c r="BF1657" s="440"/>
      <c r="CB1657" s="436"/>
      <c r="CC1657" s="120"/>
      <c r="CD1657" s="120"/>
      <c r="CE1657" s="467"/>
      <c r="CF1657" s="440"/>
      <c r="DB1657" s="436"/>
      <c r="DC1657" s="120"/>
      <c r="DD1657" s="120"/>
      <c r="DE1657" s="467"/>
      <c r="DF1657" s="440"/>
      <c r="EB1657" s="436"/>
      <c r="EC1657" s="120"/>
      <c r="ED1657" s="120"/>
      <c r="EE1657" s="467"/>
      <c r="EF1657" s="440"/>
    </row>
    <row r="1658" spans="54:136">
      <c r="BB1658" s="436"/>
      <c r="BC1658" s="120"/>
      <c r="BD1658" s="120"/>
      <c r="BE1658" s="467"/>
      <c r="BF1658" s="440"/>
      <c r="CB1658" s="436"/>
      <c r="CC1658" s="120"/>
      <c r="CD1658" s="120"/>
      <c r="CE1658" s="467"/>
      <c r="CF1658" s="440"/>
      <c r="DB1658" s="436"/>
      <c r="DC1658" s="120"/>
      <c r="DD1658" s="120"/>
      <c r="DE1658" s="467"/>
      <c r="DF1658" s="440"/>
      <c r="EB1658" s="436"/>
      <c r="EC1658" s="120"/>
      <c r="ED1658" s="120"/>
      <c r="EE1658" s="467"/>
      <c r="EF1658" s="440"/>
    </row>
    <row r="1659" spans="54:136">
      <c r="BB1659" s="436"/>
      <c r="BC1659" s="120"/>
      <c r="BD1659" s="120"/>
      <c r="BE1659" s="467"/>
      <c r="BF1659" s="440"/>
      <c r="CB1659" s="436"/>
      <c r="CC1659" s="120"/>
      <c r="CD1659" s="120"/>
      <c r="CE1659" s="467"/>
      <c r="CF1659" s="440"/>
      <c r="DB1659" s="436"/>
      <c r="DC1659" s="120"/>
      <c r="DD1659" s="120"/>
      <c r="DE1659" s="467"/>
      <c r="DF1659" s="440"/>
      <c r="EB1659" s="436"/>
      <c r="EC1659" s="120"/>
      <c r="ED1659" s="120"/>
      <c r="EE1659" s="467"/>
      <c r="EF1659" s="440"/>
    </row>
    <row r="1660" spans="54:136">
      <c r="BB1660" s="436"/>
      <c r="BC1660" s="120"/>
      <c r="BD1660" s="120"/>
      <c r="BE1660" s="467"/>
      <c r="BF1660" s="440"/>
      <c r="CB1660" s="436"/>
      <c r="CC1660" s="120"/>
      <c r="CD1660" s="120"/>
      <c r="CE1660" s="467"/>
      <c r="CF1660" s="440"/>
      <c r="DB1660" s="436"/>
      <c r="DC1660" s="120"/>
      <c r="DD1660" s="120"/>
      <c r="DE1660" s="467"/>
      <c r="DF1660" s="440"/>
      <c r="EB1660" s="436"/>
      <c r="EC1660" s="120"/>
      <c r="ED1660" s="120"/>
      <c r="EE1660" s="467"/>
      <c r="EF1660" s="440"/>
    </row>
    <row r="1661" spans="54:136">
      <c r="BB1661" s="436"/>
      <c r="BC1661" s="120"/>
      <c r="BD1661" s="120"/>
      <c r="BE1661" s="467"/>
      <c r="BF1661" s="440"/>
      <c r="CB1661" s="436"/>
      <c r="CC1661" s="120"/>
      <c r="CD1661" s="120"/>
      <c r="CE1661" s="467"/>
      <c r="CF1661" s="440"/>
      <c r="DB1661" s="436"/>
      <c r="DC1661" s="120"/>
      <c r="DD1661" s="120"/>
      <c r="DE1661" s="467"/>
      <c r="DF1661" s="440"/>
      <c r="EB1661" s="436"/>
      <c r="EC1661" s="120"/>
      <c r="ED1661" s="120"/>
      <c r="EE1661" s="467"/>
      <c r="EF1661" s="440"/>
    </row>
    <row r="1662" spans="54:136">
      <c r="BB1662" s="436"/>
      <c r="BC1662" s="120"/>
      <c r="BD1662" s="120"/>
      <c r="BE1662" s="467"/>
      <c r="BF1662" s="440"/>
      <c r="CB1662" s="436"/>
      <c r="CC1662" s="120"/>
      <c r="CD1662" s="120"/>
      <c r="CE1662" s="467"/>
      <c r="CF1662" s="440"/>
      <c r="DB1662" s="436"/>
      <c r="DC1662" s="120"/>
      <c r="DD1662" s="120"/>
      <c r="DE1662" s="467"/>
      <c r="DF1662" s="440"/>
      <c r="EB1662" s="436"/>
      <c r="EC1662" s="120"/>
      <c r="ED1662" s="120"/>
      <c r="EE1662" s="467"/>
      <c r="EF1662" s="440"/>
    </row>
    <row r="1663" spans="54:136">
      <c r="BB1663" s="436"/>
      <c r="BC1663" s="120"/>
      <c r="BD1663" s="120"/>
      <c r="BE1663" s="467"/>
      <c r="BF1663" s="440"/>
      <c r="CB1663" s="436"/>
      <c r="CC1663" s="120"/>
      <c r="CD1663" s="120"/>
      <c r="CE1663" s="467"/>
      <c r="CF1663" s="440"/>
      <c r="DB1663" s="436"/>
      <c r="DC1663" s="120"/>
      <c r="DD1663" s="120"/>
      <c r="DE1663" s="467"/>
      <c r="DF1663" s="440"/>
      <c r="EB1663" s="436"/>
      <c r="EC1663" s="120"/>
      <c r="ED1663" s="120"/>
      <c r="EE1663" s="467"/>
      <c r="EF1663" s="440"/>
    </row>
    <row r="1664" spans="54:136">
      <c r="BB1664" s="436"/>
      <c r="BC1664" s="120"/>
      <c r="BD1664" s="120"/>
      <c r="BE1664" s="467"/>
      <c r="BF1664" s="440"/>
      <c r="CB1664" s="436"/>
      <c r="CC1664" s="120"/>
      <c r="CD1664" s="120"/>
      <c r="CE1664" s="467"/>
      <c r="CF1664" s="440"/>
      <c r="DB1664" s="436"/>
      <c r="DC1664" s="120"/>
      <c r="DD1664" s="120"/>
      <c r="DE1664" s="467"/>
      <c r="DF1664" s="440"/>
      <c r="EB1664" s="436"/>
      <c r="EC1664" s="120"/>
      <c r="ED1664" s="120"/>
      <c r="EE1664" s="467"/>
      <c r="EF1664" s="440"/>
    </row>
    <row r="1665" spans="54:136">
      <c r="BB1665" s="436"/>
      <c r="BC1665" s="120"/>
      <c r="BD1665" s="120"/>
      <c r="BE1665" s="467"/>
      <c r="BF1665" s="440"/>
      <c r="CB1665" s="436"/>
      <c r="CC1665" s="120"/>
      <c r="CD1665" s="120"/>
      <c r="CE1665" s="467"/>
      <c r="CF1665" s="440"/>
      <c r="DB1665" s="436"/>
      <c r="DC1665" s="120"/>
      <c r="DD1665" s="120"/>
      <c r="DE1665" s="467"/>
      <c r="DF1665" s="440"/>
      <c r="EB1665" s="436"/>
      <c r="EC1665" s="120"/>
      <c r="ED1665" s="120"/>
      <c r="EE1665" s="467"/>
      <c r="EF1665" s="440"/>
    </row>
    <row r="1666" spans="54:136">
      <c r="BB1666" s="436"/>
      <c r="BC1666" s="120"/>
      <c r="BD1666" s="120"/>
      <c r="BE1666" s="467"/>
      <c r="BF1666" s="440"/>
      <c r="CB1666" s="436"/>
      <c r="CC1666" s="120"/>
      <c r="CD1666" s="120"/>
      <c r="CE1666" s="467"/>
      <c r="CF1666" s="440"/>
      <c r="DB1666" s="436"/>
      <c r="DC1666" s="120"/>
      <c r="DD1666" s="120"/>
      <c r="DE1666" s="467"/>
      <c r="DF1666" s="440"/>
      <c r="EB1666" s="436"/>
      <c r="EC1666" s="120"/>
      <c r="ED1666" s="120"/>
      <c r="EE1666" s="467"/>
      <c r="EF1666" s="440"/>
    </row>
    <row r="1667" spans="54:136">
      <c r="BB1667" s="456"/>
      <c r="BC1667" s="457"/>
      <c r="BD1667" s="457"/>
      <c r="BE1667" s="477"/>
      <c r="BF1667" s="458"/>
      <c r="CB1667" s="456"/>
      <c r="CC1667" s="457"/>
      <c r="CD1667" s="457"/>
      <c r="CE1667" s="477"/>
      <c r="CF1667" s="458"/>
      <c r="DB1667" s="456"/>
      <c r="DC1667" s="457"/>
      <c r="DD1667" s="457"/>
      <c r="DE1667" s="477"/>
      <c r="DF1667" s="458"/>
      <c r="EB1667" s="456"/>
      <c r="EC1667" s="457"/>
      <c r="ED1667" s="457"/>
      <c r="EE1667" s="477"/>
      <c r="EF1667" s="458"/>
    </row>
    <row r="1668" spans="54:136">
      <c r="BB1668" s="456"/>
      <c r="BC1668" s="457"/>
      <c r="BD1668" s="457"/>
      <c r="BE1668" s="457"/>
      <c r="BF1668" s="458"/>
      <c r="CB1668" s="456"/>
      <c r="CC1668" s="457"/>
      <c r="CD1668" s="457"/>
      <c r="CE1668" s="457"/>
      <c r="CF1668" s="458"/>
      <c r="DB1668" s="456"/>
      <c r="DC1668" s="457"/>
      <c r="DD1668" s="457"/>
      <c r="DE1668" s="457"/>
      <c r="DF1668" s="458"/>
      <c r="EB1668" s="456"/>
      <c r="EC1668" s="457"/>
      <c r="ED1668" s="457"/>
      <c r="EE1668" s="457"/>
      <c r="EF1668" s="458"/>
    </row>
    <row r="1669" spans="54:136">
      <c r="BB1669" s="449" t="s">
        <v>475</v>
      </c>
      <c r="BC1669" s="120"/>
      <c r="BD1669" s="120"/>
      <c r="BE1669" s="120"/>
      <c r="BF1669" s="440"/>
      <c r="CB1669" s="449" t="s">
        <v>475</v>
      </c>
      <c r="CC1669" s="120"/>
      <c r="CD1669" s="120"/>
      <c r="CE1669" s="120"/>
      <c r="CF1669" s="440"/>
      <c r="DB1669" s="449" t="s">
        <v>475</v>
      </c>
      <c r="DC1669" s="120"/>
      <c r="DD1669" s="120"/>
      <c r="DE1669" s="120"/>
      <c r="DF1669" s="440"/>
      <c r="EB1669" s="449" t="s">
        <v>475</v>
      </c>
      <c r="EC1669" s="120"/>
      <c r="ED1669" s="120"/>
      <c r="EE1669" s="120"/>
      <c r="EF1669" s="440"/>
    </row>
    <row r="1670" spans="54:136">
      <c r="BB1670" s="436" t="s">
        <v>509</v>
      </c>
      <c r="BC1670" s="120"/>
      <c r="BD1670" s="120"/>
      <c r="BE1670" s="120"/>
      <c r="BF1670" s="440"/>
      <c r="CB1670" s="436" t="s">
        <v>509</v>
      </c>
      <c r="CC1670" s="120"/>
      <c r="CD1670" s="120"/>
      <c r="CE1670" s="120"/>
      <c r="CF1670" s="440"/>
      <c r="DB1670" s="436" t="s">
        <v>509</v>
      </c>
      <c r="DC1670" s="120"/>
      <c r="DD1670" s="120"/>
      <c r="DE1670" s="120"/>
      <c r="DF1670" s="440"/>
      <c r="EB1670" s="436" t="s">
        <v>509</v>
      </c>
      <c r="EC1670" s="120"/>
      <c r="ED1670" s="120"/>
      <c r="EE1670" s="120"/>
      <c r="EF1670" s="440"/>
    </row>
    <row r="1671" spans="54:136">
      <c r="BB1671" s="436" t="s">
        <v>510</v>
      </c>
      <c r="BC1671" s="120"/>
      <c r="BD1671" s="120"/>
      <c r="BE1671" s="120"/>
      <c r="BF1671" s="440"/>
      <c r="CB1671" s="436" t="s">
        <v>510</v>
      </c>
      <c r="CC1671" s="120"/>
      <c r="CD1671" s="120"/>
      <c r="CE1671" s="120"/>
      <c r="CF1671" s="440"/>
      <c r="DB1671" s="436" t="s">
        <v>510</v>
      </c>
      <c r="DC1671" s="120"/>
      <c r="DD1671" s="120"/>
      <c r="DE1671" s="120"/>
      <c r="DF1671" s="440"/>
      <c r="EB1671" s="436" t="s">
        <v>510</v>
      </c>
      <c r="EC1671" s="120"/>
      <c r="ED1671" s="120"/>
      <c r="EE1671" s="120"/>
      <c r="EF1671" s="440"/>
    </row>
    <row r="1672" spans="54:136">
      <c r="BB1672" s="436"/>
      <c r="BC1672" s="120"/>
      <c r="BD1672" s="120"/>
      <c r="BE1672" s="120"/>
      <c r="BF1672" s="440"/>
      <c r="CB1672" s="436"/>
      <c r="CC1672" s="120"/>
      <c r="CD1672" s="120"/>
      <c r="CE1672" s="120"/>
      <c r="CF1672" s="440"/>
      <c r="DB1672" s="436"/>
      <c r="DC1672" s="120"/>
      <c r="DD1672" s="120"/>
      <c r="DE1672" s="120"/>
      <c r="DF1672" s="440"/>
      <c r="EB1672" s="436"/>
      <c r="EC1672" s="120"/>
      <c r="ED1672" s="120"/>
      <c r="EE1672" s="120"/>
      <c r="EF1672" s="440"/>
    </row>
    <row r="1673" spans="54:136">
      <c r="BB1673" s="436"/>
      <c r="BC1673" s="120"/>
      <c r="BD1673" s="120"/>
      <c r="BE1673" s="120"/>
      <c r="BF1673" s="440"/>
      <c r="CB1673" s="436"/>
      <c r="CC1673" s="120"/>
      <c r="CD1673" s="120"/>
      <c r="CE1673" s="120"/>
      <c r="CF1673" s="440"/>
      <c r="DB1673" s="436"/>
      <c r="DC1673" s="120"/>
      <c r="DD1673" s="120"/>
      <c r="DE1673" s="120"/>
      <c r="DF1673" s="440"/>
      <c r="EB1673" s="436"/>
      <c r="EC1673" s="120"/>
      <c r="ED1673" s="120"/>
      <c r="EE1673" s="120"/>
      <c r="EF1673" s="440"/>
    </row>
    <row r="1674" spans="54:136">
      <c r="BB1674" s="436"/>
      <c r="BC1674" s="120"/>
      <c r="BD1674" s="120"/>
      <c r="BE1674" s="120"/>
      <c r="BF1674" s="440"/>
      <c r="CB1674" s="436"/>
      <c r="CC1674" s="120"/>
      <c r="CD1674" s="120"/>
      <c r="CE1674" s="120"/>
      <c r="CF1674" s="440"/>
      <c r="DB1674" s="436"/>
      <c r="DC1674" s="120"/>
      <c r="DD1674" s="120"/>
      <c r="DE1674" s="120"/>
      <c r="DF1674" s="440"/>
      <c r="EB1674" s="436"/>
      <c r="EC1674" s="120"/>
      <c r="ED1674" s="120"/>
      <c r="EE1674" s="120"/>
      <c r="EF1674" s="440"/>
    </row>
    <row r="1675" spans="54:136">
      <c r="BB1675" s="436"/>
      <c r="BC1675" s="120"/>
      <c r="BD1675" s="120"/>
      <c r="BE1675" s="120"/>
      <c r="BF1675" s="440"/>
      <c r="CB1675" s="436"/>
      <c r="CC1675" s="120"/>
      <c r="CD1675" s="120"/>
      <c r="CE1675" s="120"/>
      <c r="CF1675" s="440"/>
      <c r="DB1675" s="436"/>
      <c r="DC1675" s="120"/>
      <c r="DD1675" s="120"/>
      <c r="DE1675" s="120"/>
      <c r="DF1675" s="440"/>
      <c r="EB1675" s="436"/>
      <c r="EC1675" s="120"/>
      <c r="ED1675" s="120"/>
      <c r="EE1675" s="120"/>
      <c r="EF1675" s="440"/>
    </row>
    <row r="1676" spans="54:136">
      <c r="BB1676" s="436" t="s">
        <v>511</v>
      </c>
      <c r="BC1676" s="120">
        <v>0</v>
      </c>
      <c r="BD1676" s="120" t="s">
        <v>512</v>
      </c>
      <c r="BE1676" s="120"/>
      <c r="BF1676" s="440"/>
      <c r="CB1676" s="436" t="s">
        <v>511</v>
      </c>
      <c r="CC1676" s="120">
        <v>0</v>
      </c>
      <c r="CD1676" s="120" t="s">
        <v>512</v>
      </c>
      <c r="CE1676" s="120"/>
      <c r="CF1676" s="440"/>
      <c r="DB1676" s="436" t="s">
        <v>511</v>
      </c>
      <c r="DC1676" s="120">
        <v>0</v>
      </c>
      <c r="DD1676" s="120" t="s">
        <v>512</v>
      </c>
      <c r="DE1676" s="120"/>
      <c r="DF1676" s="440"/>
      <c r="EB1676" s="436" t="s">
        <v>511</v>
      </c>
      <c r="EC1676" s="120">
        <v>0</v>
      </c>
      <c r="ED1676" s="120" t="s">
        <v>512</v>
      </c>
      <c r="EE1676" s="120"/>
      <c r="EF1676" s="440"/>
    </row>
    <row r="1677" spans="54:136">
      <c r="BB1677" s="436" t="s">
        <v>513</v>
      </c>
      <c r="BC1677" s="120">
        <v>0</v>
      </c>
      <c r="BD1677" s="120" t="s">
        <v>512</v>
      </c>
      <c r="BE1677" s="120"/>
      <c r="BF1677" s="440"/>
      <c r="CB1677" s="436" t="s">
        <v>513</v>
      </c>
      <c r="CC1677" s="120">
        <v>0</v>
      </c>
      <c r="CD1677" s="120" t="s">
        <v>512</v>
      </c>
      <c r="CE1677" s="120"/>
      <c r="CF1677" s="440"/>
      <c r="DB1677" s="436" t="s">
        <v>513</v>
      </c>
      <c r="DC1677" s="120">
        <v>0</v>
      </c>
      <c r="DD1677" s="120" t="s">
        <v>512</v>
      </c>
      <c r="DE1677" s="120"/>
      <c r="DF1677" s="440"/>
      <c r="EB1677" s="436" t="s">
        <v>513</v>
      </c>
      <c r="EC1677" s="120">
        <v>0</v>
      </c>
      <c r="ED1677" s="120" t="s">
        <v>512</v>
      </c>
      <c r="EE1677" s="120"/>
      <c r="EF1677" s="440"/>
    </row>
    <row r="1678" spans="54:136">
      <c r="BB1678" s="456"/>
      <c r="BC1678" s="457"/>
      <c r="BD1678" s="457"/>
      <c r="BE1678" s="457"/>
      <c r="BF1678" s="458"/>
      <c r="CB1678" s="456"/>
      <c r="CC1678" s="457"/>
      <c r="CD1678" s="457"/>
      <c r="CE1678" s="457"/>
      <c r="CF1678" s="458"/>
      <c r="DB1678" s="456"/>
      <c r="DC1678" s="457"/>
      <c r="DD1678" s="457"/>
      <c r="DE1678" s="457"/>
      <c r="DF1678" s="458"/>
      <c r="EB1678" s="456"/>
      <c r="EC1678" s="457"/>
      <c r="ED1678" s="457"/>
      <c r="EE1678" s="457"/>
      <c r="EF1678" s="458"/>
    </row>
    <row r="1679" spans="54:136">
      <c r="BB1679" s="449" t="s">
        <v>461</v>
      </c>
      <c r="BC1679" s="120"/>
      <c r="BD1679" s="120"/>
      <c r="BE1679" s="120"/>
      <c r="BF1679" s="440"/>
      <c r="CB1679" s="449" t="s">
        <v>461</v>
      </c>
      <c r="CC1679" s="120"/>
      <c r="CD1679" s="120"/>
      <c r="CE1679" s="120"/>
      <c r="CF1679" s="440"/>
      <c r="DB1679" s="449" t="s">
        <v>461</v>
      </c>
      <c r="DC1679" s="120"/>
      <c r="DD1679" s="120"/>
      <c r="DE1679" s="120"/>
      <c r="DF1679" s="440"/>
      <c r="EB1679" s="449" t="s">
        <v>461</v>
      </c>
      <c r="EC1679" s="120"/>
      <c r="ED1679" s="120"/>
      <c r="EE1679" s="120"/>
      <c r="EF1679" s="440"/>
    </row>
    <row r="1680" spans="54:136">
      <c r="BB1680" s="436" t="s">
        <v>514</v>
      </c>
      <c r="BC1680" s="120">
        <f>VLOOKUP(BB1608,'Unit Ops'!$B$140:$K$209,10,FALSE)</f>
        <v>20</v>
      </c>
      <c r="BD1680" s="120" t="s">
        <v>515</v>
      </c>
      <c r="BE1680" s="120"/>
      <c r="BF1680" s="440"/>
      <c r="CB1680" s="436" t="s">
        <v>514</v>
      </c>
      <c r="CC1680" s="120">
        <f>VLOOKUP(CB1608,'Unit Ops'!$B$140:$K$209,10,FALSE)</f>
        <v>12</v>
      </c>
      <c r="CD1680" s="120" t="s">
        <v>515</v>
      </c>
      <c r="CE1680" s="120"/>
      <c r="CF1680" s="440"/>
      <c r="DB1680" s="436" t="s">
        <v>514</v>
      </c>
      <c r="DC1680" s="120">
        <f>VLOOKUP(DB1608,'Unit Ops'!$B$140:$K$209,10,FALSE)</f>
        <v>0</v>
      </c>
      <c r="DD1680" s="120" t="s">
        <v>515</v>
      </c>
      <c r="DE1680" s="120"/>
      <c r="DF1680" s="440"/>
      <c r="EB1680" s="436" t="s">
        <v>514</v>
      </c>
      <c r="EC1680" s="120">
        <f>VLOOKUP(EB1608,'Unit Ops'!$B$140:$K$209,10,FALSE)</f>
        <v>12</v>
      </c>
      <c r="ED1680" s="120" t="s">
        <v>515</v>
      </c>
      <c r="EE1680" s="120"/>
      <c r="EF1680" s="440"/>
    </row>
    <row r="1681" spans="54:136">
      <c r="BB1681" s="436" t="s">
        <v>516</v>
      </c>
      <c r="BC1681" s="120">
        <v>0</v>
      </c>
      <c r="BD1681" s="120" t="s">
        <v>515</v>
      </c>
      <c r="BE1681" s="120"/>
      <c r="BF1681" s="440"/>
      <c r="CB1681" s="436" t="s">
        <v>516</v>
      </c>
      <c r="CC1681" s="120">
        <v>0</v>
      </c>
      <c r="CD1681" s="120" t="s">
        <v>515</v>
      </c>
      <c r="CE1681" s="120"/>
      <c r="CF1681" s="440"/>
      <c r="DB1681" s="436" t="s">
        <v>516</v>
      </c>
      <c r="DC1681" s="120">
        <v>0</v>
      </c>
      <c r="DD1681" s="120" t="s">
        <v>515</v>
      </c>
      <c r="DE1681" s="120"/>
      <c r="DF1681" s="440"/>
      <c r="EB1681" s="436" t="s">
        <v>516</v>
      </c>
      <c r="EC1681" s="120">
        <v>0</v>
      </c>
      <c r="ED1681" s="120" t="s">
        <v>515</v>
      </c>
      <c r="EE1681" s="120"/>
      <c r="EF1681" s="440"/>
    </row>
    <row r="1682" spans="54:136">
      <c r="BB1682" s="436"/>
      <c r="BC1682" s="120"/>
      <c r="BD1682" s="120"/>
      <c r="BE1682" s="120"/>
      <c r="BF1682" s="440"/>
      <c r="CB1682" s="436"/>
      <c r="CC1682" s="120"/>
      <c r="CD1682" s="120"/>
      <c r="CE1682" s="120"/>
      <c r="CF1682" s="440"/>
      <c r="DB1682" s="436"/>
      <c r="DC1682" s="120"/>
      <c r="DD1682" s="120"/>
      <c r="DE1682" s="120"/>
      <c r="DF1682" s="440"/>
      <c r="EB1682" s="436"/>
      <c r="EC1682" s="120"/>
      <c r="ED1682" s="120"/>
      <c r="EE1682" s="120"/>
      <c r="EF1682" s="440"/>
    </row>
    <row r="1683" spans="54:136">
      <c r="BB1683" s="436"/>
      <c r="BC1683" s="120"/>
      <c r="BD1683" s="120"/>
      <c r="BE1683" s="120"/>
      <c r="BF1683" s="440"/>
      <c r="CB1683" s="436"/>
      <c r="CC1683" s="120"/>
      <c r="CD1683" s="120"/>
      <c r="CE1683" s="120"/>
      <c r="CF1683" s="440"/>
      <c r="DB1683" s="436"/>
      <c r="DC1683" s="120"/>
      <c r="DD1683" s="120"/>
      <c r="DE1683" s="120"/>
      <c r="DF1683" s="440"/>
      <c r="EB1683" s="436"/>
      <c r="EC1683" s="120"/>
      <c r="ED1683" s="120"/>
      <c r="EE1683" s="120"/>
      <c r="EF1683" s="440"/>
    </row>
    <row r="1684" spans="54:136">
      <c r="BB1684" s="436"/>
      <c r="BC1684" s="120"/>
      <c r="BD1684" s="120"/>
      <c r="BE1684" s="120"/>
      <c r="BF1684" s="440"/>
      <c r="CB1684" s="436"/>
      <c r="CC1684" s="120"/>
      <c r="CD1684" s="120"/>
      <c r="CE1684" s="120"/>
      <c r="CF1684" s="440"/>
      <c r="DB1684" s="436"/>
      <c r="DC1684" s="120"/>
      <c r="DD1684" s="120"/>
      <c r="DE1684" s="120"/>
      <c r="DF1684" s="440"/>
      <c r="EB1684" s="436"/>
      <c r="EC1684" s="120"/>
      <c r="ED1684" s="120"/>
      <c r="EE1684" s="120"/>
      <c r="EF1684" s="440"/>
    </row>
    <row r="1685" spans="54:136">
      <c r="BB1685" s="436"/>
      <c r="BC1685" s="120"/>
      <c r="BD1685" s="120"/>
      <c r="BE1685" s="120"/>
      <c r="BF1685" s="440"/>
      <c r="CB1685" s="436"/>
      <c r="CC1685" s="120"/>
      <c r="CD1685" s="120"/>
      <c r="CE1685" s="120"/>
      <c r="CF1685" s="440"/>
      <c r="DB1685" s="436"/>
      <c r="DC1685" s="120"/>
      <c r="DD1685" s="120"/>
      <c r="DE1685" s="120"/>
      <c r="DF1685" s="440"/>
      <c r="EB1685" s="436"/>
      <c r="EC1685" s="120"/>
      <c r="ED1685" s="120"/>
      <c r="EE1685" s="120"/>
      <c r="EF1685" s="440"/>
    </row>
    <row r="1686" spans="54:136">
      <c r="BB1686" s="436"/>
      <c r="BC1686" s="120"/>
      <c r="BD1686" s="120"/>
      <c r="BE1686" s="120"/>
      <c r="BF1686" s="440"/>
      <c r="CB1686" s="436"/>
      <c r="CC1686" s="120"/>
      <c r="CD1686" s="120"/>
      <c r="CE1686" s="120"/>
      <c r="CF1686" s="440"/>
      <c r="DB1686" s="436"/>
      <c r="DC1686" s="120"/>
      <c r="DD1686" s="120"/>
      <c r="DE1686" s="120"/>
      <c r="DF1686" s="440"/>
      <c r="EB1686" s="436"/>
      <c r="EC1686" s="120"/>
      <c r="ED1686" s="120"/>
      <c r="EE1686" s="120"/>
      <c r="EF1686" s="440"/>
    </row>
    <row r="1687" spans="54:136">
      <c r="BB1687" s="436" t="s">
        <v>464</v>
      </c>
      <c r="BC1687" s="120"/>
      <c r="BD1687" s="120"/>
      <c r="BE1687" s="120"/>
      <c r="BF1687" s="440"/>
      <c r="CB1687" s="436" t="s">
        <v>464</v>
      </c>
      <c r="CC1687" s="120"/>
      <c r="CD1687" s="120"/>
      <c r="CE1687" s="120"/>
      <c r="CF1687" s="440"/>
      <c r="DB1687" s="436" t="s">
        <v>464</v>
      </c>
      <c r="DC1687" s="120"/>
      <c r="DD1687" s="120"/>
      <c r="DE1687" s="120"/>
      <c r="DF1687" s="440"/>
      <c r="EB1687" s="436" t="s">
        <v>464</v>
      </c>
      <c r="EC1687" s="120"/>
      <c r="ED1687" s="120"/>
      <c r="EE1687" s="120"/>
      <c r="EF1687" s="440"/>
    </row>
    <row r="1688" spans="54:136">
      <c r="BB1688" s="456"/>
      <c r="BC1688" s="457"/>
      <c r="BD1688" s="457"/>
      <c r="BE1688" s="457"/>
      <c r="BF1688" s="458"/>
      <c r="CB1688" s="456"/>
      <c r="CC1688" s="457"/>
      <c r="CD1688" s="457"/>
      <c r="CE1688" s="457"/>
      <c r="CF1688" s="458"/>
      <c r="DB1688" s="456"/>
      <c r="DC1688" s="457"/>
      <c r="DD1688" s="457"/>
      <c r="DE1688" s="457"/>
      <c r="DF1688" s="458"/>
      <c r="EB1688" s="456"/>
      <c r="EC1688" s="457"/>
      <c r="ED1688" s="457"/>
      <c r="EE1688" s="457"/>
      <c r="EF1688" s="458"/>
    </row>
    <row r="1689" spans="54:136">
      <c r="BB1689" s="449" t="s">
        <v>472</v>
      </c>
      <c r="BC1689" s="467" t="s">
        <v>517</v>
      </c>
      <c r="BD1689" s="120" t="s">
        <v>518</v>
      </c>
      <c r="BE1689" s="467" t="s">
        <v>519</v>
      </c>
      <c r="BF1689" s="440" t="s">
        <v>518</v>
      </c>
      <c r="CB1689" s="449" t="s">
        <v>472</v>
      </c>
      <c r="CC1689" s="467" t="s">
        <v>517</v>
      </c>
      <c r="CD1689" s="120" t="s">
        <v>518</v>
      </c>
      <c r="CE1689" s="467" t="s">
        <v>519</v>
      </c>
      <c r="CF1689" s="440" t="s">
        <v>518</v>
      </c>
      <c r="DB1689" s="449" t="s">
        <v>472</v>
      </c>
      <c r="DC1689" s="467" t="s">
        <v>517</v>
      </c>
      <c r="DD1689" s="120" t="s">
        <v>518</v>
      </c>
      <c r="DE1689" s="467" t="s">
        <v>519</v>
      </c>
      <c r="DF1689" s="440" t="s">
        <v>518</v>
      </c>
      <c r="EB1689" s="449" t="s">
        <v>472</v>
      </c>
      <c r="EC1689" s="467" t="s">
        <v>517</v>
      </c>
      <c r="ED1689" s="120" t="s">
        <v>518</v>
      </c>
      <c r="EE1689" s="467" t="s">
        <v>519</v>
      </c>
      <c r="EF1689" s="440" t="s">
        <v>518</v>
      </c>
    </row>
    <row r="1690" spans="54:136">
      <c r="BB1690" s="436" t="s">
        <v>520</v>
      </c>
      <c r="BC1690" s="120"/>
      <c r="BD1690" s="120"/>
      <c r="BE1690" s="472">
        <f>((VLOOKUP(BB1608,'Unit Ops'!$B$140:$J$209,3,FALSE)*BC1610^VLOOKUP(BB1608,'Unit Ops'!$B$140:$J$209,4,FALSE)+VLOOKUP(BB1608,'Unit Ops'!$B$140:$J$209,5,FALSE))*VLOOKUP(BB1608,'Unit Ops'!$B$140:$J$209,6,FALSE))*IF(VLOOKUP(BB1608,'Unit Ops'!$B$140:$L$209,11,FALSE)=1,1,2)</f>
        <v>300000</v>
      </c>
      <c r="BF1690" s="490">
        <f>$C$7</f>
        <v>2022</v>
      </c>
      <c r="CB1690" s="436" t="s">
        <v>520</v>
      </c>
      <c r="CC1690" s="120"/>
      <c r="CD1690" s="120"/>
      <c r="CE1690" s="472">
        <f>((VLOOKUP(CB1608,'Unit Ops'!$B$140:$J$209,3,FALSE)*CC1610^VLOOKUP(CB1608,'Unit Ops'!$B$140:$J$209,4,FALSE)+VLOOKUP(CB1608,'Unit Ops'!$B$140:$J$209,5,FALSE))*VLOOKUP(CB1608,'Unit Ops'!$B$140:$J$209,6,FALSE))*IF(VLOOKUP(CB1608,'Unit Ops'!$B$140:$L$209,11,FALSE)=1,1,2)</f>
        <v>1000000</v>
      </c>
      <c r="CF1690" s="490">
        <f>$C$7</f>
        <v>2022</v>
      </c>
      <c r="DB1690" s="436" t="s">
        <v>520</v>
      </c>
      <c r="DC1690" s="120"/>
      <c r="DD1690" s="120"/>
      <c r="DE1690" s="472">
        <f>((VLOOKUP(DB1608,'Unit Ops'!$B$140:$J$209,3,FALSE)*DC1610^VLOOKUP(DB1608,'Unit Ops'!$B$140:$J$209,4,FALSE)+VLOOKUP(DB1608,'Unit Ops'!$B$140:$J$209,5,FALSE))*VLOOKUP(DB1608,'Unit Ops'!$B$140:$J$209,6,FALSE))*IF(VLOOKUP(DB1608,'Unit Ops'!$B$140:$L$209,11,FALSE)=1,1,2)</f>
        <v>0</v>
      </c>
      <c r="DF1690" s="490">
        <f>$C$7</f>
        <v>2022</v>
      </c>
      <c r="EB1690" s="436" t="s">
        <v>520</v>
      </c>
      <c r="EC1690" s="120"/>
      <c r="ED1690" s="120"/>
      <c r="EE1690" s="472">
        <f>((VLOOKUP(EB1608,'Unit Ops'!$B$140:$J$209,3,FALSE)*EC1610^VLOOKUP(EB1608,'Unit Ops'!$B$140:$J$209,4,FALSE)+VLOOKUP(EB1608,'Unit Ops'!$B$140:$J$209,5,FALSE))*VLOOKUP(EB1608,'Unit Ops'!$B$140:$J$209,6,FALSE))*IF(VLOOKUP(EB1608,'Unit Ops'!$B$140:$L$209,11,FALSE)=1,1,2)</f>
        <v>1000000</v>
      </c>
      <c r="EF1690" s="490">
        <f>$C$7</f>
        <v>2022</v>
      </c>
    </row>
    <row r="1691" spans="54:136">
      <c r="BB1691" s="436"/>
      <c r="BC1691" s="120"/>
      <c r="BD1691" s="120"/>
      <c r="BE1691" s="120"/>
      <c r="BF1691" s="440"/>
      <c r="CB1691" s="436"/>
      <c r="CC1691" s="120"/>
      <c r="CD1691" s="120"/>
      <c r="CE1691" s="120"/>
      <c r="CF1691" s="440"/>
      <c r="DB1691" s="436"/>
      <c r="DC1691" s="120"/>
      <c r="DD1691" s="120"/>
      <c r="DE1691" s="120"/>
      <c r="DF1691" s="440"/>
      <c r="EB1691" s="436"/>
      <c r="EC1691" s="120"/>
      <c r="ED1691" s="120"/>
      <c r="EE1691" s="120"/>
      <c r="EF1691" s="440"/>
    </row>
    <row r="1692" spans="54:136">
      <c r="BB1692" s="436"/>
      <c r="BC1692" s="120"/>
      <c r="BD1692" s="120"/>
      <c r="BE1692" s="120"/>
      <c r="BF1692" s="440"/>
      <c r="CB1692" s="436"/>
      <c r="CC1692" s="120"/>
      <c r="CD1692" s="120"/>
      <c r="CE1692" s="120"/>
      <c r="CF1692" s="440"/>
      <c r="DB1692" s="436"/>
      <c r="DC1692" s="120"/>
      <c r="DD1692" s="120"/>
      <c r="DE1692" s="120"/>
      <c r="DF1692" s="440"/>
      <c r="EB1692" s="436"/>
      <c r="EC1692" s="120"/>
      <c r="ED1692" s="120"/>
      <c r="EE1692" s="120"/>
      <c r="EF1692" s="440"/>
    </row>
    <row r="1693" spans="54:136">
      <c r="BB1693" s="436"/>
      <c r="BC1693" s="120"/>
      <c r="BD1693" s="120"/>
      <c r="BE1693" s="120"/>
      <c r="BF1693" s="440"/>
      <c r="CB1693" s="436"/>
      <c r="CC1693" s="120"/>
      <c r="CD1693" s="120"/>
      <c r="CE1693" s="120"/>
      <c r="CF1693" s="440"/>
      <c r="DB1693" s="436"/>
      <c r="DC1693" s="120"/>
      <c r="DD1693" s="120"/>
      <c r="DE1693" s="120"/>
      <c r="DF1693" s="440"/>
      <c r="EB1693" s="436"/>
      <c r="EC1693" s="120"/>
      <c r="ED1693" s="120"/>
      <c r="EE1693" s="120"/>
      <c r="EF1693" s="440"/>
    </row>
    <row r="1694" spans="54:136">
      <c r="BB1694" s="436"/>
      <c r="BC1694" s="120"/>
      <c r="BD1694" s="120"/>
      <c r="BE1694" s="120"/>
      <c r="BF1694" s="440"/>
      <c r="CB1694" s="436"/>
      <c r="CC1694" s="120"/>
      <c r="CD1694" s="120"/>
      <c r="CE1694" s="120"/>
      <c r="CF1694" s="440"/>
      <c r="DB1694" s="436"/>
      <c r="DC1694" s="120"/>
      <c r="DD1694" s="120"/>
      <c r="DE1694" s="120"/>
      <c r="DF1694" s="440"/>
      <c r="EB1694" s="436"/>
      <c r="EC1694" s="120"/>
      <c r="ED1694" s="120"/>
      <c r="EE1694" s="120"/>
      <c r="EF1694" s="440"/>
    </row>
    <row r="1695" spans="54:136">
      <c r="BB1695" s="436"/>
      <c r="BC1695" s="120"/>
      <c r="BD1695" s="120"/>
      <c r="BE1695" s="120"/>
      <c r="BF1695" s="440"/>
      <c r="CB1695" s="436"/>
      <c r="CC1695" s="120"/>
      <c r="CD1695" s="120"/>
      <c r="CE1695" s="120"/>
      <c r="CF1695" s="440"/>
      <c r="DB1695" s="436"/>
      <c r="DC1695" s="120"/>
      <c r="DD1695" s="120"/>
      <c r="DE1695" s="120"/>
      <c r="DF1695" s="440"/>
      <c r="EB1695" s="436"/>
      <c r="EC1695" s="120"/>
      <c r="ED1695" s="120"/>
      <c r="EE1695" s="120"/>
      <c r="EF1695" s="440"/>
    </row>
    <row r="1696" spans="54:136">
      <c r="BB1696" s="436"/>
      <c r="BC1696" s="120"/>
      <c r="BD1696" s="120"/>
      <c r="BE1696" s="120"/>
      <c r="BF1696" s="440"/>
      <c r="CB1696" s="436"/>
      <c r="CC1696" s="120"/>
      <c r="CD1696" s="120"/>
      <c r="CE1696" s="120"/>
      <c r="CF1696" s="440"/>
      <c r="DB1696" s="436"/>
      <c r="DC1696" s="120"/>
      <c r="DD1696" s="120"/>
      <c r="DE1696" s="120"/>
      <c r="DF1696" s="440"/>
      <c r="EB1696" s="436"/>
      <c r="EC1696" s="120"/>
      <c r="ED1696" s="120"/>
      <c r="EE1696" s="120"/>
      <c r="EF1696" s="440"/>
    </row>
    <row r="1697" spans="53:137">
      <c r="BB1697" s="436"/>
      <c r="BC1697" s="120"/>
      <c r="BD1697" s="120"/>
      <c r="BE1697" s="120"/>
      <c r="BF1697" s="440"/>
      <c r="CB1697" s="436"/>
      <c r="CC1697" s="120"/>
      <c r="CD1697" s="120"/>
      <c r="CE1697" s="120"/>
      <c r="CF1697" s="440"/>
      <c r="DB1697" s="436"/>
      <c r="DC1697" s="120"/>
      <c r="DD1697" s="120"/>
      <c r="DE1697" s="120"/>
      <c r="DF1697" s="440"/>
      <c r="EB1697" s="436"/>
      <c r="EC1697" s="120"/>
      <c r="ED1697" s="120"/>
      <c r="EE1697" s="120"/>
      <c r="EF1697" s="440"/>
    </row>
    <row r="1698" spans="53:137">
      <c r="BB1698" s="436"/>
      <c r="BC1698" s="120"/>
      <c r="BD1698" s="120"/>
      <c r="BE1698" s="120"/>
      <c r="BF1698" s="440"/>
      <c r="CB1698" s="436"/>
      <c r="CC1698" s="120"/>
      <c r="CD1698" s="120"/>
      <c r="CE1698" s="120"/>
      <c r="CF1698" s="440"/>
      <c r="DB1698" s="436"/>
      <c r="DC1698" s="120"/>
      <c r="DD1698" s="120"/>
      <c r="DE1698" s="120"/>
      <c r="DF1698" s="440"/>
      <c r="EB1698" s="436"/>
      <c r="EC1698" s="120"/>
      <c r="ED1698" s="120"/>
      <c r="EE1698" s="120"/>
      <c r="EF1698" s="440"/>
    </row>
    <row r="1699" spans="53:137">
      <c r="BB1699" s="436"/>
      <c r="BC1699" s="120"/>
      <c r="BD1699" s="120"/>
      <c r="BE1699" s="120"/>
      <c r="BF1699" s="440"/>
      <c r="CB1699" s="436"/>
      <c r="CC1699" s="120"/>
      <c r="CD1699" s="120"/>
      <c r="CE1699" s="120"/>
      <c r="CF1699" s="440"/>
      <c r="DB1699" s="436"/>
      <c r="DC1699" s="120"/>
      <c r="DD1699" s="120"/>
      <c r="DE1699" s="120"/>
      <c r="DF1699" s="440"/>
      <c r="EB1699" s="436"/>
      <c r="EC1699" s="120"/>
      <c r="ED1699" s="120"/>
      <c r="EE1699" s="120"/>
      <c r="EF1699" s="440"/>
    </row>
    <row r="1700" spans="53:137">
      <c r="BB1700" s="436"/>
      <c r="BC1700" s="120"/>
      <c r="BD1700" s="120"/>
      <c r="BE1700" s="120"/>
      <c r="BF1700" s="440"/>
      <c r="CB1700" s="436"/>
      <c r="CC1700" s="120"/>
      <c r="CD1700" s="120"/>
      <c r="CE1700" s="120"/>
      <c r="CF1700" s="440"/>
      <c r="DB1700" s="436"/>
      <c r="DC1700" s="120"/>
      <c r="DD1700" s="120"/>
      <c r="DE1700" s="120"/>
      <c r="DF1700" s="440"/>
      <c r="EB1700" s="436"/>
      <c r="EC1700" s="120"/>
      <c r="ED1700" s="120"/>
      <c r="EE1700" s="120"/>
      <c r="EF1700" s="440"/>
    </row>
    <row r="1701" spans="53:137">
      <c r="BB1701" s="436"/>
      <c r="BC1701" s="120"/>
      <c r="BD1701" s="120"/>
      <c r="BE1701" s="120"/>
      <c r="BF1701" s="440"/>
      <c r="CB1701" s="436"/>
      <c r="CC1701" s="120"/>
      <c r="CD1701" s="120"/>
      <c r="CE1701" s="120"/>
      <c r="CF1701" s="440"/>
      <c r="DB1701" s="436"/>
      <c r="DC1701" s="120"/>
      <c r="DD1701" s="120"/>
      <c r="DE1701" s="120"/>
      <c r="DF1701" s="440"/>
      <c r="EB1701" s="436"/>
      <c r="EC1701" s="120"/>
      <c r="ED1701" s="120"/>
      <c r="EE1701" s="120"/>
      <c r="EF1701" s="440"/>
    </row>
    <row r="1702" spans="53:137">
      <c r="BB1702" s="436"/>
      <c r="BC1702" s="120"/>
      <c r="BD1702" s="120"/>
      <c r="BE1702" s="120"/>
      <c r="BF1702" s="440"/>
      <c r="CB1702" s="436"/>
      <c r="CC1702" s="120"/>
      <c r="CD1702" s="120"/>
      <c r="CE1702" s="120"/>
      <c r="CF1702" s="440"/>
      <c r="DB1702" s="436"/>
      <c r="DC1702" s="120"/>
      <c r="DD1702" s="120"/>
      <c r="DE1702" s="120"/>
      <c r="DF1702" s="440"/>
      <c r="EB1702" s="436"/>
      <c r="EC1702" s="120"/>
      <c r="ED1702" s="120"/>
      <c r="EE1702" s="120"/>
      <c r="EF1702" s="440"/>
    </row>
    <row r="1703" spans="53:137">
      <c r="BB1703" s="436"/>
      <c r="BC1703" s="120"/>
      <c r="BD1703" s="120"/>
      <c r="BE1703" s="120"/>
      <c r="BF1703" s="440"/>
      <c r="CB1703" s="436"/>
      <c r="CC1703" s="120"/>
      <c r="CD1703" s="120"/>
      <c r="CE1703" s="120"/>
      <c r="CF1703" s="440"/>
      <c r="DB1703" s="436"/>
      <c r="DC1703" s="120"/>
      <c r="DD1703" s="120"/>
      <c r="DE1703" s="120"/>
      <c r="DF1703" s="440"/>
      <c r="EB1703" s="436"/>
      <c r="EC1703" s="120"/>
      <c r="ED1703" s="120"/>
      <c r="EE1703" s="120"/>
      <c r="EF1703" s="440"/>
    </row>
    <row r="1704" spans="53:137" ht="14.5" thickBot="1">
      <c r="BB1704" s="492"/>
      <c r="BC1704" s="493"/>
      <c r="BD1704" s="493"/>
      <c r="BE1704" s="493"/>
      <c r="BF1704" s="453"/>
      <c r="CB1704" s="492"/>
      <c r="CC1704" s="493"/>
      <c r="CD1704" s="493"/>
      <c r="CE1704" s="493"/>
      <c r="CF1704" s="453"/>
      <c r="DB1704" s="492"/>
      <c r="DC1704" s="493"/>
      <c r="DD1704" s="493"/>
      <c r="DE1704" s="493"/>
      <c r="DF1704" s="453"/>
      <c r="EB1704" s="492"/>
      <c r="EC1704" s="493"/>
      <c r="ED1704" s="493"/>
      <c r="EE1704" s="493"/>
      <c r="EF1704" s="453"/>
    </row>
    <row r="1707" spans="53:137" ht="14.5" thickBot="1"/>
    <row r="1708" spans="53:137">
      <c r="BA1708" s="114" t="s">
        <v>478</v>
      </c>
      <c r="BB1708" s="431" t="str">
        <f>BB66</f>
        <v>Water treatment</v>
      </c>
      <c r="BC1708" s="432"/>
      <c r="BD1708" s="433"/>
      <c r="BE1708" s="434"/>
      <c r="BF1708" s="435"/>
      <c r="CA1708" s="114" t="s">
        <v>478</v>
      </c>
      <c r="CB1708" s="431" t="str">
        <f>CB66</f>
        <v>Wheel loader</v>
      </c>
      <c r="CC1708" s="432"/>
      <c r="CD1708" s="433"/>
      <c r="CE1708" s="434"/>
      <c r="CF1708" s="435"/>
      <c r="DA1708" s="114" t="s">
        <v>478</v>
      </c>
      <c r="DB1708" s="431" t="str">
        <f>DB66</f>
        <v>Select Equipment</v>
      </c>
      <c r="DC1708" s="432"/>
      <c r="DD1708" s="433"/>
      <c r="DE1708" s="434"/>
      <c r="DF1708" s="435"/>
      <c r="EA1708" s="114" t="s">
        <v>478</v>
      </c>
      <c r="EB1708" s="431" t="str">
        <f>EB68</f>
        <v>Wheel loader</v>
      </c>
      <c r="EC1708" s="432"/>
      <c r="ED1708" s="433"/>
      <c r="EE1708" s="434"/>
      <c r="EF1708" s="435"/>
    </row>
    <row r="1709" spans="53:137">
      <c r="BA1709" s="114" t="s">
        <v>5</v>
      </c>
      <c r="BB1709" s="436" t="s">
        <v>1</v>
      </c>
      <c r="BC1709" s="437">
        <f>BC$25/BC$22/BC$21*VLOOKUP(BB1708,'Unit Ops'!$B$140:$J$209,2,FALSE)</f>
        <v>0.92592592592592593</v>
      </c>
      <c r="BD1709" s="438" t="s">
        <v>586</v>
      </c>
      <c r="BE1709" s="1027">
        <f>BC1709*BC$310*BC$311</f>
        <v>10000</v>
      </c>
      <c r="BF1709" s="439" t="s">
        <v>585</v>
      </c>
      <c r="BG1709" s="408"/>
      <c r="CA1709" s="114" t="s">
        <v>5</v>
      </c>
      <c r="CB1709" s="436" t="s">
        <v>1</v>
      </c>
      <c r="CC1709" s="437">
        <f>CC$25/CC$22/CC$21*VLOOKUP(CB1708,'Unit Ops'!$B$140:$J$209,2,FALSE)</f>
        <v>0.91324200913242004</v>
      </c>
      <c r="CD1709" s="438" t="s">
        <v>586</v>
      </c>
      <c r="CE1709" s="1027">
        <f>CC1709*CC$310*CC$311</f>
        <v>10000</v>
      </c>
      <c r="CF1709" s="439" t="s">
        <v>585</v>
      </c>
      <c r="CG1709" s="408"/>
      <c r="DA1709" s="114" t="s">
        <v>5</v>
      </c>
      <c r="DB1709" s="436" t="s">
        <v>1</v>
      </c>
      <c r="DC1709" s="437">
        <f>DC$25/DC$22/DC$21*VLOOKUP(DB1708,'Unit Ops'!$B$140:$J$209,2,FALSE)</f>
        <v>0.92592592592592593</v>
      </c>
      <c r="DD1709" s="438" t="s">
        <v>586</v>
      </c>
      <c r="DE1709" s="1027">
        <f>DC1709*DC$310*DC$311</f>
        <v>10000</v>
      </c>
      <c r="DF1709" s="439" t="s">
        <v>585</v>
      </c>
      <c r="DG1709" s="408"/>
      <c r="EA1709" s="114" t="s">
        <v>5</v>
      </c>
      <c r="EB1709" s="436" t="s">
        <v>1</v>
      </c>
      <c r="EC1709" s="437">
        <f>EC$26/EC$23/EC$22*VLOOKUP(EB1708,'Unit Ops'!$B$140:$J$209,2,FALSE)</f>
        <v>1.3020833333333333</v>
      </c>
      <c r="ED1709" s="438" t="s">
        <v>586</v>
      </c>
      <c r="EE1709" s="1027">
        <f>EC1709*EC$310*EC$311</f>
        <v>10000</v>
      </c>
      <c r="EF1709" s="439" t="s">
        <v>585</v>
      </c>
      <c r="EG1709" s="408"/>
    </row>
    <row r="1710" spans="53:137">
      <c r="BA1710" s="114" t="str">
        <f>$BB$54</f>
        <v>Hopper</v>
      </c>
      <c r="BB1710" s="436" t="s">
        <v>505</v>
      </c>
      <c r="BC1710" s="437">
        <f>ROUNDUP(BC1709*IF(VLOOKUP(BB1708,'Unit Ops'!$B$140:$L$209,11,FALSE)=1,1.5,0.75),1)</f>
        <v>1.4000000000000001</v>
      </c>
      <c r="BD1710" s="438" t="s">
        <v>586</v>
      </c>
      <c r="BE1710" s="120">
        <f>BC1710*BC$310*BC$311</f>
        <v>15120.000000000002</v>
      </c>
      <c r="BF1710" s="439" t="s">
        <v>585</v>
      </c>
      <c r="BG1710" s="520"/>
      <c r="CA1710" s="114" t="str">
        <f>$CB$54</f>
        <v>Conveyor</v>
      </c>
      <c r="CB1710" s="436" t="s">
        <v>505</v>
      </c>
      <c r="CC1710" s="437">
        <f>ROUNDUP(CC1709*IF(VLOOKUP(CB1708,'Unit Ops'!$B$140:$L$209,11,FALSE)=1,1.5,0.75),1)</f>
        <v>0.7</v>
      </c>
      <c r="CD1710" s="438" t="s">
        <v>586</v>
      </c>
      <c r="CE1710" s="120">
        <f>CC1710*CC$310*CC$311</f>
        <v>7665</v>
      </c>
      <c r="CF1710" s="439" t="s">
        <v>585</v>
      </c>
      <c r="CG1710" s="520"/>
      <c r="DA1710" s="114" t="str">
        <f>$DB$54</f>
        <v>Conveyor</v>
      </c>
      <c r="DB1710" s="436" t="s">
        <v>505</v>
      </c>
      <c r="DC1710" s="437">
        <f>ROUNDUP(DC1709*IF(VLOOKUP(DB1708,'Unit Ops'!$B$140:$L$209,11,FALSE)=1,1.5,0.75),1)</f>
        <v>0.7</v>
      </c>
      <c r="DD1710" s="438" t="s">
        <v>586</v>
      </c>
      <c r="DE1710" s="120">
        <f>DC1710*DC$310*DC$311</f>
        <v>7560</v>
      </c>
      <c r="DF1710" s="439" t="s">
        <v>585</v>
      </c>
      <c r="DG1710" s="520"/>
      <c r="EA1710" s="114" t="str">
        <f>$EB$56</f>
        <v>Conveyor</v>
      </c>
      <c r="EB1710" s="436" t="s">
        <v>505</v>
      </c>
      <c r="EC1710" s="437">
        <f>ROUNDUP(EC1709*IF(VLOOKUP(EB1708,'Unit Ops'!$B$140:$L$209,11,FALSE)=1,1.5,0.75),1)</f>
        <v>1</v>
      </c>
      <c r="ED1710" s="438" t="s">
        <v>586</v>
      </c>
      <c r="EE1710" s="120">
        <f>EC1710*EC$310*EC$311</f>
        <v>7680</v>
      </c>
      <c r="EF1710" s="439" t="s">
        <v>585</v>
      </c>
      <c r="EG1710" s="520"/>
    </row>
    <row r="1711" spans="53:137">
      <c r="BA1711" s="114" t="str">
        <f>$BB$55</f>
        <v>Conveyor</v>
      </c>
      <c r="BB1711" s="441" t="s">
        <v>521</v>
      </c>
      <c r="BC1711" s="442">
        <f>BC1709/BC1710</f>
        <v>0.66137566137566128</v>
      </c>
      <c r="BD1711" s="438"/>
      <c r="BE1711" s="443"/>
      <c r="BF1711" s="440"/>
      <c r="BG1711" s="521"/>
      <c r="CA1711" s="114" t="str">
        <f>$CB$55</f>
        <v>Leaching tank</v>
      </c>
      <c r="CB1711" s="441" t="s">
        <v>521</v>
      </c>
      <c r="CC1711" s="442">
        <f>CC1709/CC1710</f>
        <v>1.3046314416177429</v>
      </c>
      <c r="CD1711" s="438"/>
      <c r="CE1711" s="443"/>
      <c r="CF1711" s="440"/>
      <c r="CG1711" s="521"/>
      <c r="DA1711" s="114" t="str">
        <f>$DB$55</f>
        <v>Froth flotation cell</v>
      </c>
      <c r="DB1711" s="441" t="s">
        <v>521</v>
      </c>
      <c r="DC1711" s="442">
        <f>DC1709/DC1710</f>
        <v>1.3227513227513228</v>
      </c>
      <c r="DD1711" s="438"/>
      <c r="DE1711" s="443"/>
      <c r="DF1711" s="440"/>
      <c r="DG1711" s="521"/>
      <c r="EA1711" s="114" t="str">
        <f>$EB$57</f>
        <v>Leaching tank</v>
      </c>
      <c r="EB1711" s="441" t="s">
        <v>521</v>
      </c>
      <c r="EC1711" s="442">
        <f>EC1709/EC1710</f>
        <v>1.3020833333333333</v>
      </c>
      <c r="ED1711" s="438"/>
      <c r="EE1711" s="443"/>
      <c r="EF1711" s="440"/>
      <c r="EG1711" s="521"/>
    </row>
    <row r="1712" spans="53:137">
      <c r="BA1712" s="114" t="str">
        <f>$BB$56</f>
        <v>Smelter</v>
      </c>
      <c r="BB1712" s="441" t="s">
        <v>506</v>
      </c>
      <c r="BC1712" s="445"/>
      <c r="BD1712" s="438" t="s">
        <v>454</v>
      </c>
      <c r="BE1712" s="443"/>
      <c r="BF1712" s="440"/>
      <c r="BG1712" s="408"/>
      <c r="CA1712" s="114" t="str">
        <f>$CB$56</f>
        <v>Mixing tank</v>
      </c>
      <c r="CB1712" s="441" t="s">
        <v>506</v>
      </c>
      <c r="CC1712" s="445"/>
      <c r="CD1712" s="438" t="s">
        <v>454</v>
      </c>
      <c r="CE1712" s="443"/>
      <c r="CF1712" s="440"/>
      <c r="CG1712" s="408"/>
      <c r="DA1712" s="114" t="str">
        <f>$DB$56</f>
        <v>Filter press</v>
      </c>
      <c r="DB1712" s="441" t="s">
        <v>506</v>
      </c>
      <c r="DC1712" s="445"/>
      <c r="DD1712" s="438" t="s">
        <v>454</v>
      </c>
      <c r="DE1712" s="443"/>
      <c r="DF1712" s="440"/>
      <c r="DG1712" s="408"/>
      <c r="EA1712" s="114" t="str">
        <f>$EB$58</f>
        <v>Mixing tank</v>
      </c>
      <c r="EB1712" s="441" t="s">
        <v>506</v>
      </c>
      <c r="EC1712" s="445"/>
      <c r="ED1712" s="438" t="s">
        <v>454</v>
      </c>
      <c r="EE1712" s="443"/>
      <c r="EF1712" s="440"/>
      <c r="EG1712" s="408"/>
    </row>
    <row r="1713" spans="53:137">
      <c r="BA1713" s="114" t="str">
        <f>$BB$57</f>
        <v>Gas treatment</v>
      </c>
      <c r="BB1713" s="436" t="s">
        <v>507</v>
      </c>
      <c r="BC1713" s="225">
        <f>(VLOOKUP(BB1708,'Unit Ops'!$B$140:$J$209,7,FALSE)*BC1710^VLOOKUP(BB1708,'Unit Ops'!$B$140:$J$209,8,FALSE)+VLOOKUP(BB1708,'Unit Ops'!$B$140:$J$209,9,FALSE))*IF(VLOOKUP(BB1708,'Unit Ops'!$B$140:$L$209,11,FALSE)=1,1,2)</f>
        <v>1000</v>
      </c>
      <c r="BD1713" s="446" t="s">
        <v>454</v>
      </c>
      <c r="BE1713" s="443"/>
      <c r="BF1713" s="440"/>
      <c r="BG1713" s="521"/>
      <c r="CA1713" s="114" t="str">
        <f>$CB$57</f>
        <v>Filter press</v>
      </c>
      <c r="CB1713" s="436" t="s">
        <v>507</v>
      </c>
      <c r="CC1713" s="225">
        <f>(VLOOKUP(CB1708,'Unit Ops'!$B$140:$J$209,7,FALSE)*CC1710^VLOOKUP(CB1708,'Unit Ops'!$B$140:$J$209,8,FALSE)+VLOOKUP(CB1708,'Unit Ops'!$B$140:$J$209,9,FALSE))*IF(VLOOKUP(CB1708,'Unit Ops'!$B$140:$L$209,11,FALSE)=1,1,2)</f>
        <v>0</v>
      </c>
      <c r="CD1713" s="446" t="s">
        <v>454</v>
      </c>
      <c r="CE1713" s="443"/>
      <c r="CF1713" s="440"/>
      <c r="CG1713" s="521"/>
      <c r="DA1713" s="114" t="str">
        <f>$DB$57</f>
        <v>Froth flotation cell</v>
      </c>
      <c r="DB1713" s="436" t="s">
        <v>507</v>
      </c>
      <c r="DC1713" s="225">
        <f>(VLOOKUP(DB1708,'Unit Ops'!$B$140:$J$209,7,FALSE)*DC1710^VLOOKUP(DB1708,'Unit Ops'!$B$140:$J$209,8,FALSE)+VLOOKUP(DB1708,'Unit Ops'!$B$140:$J$209,9,FALSE))*IF(VLOOKUP(DB1708,'Unit Ops'!$B$140:$L$209,11,FALSE)=1,1,2)</f>
        <v>0</v>
      </c>
      <c r="DD1713" s="446" t="s">
        <v>454</v>
      </c>
      <c r="DE1713" s="443"/>
      <c r="DF1713" s="440"/>
      <c r="DG1713" s="521"/>
      <c r="EA1713" s="114" t="str">
        <f>$EB$59</f>
        <v>Filter press</v>
      </c>
      <c r="EB1713" s="436" t="s">
        <v>507</v>
      </c>
      <c r="EC1713" s="225">
        <f>(VLOOKUP(EB1708,'Unit Ops'!$B$140:$J$209,7,FALSE)*EC1710^VLOOKUP(EB1708,'Unit Ops'!$B$140:$J$209,8,FALSE)+VLOOKUP(EB1708,'Unit Ops'!$B$140:$J$209,9,FALSE))*IF(VLOOKUP(EB1708,'Unit Ops'!$B$140:$L$209,11,FALSE)=1,1,2)</f>
        <v>0</v>
      </c>
      <c r="ED1713" s="446" t="s">
        <v>454</v>
      </c>
      <c r="EE1713" s="443"/>
      <c r="EF1713" s="440"/>
      <c r="EG1713" s="521"/>
    </row>
    <row r="1714" spans="53:137">
      <c r="BA1714" s="114" t="str">
        <f>$BB$58</f>
        <v>Conveyor</v>
      </c>
      <c r="BB1714" s="441"/>
      <c r="BC1714" s="445"/>
      <c r="BD1714" s="447"/>
      <c r="BE1714" s="443"/>
      <c r="BF1714" s="440"/>
      <c r="BG1714" s="470"/>
      <c r="CA1714" s="114" t="str">
        <f>$CB$58</f>
        <v>Solvent extraction unit</v>
      </c>
      <c r="CB1714" s="441"/>
      <c r="CC1714" s="445"/>
      <c r="CD1714" s="447"/>
      <c r="CE1714" s="443"/>
      <c r="CF1714" s="440"/>
      <c r="CG1714" s="470"/>
      <c r="DA1714" s="114" t="str">
        <f>$DB$58</f>
        <v>Filter press</v>
      </c>
      <c r="DB1714" s="441"/>
      <c r="DC1714" s="445"/>
      <c r="DD1714" s="447"/>
      <c r="DE1714" s="443"/>
      <c r="DF1714" s="440"/>
      <c r="DG1714" s="470"/>
      <c r="EA1714" s="114" t="str">
        <f>$EB$60</f>
        <v>Solvent extraction unit</v>
      </c>
      <c r="EB1714" s="441"/>
      <c r="EC1714" s="445"/>
      <c r="ED1714" s="447"/>
      <c r="EE1714" s="443"/>
      <c r="EF1714" s="440"/>
      <c r="EG1714" s="470"/>
    </row>
    <row r="1715" spans="53:137">
      <c r="BA1715" s="114" t="str">
        <f>$BB$59</f>
        <v>Granulator</v>
      </c>
      <c r="BB1715" s="441"/>
      <c r="BC1715" s="445"/>
      <c r="BD1715" s="447"/>
      <c r="BE1715" s="443"/>
      <c r="BF1715" s="440"/>
      <c r="BG1715" s="521"/>
      <c r="CA1715" s="114" t="str">
        <f>$CB$59</f>
        <v>Solvent extraction unit</v>
      </c>
      <c r="CB1715" s="441"/>
      <c r="CC1715" s="445"/>
      <c r="CD1715" s="447"/>
      <c r="CE1715" s="443"/>
      <c r="CF1715" s="440"/>
      <c r="CG1715" s="521"/>
      <c r="DA1715" s="114" t="str">
        <f>$DB$59</f>
        <v>Dryer</v>
      </c>
      <c r="DB1715" s="441"/>
      <c r="DC1715" s="445"/>
      <c r="DD1715" s="447"/>
      <c r="DE1715" s="443"/>
      <c r="DF1715" s="440"/>
      <c r="DG1715" s="521"/>
      <c r="EA1715" s="114" t="str">
        <f>$EB$61</f>
        <v>Solvent extraction unit</v>
      </c>
      <c r="EB1715" s="441"/>
      <c r="EC1715" s="445"/>
      <c r="ED1715" s="447"/>
      <c r="EE1715" s="443"/>
      <c r="EF1715" s="440"/>
      <c r="EG1715" s="521"/>
    </row>
    <row r="1716" spans="53:137">
      <c r="BA1716" s="114" t="str">
        <f>$BB$60</f>
        <v>Leaching tank</v>
      </c>
      <c r="BB1716" s="449"/>
      <c r="BC1716" s="445"/>
      <c r="BD1716" s="447"/>
      <c r="BE1716" s="443"/>
      <c r="BF1716" s="440"/>
      <c r="BG1716" s="507"/>
      <c r="CA1716" s="114" t="str">
        <f>$CB$60</f>
        <v>Solvent extraction unit</v>
      </c>
      <c r="CB1716" s="449"/>
      <c r="CC1716" s="445"/>
      <c r="CD1716" s="447"/>
      <c r="CE1716" s="443"/>
      <c r="CF1716" s="440"/>
      <c r="CG1716" s="507"/>
      <c r="DA1716" s="114" t="str">
        <f>$DB$60</f>
        <v>Ball mill</v>
      </c>
      <c r="DB1716" s="449"/>
      <c r="DC1716" s="445"/>
      <c r="DD1716" s="447"/>
      <c r="DE1716" s="443"/>
      <c r="DF1716" s="440"/>
      <c r="DG1716" s="507"/>
      <c r="EA1716" s="114" t="str">
        <f>$EB$62</f>
        <v>Solvent extraction unit</v>
      </c>
      <c r="EB1716" s="449"/>
      <c r="EC1716" s="445"/>
      <c r="ED1716" s="447"/>
      <c r="EE1716" s="443"/>
      <c r="EF1716" s="440"/>
      <c r="EG1716" s="507"/>
    </row>
    <row r="1717" spans="53:137" ht="14.5" thickBot="1">
      <c r="BA1717" s="114" t="str">
        <f>$BB$61</f>
        <v>Solvent extraction unit</v>
      </c>
      <c r="BB1717" s="450"/>
      <c r="BC1717" s="451"/>
      <c r="BD1717" s="451"/>
      <c r="BE1717" s="452"/>
      <c r="BF1717" s="453"/>
      <c r="BG1717" s="521"/>
      <c r="CA1717" s="114" t="str">
        <f>$CB$61</f>
        <v>Evaporator</v>
      </c>
      <c r="CB1717" s="450"/>
      <c r="CC1717" s="451"/>
      <c r="CD1717" s="451"/>
      <c r="CE1717" s="452"/>
      <c r="CF1717" s="453"/>
      <c r="CG1717" s="521"/>
      <c r="DA1717" s="114" t="str">
        <f>$DB$61</f>
        <v>Furnace+saggar handling system</v>
      </c>
      <c r="DB1717" s="450"/>
      <c r="DC1717" s="451"/>
      <c r="DD1717" s="451"/>
      <c r="DE1717" s="452"/>
      <c r="DF1717" s="453"/>
      <c r="DG1717" s="521"/>
      <c r="EA1717" s="114" t="str">
        <f>$EB$63</f>
        <v>Evaporator</v>
      </c>
      <c r="EB1717" s="450"/>
      <c r="EC1717" s="451"/>
      <c r="ED1717" s="451"/>
      <c r="EE1717" s="452"/>
      <c r="EF1717" s="453"/>
      <c r="EG1717" s="521"/>
    </row>
    <row r="1718" spans="53:137">
      <c r="BA1718" s="114" t="str">
        <f>$BB$62</f>
        <v>Electrowinning cell</v>
      </c>
      <c r="BB1718" s="449" t="s">
        <v>470</v>
      </c>
      <c r="BC1718" s="120"/>
      <c r="BD1718" s="454"/>
      <c r="BE1718" s="120"/>
      <c r="BF1718" s="440"/>
      <c r="BG1718" s="474"/>
      <c r="CA1718" s="114" t="str">
        <f>$CB$62</f>
        <v>Precipitation tank</v>
      </c>
      <c r="CB1718" s="449" t="s">
        <v>470</v>
      </c>
      <c r="CC1718" s="120"/>
      <c r="CD1718" s="454"/>
      <c r="CE1718" s="120"/>
      <c r="CF1718" s="440"/>
      <c r="CG1718" s="474"/>
      <c r="DA1718" s="114" t="str">
        <f>$DB$62</f>
        <v>Water treatment</v>
      </c>
      <c r="DB1718" s="449" t="s">
        <v>470</v>
      </c>
      <c r="DC1718" s="120"/>
      <c r="DD1718" s="454"/>
      <c r="DE1718" s="120"/>
      <c r="DF1718" s="440"/>
      <c r="DG1718" s="474"/>
      <c r="EA1718" s="114" t="str">
        <f>$EB$64</f>
        <v>Precipitation tank</v>
      </c>
      <c r="EB1718" s="449" t="s">
        <v>470</v>
      </c>
      <c r="EC1718" s="120"/>
      <c r="ED1718" s="454"/>
      <c r="EE1718" s="120"/>
      <c r="EF1718" s="440"/>
      <c r="EG1718" s="474"/>
    </row>
    <row r="1719" spans="53:137" ht="14.5" customHeight="1">
      <c r="BA1719" s="114" t="str">
        <f>$BB$63</f>
        <v>Solvent extraction unit</v>
      </c>
      <c r="BB1719" s="1698"/>
      <c r="BC1719" s="1699"/>
      <c r="BD1719" s="1699"/>
      <c r="BE1719" s="1699"/>
      <c r="BF1719" s="1700"/>
      <c r="BG1719" s="474"/>
      <c r="CA1719" s="114" t="str">
        <f>$CB$63</f>
        <v>Centrifuge</v>
      </c>
      <c r="CB1719" s="1698"/>
      <c r="CC1719" s="1699"/>
      <c r="CD1719" s="1699"/>
      <c r="CE1719" s="1699"/>
      <c r="CF1719" s="1700"/>
      <c r="CG1719" s="474"/>
      <c r="DA1719" s="114" t="str">
        <f>$DB$63</f>
        <v>Wheel loader</v>
      </c>
      <c r="DB1719" s="1698"/>
      <c r="DC1719" s="1699"/>
      <c r="DD1719" s="1699"/>
      <c r="DE1719" s="1699"/>
      <c r="DF1719" s="1700"/>
      <c r="DG1719" s="474"/>
      <c r="EA1719" s="114" t="str">
        <f>$EB$65</f>
        <v>Centrifuge</v>
      </c>
      <c r="EB1719" s="1698"/>
      <c r="EC1719" s="1699"/>
      <c r="ED1719" s="1699"/>
      <c r="EE1719" s="1699"/>
      <c r="EF1719" s="1700"/>
      <c r="EG1719" s="474"/>
    </row>
    <row r="1720" spans="53:137">
      <c r="BA1720" s="114" t="str">
        <f>$BB$64</f>
        <v>Solvent extraction unit</v>
      </c>
      <c r="BB1720" s="436"/>
      <c r="BC1720" s="120"/>
      <c r="BD1720" s="455"/>
      <c r="BE1720" s="120"/>
      <c r="BF1720" s="440"/>
      <c r="BG1720" s="521"/>
      <c r="CA1720" s="114" t="str">
        <f>$CB$64</f>
        <v>Dryer</v>
      </c>
      <c r="CB1720" s="436"/>
      <c r="CC1720" s="120"/>
      <c r="CD1720" s="455"/>
      <c r="CE1720" s="120"/>
      <c r="CF1720" s="440"/>
      <c r="CG1720" s="521"/>
      <c r="DA1720" s="114" t="str">
        <f>$DB$64</f>
        <v>Select Equipment</v>
      </c>
      <c r="DB1720" s="436"/>
      <c r="DC1720" s="120"/>
      <c r="DD1720" s="455"/>
      <c r="DE1720" s="120"/>
      <c r="DF1720" s="440"/>
      <c r="DG1720" s="521"/>
      <c r="EA1720" s="114" t="str">
        <f>$EB$66</f>
        <v>Dryer</v>
      </c>
      <c r="EB1720" s="436"/>
      <c r="EC1720" s="120"/>
      <c r="ED1720" s="455"/>
      <c r="EE1720" s="120"/>
      <c r="EF1720" s="440"/>
      <c r="EG1720" s="521"/>
    </row>
    <row r="1721" spans="53:137">
      <c r="BA1721" s="114" t="str">
        <f>$BB$65</f>
        <v>Wheel loader</v>
      </c>
      <c r="BB1721" s="436"/>
      <c r="BC1721" s="120"/>
      <c r="BD1721" s="455"/>
      <c r="BE1721" s="120"/>
      <c r="BF1721" s="440"/>
      <c r="BG1721" s="521"/>
      <c r="CA1721" s="114" t="str">
        <f>$CB$65</f>
        <v>Water treatment</v>
      </c>
      <c r="CB1721" s="436"/>
      <c r="CC1721" s="120"/>
      <c r="CD1721" s="455"/>
      <c r="CE1721" s="120"/>
      <c r="CF1721" s="440"/>
      <c r="CG1721" s="521"/>
      <c r="DA1721" s="114" t="str">
        <f>$DB$65</f>
        <v>Select Equipment</v>
      </c>
      <c r="DB1721" s="436"/>
      <c r="DC1721" s="120"/>
      <c r="DD1721" s="455"/>
      <c r="DE1721" s="120"/>
      <c r="DF1721" s="440"/>
      <c r="DG1721" s="521"/>
      <c r="EA1721" s="114" t="str">
        <f>$EB$67</f>
        <v>Water treatment</v>
      </c>
      <c r="EB1721" s="436"/>
      <c r="EC1721" s="120"/>
      <c r="ED1721" s="455"/>
      <c r="EE1721" s="120"/>
      <c r="EF1721" s="440"/>
      <c r="EG1721" s="521"/>
    </row>
    <row r="1722" spans="53:137">
      <c r="BA1722" s="114" t="str">
        <f>$BB$66</f>
        <v>Water treatment</v>
      </c>
      <c r="BB1722" s="456"/>
      <c r="BC1722" s="457"/>
      <c r="BD1722" s="457"/>
      <c r="BE1722" s="457"/>
      <c r="BF1722" s="458"/>
      <c r="CA1722" s="114" t="str">
        <f>$CB$66</f>
        <v>Wheel loader</v>
      </c>
      <c r="CB1722" s="456"/>
      <c r="CC1722" s="457"/>
      <c r="CD1722" s="457"/>
      <c r="CE1722" s="457"/>
      <c r="CF1722" s="458"/>
      <c r="DA1722" s="114" t="str">
        <f>$DB$66</f>
        <v>Select Equipment</v>
      </c>
      <c r="DB1722" s="456"/>
      <c r="DC1722" s="457"/>
      <c r="DD1722" s="457"/>
      <c r="DE1722" s="457"/>
      <c r="DF1722" s="458"/>
      <c r="EA1722" s="114" t="str">
        <f>$EB$68</f>
        <v>Wheel loader</v>
      </c>
      <c r="EB1722" s="456"/>
      <c r="EC1722" s="457"/>
      <c r="ED1722" s="457"/>
      <c r="EE1722" s="457"/>
      <c r="EF1722" s="458"/>
    </row>
    <row r="1723" spans="53:137">
      <c r="BA1723" s="114" t="str">
        <f>$BB$67</f>
        <v>Select Equipment</v>
      </c>
      <c r="BB1723" s="449" t="s">
        <v>471</v>
      </c>
      <c r="BC1723" s="120"/>
      <c r="BD1723" s="454"/>
      <c r="BE1723" s="120"/>
      <c r="BF1723" s="440"/>
      <c r="CA1723" s="114" t="str">
        <f>$CB$67</f>
        <v>Select Equipment</v>
      </c>
      <c r="CB1723" s="449" t="s">
        <v>471</v>
      </c>
      <c r="CC1723" s="120"/>
      <c r="CD1723" s="454"/>
      <c r="CE1723" s="120"/>
      <c r="CF1723" s="440"/>
      <c r="DA1723" s="114" t="str">
        <f>$DB$67</f>
        <v>Select Equipment</v>
      </c>
      <c r="DB1723" s="449" t="s">
        <v>471</v>
      </c>
      <c r="DC1723" s="120"/>
      <c r="DD1723" s="454"/>
      <c r="DE1723" s="120"/>
      <c r="DF1723" s="440"/>
      <c r="EA1723" s="114" t="str">
        <f>$EB$69</f>
        <v>Select Equipment</v>
      </c>
      <c r="EB1723" s="449" t="s">
        <v>471</v>
      </c>
      <c r="EC1723" s="120"/>
      <c r="ED1723" s="454"/>
      <c r="EE1723" s="120"/>
      <c r="EF1723" s="440"/>
    </row>
    <row r="1724" spans="53:137">
      <c r="BA1724" s="114" t="str">
        <f>$BB$68</f>
        <v>Select Equipment</v>
      </c>
      <c r="BB1724" s="436" t="s">
        <v>577</v>
      </c>
      <c r="BC1724" s="225">
        <f>BC1713*IF(BC1711&gt;1,1,BC1711)</f>
        <v>661.37566137566125</v>
      </c>
      <c r="BD1724" s="446" t="s">
        <v>454</v>
      </c>
      <c r="BE1724" s="120"/>
      <c r="BF1724" s="440"/>
      <c r="CA1724" s="114" t="str">
        <f>$CB$68</f>
        <v>Select Equipment</v>
      </c>
      <c r="CB1724" s="436" t="s">
        <v>577</v>
      </c>
      <c r="CC1724" s="225">
        <f>CC1713*IF(CC1711&gt;1,1,CC1711)</f>
        <v>0</v>
      </c>
      <c r="CD1724" s="446" t="s">
        <v>454</v>
      </c>
      <c r="CE1724" s="120"/>
      <c r="CF1724" s="440"/>
      <c r="DA1724" s="114" t="str">
        <f>$DB$68</f>
        <v>Select Equipment</v>
      </c>
      <c r="DB1724" s="436" t="s">
        <v>577</v>
      </c>
      <c r="DC1724" s="225">
        <f>DC1713*IF(DC1711&gt;1,1,DC1711)</f>
        <v>0</v>
      </c>
      <c r="DD1724" s="446" t="s">
        <v>454</v>
      </c>
      <c r="DE1724" s="120"/>
      <c r="DF1724" s="440"/>
      <c r="EA1724" s="114" t="str">
        <f>$EB$70</f>
        <v>Select Equipment</v>
      </c>
      <c r="EB1724" s="436" t="s">
        <v>577</v>
      </c>
      <c r="EC1724" s="225">
        <f>EC1713*IF(EC1711&gt;1,1,EC1711)</f>
        <v>0</v>
      </c>
      <c r="ED1724" s="446" t="s">
        <v>454</v>
      </c>
      <c r="EE1724" s="120"/>
      <c r="EF1724" s="440"/>
    </row>
    <row r="1725" spans="53:137">
      <c r="BA1725" s="114" t="str">
        <f>$BB$69</f>
        <v>Select Equipment</v>
      </c>
      <c r="BB1725" s="436" t="s">
        <v>578</v>
      </c>
      <c r="BC1725" s="225"/>
      <c r="BD1725" s="446" t="s">
        <v>579</v>
      </c>
      <c r="BE1725" s="120"/>
      <c r="BF1725" s="440"/>
      <c r="CA1725" s="114" t="str">
        <f>$CB$69</f>
        <v>Select Equipment</v>
      </c>
      <c r="CB1725" s="436" t="s">
        <v>578</v>
      </c>
      <c r="CC1725" s="225"/>
      <c r="CD1725" s="446" t="s">
        <v>579</v>
      </c>
      <c r="CE1725" s="120"/>
      <c r="CF1725" s="440"/>
      <c r="DA1725" s="114" t="str">
        <f>$DB$69</f>
        <v>Select Equipment</v>
      </c>
      <c r="DB1725" s="436" t="s">
        <v>578</v>
      </c>
      <c r="DC1725" s="225"/>
      <c r="DD1725" s="446" t="s">
        <v>579</v>
      </c>
      <c r="DE1725" s="120"/>
      <c r="DF1725" s="440"/>
      <c r="EA1725" s="114" t="str">
        <f>$EB$71</f>
        <v>Select Equipment</v>
      </c>
      <c r="EB1725" s="436" t="s">
        <v>578</v>
      </c>
      <c r="EC1725" s="225"/>
      <c r="ED1725" s="446" t="s">
        <v>579</v>
      </c>
      <c r="EE1725" s="120"/>
      <c r="EF1725" s="440"/>
    </row>
    <row r="1726" spans="53:137">
      <c r="BA1726" s="114" t="str">
        <f>$BB$70</f>
        <v>Select Equipment</v>
      </c>
      <c r="BB1726" s="436"/>
      <c r="BC1726" s="120"/>
      <c r="BD1726" s="446"/>
      <c r="BE1726" s="120"/>
      <c r="BF1726" s="440"/>
      <c r="CA1726" s="114" t="str">
        <f>$CB$70</f>
        <v>Select Equipment</v>
      </c>
      <c r="CB1726" s="436"/>
      <c r="CC1726" s="120"/>
      <c r="CD1726" s="446"/>
      <c r="CE1726" s="120"/>
      <c r="CF1726" s="440"/>
      <c r="DA1726" s="114" t="str">
        <f>$DB$70</f>
        <v>Select Equipment</v>
      </c>
      <c r="DB1726" s="436"/>
      <c r="DC1726" s="120"/>
      <c r="DD1726" s="446"/>
      <c r="DE1726" s="120"/>
      <c r="DF1726" s="440"/>
      <c r="EA1726" s="114" t="str">
        <f>$EB$72</f>
        <v>Select Equipment</v>
      </c>
      <c r="EB1726" s="436"/>
      <c r="EC1726" s="120"/>
      <c r="ED1726" s="446"/>
      <c r="EE1726" s="120"/>
      <c r="EF1726" s="440"/>
    </row>
    <row r="1727" spans="53:137">
      <c r="BA1727" s="114" t="str">
        <f>$BB$71</f>
        <v>Select Equipment</v>
      </c>
      <c r="BB1727" s="436" t="s">
        <v>8</v>
      </c>
      <c r="BC1727" s="120"/>
      <c r="BD1727" s="459" t="s">
        <v>564</v>
      </c>
      <c r="BE1727" s="120"/>
      <c r="BF1727" s="440"/>
      <c r="CA1727" s="114" t="str">
        <f>$CB$71</f>
        <v>Select Equipment</v>
      </c>
      <c r="CB1727" s="436" t="s">
        <v>8</v>
      </c>
      <c r="CC1727" s="120"/>
      <c r="CD1727" s="459" t="s">
        <v>564</v>
      </c>
      <c r="CE1727" s="120"/>
      <c r="CF1727" s="440"/>
      <c r="DA1727" s="114" t="str">
        <f>$DB$71</f>
        <v>Select Equipment</v>
      </c>
      <c r="DB1727" s="436" t="s">
        <v>8</v>
      </c>
      <c r="DC1727" s="120"/>
      <c r="DD1727" s="459" t="s">
        <v>564</v>
      </c>
      <c r="DE1727" s="120"/>
      <c r="DF1727" s="440"/>
      <c r="EA1727" s="114" t="str">
        <f>$EB$73</f>
        <v>Select Equipment</v>
      </c>
      <c r="EB1727" s="436" t="s">
        <v>8</v>
      </c>
      <c r="EC1727" s="120"/>
      <c r="ED1727" s="459" t="s">
        <v>564</v>
      </c>
      <c r="EE1727" s="120"/>
      <c r="EF1727" s="440"/>
    </row>
    <row r="1728" spans="53:137">
      <c r="BA1728" s="114" t="str">
        <f>$BB$72</f>
        <v>Select Equipment</v>
      </c>
      <c r="BB1728" s="436"/>
      <c r="BC1728" s="120"/>
      <c r="BD1728" s="459"/>
      <c r="BE1728" s="120"/>
      <c r="BF1728" s="440"/>
      <c r="CA1728" s="114" t="str">
        <f>$CB$72</f>
        <v>Select Equipment</v>
      </c>
      <c r="CB1728" s="436"/>
      <c r="CC1728" s="120"/>
      <c r="CD1728" s="459"/>
      <c r="CE1728" s="120"/>
      <c r="CF1728" s="440"/>
      <c r="DA1728" s="114" t="str">
        <f>$DB$72</f>
        <v>Select Equipment</v>
      </c>
      <c r="DB1728" s="436"/>
      <c r="DC1728" s="120"/>
      <c r="DD1728" s="459"/>
      <c r="DE1728" s="120"/>
      <c r="DF1728" s="440"/>
      <c r="EA1728" s="114" t="str">
        <f>$EB$74</f>
        <v>Select Equipment</v>
      </c>
      <c r="EB1728" s="436"/>
      <c r="EC1728" s="120"/>
      <c r="ED1728" s="459"/>
      <c r="EE1728" s="120"/>
      <c r="EF1728" s="440"/>
    </row>
    <row r="1729" spans="53:136">
      <c r="BA1729" s="114" t="str">
        <f>$BB$73</f>
        <v>Select Equipment</v>
      </c>
      <c r="BB1729" s="436" t="s">
        <v>7</v>
      </c>
      <c r="BC1729" s="120"/>
      <c r="BD1729" s="459" t="s">
        <v>564</v>
      </c>
      <c r="BE1729" s="120"/>
      <c r="BF1729" s="440"/>
      <c r="CA1729" s="114" t="str">
        <f>$CB$73</f>
        <v>Select Equipment</v>
      </c>
      <c r="CB1729" s="436" t="s">
        <v>7</v>
      </c>
      <c r="CC1729" s="120"/>
      <c r="CD1729" s="459" t="s">
        <v>564</v>
      </c>
      <c r="CE1729" s="120"/>
      <c r="CF1729" s="440"/>
      <c r="DA1729" s="114" t="str">
        <f>$DB$73</f>
        <v>Select Equipment</v>
      </c>
      <c r="DB1729" s="436" t="s">
        <v>7</v>
      </c>
      <c r="DC1729" s="120"/>
      <c r="DD1729" s="459" t="s">
        <v>564</v>
      </c>
      <c r="DE1729" s="120"/>
      <c r="DF1729" s="440"/>
      <c r="EA1729" s="114" t="str">
        <f>$EB$75</f>
        <v>Select Equipment</v>
      </c>
      <c r="EB1729" s="436" t="s">
        <v>7</v>
      </c>
      <c r="EC1729" s="120"/>
      <c r="ED1729" s="459" t="s">
        <v>564</v>
      </c>
      <c r="EE1729" s="120"/>
      <c r="EF1729" s="440"/>
    </row>
    <row r="1730" spans="53:136">
      <c r="BA1730" s="114" t="str">
        <f>$BB$74</f>
        <v>Select Equipment</v>
      </c>
      <c r="BB1730" s="436"/>
      <c r="BC1730" s="120"/>
      <c r="BD1730" s="459"/>
      <c r="BE1730" s="120"/>
      <c r="BF1730" s="440"/>
      <c r="CA1730" s="114" t="str">
        <f>$CB$74</f>
        <v>Select Equipment</v>
      </c>
      <c r="CB1730" s="436"/>
      <c r="CC1730" s="120"/>
      <c r="CD1730" s="459"/>
      <c r="CE1730" s="120"/>
      <c r="CF1730" s="440"/>
      <c r="DA1730" s="114" t="str">
        <f>$DB$74</f>
        <v>Select Equipment</v>
      </c>
      <c r="DB1730" s="436"/>
      <c r="DC1730" s="120"/>
      <c r="DD1730" s="459"/>
      <c r="DE1730" s="120"/>
      <c r="DF1730" s="440"/>
      <c r="EA1730" s="114" t="str">
        <f>$EB$76</f>
        <v>Select Equipment</v>
      </c>
      <c r="EB1730" s="436"/>
      <c r="EC1730" s="120"/>
      <c r="ED1730" s="459"/>
      <c r="EE1730" s="120"/>
      <c r="EF1730" s="440"/>
    </row>
    <row r="1731" spans="53:136">
      <c r="BA1731" s="114" t="str">
        <f>$BB$75</f>
        <v>Select Equipment</v>
      </c>
      <c r="BB1731" s="436" t="s">
        <v>9</v>
      </c>
      <c r="BC1731" s="120"/>
      <c r="BD1731" s="459" t="s">
        <v>564</v>
      </c>
      <c r="BE1731" s="120"/>
      <c r="BF1731" s="440"/>
      <c r="CA1731" s="114" t="str">
        <f>$CB$75</f>
        <v>Select Equipment</v>
      </c>
      <c r="CB1731" s="436" t="s">
        <v>9</v>
      </c>
      <c r="CC1731" s="120"/>
      <c r="CD1731" s="459" t="s">
        <v>564</v>
      </c>
      <c r="CE1731" s="120"/>
      <c r="CF1731" s="440"/>
      <c r="DA1731" s="114" t="str">
        <f>$DB$75</f>
        <v>Select Equipment</v>
      </c>
      <c r="DB1731" s="436" t="s">
        <v>9</v>
      </c>
      <c r="DC1731" s="120"/>
      <c r="DD1731" s="459" t="s">
        <v>564</v>
      </c>
      <c r="DE1731" s="120"/>
      <c r="DF1731" s="440"/>
      <c r="EA1731" s="114" t="str">
        <f>$EB$77</f>
        <v>Select Equipment</v>
      </c>
      <c r="EB1731" s="436" t="s">
        <v>9</v>
      </c>
      <c r="EC1731" s="120"/>
      <c r="ED1731" s="459" t="s">
        <v>564</v>
      </c>
      <c r="EE1731" s="120"/>
      <c r="EF1731" s="440"/>
    </row>
    <row r="1732" spans="53:136">
      <c r="BA1732" s="114" t="str">
        <f>$BB$76</f>
        <v>Select Equipment</v>
      </c>
      <c r="BB1732" s="436"/>
      <c r="BC1732" s="120"/>
      <c r="BD1732" s="459"/>
      <c r="BE1732" s="120"/>
      <c r="BF1732" s="440"/>
      <c r="CA1732" s="114" t="str">
        <f>$CB$76</f>
        <v>Select Equipment</v>
      </c>
      <c r="CB1732" s="436"/>
      <c r="CC1732" s="120"/>
      <c r="CD1732" s="459"/>
      <c r="CE1732" s="120"/>
      <c r="CF1732" s="440"/>
      <c r="DA1732" s="114" t="str">
        <f>$DB$76</f>
        <v>Select Equipment</v>
      </c>
      <c r="DB1732" s="436"/>
      <c r="DC1732" s="120"/>
      <c r="DD1732" s="459"/>
      <c r="DE1732" s="120"/>
      <c r="DF1732" s="440"/>
      <c r="EA1732" s="114" t="str">
        <f>$EB$78</f>
        <v>Select Equipment</v>
      </c>
      <c r="EB1732" s="436"/>
      <c r="EC1732" s="120"/>
      <c r="ED1732" s="459"/>
      <c r="EE1732" s="120"/>
      <c r="EF1732" s="440"/>
    </row>
    <row r="1733" spans="53:136">
      <c r="BA1733" s="114" t="str">
        <f>$BB$77</f>
        <v>Select Equipment</v>
      </c>
      <c r="BB1733" s="436" t="s">
        <v>324</v>
      </c>
      <c r="BC1733" s="120"/>
      <c r="BD1733" s="459" t="s">
        <v>564</v>
      </c>
      <c r="BE1733" s="120"/>
      <c r="BF1733" s="440" t="s">
        <v>569</v>
      </c>
      <c r="CA1733" s="114" t="str">
        <f>$CB$77</f>
        <v>Select Equipment</v>
      </c>
      <c r="CB1733" s="436" t="s">
        <v>324</v>
      </c>
      <c r="CC1733" s="120"/>
      <c r="CD1733" s="459" t="s">
        <v>564</v>
      </c>
      <c r="CE1733" s="120"/>
      <c r="CF1733" s="440" t="s">
        <v>569</v>
      </c>
      <c r="DA1733" s="114" t="str">
        <f>$DB$77</f>
        <v>Select Equipment</v>
      </c>
      <c r="DB1733" s="436" t="s">
        <v>324</v>
      </c>
      <c r="DC1733" s="120"/>
      <c r="DD1733" s="459" t="s">
        <v>564</v>
      </c>
      <c r="DE1733" s="120"/>
      <c r="DF1733" s="440" t="s">
        <v>569</v>
      </c>
      <c r="EA1733" s="114" t="str">
        <f>$EB$79</f>
        <v>Select Equipment</v>
      </c>
      <c r="EB1733" s="436" t="s">
        <v>324</v>
      </c>
      <c r="EC1733" s="120"/>
      <c r="ED1733" s="459" t="s">
        <v>564</v>
      </c>
      <c r="EE1733" s="120"/>
      <c r="EF1733" s="440" t="s">
        <v>569</v>
      </c>
    </row>
    <row r="1734" spans="53:136">
      <c r="BA1734" s="114" t="str">
        <f>$BB$78</f>
        <v>Select Equipment</v>
      </c>
      <c r="BB1734" s="436"/>
      <c r="BC1734" s="120"/>
      <c r="BD1734" s="468"/>
      <c r="BE1734" s="469"/>
      <c r="BF1734" s="440"/>
      <c r="CA1734" s="114" t="str">
        <f>$CB$78</f>
        <v>Select Equipment</v>
      </c>
      <c r="CB1734" s="436"/>
      <c r="CC1734" s="120"/>
      <c r="CD1734" s="468"/>
      <c r="CE1734" s="469"/>
      <c r="CF1734" s="440"/>
      <c r="DA1734" s="114" t="str">
        <f>$DB$78</f>
        <v>Select Equipment</v>
      </c>
      <c r="DB1734" s="436"/>
      <c r="DC1734" s="120"/>
      <c r="DD1734" s="468"/>
      <c r="DE1734" s="469"/>
      <c r="DF1734" s="440"/>
      <c r="EA1734" s="114" t="str">
        <f>$EB$80</f>
        <v>Select Equipment</v>
      </c>
      <c r="EB1734" s="436"/>
      <c r="EC1734" s="120"/>
      <c r="ED1734" s="468"/>
      <c r="EE1734" s="469"/>
      <c r="EF1734" s="440"/>
    </row>
    <row r="1735" spans="53:136">
      <c r="BA1735" s="114" t="str">
        <f>$BB$79</f>
        <v>Select Equipment</v>
      </c>
      <c r="BB1735" s="436" t="s">
        <v>374</v>
      </c>
      <c r="BC1735" s="120"/>
      <c r="BD1735" s="459" t="s">
        <v>564</v>
      </c>
      <c r="BE1735" s="469"/>
      <c r="BF1735" s="440" t="s">
        <v>569</v>
      </c>
      <c r="CA1735" s="114" t="str">
        <f>$CB$79</f>
        <v>Select Equipment</v>
      </c>
      <c r="CB1735" s="436" t="s">
        <v>374</v>
      </c>
      <c r="CC1735" s="120"/>
      <c r="CD1735" s="459" t="s">
        <v>564</v>
      </c>
      <c r="CE1735" s="469"/>
      <c r="CF1735" s="440" t="s">
        <v>569</v>
      </c>
      <c r="DA1735" s="114" t="str">
        <f>$DB$79</f>
        <v>Select Equipment</v>
      </c>
      <c r="DB1735" s="436" t="s">
        <v>374</v>
      </c>
      <c r="DC1735" s="120"/>
      <c r="DD1735" s="459" t="s">
        <v>564</v>
      </c>
      <c r="DE1735" s="469"/>
      <c r="DF1735" s="440" t="s">
        <v>569</v>
      </c>
      <c r="EA1735" s="114" t="str">
        <f>$EB$81</f>
        <v>Select Equipment</v>
      </c>
      <c r="EB1735" s="436" t="s">
        <v>374</v>
      </c>
      <c r="EC1735" s="120"/>
      <c r="ED1735" s="459" t="s">
        <v>564</v>
      </c>
      <c r="EE1735" s="469"/>
      <c r="EF1735" s="440" t="s">
        <v>569</v>
      </c>
    </row>
    <row r="1736" spans="53:136">
      <c r="BA1736" s="114" t="str">
        <f>$BB$80</f>
        <v>Select Equipment</v>
      </c>
      <c r="BB1736" s="436"/>
      <c r="BC1736" s="120"/>
      <c r="BD1736" s="472"/>
      <c r="BE1736" s="473"/>
      <c r="BF1736" s="440"/>
      <c r="CA1736" s="114" t="str">
        <f>$CB$80</f>
        <v>Select Equipment</v>
      </c>
      <c r="CB1736" s="436"/>
      <c r="CC1736" s="120"/>
      <c r="CD1736" s="472"/>
      <c r="CE1736" s="473"/>
      <c r="CF1736" s="440"/>
      <c r="DA1736" s="114" t="str">
        <f>$DB$80</f>
        <v>Select Equipment</v>
      </c>
      <c r="DB1736" s="436"/>
      <c r="DC1736" s="120"/>
      <c r="DD1736" s="472"/>
      <c r="DE1736" s="473"/>
      <c r="DF1736" s="440"/>
      <c r="EA1736" s="114" t="str">
        <f>$EB$82</f>
        <v>Select Equipment</v>
      </c>
      <c r="EB1736" s="436"/>
      <c r="EC1736" s="120"/>
      <c r="ED1736" s="472"/>
      <c r="EE1736" s="473"/>
      <c r="EF1736" s="440"/>
    </row>
    <row r="1737" spans="53:136">
      <c r="BA1737" s="114" t="str">
        <f>$BB$81</f>
        <v>Select Equipment</v>
      </c>
      <c r="BB1737" s="436" t="s">
        <v>580</v>
      </c>
      <c r="BC1737" s="120"/>
      <c r="BD1737" s="459" t="s">
        <v>564</v>
      </c>
      <c r="BE1737" s="473"/>
      <c r="BF1737" s="440" t="s">
        <v>569</v>
      </c>
      <c r="CA1737" s="114" t="str">
        <f>$CB$81</f>
        <v>Select Equipment</v>
      </c>
      <c r="CB1737" s="436" t="s">
        <v>580</v>
      </c>
      <c r="CC1737" s="120"/>
      <c r="CD1737" s="459" t="s">
        <v>564</v>
      </c>
      <c r="CE1737" s="473"/>
      <c r="CF1737" s="440" t="s">
        <v>569</v>
      </c>
      <c r="DA1737" s="114" t="str">
        <f>$DB$81</f>
        <v>Select Equipment</v>
      </c>
      <c r="DB1737" s="436" t="s">
        <v>580</v>
      </c>
      <c r="DC1737" s="120"/>
      <c r="DD1737" s="459" t="s">
        <v>564</v>
      </c>
      <c r="DE1737" s="473"/>
      <c r="DF1737" s="440" t="s">
        <v>569</v>
      </c>
      <c r="EA1737" s="114" t="str">
        <f>$EB$83</f>
        <v>Select Equipment</v>
      </c>
      <c r="EB1737" s="436" t="s">
        <v>580</v>
      </c>
      <c r="EC1737" s="120"/>
      <c r="ED1737" s="459" t="s">
        <v>564</v>
      </c>
      <c r="EE1737" s="473"/>
      <c r="EF1737" s="440" t="s">
        <v>569</v>
      </c>
    </row>
    <row r="1738" spans="53:136">
      <c r="BA1738" s="114" t="str">
        <f>$BB$82</f>
        <v>Select Equipment</v>
      </c>
      <c r="BB1738" s="476"/>
      <c r="BC1738" s="477"/>
      <c r="BD1738" s="478"/>
      <c r="BE1738" s="479"/>
      <c r="BF1738" s="458"/>
      <c r="CA1738" s="114" t="str">
        <f>$CB$82</f>
        <v>Select Equipment</v>
      </c>
      <c r="CB1738" s="476"/>
      <c r="CC1738" s="477"/>
      <c r="CD1738" s="478"/>
      <c r="CE1738" s="479"/>
      <c r="CF1738" s="458"/>
      <c r="DA1738" s="114" t="str">
        <f>$DB$82</f>
        <v>Select Equipment</v>
      </c>
      <c r="DB1738" s="476"/>
      <c r="DC1738" s="477"/>
      <c r="DD1738" s="478"/>
      <c r="DE1738" s="479"/>
      <c r="DF1738" s="458"/>
      <c r="EA1738" s="114" t="str">
        <f>$EB$84</f>
        <v>Select Equipment</v>
      </c>
      <c r="EB1738" s="476"/>
      <c r="EC1738" s="477"/>
      <c r="ED1738" s="478"/>
      <c r="EE1738" s="479"/>
      <c r="EF1738" s="458"/>
    </row>
    <row r="1739" spans="53:136">
      <c r="BA1739" s="114" t="str">
        <f>$BB$83</f>
        <v>Select Equipment</v>
      </c>
      <c r="BB1739" s="449" t="s">
        <v>473</v>
      </c>
      <c r="BC1739" s="467" t="s">
        <v>508</v>
      </c>
      <c r="BD1739" s="480"/>
      <c r="BE1739" s="481" t="s">
        <v>308</v>
      </c>
      <c r="BF1739" s="440"/>
      <c r="CA1739" s="114" t="str">
        <f>$CB$83</f>
        <v>Select Equipment</v>
      </c>
      <c r="CB1739" s="449" t="s">
        <v>473</v>
      </c>
      <c r="CC1739" s="467" t="s">
        <v>508</v>
      </c>
      <c r="CD1739" s="480"/>
      <c r="CE1739" s="481" t="s">
        <v>308</v>
      </c>
      <c r="CF1739" s="440"/>
      <c r="DA1739" s="114" t="str">
        <f>$DB$83</f>
        <v>Select Equipment</v>
      </c>
      <c r="DB1739" s="449" t="s">
        <v>473</v>
      </c>
      <c r="DC1739" s="467" t="s">
        <v>508</v>
      </c>
      <c r="DD1739" s="480"/>
      <c r="DE1739" s="481" t="s">
        <v>308</v>
      </c>
      <c r="DF1739" s="440"/>
      <c r="EA1739" s="114" t="str">
        <f>$EB$85</f>
        <v>Select Equipment</v>
      </c>
      <c r="EB1739" s="449" t="s">
        <v>473</v>
      </c>
      <c r="EC1739" s="467" t="s">
        <v>508</v>
      </c>
      <c r="ED1739" s="480"/>
      <c r="EE1739" s="481" t="s">
        <v>308</v>
      </c>
      <c r="EF1739" s="440"/>
    </row>
    <row r="1740" spans="53:136">
      <c r="BB1740" s="436"/>
      <c r="BC1740" s="483"/>
      <c r="BD1740" s="480"/>
      <c r="BE1740" s="484"/>
      <c r="BF1740" s="440"/>
      <c r="CB1740" s="436"/>
      <c r="CC1740" s="483"/>
      <c r="CD1740" s="480"/>
      <c r="CE1740" s="484"/>
      <c r="CF1740" s="440"/>
      <c r="DB1740" s="436"/>
      <c r="DC1740" s="483"/>
      <c r="DD1740" s="480"/>
      <c r="DE1740" s="484"/>
      <c r="DF1740" s="440"/>
      <c r="EB1740" s="436"/>
      <c r="EC1740" s="483"/>
      <c r="ED1740" s="480"/>
      <c r="EE1740" s="484"/>
      <c r="EF1740" s="440"/>
    </row>
    <row r="1741" spans="53:136">
      <c r="BB1741" s="436"/>
      <c r="BC1741" s="120"/>
      <c r="BD1741" s="223"/>
      <c r="BE1741" s="467"/>
      <c r="BF1741" s="440"/>
      <c r="CB1741" s="436"/>
      <c r="CC1741" s="120"/>
      <c r="CD1741" s="223"/>
      <c r="CE1741" s="467"/>
      <c r="CF1741" s="440"/>
      <c r="DB1741" s="436"/>
      <c r="DC1741" s="120"/>
      <c r="DD1741" s="223"/>
      <c r="DE1741" s="467"/>
      <c r="DF1741" s="440"/>
      <c r="EB1741" s="436"/>
      <c r="EC1741" s="120"/>
      <c r="ED1741" s="223"/>
      <c r="EE1741" s="467"/>
      <c r="EF1741" s="440"/>
    </row>
    <row r="1742" spans="53:136">
      <c r="BB1742" s="436"/>
      <c r="BC1742" s="120"/>
      <c r="BD1742" s="466"/>
      <c r="BE1742" s="467"/>
      <c r="BF1742" s="440"/>
      <c r="CB1742" s="436"/>
      <c r="CC1742" s="120"/>
      <c r="CD1742" s="466"/>
      <c r="CE1742" s="467"/>
      <c r="CF1742" s="440"/>
      <c r="DB1742" s="436"/>
      <c r="DC1742" s="120"/>
      <c r="DD1742" s="466"/>
      <c r="DE1742" s="467"/>
      <c r="DF1742" s="440"/>
      <c r="EB1742" s="436"/>
      <c r="EC1742" s="120"/>
      <c r="ED1742" s="466"/>
      <c r="EE1742" s="467"/>
      <c r="EF1742" s="440"/>
    </row>
    <row r="1743" spans="53:136">
      <c r="BB1743" s="436"/>
      <c r="BC1743" s="120"/>
      <c r="BD1743" s="223"/>
      <c r="BE1743" s="467"/>
      <c r="BF1743" s="440"/>
      <c r="CB1743" s="436"/>
      <c r="CC1743" s="120"/>
      <c r="CD1743" s="223"/>
      <c r="CE1743" s="467"/>
      <c r="CF1743" s="440"/>
      <c r="DB1743" s="436"/>
      <c r="DC1743" s="120"/>
      <c r="DD1743" s="223"/>
      <c r="DE1743" s="467"/>
      <c r="DF1743" s="440"/>
      <c r="EB1743" s="436"/>
      <c r="EC1743" s="120"/>
      <c r="ED1743" s="223"/>
      <c r="EE1743" s="467"/>
      <c r="EF1743" s="440"/>
    </row>
    <row r="1744" spans="53:136">
      <c r="BB1744" s="436"/>
      <c r="BC1744" s="120"/>
      <c r="BD1744" s="223"/>
      <c r="BE1744" s="467"/>
      <c r="BF1744" s="440"/>
      <c r="CB1744" s="436"/>
      <c r="CC1744" s="120"/>
      <c r="CD1744" s="223"/>
      <c r="CE1744" s="467"/>
      <c r="CF1744" s="440"/>
      <c r="DB1744" s="436"/>
      <c r="DC1744" s="120"/>
      <c r="DD1744" s="223"/>
      <c r="DE1744" s="467"/>
      <c r="DF1744" s="440"/>
      <c r="EB1744" s="436"/>
      <c r="EC1744" s="120"/>
      <c r="ED1744" s="223"/>
      <c r="EE1744" s="467"/>
      <c r="EF1744" s="440"/>
    </row>
    <row r="1745" spans="54:136">
      <c r="BB1745" s="436"/>
      <c r="BC1745" s="120"/>
      <c r="BD1745" s="471"/>
      <c r="BE1745" s="467"/>
      <c r="BF1745" s="440"/>
      <c r="CB1745" s="436"/>
      <c r="CC1745" s="120"/>
      <c r="CD1745" s="471"/>
      <c r="CE1745" s="467"/>
      <c r="CF1745" s="440"/>
      <c r="DB1745" s="436"/>
      <c r="DC1745" s="120"/>
      <c r="DD1745" s="471"/>
      <c r="DE1745" s="467"/>
      <c r="DF1745" s="440"/>
      <c r="EB1745" s="436"/>
      <c r="EC1745" s="120"/>
      <c r="ED1745" s="471"/>
      <c r="EE1745" s="467"/>
      <c r="EF1745" s="440"/>
    </row>
    <row r="1746" spans="54:136">
      <c r="BB1746" s="436"/>
      <c r="BC1746" s="120"/>
      <c r="BD1746" s="223"/>
      <c r="BE1746" s="467"/>
      <c r="BF1746" s="440"/>
      <c r="CB1746" s="436"/>
      <c r="CC1746" s="120"/>
      <c r="CD1746" s="223"/>
      <c r="CE1746" s="467"/>
      <c r="CF1746" s="440"/>
      <c r="DB1746" s="436"/>
      <c r="DC1746" s="120"/>
      <c r="DD1746" s="223"/>
      <c r="DE1746" s="467"/>
      <c r="DF1746" s="440"/>
      <c r="EB1746" s="436"/>
      <c r="EC1746" s="120"/>
      <c r="ED1746" s="223"/>
      <c r="EE1746" s="467"/>
      <c r="EF1746" s="440"/>
    </row>
    <row r="1747" spans="54:136">
      <c r="BB1747" s="436"/>
      <c r="BC1747" s="120"/>
      <c r="BD1747" s="475"/>
      <c r="BE1747" s="467"/>
      <c r="BF1747" s="440"/>
      <c r="CB1747" s="436"/>
      <c r="CC1747" s="120"/>
      <c r="CD1747" s="475"/>
      <c r="CE1747" s="467"/>
      <c r="CF1747" s="440"/>
      <c r="DB1747" s="436"/>
      <c r="DC1747" s="120"/>
      <c r="DD1747" s="475"/>
      <c r="DE1747" s="467"/>
      <c r="DF1747" s="440"/>
      <c r="EB1747" s="436"/>
      <c r="EC1747" s="120"/>
      <c r="ED1747" s="475"/>
      <c r="EE1747" s="467"/>
      <c r="EF1747" s="440"/>
    </row>
    <row r="1748" spans="54:136">
      <c r="BB1748" s="436"/>
      <c r="BC1748" s="120"/>
      <c r="BD1748" s="223"/>
      <c r="BE1748" s="467"/>
      <c r="BF1748" s="440"/>
      <c r="CB1748" s="436"/>
      <c r="CC1748" s="120"/>
      <c r="CD1748" s="223"/>
      <c r="CE1748" s="467"/>
      <c r="CF1748" s="440"/>
      <c r="DB1748" s="436"/>
      <c r="DC1748" s="120"/>
      <c r="DD1748" s="223"/>
      <c r="DE1748" s="467"/>
      <c r="DF1748" s="440"/>
      <c r="EB1748" s="436"/>
      <c r="EC1748" s="120"/>
      <c r="ED1748" s="223"/>
      <c r="EE1748" s="467"/>
      <c r="EF1748" s="440"/>
    </row>
    <row r="1749" spans="54:136">
      <c r="BB1749" s="436"/>
      <c r="BC1749" s="120"/>
      <c r="BD1749" s="223"/>
      <c r="BE1749" s="467"/>
      <c r="BF1749" s="440"/>
      <c r="CB1749" s="436"/>
      <c r="CC1749" s="120"/>
      <c r="CD1749" s="223"/>
      <c r="CE1749" s="467"/>
      <c r="CF1749" s="440"/>
      <c r="DB1749" s="436"/>
      <c r="DC1749" s="120"/>
      <c r="DD1749" s="223"/>
      <c r="DE1749" s="467"/>
      <c r="DF1749" s="440"/>
      <c r="EB1749" s="436"/>
      <c r="EC1749" s="120"/>
      <c r="ED1749" s="223"/>
      <c r="EE1749" s="467"/>
      <c r="EF1749" s="440"/>
    </row>
    <row r="1750" spans="54:136">
      <c r="BB1750" s="436"/>
      <c r="BC1750" s="120"/>
      <c r="BD1750" s="223"/>
      <c r="BE1750" s="467"/>
      <c r="BF1750" s="440"/>
      <c r="CB1750" s="436"/>
      <c r="CC1750" s="120"/>
      <c r="CD1750" s="223"/>
      <c r="CE1750" s="467"/>
      <c r="CF1750" s="440"/>
      <c r="DB1750" s="436"/>
      <c r="DC1750" s="120"/>
      <c r="DD1750" s="223"/>
      <c r="DE1750" s="467"/>
      <c r="DF1750" s="440"/>
      <c r="EB1750" s="436"/>
      <c r="EC1750" s="120"/>
      <c r="ED1750" s="223"/>
      <c r="EE1750" s="467"/>
      <c r="EF1750" s="440"/>
    </row>
    <row r="1751" spans="54:136">
      <c r="BB1751" s="436"/>
      <c r="BC1751" s="120"/>
      <c r="BD1751" s="223"/>
      <c r="BE1751" s="467"/>
      <c r="BF1751" s="440"/>
      <c r="CB1751" s="436"/>
      <c r="CC1751" s="120"/>
      <c r="CD1751" s="223"/>
      <c r="CE1751" s="467"/>
      <c r="CF1751" s="440"/>
      <c r="DB1751" s="436"/>
      <c r="DC1751" s="120"/>
      <c r="DD1751" s="223"/>
      <c r="DE1751" s="467"/>
      <c r="DF1751" s="440"/>
      <c r="EB1751" s="436"/>
      <c r="EC1751" s="120"/>
      <c r="ED1751" s="223"/>
      <c r="EE1751" s="467"/>
      <c r="EF1751" s="440"/>
    </row>
    <row r="1752" spans="54:136">
      <c r="BB1752" s="436"/>
      <c r="BC1752" s="120"/>
      <c r="BD1752" s="120"/>
      <c r="BE1752" s="467"/>
      <c r="BF1752" s="440"/>
      <c r="CB1752" s="436"/>
      <c r="CC1752" s="120"/>
      <c r="CD1752" s="120"/>
      <c r="CE1752" s="467"/>
      <c r="CF1752" s="440"/>
      <c r="DB1752" s="436"/>
      <c r="DC1752" s="120"/>
      <c r="DD1752" s="120"/>
      <c r="DE1752" s="467"/>
      <c r="DF1752" s="440"/>
      <c r="EB1752" s="436"/>
      <c r="EC1752" s="120"/>
      <c r="ED1752" s="120"/>
      <c r="EE1752" s="467"/>
      <c r="EF1752" s="440"/>
    </row>
    <row r="1753" spans="54:136">
      <c r="BB1753" s="456"/>
      <c r="BC1753" s="457"/>
      <c r="BD1753" s="457"/>
      <c r="BE1753" s="477"/>
      <c r="BF1753" s="458"/>
      <c r="CB1753" s="456"/>
      <c r="CC1753" s="457"/>
      <c r="CD1753" s="457"/>
      <c r="CE1753" s="477"/>
      <c r="CF1753" s="458"/>
      <c r="DB1753" s="456"/>
      <c r="DC1753" s="457"/>
      <c r="DD1753" s="457"/>
      <c r="DE1753" s="477"/>
      <c r="DF1753" s="458"/>
      <c r="EB1753" s="456"/>
      <c r="EC1753" s="457"/>
      <c r="ED1753" s="457"/>
      <c r="EE1753" s="477"/>
      <c r="EF1753" s="458"/>
    </row>
    <row r="1754" spans="54:136">
      <c r="BB1754" s="449" t="s">
        <v>474</v>
      </c>
      <c r="BC1754" s="120"/>
      <c r="BD1754" s="120" t="s">
        <v>1</v>
      </c>
      <c r="BE1754" s="310" t="s">
        <v>307</v>
      </c>
      <c r="BF1754" s="440"/>
      <c r="CB1754" s="449" t="s">
        <v>474</v>
      </c>
      <c r="CC1754" s="120"/>
      <c r="CD1754" s="120" t="s">
        <v>1</v>
      </c>
      <c r="CE1754" s="310" t="s">
        <v>307</v>
      </c>
      <c r="CF1754" s="440"/>
      <c r="DB1754" s="449" t="s">
        <v>474</v>
      </c>
      <c r="DC1754" s="120"/>
      <c r="DD1754" s="120" t="s">
        <v>1</v>
      </c>
      <c r="DE1754" s="310" t="s">
        <v>307</v>
      </c>
      <c r="DF1754" s="440"/>
      <c r="EB1754" s="449" t="s">
        <v>474</v>
      </c>
      <c r="EC1754" s="120"/>
      <c r="ED1754" s="120" t="s">
        <v>1</v>
      </c>
      <c r="EE1754" s="310" t="s">
        <v>307</v>
      </c>
      <c r="EF1754" s="440"/>
    </row>
    <row r="1755" spans="54:136">
      <c r="BB1755" s="436"/>
      <c r="BC1755" s="223"/>
      <c r="BD1755" s="480"/>
      <c r="BE1755" s="484"/>
      <c r="BF1755" s="440"/>
      <c r="CB1755" s="436"/>
      <c r="CC1755" s="223"/>
      <c r="CD1755" s="480"/>
      <c r="CE1755" s="484"/>
      <c r="CF1755" s="440"/>
      <c r="DB1755" s="436"/>
      <c r="DC1755" s="223"/>
      <c r="DD1755" s="480"/>
      <c r="DE1755" s="484"/>
      <c r="DF1755" s="440"/>
      <c r="EB1755" s="436"/>
      <c r="EC1755" s="223"/>
      <c r="ED1755" s="480"/>
      <c r="EE1755" s="484"/>
      <c r="EF1755" s="440"/>
    </row>
    <row r="1756" spans="54:136">
      <c r="BB1756" s="436"/>
      <c r="BC1756" s="120"/>
      <c r="BD1756" s="120"/>
      <c r="BE1756" s="467"/>
      <c r="BF1756" s="440"/>
      <c r="CB1756" s="436"/>
      <c r="CC1756" s="120"/>
      <c r="CD1756" s="120"/>
      <c r="CE1756" s="467"/>
      <c r="CF1756" s="440"/>
      <c r="DB1756" s="436"/>
      <c r="DC1756" s="120"/>
      <c r="DD1756" s="120"/>
      <c r="DE1756" s="467"/>
      <c r="DF1756" s="440"/>
      <c r="EB1756" s="436"/>
      <c r="EC1756" s="120"/>
      <c r="ED1756" s="120"/>
      <c r="EE1756" s="467"/>
      <c r="EF1756" s="440"/>
    </row>
    <row r="1757" spans="54:136">
      <c r="BB1757" s="436"/>
      <c r="BC1757" s="120"/>
      <c r="BD1757" s="120"/>
      <c r="BE1757" s="467"/>
      <c r="BF1757" s="440"/>
      <c r="CB1757" s="436"/>
      <c r="CC1757" s="120"/>
      <c r="CD1757" s="120"/>
      <c r="CE1757" s="467"/>
      <c r="CF1757" s="440"/>
      <c r="DB1757" s="436"/>
      <c r="DC1757" s="120"/>
      <c r="DD1757" s="120"/>
      <c r="DE1757" s="467"/>
      <c r="DF1757" s="440"/>
      <c r="EB1757" s="436"/>
      <c r="EC1757" s="120"/>
      <c r="ED1757" s="120"/>
      <c r="EE1757" s="467"/>
      <c r="EF1757" s="440"/>
    </row>
    <row r="1758" spans="54:136">
      <c r="BB1758" s="436"/>
      <c r="BC1758" s="120"/>
      <c r="BD1758" s="120"/>
      <c r="BE1758" s="467"/>
      <c r="BF1758" s="440"/>
      <c r="CB1758" s="436"/>
      <c r="CC1758" s="120"/>
      <c r="CD1758" s="120"/>
      <c r="CE1758" s="467"/>
      <c r="CF1758" s="440"/>
      <c r="DB1758" s="436"/>
      <c r="DC1758" s="120"/>
      <c r="DD1758" s="120"/>
      <c r="DE1758" s="467"/>
      <c r="DF1758" s="440"/>
      <c r="EB1758" s="436"/>
      <c r="EC1758" s="120"/>
      <c r="ED1758" s="120"/>
      <c r="EE1758" s="467"/>
      <c r="EF1758" s="440"/>
    </row>
    <row r="1759" spans="54:136">
      <c r="BB1759" s="436"/>
      <c r="BC1759" s="120"/>
      <c r="BD1759" s="120"/>
      <c r="BE1759" s="467"/>
      <c r="BF1759" s="440"/>
      <c r="CB1759" s="436"/>
      <c r="CC1759" s="120"/>
      <c r="CD1759" s="120"/>
      <c r="CE1759" s="467"/>
      <c r="CF1759" s="440"/>
      <c r="DB1759" s="436"/>
      <c r="DC1759" s="120"/>
      <c r="DD1759" s="120"/>
      <c r="DE1759" s="467"/>
      <c r="DF1759" s="440"/>
      <c r="EB1759" s="436"/>
      <c r="EC1759" s="120"/>
      <c r="ED1759" s="120"/>
      <c r="EE1759" s="467"/>
      <c r="EF1759" s="440"/>
    </row>
    <row r="1760" spans="54:136">
      <c r="BB1760" s="436"/>
      <c r="BC1760" s="120"/>
      <c r="BD1760" s="120"/>
      <c r="BE1760" s="467"/>
      <c r="BF1760" s="440"/>
      <c r="CB1760" s="436"/>
      <c r="CC1760" s="120"/>
      <c r="CD1760" s="120"/>
      <c r="CE1760" s="467"/>
      <c r="CF1760" s="440"/>
      <c r="DB1760" s="436"/>
      <c r="DC1760" s="120"/>
      <c r="DD1760" s="120"/>
      <c r="DE1760" s="467"/>
      <c r="DF1760" s="440"/>
      <c r="EB1760" s="436"/>
      <c r="EC1760" s="120"/>
      <c r="ED1760" s="120"/>
      <c r="EE1760" s="467"/>
      <c r="EF1760" s="440"/>
    </row>
    <row r="1761" spans="54:136">
      <c r="BB1761" s="436"/>
      <c r="BC1761" s="120"/>
      <c r="BD1761" s="120"/>
      <c r="BE1761" s="467"/>
      <c r="BF1761" s="440"/>
      <c r="CB1761" s="436"/>
      <c r="CC1761" s="120"/>
      <c r="CD1761" s="120"/>
      <c r="CE1761" s="467"/>
      <c r="CF1761" s="440"/>
      <c r="DB1761" s="436"/>
      <c r="DC1761" s="120"/>
      <c r="DD1761" s="120"/>
      <c r="DE1761" s="467"/>
      <c r="DF1761" s="440"/>
      <c r="EB1761" s="436"/>
      <c r="EC1761" s="120"/>
      <c r="ED1761" s="120"/>
      <c r="EE1761" s="467"/>
      <c r="EF1761" s="440"/>
    </row>
    <row r="1762" spans="54:136">
      <c r="BB1762" s="436"/>
      <c r="BC1762" s="120"/>
      <c r="BD1762" s="120"/>
      <c r="BE1762" s="467"/>
      <c r="BF1762" s="440"/>
      <c r="CB1762" s="436"/>
      <c r="CC1762" s="120"/>
      <c r="CD1762" s="120"/>
      <c r="CE1762" s="467"/>
      <c r="CF1762" s="440"/>
      <c r="DB1762" s="436"/>
      <c r="DC1762" s="120"/>
      <c r="DD1762" s="120"/>
      <c r="DE1762" s="467"/>
      <c r="DF1762" s="440"/>
      <c r="EB1762" s="436"/>
      <c r="EC1762" s="120"/>
      <c r="ED1762" s="120"/>
      <c r="EE1762" s="467"/>
      <c r="EF1762" s="440"/>
    </row>
    <row r="1763" spans="54:136">
      <c r="BB1763" s="436"/>
      <c r="BC1763" s="120"/>
      <c r="BD1763" s="120"/>
      <c r="BE1763" s="467"/>
      <c r="BF1763" s="440"/>
      <c r="CB1763" s="436"/>
      <c r="CC1763" s="120"/>
      <c r="CD1763" s="120"/>
      <c r="CE1763" s="467"/>
      <c r="CF1763" s="440"/>
      <c r="DB1763" s="436"/>
      <c r="DC1763" s="120"/>
      <c r="DD1763" s="120"/>
      <c r="DE1763" s="467"/>
      <c r="DF1763" s="440"/>
      <c r="EB1763" s="436"/>
      <c r="EC1763" s="120"/>
      <c r="ED1763" s="120"/>
      <c r="EE1763" s="467"/>
      <c r="EF1763" s="440"/>
    </row>
    <row r="1764" spans="54:136">
      <c r="BB1764" s="436"/>
      <c r="BC1764" s="120"/>
      <c r="BD1764" s="120"/>
      <c r="BE1764" s="467"/>
      <c r="BF1764" s="440"/>
      <c r="CB1764" s="436"/>
      <c r="CC1764" s="120"/>
      <c r="CD1764" s="120"/>
      <c r="CE1764" s="467"/>
      <c r="CF1764" s="440"/>
      <c r="DB1764" s="436"/>
      <c r="DC1764" s="120"/>
      <c r="DD1764" s="120"/>
      <c r="DE1764" s="467"/>
      <c r="DF1764" s="440"/>
      <c r="EB1764" s="436"/>
      <c r="EC1764" s="120"/>
      <c r="ED1764" s="120"/>
      <c r="EE1764" s="467"/>
      <c r="EF1764" s="440"/>
    </row>
    <row r="1765" spans="54:136">
      <c r="BB1765" s="436"/>
      <c r="BC1765" s="120"/>
      <c r="BD1765" s="120"/>
      <c r="BE1765" s="467"/>
      <c r="BF1765" s="440"/>
      <c r="CB1765" s="436"/>
      <c r="CC1765" s="120"/>
      <c r="CD1765" s="120"/>
      <c r="CE1765" s="467"/>
      <c r="CF1765" s="440"/>
      <c r="DB1765" s="436"/>
      <c r="DC1765" s="120"/>
      <c r="DD1765" s="120"/>
      <c r="DE1765" s="467"/>
      <c r="DF1765" s="440"/>
      <c r="EB1765" s="436"/>
      <c r="EC1765" s="120"/>
      <c r="ED1765" s="120"/>
      <c r="EE1765" s="467"/>
      <c r="EF1765" s="440"/>
    </row>
    <row r="1766" spans="54:136">
      <c r="BB1766" s="436"/>
      <c r="BC1766" s="120"/>
      <c r="BD1766" s="120"/>
      <c r="BE1766" s="467"/>
      <c r="BF1766" s="440"/>
      <c r="CB1766" s="436"/>
      <c r="CC1766" s="120"/>
      <c r="CD1766" s="120"/>
      <c r="CE1766" s="467"/>
      <c r="CF1766" s="440"/>
      <c r="DB1766" s="436"/>
      <c r="DC1766" s="120"/>
      <c r="DD1766" s="120"/>
      <c r="DE1766" s="467"/>
      <c r="DF1766" s="440"/>
      <c r="EB1766" s="436"/>
      <c r="EC1766" s="120"/>
      <c r="ED1766" s="120"/>
      <c r="EE1766" s="467"/>
      <c r="EF1766" s="440"/>
    </row>
    <row r="1767" spans="54:136">
      <c r="BB1767" s="456"/>
      <c r="BC1767" s="457"/>
      <c r="BD1767" s="457"/>
      <c r="BE1767" s="477"/>
      <c r="BF1767" s="458"/>
      <c r="CB1767" s="456"/>
      <c r="CC1767" s="457"/>
      <c r="CD1767" s="457"/>
      <c r="CE1767" s="477"/>
      <c r="CF1767" s="458"/>
      <c r="DB1767" s="456"/>
      <c r="DC1767" s="457"/>
      <c r="DD1767" s="457"/>
      <c r="DE1767" s="477"/>
      <c r="DF1767" s="458"/>
      <c r="EB1767" s="456"/>
      <c r="EC1767" s="457"/>
      <c r="ED1767" s="457"/>
      <c r="EE1767" s="477"/>
      <c r="EF1767" s="458"/>
    </row>
    <row r="1768" spans="54:136">
      <c r="BB1768" s="456"/>
      <c r="BC1768" s="457"/>
      <c r="BD1768" s="457"/>
      <c r="BE1768" s="457"/>
      <c r="BF1768" s="458"/>
      <c r="CB1768" s="456"/>
      <c r="CC1768" s="457"/>
      <c r="CD1768" s="457"/>
      <c r="CE1768" s="457"/>
      <c r="CF1768" s="458"/>
      <c r="DB1768" s="456"/>
      <c r="DC1768" s="457"/>
      <c r="DD1768" s="457"/>
      <c r="DE1768" s="457"/>
      <c r="DF1768" s="458"/>
      <c r="EB1768" s="456"/>
      <c r="EC1768" s="457"/>
      <c r="ED1768" s="457"/>
      <c r="EE1768" s="457"/>
      <c r="EF1768" s="458"/>
    </row>
    <row r="1769" spans="54:136">
      <c r="BB1769" s="449" t="s">
        <v>475</v>
      </c>
      <c r="BC1769" s="120"/>
      <c r="BD1769" s="120"/>
      <c r="BE1769" s="120"/>
      <c r="BF1769" s="440"/>
      <c r="CB1769" s="449" t="s">
        <v>475</v>
      </c>
      <c r="CC1769" s="120"/>
      <c r="CD1769" s="120"/>
      <c r="CE1769" s="120"/>
      <c r="CF1769" s="440"/>
      <c r="DB1769" s="449" t="s">
        <v>475</v>
      </c>
      <c r="DC1769" s="120"/>
      <c r="DD1769" s="120"/>
      <c r="DE1769" s="120"/>
      <c r="DF1769" s="440"/>
      <c r="EB1769" s="449" t="s">
        <v>475</v>
      </c>
      <c r="EC1769" s="120"/>
      <c r="ED1769" s="120"/>
      <c r="EE1769" s="120"/>
      <c r="EF1769" s="440"/>
    </row>
    <row r="1770" spans="54:136">
      <c r="BB1770" s="436" t="s">
        <v>509</v>
      </c>
      <c r="BC1770" s="120"/>
      <c r="BD1770" s="120"/>
      <c r="BE1770" s="120"/>
      <c r="BF1770" s="440"/>
      <c r="CB1770" s="436" t="s">
        <v>509</v>
      </c>
      <c r="CC1770" s="120"/>
      <c r="CD1770" s="120"/>
      <c r="CE1770" s="120"/>
      <c r="CF1770" s="440"/>
      <c r="DB1770" s="436" t="s">
        <v>509</v>
      </c>
      <c r="DC1770" s="120"/>
      <c r="DD1770" s="120"/>
      <c r="DE1770" s="120"/>
      <c r="DF1770" s="440"/>
      <c r="EB1770" s="436" t="s">
        <v>509</v>
      </c>
      <c r="EC1770" s="120"/>
      <c r="ED1770" s="120"/>
      <c r="EE1770" s="120"/>
      <c r="EF1770" s="440"/>
    </row>
    <row r="1771" spans="54:136">
      <c r="BB1771" s="436" t="s">
        <v>510</v>
      </c>
      <c r="BC1771" s="120"/>
      <c r="BD1771" s="120"/>
      <c r="BE1771" s="120"/>
      <c r="BF1771" s="440"/>
      <c r="CB1771" s="436" t="s">
        <v>510</v>
      </c>
      <c r="CC1771" s="120"/>
      <c r="CD1771" s="120"/>
      <c r="CE1771" s="120"/>
      <c r="CF1771" s="440"/>
      <c r="DB1771" s="436" t="s">
        <v>510</v>
      </c>
      <c r="DC1771" s="120"/>
      <c r="DD1771" s="120"/>
      <c r="DE1771" s="120"/>
      <c r="DF1771" s="440"/>
      <c r="EB1771" s="436" t="s">
        <v>510</v>
      </c>
      <c r="EC1771" s="120"/>
      <c r="ED1771" s="120"/>
      <c r="EE1771" s="120"/>
      <c r="EF1771" s="440"/>
    </row>
    <row r="1772" spans="54:136">
      <c r="BB1772" s="436"/>
      <c r="BC1772" s="120"/>
      <c r="BD1772" s="120"/>
      <c r="BE1772" s="120"/>
      <c r="BF1772" s="440"/>
      <c r="CB1772" s="436"/>
      <c r="CC1772" s="120"/>
      <c r="CD1772" s="120"/>
      <c r="CE1772" s="120"/>
      <c r="CF1772" s="440"/>
      <c r="DB1772" s="436"/>
      <c r="DC1772" s="120"/>
      <c r="DD1772" s="120"/>
      <c r="DE1772" s="120"/>
      <c r="DF1772" s="440"/>
      <c r="EB1772" s="436"/>
      <c r="EC1772" s="120"/>
      <c r="ED1772" s="120"/>
      <c r="EE1772" s="120"/>
      <c r="EF1772" s="440"/>
    </row>
    <row r="1773" spans="54:136">
      <c r="BB1773" s="436"/>
      <c r="BC1773" s="120"/>
      <c r="BD1773" s="120"/>
      <c r="BE1773" s="120"/>
      <c r="BF1773" s="440"/>
      <c r="CB1773" s="436"/>
      <c r="CC1773" s="120"/>
      <c r="CD1773" s="120"/>
      <c r="CE1773" s="120"/>
      <c r="CF1773" s="440"/>
      <c r="DB1773" s="436"/>
      <c r="DC1773" s="120"/>
      <c r="DD1773" s="120"/>
      <c r="DE1773" s="120"/>
      <c r="DF1773" s="440"/>
      <c r="EB1773" s="436"/>
      <c r="EC1773" s="120"/>
      <c r="ED1773" s="120"/>
      <c r="EE1773" s="120"/>
      <c r="EF1773" s="440"/>
    </row>
    <row r="1774" spans="54:136">
      <c r="BB1774" s="436"/>
      <c r="BC1774" s="120"/>
      <c r="BD1774" s="120"/>
      <c r="BE1774" s="120"/>
      <c r="BF1774" s="440"/>
      <c r="CB1774" s="436"/>
      <c r="CC1774" s="120"/>
      <c r="CD1774" s="120"/>
      <c r="CE1774" s="120"/>
      <c r="CF1774" s="440"/>
      <c r="DB1774" s="436"/>
      <c r="DC1774" s="120"/>
      <c r="DD1774" s="120"/>
      <c r="DE1774" s="120"/>
      <c r="DF1774" s="440"/>
      <c r="EB1774" s="436"/>
      <c r="EC1774" s="120"/>
      <c r="ED1774" s="120"/>
      <c r="EE1774" s="120"/>
      <c r="EF1774" s="440"/>
    </row>
    <row r="1775" spans="54:136">
      <c r="BB1775" s="436"/>
      <c r="BC1775" s="120"/>
      <c r="BD1775" s="120"/>
      <c r="BE1775" s="120"/>
      <c r="BF1775" s="440"/>
      <c r="CB1775" s="436"/>
      <c r="CC1775" s="120"/>
      <c r="CD1775" s="120"/>
      <c r="CE1775" s="120"/>
      <c r="CF1775" s="440"/>
      <c r="DB1775" s="436"/>
      <c r="DC1775" s="120"/>
      <c r="DD1775" s="120"/>
      <c r="DE1775" s="120"/>
      <c r="DF1775" s="440"/>
      <c r="EB1775" s="436"/>
      <c r="EC1775" s="120"/>
      <c r="ED1775" s="120"/>
      <c r="EE1775" s="120"/>
      <c r="EF1775" s="440"/>
    </row>
    <row r="1776" spans="54:136">
      <c r="BB1776" s="436" t="s">
        <v>511</v>
      </c>
      <c r="BC1776" s="120">
        <v>0</v>
      </c>
      <c r="BD1776" s="120" t="s">
        <v>512</v>
      </c>
      <c r="BE1776" s="120"/>
      <c r="BF1776" s="440"/>
      <c r="CB1776" s="436" t="s">
        <v>511</v>
      </c>
      <c r="CC1776" s="120">
        <v>0</v>
      </c>
      <c r="CD1776" s="120" t="s">
        <v>512</v>
      </c>
      <c r="CE1776" s="120"/>
      <c r="CF1776" s="440"/>
      <c r="DB1776" s="436" t="s">
        <v>511</v>
      </c>
      <c r="DC1776" s="120">
        <v>0</v>
      </c>
      <c r="DD1776" s="120" t="s">
        <v>512</v>
      </c>
      <c r="DE1776" s="120"/>
      <c r="DF1776" s="440"/>
      <c r="EB1776" s="436" t="s">
        <v>511</v>
      </c>
      <c r="EC1776" s="120">
        <v>0</v>
      </c>
      <c r="ED1776" s="120" t="s">
        <v>512</v>
      </c>
      <c r="EE1776" s="120"/>
      <c r="EF1776" s="440"/>
    </row>
    <row r="1777" spans="54:136">
      <c r="BB1777" s="436" t="s">
        <v>513</v>
      </c>
      <c r="BC1777" s="120">
        <v>0</v>
      </c>
      <c r="BD1777" s="120" t="s">
        <v>512</v>
      </c>
      <c r="BE1777" s="120"/>
      <c r="BF1777" s="440"/>
      <c r="CB1777" s="436" t="s">
        <v>513</v>
      </c>
      <c r="CC1777" s="120">
        <v>0</v>
      </c>
      <c r="CD1777" s="120" t="s">
        <v>512</v>
      </c>
      <c r="CE1777" s="120"/>
      <c r="CF1777" s="440"/>
      <c r="DB1777" s="436" t="s">
        <v>513</v>
      </c>
      <c r="DC1777" s="120">
        <v>0</v>
      </c>
      <c r="DD1777" s="120" t="s">
        <v>512</v>
      </c>
      <c r="DE1777" s="120"/>
      <c r="DF1777" s="440"/>
      <c r="EB1777" s="436" t="s">
        <v>513</v>
      </c>
      <c r="EC1777" s="120">
        <v>0</v>
      </c>
      <c r="ED1777" s="120" t="s">
        <v>512</v>
      </c>
      <c r="EE1777" s="120"/>
      <c r="EF1777" s="440"/>
    </row>
    <row r="1778" spans="54:136">
      <c r="BB1778" s="456"/>
      <c r="BC1778" s="457"/>
      <c r="BD1778" s="457"/>
      <c r="BE1778" s="457"/>
      <c r="BF1778" s="458"/>
      <c r="CB1778" s="456"/>
      <c r="CC1778" s="457"/>
      <c r="CD1778" s="457"/>
      <c r="CE1778" s="457"/>
      <c r="CF1778" s="458"/>
      <c r="DB1778" s="456"/>
      <c r="DC1778" s="457"/>
      <c r="DD1778" s="457"/>
      <c r="DE1778" s="457"/>
      <c r="DF1778" s="458"/>
      <c r="EB1778" s="456"/>
      <c r="EC1778" s="457"/>
      <c r="ED1778" s="457"/>
      <c r="EE1778" s="457"/>
      <c r="EF1778" s="458"/>
    </row>
    <row r="1779" spans="54:136">
      <c r="BB1779" s="449" t="s">
        <v>461</v>
      </c>
      <c r="BC1779" s="120"/>
      <c r="BD1779" s="120"/>
      <c r="BE1779" s="120"/>
      <c r="BF1779" s="440"/>
      <c r="CB1779" s="449" t="s">
        <v>461</v>
      </c>
      <c r="CC1779" s="120"/>
      <c r="CD1779" s="120"/>
      <c r="CE1779" s="120"/>
      <c r="CF1779" s="440"/>
      <c r="DB1779" s="449" t="s">
        <v>461</v>
      </c>
      <c r="DC1779" s="120"/>
      <c r="DD1779" s="120"/>
      <c r="DE1779" s="120"/>
      <c r="DF1779" s="440"/>
      <c r="EB1779" s="449" t="s">
        <v>461</v>
      </c>
      <c r="EC1779" s="120"/>
      <c r="ED1779" s="120"/>
      <c r="EE1779" s="120"/>
      <c r="EF1779" s="440"/>
    </row>
    <row r="1780" spans="54:136">
      <c r="BB1780" s="436" t="s">
        <v>514</v>
      </c>
      <c r="BC1780" s="120">
        <f>VLOOKUP(BB1708,'Unit Ops'!$B$140:$K$209,10,FALSE)</f>
        <v>12</v>
      </c>
      <c r="BD1780" s="120" t="s">
        <v>515</v>
      </c>
      <c r="BE1780" s="120"/>
      <c r="BF1780" s="440"/>
      <c r="CB1780" s="436" t="s">
        <v>514</v>
      </c>
      <c r="CC1780" s="120">
        <f>VLOOKUP(CB1708,'Unit Ops'!$B$140:$K$209,10,FALSE)</f>
        <v>20</v>
      </c>
      <c r="CD1780" s="120" t="s">
        <v>515</v>
      </c>
      <c r="CE1780" s="120"/>
      <c r="CF1780" s="440"/>
      <c r="DB1780" s="436" t="s">
        <v>514</v>
      </c>
      <c r="DC1780" s="120">
        <f>VLOOKUP(DB1708,'Unit Ops'!$B$140:$K$209,10,FALSE)</f>
        <v>0</v>
      </c>
      <c r="DD1780" s="120" t="s">
        <v>515</v>
      </c>
      <c r="DE1780" s="120"/>
      <c r="DF1780" s="440"/>
      <c r="EB1780" s="436" t="s">
        <v>514</v>
      </c>
      <c r="EC1780" s="120">
        <f>VLOOKUP(EB1708,'Unit Ops'!$B$140:$K$209,10,FALSE)</f>
        <v>20</v>
      </c>
      <c r="ED1780" s="120" t="s">
        <v>515</v>
      </c>
      <c r="EE1780" s="120"/>
      <c r="EF1780" s="440"/>
    </row>
    <row r="1781" spans="54:136">
      <c r="BB1781" s="436" t="s">
        <v>516</v>
      </c>
      <c r="BC1781" s="120">
        <v>0</v>
      </c>
      <c r="BD1781" s="120" t="s">
        <v>515</v>
      </c>
      <c r="BE1781" s="120"/>
      <c r="BF1781" s="440"/>
      <c r="CB1781" s="436" t="s">
        <v>516</v>
      </c>
      <c r="CC1781" s="120">
        <v>0</v>
      </c>
      <c r="CD1781" s="120" t="s">
        <v>515</v>
      </c>
      <c r="CE1781" s="120"/>
      <c r="CF1781" s="440"/>
      <c r="DB1781" s="436" t="s">
        <v>516</v>
      </c>
      <c r="DC1781" s="120">
        <v>0</v>
      </c>
      <c r="DD1781" s="120" t="s">
        <v>515</v>
      </c>
      <c r="DE1781" s="120"/>
      <c r="DF1781" s="440"/>
      <c r="EB1781" s="436" t="s">
        <v>516</v>
      </c>
      <c r="EC1781" s="120">
        <v>0</v>
      </c>
      <c r="ED1781" s="120" t="s">
        <v>515</v>
      </c>
      <c r="EE1781" s="120"/>
      <c r="EF1781" s="440"/>
    </row>
    <row r="1782" spans="54:136">
      <c r="BB1782" s="436"/>
      <c r="BC1782" s="120"/>
      <c r="BD1782" s="120"/>
      <c r="BE1782" s="120"/>
      <c r="BF1782" s="440"/>
      <c r="CB1782" s="436"/>
      <c r="CC1782" s="120"/>
      <c r="CD1782" s="120"/>
      <c r="CE1782" s="120"/>
      <c r="CF1782" s="440"/>
      <c r="DB1782" s="436"/>
      <c r="DC1782" s="120"/>
      <c r="DD1782" s="120"/>
      <c r="DE1782" s="120"/>
      <c r="DF1782" s="440"/>
      <c r="EB1782" s="436"/>
      <c r="EC1782" s="120"/>
      <c r="ED1782" s="120"/>
      <c r="EE1782" s="120"/>
      <c r="EF1782" s="440"/>
    </row>
    <row r="1783" spans="54:136">
      <c r="BB1783" s="436"/>
      <c r="BC1783" s="120"/>
      <c r="BD1783" s="120"/>
      <c r="BE1783" s="120"/>
      <c r="BF1783" s="440"/>
      <c r="CB1783" s="436"/>
      <c r="CC1783" s="120"/>
      <c r="CD1783" s="120"/>
      <c r="CE1783" s="120"/>
      <c r="CF1783" s="440"/>
      <c r="DB1783" s="436"/>
      <c r="DC1783" s="120"/>
      <c r="DD1783" s="120"/>
      <c r="DE1783" s="120"/>
      <c r="DF1783" s="440"/>
      <c r="EB1783" s="436"/>
      <c r="EC1783" s="120"/>
      <c r="ED1783" s="120"/>
      <c r="EE1783" s="120"/>
      <c r="EF1783" s="440"/>
    </row>
    <row r="1784" spans="54:136">
      <c r="BB1784" s="436"/>
      <c r="BC1784" s="120"/>
      <c r="BD1784" s="120"/>
      <c r="BE1784" s="120"/>
      <c r="BF1784" s="440"/>
      <c r="CB1784" s="436"/>
      <c r="CC1784" s="120"/>
      <c r="CD1784" s="120"/>
      <c r="CE1784" s="120"/>
      <c r="CF1784" s="440"/>
      <c r="DB1784" s="436"/>
      <c r="DC1784" s="120"/>
      <c r="DD1784" s="120"/>
      <c r="DE1784" s="120"/>
      <c r="DF1784" s="440"/>
      <c r="EB1784" s="436"/>
      <c r="EC1784" s="120"/>
      <c r="ED1784" s="120"/>
      <c r="EE1784" s="120"/>
      <c r="EF1784" s="440"/>
    </row>
    <row r="1785" spans="54:136">
      <c r="BB1785" s="436"/>
      <c r="BC1785" s="120"/>
      <c r="BD1785" s="120"/>
      <c r="BE1785" s="120"/>
      <c r="BF1785" s="440"/>
      <c r="CB1785" s="436"/>
      <c r="CC1785" s="120"/>
      <c r="CD1785" s="120"/>
      <c r="CE1785" s="120"/>
      <c r="CF1785" s="440"/>
      <c r="DB1785" s="436"/>
      <c r="DC1785" s="120"/>
      <c r="DD1785" s="120"/>
      <c r="DE1785" s="120"/>
      <c r="DF1785" s="440"/>
      <c r="EB1785" s="436"/>
      <c r="EC1785" s="120"/>
      <c r="ED1785" s="120"/>
      <c r="EE1785" s="120"/>
      <c r="EF1785" s="440"/>
    </row>
    <row r="1786" spans="54:136">
      <c r="BB1786" s="436"/>
      <c r="BC1786" s="120"/>
      <c r="BD1786" s="120"/>
      <c r="BE1786" s="120"/>
      <c r="BF1786" s="440"/>
      <c r="CB1786" s="436"/>
      <c r="CC1786" s="120"/>
      <c r="CD1786" s="120"/>
      <c r="CE1786" s="120"/>
      <c r="CF1786" s="440"/>
      <c r="DB1786" s="436"/>
      <c r="DC1786" s="120"/>
      <c r="DD1786" s="120"/>
      <c r="DE1786" s="120"/>
      <c r="DF1786" s="440"/>
      <c r="EB1786" s="436"/>
      <c r="EC1786" s="120"/>
      <c r="ED1786" s="120"/>
      <c r="EE1786" s="120"/>
      <c r="EF1786" s="440"/>
    </row>
    <row r="1787" spans="54:136">
      <c r="BB1787" s="436" t="s">
        <v>464</v>
      </c>
      <c r="BC1787" s="120"/>
      <c r="BD1787" s="120"/>
      <c r="BE1787" s="120"/>
      <c r="BF1787" s="440"/>
      <c r="CB1787" s="436" t="s">
        <v>464</v>
      </c>
      <c r="CC1787" s="120"/>
      <c r="CD1787" s="120"/>
      <c r="CE1787" s="120"/>
      <c r="CF1787" s="440"/>
      <c r="DB1787" s="436" t="s">
        <v>464</v>
      </c>
      <c r="DC1787" s="120"/>
      <c r="DD1787" s="120"/>
      <c r="DE1787" s="120"/>
      <c r="DF1787" s="440"/>
      <c r="EB1787" s="436" t="s">
        <v>464</v>
      </c>
      <c r="EC1787" s="120"/>
      <c r="ED1787" s="120"/>
      <c r="EE1787" s="120"/>
      <c r="EF1787" s="440"/>
    </row>
    <row r="1788" spans="54:136">
      <c r="BB1788" s="456"/>
      <c r="BC1788" s="457"/>
      <c r="BD1788" s="457"/>
      <c r="BE1788" s="457"/>
      <c r="BF1788" s="458"/>
      <c r="CB1788" s="456"/>
      <c r="CC1788" s="457"/>
      <c r="CD1788" s="457"/>
      <c r="CE1788" s="457"/>
      <c r="CF1788" s="458"/>
      <c r="DB1788" s="456"/>
      <c r="DC1788" s="457"/>
      <c r="DD1788" s="457"/>
      <c r="DE1788" s="457"/>
      <c r="DF1788" s="458"/>
      <c r="EB1788" s="456"/>
      <c r="EC1788" s="457"/>
      <c r="ED1788" s="457"/>
      <c r="EE1788" s="457"/>
      <c r="EF1788" s="458"/>
    </row>
    <row r="1789" spans="54:136">
      <c r="BB1789" s="449" t="s">
        <v>472</v>
      </c>
      <c r="BC1789" s="467" t="s">
        <v>517</v>
      </c>
      <c r="BD1789" s="120" t="s">
        <v>518</v>
      </c>
      <c r="BE1789" s="467" t="s">
        <v>519</v>
      </c>
      <c r="BF1789" s="440" t="s">
        <v>518</v>
      </c>
      <c r="CB1789" s="449" t="s">
        <v>472</v>
      </c>
      <c r="CC1789" s="467" t="s">
        <v>517</v>
      </c>
      <c r="CD1789" s="120" t="s">
        <v>518</v>
      </c>
      <c r="CE1789" s="467" t="s">
        <v>519</v>
      </c>
      <c r="CF1789" s="440" t="s">
        <v>518</v>
      </c>
      <c r="DB1789" s="449" t="s">
        <v>472</v>
      </c>
      <c r="DC1789" s="467" t="s">
        <v>517</v>
      </c>
      <c r="DD1789" s="120" t="s">
        <v>518</v>
      </c>
      <c r="DE1789" s="467" t="s">
        <v>519</v>
      </c>
      <c r="DF1789" s="440" t="s">
        <v>518</v>
      </c>
      <c r="EB1789" s="449" t="s">
        <v>472</v>
      </c>
      <c r="EC1789" s="467" t="s">
        <v>517</v>
      </c>
      <c r="ED1789" s="120" t="s">
        <v>518</v>
      </c>
      <c r="EE1789" s="467" t="s">
        <v>519</v>
      </c>
      <c r="EF1789" s="440" t="s">
        <v>518</v>
      </c>
    </row>
    <row r="1790" spans="54:136">
      <c r="BB1790" s="436" t="s">
        <v>520</v>
      </c>
      <c r="BC1790" s="120"/>
      <c r="BD1790" s="120"/>
      <c r="BE1790" s="472">
        <f>((VLOOKUP(BB1708,'Unit Ops'!$B$140:$J$209,3,FALSE)*BC1710^VLOOKUP(BB1708,'Unit Ops'!$B$140:$J$209,4,FALSE)+VLOOKUP(BB1708,'Unit Ops'!$B$140:$J$209,5,FALSE))*VLOOKUP(BB1708,'Unit Ops'!$B$140:$J$209,6,FALSE))*IF(VLOOKUP(BB1708,'Unit Ops'!$B$140:$L$209,11,FALSE)=1,1,2)</f>
        <v>1000000</v>
      </c>
      <c r="BF1790" s="490">
        <f>$C$7</f>
        <v>2022</v>
      </c>
      <c r="CB1790" s="436" t="s">
        <v>520</v>
      </c>
      <c r="CC1790" s="120"/>
      <c r="CD1790" s="120"/>
      <c r="CE1790" s="472">
        <f>((VLOOKUP(CB1708,'Unit Ops'!$B$140:$J$209,3,FALSE)*CC1710^VLOOKUP(CB1708,'Unit Ops'!$B$140:$J$209,4,FALSE)+VLOOKUP(CB1708,'Unit Ops'!$B$140:$J$209,5,FALSE))*VLOOKUP(CB1708,'Unit Ops'!$B$140:$J$209,6,FALSE))*IF(VLOOKUP(CB1708,'Unit Ops'!$B$140:$L$209,11,FALSE)=1,1,2)</f>
        <v>300000</v>
      </c>
      <c r="CF1790" s="490">
        <f>$C$7</f>
        <v>2022</v>
      </c>
      <c r="DB1790" s="436" t="s">
        <v>520</v>
      </c>
      <c r="DC1790" s="120"/>
      <c r="DD1790" s="120"/>
      <c r="DE1790" s="472">
        <f>((VLOOKUP(DB1708,'Unit Ops'!$B$140:$J$209,3,FALSE)*DC1710^VLOOKUP(DB1708,'Unit Ops'!$B$140:$J$209,4,FALSE)+VLOOKUP(DB1708,'Unit Ops'!$B$140:$J$209,5,FALSE))*VLOOKUP(DB1708,'Unit Ops'!$B$140:$J$209,6,FALSE))*IF(VLOOKUP(DB1708,'Unit Ops'!$B$140:$L$209,11,FALSE)=1,1,2)</f>
        <v>0</v>
      </c>
      <c r="DF1790" s="490">
        <f>$C$7</f>
        <v>2022</v>
      </c>
      <c r="EB1790" s="436" t="s">
        <v>520</v>
      </c>
      <c r="EC1790" s="120"/>
      <c r="ED1790" s="120"/>
      <c r="EE1790" s="472">
        <f>((VLOOKUP(EB1708,'Unit Ops'!$B$140:$J$209,3,FALSE)*EC1710^VLOOKUP(EB1708,'Unit Ops'!$B$140:$J$209,4,FALSE)+VLOOKUP(EB1708,'Unit Ops'!$B$140:$J$209,5,FALSE))*VLOOKUP(EB1708,'Unit Ops'!$B$140:$J$209,6,FALSE))*IF(VLOOKUP(EB1708,'Unit Ops'!$B$140:$L$209,11,FALSE)=1,1,2)</f>
        <v>300000</v>
      </c>
      <c r="EF1790" s="490">
        <f>$C$7</f>
        <v>2022</v>
      </c>
    </row>
    <row r="1791" spans="54:136">
      <c r="BB1791" s="436"/>
      <c r="BC1791" s="120"/>
      <c r="BD1791" s="120"/>
      <c r="BE1791" s="120"/>
      <c r="BF1791" s="440"/>
      <c r="CB1791" s="436"/>
      <c r="CC1791" s="120"/>
      <c r="CD1791" s="120"/>
      <c r="CE1791" s="120"/>
      <c r="CF1791" s="440"/>
      <c r="DB1791" s="436"/>
      <c r="DC1791" s="120"/>
      <c r="DD1791" s="120"/>
      <c r="DE1791" s="120"/>
      <c r="DF1791" s="440"/>
      <c r="EB1791" s="436"/>
      <c r="EC1791" s="120"/>
      <c r="ED1791" s="120"/>
      <c r="EE1791" s="120"/>
      <c r="EF1791" s="440"/>
    </row>
    <row r="1792" spans="54:136">
      <c r="BB1792" s="436"/>
      <c r="BC1792" s="120"/>
      <c r="BD1792" s="120"/>
      <c r="BE1792" s="120"/>
      <c r="BF1792" s="440"/>
      <c r="CB1792" s="436"/>
      <c r="CC1792" s="120"/>
      <c r="CD1792" s="120"/>
      <c r="CE1792" s="120"/>
      <c r="CF1792" s="440"/>
      <c r="DB1792" s="436"/>
      <c r="DC1792" s="120"/>
      <c r="DD1792" s="120"/>
      <c r="DE1792" s="120"/>
      <c r="DF1792" s="440"/>
      <c r="EB1792" s="436"/>
      <c r="EC1792" s="120"/>
      <c r="ED1792" s="120"/>
      <c r="EE1792" s="120"/>
      <c r="EF1792" s="440"/>
    </row>
    <row r="1793" spans="53:136">
      <c r="BB1793" s="436"/>
      <c r="BC1793" s="120"/>
      <c r="BD1793" s="120"/>
      <c r="BE1793" s="120"/>
      <c r="BF1793" s="440"/>
      <c r="CB1793" s="436"/>
      <c r="CC1793" s="120"/>
      <c r="CD1793" s="120"/>
      <c r="CE1793" s="120"/>
      <c r="CF1793" s="440"/>
      <c r="DB1793" s="436"/>
      <c r="DC1793" s="120"/>
      <c r="DD1793" s="120"/>
      <c r="DE1793" s="120"/>
      <c r="DF1793" s="440"/>
      <c r="EB1793" s="436"/>
      <c r="EC1793" s="120"/>
      <c r="ED1793" s="120"/>
      <c r="EE1793" s="120"/>
      <c r="EF1793" s="440"/>
    </row>
    <row r="1794" spans="53:136">
      <c r="BB1794" s="436"/>
      <c r="BC1794" s="120"/>
      <c r="BD1794" s="120"/>
      <c r="BE1794" s="120"/>
      <c r="BF1794" s="440"/>
      <c r="CB1794" s="436"/>
      <c r="CC1794" s="120"/>
      <c r="CD1794" s="120"/>
      <c r="CE1794" s="120"/>
      <c r="CF1794" s="440"/>
      <c r="DB1794" s="436"/>
      <c r="DC1794" s="120"/>
      <c r="DD1794" s="120"/>
      <c r="DE1794" s="120"/>
      <c r="DF1794" s="440"/>
      <c r="EB1794" s="436"/>
      <c r="EC1794" s="120"/>
      <c r="ED1794" s="120"/>
      <c r="EE1794" s="120"/>
      <c r="EF1794" s="440"/>
    </row>
    <row r="1795" spans="53:136">
      <c r="BB1795" s="436"/>
      <c r="BC1795" s="120"/>
      <c r="BD1795" s="120"/>
      <c r="BE1795" s="120"/>
      <c r="BF1795" s="440"/>
      <c r="CB1795" s="436"/>
      <c r="CC1795" s="120"/>
      <c r="CD1795" s="120"/>
      <c r="CE1795" s="120"/>
      <c r="CF1795" s="440"/>
      <c r="DB1795" s="436"/>
      <c r="DC1795" s="120"/>
      <c r="DD1795" s="120"/>
      <c r="DE1795" s="120"/>
      <c r="DF1795" s="440"/>
      <c r="EB1795" s="436"/>
      <c r="EC1795" s="120"/>
      <c r="ED1795" s="120"/>
      <c r="EE1795" s="120"/>
      <c r="EF1795" s="440"/>
    </row>
    <row r="1796" spans="53:136">
      <c r="BB1796" s="436"/>
      <c r="BC1796" s="120"/>
      <c r="BD1796" s="120"/>
      <c r="BE1796" s="120"/>
      <c r="BF1796" s="440"/>
      <c r="CB1796" s="436"/>
      <c r="CC1796" s="120"/>
      <c r="CD1796" s="120"/>
      <c r="CE1796" s="120"/>
      <c r="CF1796" s="440"/>
      <c r="DB1796" s="436"/>
      <c r="DC1796" s="120"/>
      <c r="DD1796" s="120"/>
      <c r="DE1796" s="120"/>
      <c r="DF1796" s="440"/>
      <c r="EB1796" s="436"/>
      <c r="EC1796" s="120"/>
      <c r="ED1796" s="120"/>
      <c r="EE1796" s="120"/>
      <c r="EF1796" s="440"/>
    </row>
    <row r="1797" spans="53:136">
      <c r="BB1797" s="436"/>
      <c r="BC1797" s="120"/>
      <c r="BD1797" s="120"/>
      <c r="BE1797" s="120"/>
      <c r="BF1797" s="440"/>
      <c r="CB1797" s="436"/>
      <c r="CC1797" s="120"/>
      <c r="CD1797" s="120"/>
      <c r="CE1797" s="120"/>
      <c r="CF1797" s="440"/>
      <c r="DB1797" s="436"/>
      <c r="DC1797" s="120"/>
      <c r="DD1797" s="120"/>
      <c r="DE1797" s="120"/>
      <c r="DF1797" s="440"/>
      <c r="EB1797" s="436"/>
      <c r="EC1797" s="120"/>
      <c r="ED1797" s="120"/>
      <c r="EE1797" s="120"/>
      <c r="EF1797" s="440"/>
    </row>
    <row r="1798" spans="53:136">
      <c r="BB1798" s="436"/>
      <c r="BC1798" s="120"/>
      <c r="BD1798" s="120"/>
      <c r="BE1798" s="120"/>
      <c r="BF1798" s="440"/>
      <c r="CB1798" s="436"/>
      <c r="CC1798" s="120"/>
      <c r="CD1798" s="120"/>
      <c r="CE1798" s="120"/>
      <c r="CF1798" s="440"/>
      <c r="DB1798" s="436"/>
      <c r="DC1798" s="120"/>
      <c r="DD1798" s="120"/>
      <c r="DE1798" s="120"/>
      <c r="DF1798" s="440"/>
      <c r="EB1798" s="436"/>
      <c r="EC1798" s="120"/>
      <c r="ED1798" s="120"/>
      <c r="EE1798" s="120"/>
      <c r="EF1798" s="440"/>
    </row>
    <row r="1799" spans="53:136">
      <c r="BB1799" s="436"/>
      <c r="BC1799" s="120"/>
      <c r="BD1799" s="120"/>
      <c r="BE1799" s="120"/>
      <c r="BF1799" s="440"/>
      <c r="CB1799" s="436"/>
      <c r="CC1799" s="120"/>
      <c r="CD1799" s="120"/>
      <c r="CE1799" s="120"/>
      <c r="CF1799" s="440"/>
      <c r="DB1799" s="436"/>
      <c r="DC1799" s="120"/>
      <c r="DD1799" s="120"/>
      <c r="DE1799" s="120"/>
      <c r="DF1799" s="440"/>
      <c r="EB1799" s="436"/>
      <c r="EC1799" s="120"/>
      <c r="ED1799" s="120"/>
      <c r="EE1799" s="120"/>
      <c r="EF1799" s="440"/>
    </row>
    <row r="1800" spans="53:136">
      <c r="BB1800" s="436"/>
      <c r="BC1800" s="120"/>
      <c r="BD1800" s="120"/>
      <c r="BE1800" s="120"/>
      <c r="BF1800" s="440"/>
      <c r="CB1800" s="436"/>
      <c r="CC1800" s="120"/>
      <c r="CD1800" s="120"/>
      <c r="CE1800" s="120"/>
      <c r="CF1800" s="440"/>
      <c r="DB1800" s="436"/>
      <c r="DC1800" s="120"/>
      <c r="DD1800" s="120"/>
      <c r="DE1800" s="120"/>
      <c r="DF1800" s="440"/>
      <c r="EB1800" s="436"/>
      <c r="EC1800" s="120"/>
      <c r="ED1800" s="120"/>
      <c r="EE1800" s="120"/>
      <c r="EF1800" s="440"/>
    </row>
    <row r="1801" spans="53:136">
      <c r="BB1801" s="436"/>
      <c r="BC1801" s="120"/>
      <c r="BD1801" s="120"/>
      <c r="BE1801" s="120"/>
      <c r="BF1801" s="440"/>
      <c r="CB1801" s="436"/>
      <c r="CC1801" s="120"/>
      <c r="CD1801" s="120"/>
      <c r="CE1801" s="120"/>
      <c r="CF1801" s="440"/>
      <c r="DB1801" s="436"/>
      <c r="DC1801" s="120"/>
      <c r="DD1801" s="120"/>
      <c r="DE1801" s="120"/>
      <c r="DF1801" s="440"/>
      <c r="EB1801" s="436"/>
      <c r="EC1801" s="120"/>
      <c r="ED1801" s="120"/>
      <c r="EE1801" s="120"/>
      <c r="EF1801" s="440"/>
    </row>
    <row r="1802" spans="53:136">
      <c r="BB1802" s="436"/>
      <c r="BC1802" s="120"/>
      <c r="BD1802" s="120"/>
      <c r="BE1802" s="120"/>
      <c r="BF1802" s="440"/>
      <c r="CB1802" s="436"/>
      <c r="CC1802" s="120"/>
      <c r="CD1802" s="120"/>
      <c r="CE1802" s="120"/>
      <c r="CF1802" s="440"/>
      <c r="DB1802" s="436"/>
      <c r="DC1802" s="120"/>
      <c r="DD1802" s="120"/>
      <c r="DE1802" s="120"/>
      <c r="DF1802" s="440"/>
      <c r="EB1802" s="436"/>
      <c r="EC1802" s="120"/>
      <c r="ED1802" s="120"/>
      <c r="EE1802" s="120"/>
      <c r="EF1802" s="440"/>
    </row>
    <row r="1803" spans="53:136">
      <c r="BB1803" s="436"/>
      <c r="BC1803" s="120"/>
      <c r="BD1803" s="120"/>
      <c r="BE1803" s="120"/>
      <c r="BF1803" s="440"/>
      <c r="CB1803" s="436"/>
      <c r="CC1803" s="120"/>
      <c r="CD1803" s="120"/>
      <c r="CE1803" s="120"/>
      <c r="CF1803" s="440"/>
      <c r="DB1803" s="436"/>
      <c r="DC1803" s="120"/>
      <c r="DD1803" s="120"/>
      <c r="DE1803" s="120"/>
      <c r="DF1803" s="440"/>
      <c r="EB1803" s="436"/>
      <c r="EC1803" s="120"/>
      <c r="ED1803" s="120"/>
      <c r="EE1803" s="120"/>
      <c r="EF1803" s="440"/>
    </row>
    <row r="1804" spans="53:136" ht="14.5" thickBot="1">
      <c r="BB1804" s="492"/>
      <c r="BC1804" s="493"/>
      <c r="BD1804" s="493"/>
      <c r="BE1804" s="493"/>
      <c r="BF1804" s="453"/>
      <c r="CB1804" s="492"/>
      <c r="CC1804" s="493"/>
      <c r="CD1804" s="493"/>
      <c r="CE1804" s="493"/>
      <c r="CF1804" s="453"/>
      <c r="DB1804" s="492"/>
      <c r="DC1804" s="493"/>
      <c r="DD1804" s="493"/>
      <c r="DE1804" s="493"/>
      <c r="DF1804" s="453"/>
      <c r="EB1804" s="492"/>
      <c r="EC1804" s="493"/>
      <c r="ED1804" s="493"/>
      <c r="EE1804" s="493"/>
      <c r="EF1804" s="453"/>
    </row>
    <row r="1807" spans="53:136" ht="14.5" thickBot="1"/>
    <row r="1808" spans="53:136">
      <c r="BA1808" s="114" t="s">
        <v>478</v>
      </c>
      <c r="BB1808" s="431" t="str">
        <f>BB67</f>
        <v>Select Equipment</v>
      </c>
      <c r="BC1808" s="432"/>
      <c r="BD1808" s="433"/>
      <c r="BE1808" s="434"/>
      <c r="BF1808" s="435"/>
      <c r="CA1808" s="114" t="s">
        <v>478</v>
      </c>
      <c r="CB1808" s="431" t="str">
        <f>CB67</f>
        <v>Select Equipment</v>
      </c>
      <c r="CC1808" s="432"/>
      <c r="CD1808" s="433"/>
      <c r="CE1808" s="434"/>
      <c r="CF1808" s="435"/>
      <c r="DA1808" s="114" t="s">
        <v>478</v>
      </c>
      <c r="DB1808" s="431" t="str">
        <f>DB67</f>
        <v>Select Equipment</v>
      </c>
      <c r="DC1808" s="432"/>
      <c r="DD1808" s="433"/>
      <c r="DE1808" s="434"/>
      <c r="DF1808" s="435"/>
      <c r="EA1808" s="114" t="s">
        <v>478</v>
      </c>
      <c r="EB1808" s="431" t="str">
        <f>EB69</f>
        <v>Select Equipment</v>
      </c>
      <c r="EC1808" s="432"/>
      <c r="ED1808" s="433"/>
      <c r="EE1808" s="434"/>
      <c r="EF1808" s="435"/>
    </row>
    <row r="1809" spans="53:137">
      <c r="BA1809" s="114" t="s">
        <v>5</v>
      </c>
      <c r="BB1809" s="436" t="s">
        <v>1</v>
      </c>
      <c r="BC1809" s="437">
        <f>BC$25/BC$22/BC$21*VLOOKUP(BB1808,'Unit Ops'!$B$140:$J$209,2,FALSE)</f>
        <v>0.92592592592592593</v>
      </c>
      <c r="BD1809" s="438" t="s">
        <v>586</v>
      </c>
      <c r="BE1809" s="1027">
        <f>BC1809*BC$310*BC$311</f>
        <v>10000</v>
      </c>
      <c r="BF1809" s="439" t="s">
        <v>585</v>
      </c>
      <c r="BG1809" s="408"/>
      <c r="CA1809" s="114" t="s">
        <v>5</v>
      </c>
      <c r="CB1809" s="436" t="s">
        <v>1</v>
      </c>
      <c r="CC1809" s="437">
        <f>CC$25/CC$22/CC$21*VLOOKUP(CB1808,'Unit Ops'!$B$140:$J$209,2,FALSE)</f>
        <v>0.91324200913242004</v>
      </c>
      <c r="CD1809" s="438" t="s">
        <v>586</v>
      </c>
      <c r="CE1809" s="1027">
        <f>CC1809*CC$310*CC$311</f>
        <v>10000</v>
      </c>
      <c r="CF1809" s="439" t="s">
        <v>585</v>
      </c>
      <c r="CG1809" s="408"/>
      <c r="DA1809" s="114" t="s">
        <v>5</v>
      </c>
      <c r="DB1809" s="436" t="s">
        <v>1</v>
      </c>
      <c r="DC1809" s="437">
        <f>DC$25/DC$22/DC$21*VLOOKUP(DB1808,'Unit Ops'!$B$140:$J$209,2,FALSE)</f>
        <v>0.92592592592592593</v>
      </c>
      <c r="DD1809" s="438" t="s">
        <v>586</v>
      </c>
      <c r="DE1809" s="1027">
        <f>DC1809*DC$310*DC$311</f>
        <v>10000</v>
      </c>
      <c r="DF1809" s="439" t="s">
        <v>585</v>
      </c>
      <c r="DG1809" s="408"/>
      <c r="EA1809" s="114" t="s">
        <v>5</v>
      </c>
      <c r="EB1809" s="436" t="s">
        <v>1</v>
      </c>
      <c r="EC1809" s="437">
        <f>EC$26/EC$23/EC$22*VLOOKUP(EB1808,'Unit Ops'!$B$140:$J$209,2,FALSE)</f>
        <v>1.3020833333333333</v>
      </c>
      <c r="ED1809" s="438" t="s">
        <v>586</v>
      </c>
      <c r="EE1809" s="1027">
        <f>EC1809*EC$310*EC$311</f>
        <v>10000</v>
      </c>
      <c r="EF1809" s="439" t="s">
        <v>585</v>
      </c>
      <c r="EG1809" s="408"/>
    </row>
    <row r="1810" spans="53:137">
      <c r="BA1810" s="114" t="str">
        <f>$BB$54</f>
        <v>Hopper</v>
      </c>
      <c r="BB1810" s="436" t="s">
        <v>505</v>
      </c>
      <c r="BC1810" s="437">
        <f>ROUNDUP(BC1809*IF(VLOOKUP(BB1808,'Unit Ops'!$B$140:$L$209,11,FALSE)=1,1.5,0.75),1)</f>
        <v>0.7</v>
      </c>
      <c r="BD1810" s="438" t="s">
        <v>586</v>
      </c>
      <c r="BE1810" s="120">
        <f>BC1810*BC$310*BC$311</f>
        <v>7560</v>
      </c>
      <c r="BF1810" s="439" t="s">
        <v>585</v>
      </c>
      <c r="BG1810" s="520"/>
      <c r="CA1810" s="114" t="str">
        <f>$CB$54</f>
        <v>Conveyor</v>
      </c>
      <c r="CB1810" s="436" t="s">
        <v>505</v>
      </c>
      <c r="CC1810" s="437">
        <f>ROUNDUP(CC1809*IF(VLOOKUP(CB1808,'Unit Ops'!$B$140:$L$209,11,FALSE)=1,1.5,0.75),1)</f>
        <v>0.7</v>
      </c>
      <c r="CD1810" s="438" t="s">
        <v>586</v>
      </c>
      <c r="CE1810" s="120">
        <f>CC1810*CC$310*CC$311</f>
        <v>7665</v>
      </c>
      <c r="CF1810" s="439" t="s">
        <v>585</v>
      </c>
      <c r="CG1810" s="520"/>
      <c r="DA1810" s="114" t="str">
        <f>$DB$54</f>
        <v>Conveyor</v>
      </c>
      <c r="DB1810" s="436" t="s">
        <v>505</v>
      </c>
      <c r="DC1810" s="437">
        <f>ROUNDUP(DC1809*IF(VLOOKUP(DB1808,'Unit Ops'!$B$140:$L$209,11,FALSE)=1,1.5,0.75),1)</f>
        <v>0.7</v>
      </c>
      <c r="DD1810" s="438" t="s">
        <v>586</v>
      </c>
      <c r="DE1810" s="120">
        <f>DC1810*DC$310*DC$311</f>
        <v>7560</v>
      </c>
      <c r="DF1810" s="439" t="s">
        <v>585</v>
      </c>
      <c r="DG1810" s="520"/>
      <c r="EA1810" s="114" t="str">
        <f>$EB$56</f>
        <v>Conveyor</v>
      </c>
      <c r="EB1810" s="436" t="s">
        <v>505</v>
      </c>
      <c r="EC1810" s="437">
        <f>ROUNDUP(EC1809*IF(VLOOKUP(EB1808,'Unit Ops'!$B$140:$L$209,11,FALSE)=1,1.5,0.75),1)</f>
        <v>1</v>
      </c>
      <c r="ED1810" s="438" t="s">
        <v>586</v>
      </c>
      <c r="EE1810" s="120">
        <f>EC1810*EC$310*EC$311</f>
        <v>7680</v>
      </c>
      <c r="EF1810" s="439" t="s">
        <v>585</v>
      </c>
      <c r="EG1810" s="520"/>
    </row>
    <row r="1811" spans="53:137">
      <c r="BA1811" s="114" t="str">
        <f>$BB$55</f>
        <v>Conveyor</v>
      </c>
      <c r="BB1811" s="441" t="s">
        <v>521</v>
      </c>
      <c r="BC1811" s="442">
        <f>BC1809/BC1810</f>
        <v>1.3227513227513228</v>
      </c>
      <c r="BD1811" s="438"/>
      <c r="BE1811" s="443"/>
      <c r="BF1811" s="440"/>
      <c r="BG1811" s="521"/>
      <c r="CA1811" s="114" t="str">
        <f>$CB$55</f>
        <v>Leaching tank</v>
      </c>
      <c r="CB1811" s="441" t="s">
        <v>521</v>
      </c>
      <c r="CC1811" s="442">
        <f>CC1809/CC1810</f>
        <v>1.3046314416177429</v>
      </c>
      <c r="CD1811" s="438"/>
      <c r="CE1811" s="443"/>
      <c r="CF1811" s="440"/>
      <c r="CG1811" s="521"/>
      <c r="DA1811" s="114" t="str">
        <f>$DB$55</f>
        <v>Froth flotation cell</v>
      </c>
      <c r="DB1811" s="441" t="s">
        <v>521</v>
      </c>
      <c r="DC1811" s="442">
        <f>DC1809/DC1810</f>
        <v>1.3227513227513228</v>
      </c>
      <c r="DD1811" s="438"/>
      <c r="DE1811" s="443"/>
      <c r="DF1811" s="440"/>
      <c r="DG1811" s="521"/>
      <c r="EA1811" s="114" t="str">
        <f>$EB$57</f>
        <v>Leaching tank</v>
      </c>
      <c r="EB1811" s="441" t="s">
        <v>521</v>
      </c>
      <c r="EC1811" s="442">
        <f>EC1809/EC1810</f>
        <v>1.3020833333333333</v>
      </c>
      <c r="ED1811" s="438"/>
      <c r="EE1811" s="443"/>
      <c r="EF1811" s="440"/>
      <c r="EG1811" s="521"/>
    </row>
    <row r="1812" spans="53:137">
      <c r="BA1812" s="114" t="str">
        <f>$BB$56</f>
        <v>Smelter</v>
      </c>
      <c r="BB1812" s="441" t="s">
        <v>506</v>
      </c>
      <c r="BC1812" s="445"/>
      <c r="BD1812" s="438" t="s">
        <v>454</v>
      </c>
      <c r="BE1812" s="443"/>
      <c r="BF1812" s="440"/>
      <c r="BG1812" s="408"/>
      <c r="CA1812" s="114" t="str">
        <f>$CB$56</f>
        <v>Mixing tank</v>
      </c>
      <c r="CB1812" s="441" t="s">
        <v>506</v>
      </c>
      <c r="CC1812" s="445"/>
      <c r="CD1812" s="438" t="s">
        <v>454</v>
      </c>
      <c r="CE1812" s="443"/>
      <c r="CF1812" s="440"/>
      <c r="CG1812" s="408"/>
      <c r="DA1812" s="114" t="str">
        <f>$DB$56</f>
        <v>Filter press</v>
      </c>
      <c r="DB1812" s="441" t="s">
        <v>506</v>
      </c>
      <c r="DC1812" s="445"/>
      <c r="DD1812" s="438" t="s">
        <v>454</v>
      </c>
      <c r="DE1812" s="443"/>
      <c r="DF1812" s="440"/>
      <c r="DG1812" s="408"/>
      <c r="EA1812" s="114" t="str">
        <f>$EB$58</f>
        <v>Mixing tank</v>
      </c>
      <c r="EB1812" s="441" t="s">
        <v>506</v>
      </c>
      <c r="EC1812" s="445"/>
      <c r="ED1812" s="438" t="s">
        <v>454</v>
      </c>
      <c r="EE1812" s="443"/>
      <c r="EF1812" s="440"/>
      <c r="EG1812" s="408"/>
    </row>
    <row r="1813" spans="53:137">
      <c r="BA1813" s="114" t="str">
        <f>$BB$57</f>
        <v>Gas treatment</v>
      </c>
      <c r="BB1813" s="436" t="s">
        <v>507</v>
      </c>
      <c r="BC1813" s="225">
        <f>(VLOOKUP(BB1808,'Unit Ops'!$B$140:$J$209,7,FALSE)*BC1810^VLOOKUP(BB1808,'Unit Ops'!$B$140:$J$209,8,FALSE)+VLOOKUP(BB1808,'Unit Ops'!$B$140:$J$209,9,FALSE))*IF(VLOOKUP(BB1808,'Unit Ops'!$B$140:$L$209,11,FALSE)=1,1,2)</f>
        <v>0</v>
      </c>
      <c r="BD1813" s="446" t="s">
        <v>454</v>
      </c>
      <c r="BE1813" s="443"/>
      <c r="BF1813" s="440"/>
      <c r="BG1813" s="521"/>
      <c r="CA1813" s="114" t="str">
        <f>$CB$57</f>
        <v>Filter press</v>
      </c>
      <c r="CB1813" s="436" t="s">
        <v>507</v>
      </c>
      <c r="CC1813" s="225">
        <f>(VLOOKUP(CB1808,'Unit Ops'!$B$140:$J$209,7,FALSE)*CC1810^VLOOKUP(CB1808,'Unit Ops'!$B$140:$J$209,8,FALSE)+VLOOKUP(CB1808,'Unit Ops'!$B$140:$J$209,9,FALSE))*IF(VLOOKUP(CB1808,'Unit Ops'!$B$140:$L$209,11,FALSE)=1,1,2)</f>
        <v>0</v>
      </c>
      <c r="CD1813" s="446" t="s">
        <v>454</v>
      </c>
      <c r="CE1813" s="443"/>
      <c r="CF1813" s="440"/>
      <c r="CG1813" s="521"/>
      <c r="DA1813" s="114" t="str">
        <f>$DB$57</f>
        <v>Froth flotation cell</v>
      </c>
      <c r="DB1813" s="436" t="s">
        <v>507</v>
      </c>
      <c r="DC1813" s="225">
        <f>(VLOOKUP(DB1808,'Unit Ops'!$B$140:$J$209,7,FALSE)*DC1810^VLOOKUP(DB1808,'Unit Ops'!$B$140:$J$209,8,FALSE)+VLOOKUP(DB1808,'Unit Ops'!$B$140:$J$209,9,FALSE))*IF(VLOOKUP(DB1808,'Unit Ops'!$B$140:$L$209,11,FALSE)=1,1,2)</f>
        <v>0</v>
      </c>
      <c r="DD1813" s="446" t="s">
        <v>454</v>
      </c>
      <c r="DE1813" s="443"/>
      <c r="DF1813" s="440"/>
      <c r="DG1813" s="521"/>
      <c r="EA1813" s="114" t="str">
        <f>$EB$59</f>
        <v>Filter press</v>
      </c>
      <c r="EB1813" s="436" t="s">
        <v>507</v>
      </c>
      <c r="EC1813" s="225">
        <f>(VLOOKUP(EB1808,'Unit Ops'!$B$140:$J$209,7,FALSE)*EC1810^VLOOKUP(EB1808,'Unit Ops'!$B$140:$J$209,8,FALSE)+VLOOKUP(EB1808,'Unit Ops'!$B$140:$J$209,9,FALSE))*IF(VLOOKUP(EB1808,'Unit Ops'!$B$140:$L$209,11,FALSE)=1,1,2)</f>
        <v>0</v>
      </c>
      <c r="ED1813" s="446" t="s">
        <v>454</v>
      </c>
      <c r="EE1813" s="443"/>
      <c r="EF1813" s="440"/>
      <c r="EG1813" s="521"/>
    </row>
    <row r="1814" spans="53:137">
      <c r="BA1814" s="114" t="str">
        <f>$BB$58</f>
        <v>Conveyor</v>
      </c>
      <c r="BB1814" s="441"/>
      <c r="BC1814" s="445"/>
      <c r="BD1814" s="447"/>
      <c r="BE1814" s="443"/>
      <c r="BF1814" s="440"/>
      <c r="BG1814" s="470"/>
      <c r="CA1814" s="114" t="str">
        <f>$CB$58</f>
        <v>Solvent extraction unit</v>
      </c>
      <c r="CB1814" s="441"/>
      <c r="CC1814" s="445"/>
      <c r="CD1814" s="447"/>
      <c r="CE1814" s="443"/>
      <c r="CF1814" s="440"/>
      <c r="CG1814" s="470"/>
      <c r="DA1814" s="114" t="str">
        <f>$DB$58</f>
        <v>Filter press</v>
      </c>
      <c r="DB1814" s="441"/>
      <c r="DC1814" s="445"/>
      <c r="DD1814" s="447"/>
      <c r="DE1814" s="443"/>
      <c r="DF1814" s="440"/>
      <c r="DG1814" s="470"/>
      <c r="EA1814" s="114" t="str">
        <f>$EB$60</f>
        <v>Solvent extraction unit</v>
      </c>
      <c r="EB1814" s="441"/>
      <c r="EC1814" s="445"/>
      <c r="ED1814" s="447"/>
      <c r="EE1814" s="443"/>
      <c r="EF1814" s="440"/>
      <c r="EG1814" s="470"/>
    </row>
    <row r="1815" spans="53:137">
      <c r="BA1815" s="114" t="str">
        <f>$BB$59</f>
        <v>Granulator</v>
      </c>
      <c r="BB1815" s="441"/>
      <c r="BC1815" s="445"/>
      <c r="BD1815" s="447"/>
      <c r="BE1815" s="443"/>
      <c r="BF1815" s="440"/>
      <c r="BG1815" s="521"/>
      <c r="CA1815" s="114" t="str">
        <f>$CB$59</f>
        <v>Solvent extraction unit</v>
      </c>
      <c r="CB1815" s="441"/>
      <c r="CC1815" s="445"/>
      <c r="CD1815" s="447"/>
      <c r="CE1815" s="443"/>
      <c r="CF1815" s="440"/>
      <c r="CG1815" s="521"/>
      <c r="DA1815" s="114" t="str">
        <f>$DB$59</f>
        <v>Dryer</v>
      </c>
      <c r="DB1815" s="441"/>
      <c r="DC1815" s="445"/>
      <c r="DD1815" s="447"/>
      <c r="DE1815" s="443"/>
      <c r="DF1815" s="440"/>
      <c r="DG1815" s="521"/>
      <c r="EA1815" s="114" t="str">
        <f>$EB$61</f>
        <v>Solvent extraction unit</v>
      </c>
      <c r="EB1815" s="441"/>
      <c r="EC1815" s="445"/>
      <c r="ED1815" s="447"/>
      <c r="EE1815" s="443"/>
      <c r="EF1815" s="440"/>
      <c r="EG1815" s="521"/>
    </row>
    <row r="1816" spans="53:137">
      <c r="BA1816" s="114" t="str">
        <f>$BB$60</f>
        <v>Leaching tank</v>
      </c>
      <c r="BB1816" s="449"/>
      <c r="BC1816" s="445"/>
      <c r="BD1816" s="447"/>
      <c r="BE1816" s="443"/>
      <c r="BF1816" s="440"/>
      <c r="BG1816" s="507"/>
      <c r="CA1816" s="114" t="str">
        <f>$CB$60</f>
        <v>Solvent extraction unit</v>
      </c>
      <c r="CB1816" s="449"/>
      <c r="CC1816" s="445"/>
      <c r="CD1816" s="447"/>
      <c r="CE1816" s="443"/>
      <c r="CF1816" s="440"/>
      <c r="CG1816" s="507"/>
      <c r="DA1816" s="114" t="str">
        <f>$DB$60</f>
        <v>Ball mill</v>
      </c>
      <c r="DB1816" s="449"/>
      <c r="DC1816" s="445"/>
      <c r="DD1816" s="447"/>
      <c r="DE1816" s="443"/>
      <c r="DF1816" s="440"/>
      <c r="DG1816" s="507"/>
      <c r="EA1816" s="114" t="str">
        <f>$EB$62</f>
        <v>Solvent extraction unit</v>
      </c>
      <c r="EB1816" s="449"/>
      <c r="EC1816" s="445"/>
      <c r="ED1816" s="447"/>
      <c r="EE1816" s="443"/>
      <c r="EF1816" s="440"/>
      <c r="EG1816" s="507"/>
    </row>
    <row r="1817" spans="53:137" ht="14.5" thickBot="1">
      <c r="BA1817" s="114" t="str">
        <f>$BB$61</f>
        <v>Solvent extraction unit</v>
      </c>
      <c r="BB1817" s="450"/>
      <c r="BC1817" s="451"/>
      <c r="BD1817" s="451"/>
      <c r="BE1817" s="452"/>
      <c r="BF1817" s="453"/>
      <c r="BG1817" s="521"/>
      <c r="CA1817" s="114" t="str">
        <f>$CB$61</f>
        <v>Evaporator</v>
      </c>
      <c r="CB1817" s="450"/>
      <c r="CC1817" s="451"/>
      <c r="CD1817" s="451"/>
      <c r="CE1817" s="452"/>
      <c r="CF1817" s="453"/>
      <c r="CG1817" s="521"/>
      <c r="DA1817" s="114" t="str">
        <f>$DB$61</f>
        <v>Furnace+saggar handling system</v>
      </c>
      <c r="DB1817" s="450"/>
      <c r="DC1817" s="451"/>
      <c r="DD1817" s="451"/>
      <c r="DE1817" s="452"/>
      <c r="DF1817" s="453"/>
      <c r="DG1817" s="521"/>
      <c r="EA1817" s="114" t="str">
        <f>$EB$63</f>
        <v>Evaporator</v>
      </c>
      <c r="EB1817" s="450"/>
      <c r="EC1817" s="451"/>
      <c r="ED1817" s="451"/>
      <c r="EE1817" s="452"/>
      <c r="EF1817" s="453"/>
      <c r="EG1817" s="521"/>
    </row>
    <row r="1818" spans="53:137">
      <c r="BA1818" s="114" t="str">
        <f>$BB$62</f>
        <v>Electrowinning cell</v>
      </c>
      <c r="BB1818" s="449" t="s">
        <v>470</v>
      </c>
      <c r="BC1818" s="120"/>
      <c r="BD1818" s="454"/>
      <c r="BE1818" s="120"/>
      <c r="BF1818" s="440"/>
      <c r="BG1818" s="474"/>
      <c r="CA1818" s="114" t="str">
        <f>$CB$62</f>
        <v>Precipitation tank</v>
      </c>
      <c r="CB1818" s="449" t="s">
        <v>470</v>
      </c>
      <c r="CC1818" s="120"/>
      <c r="CD1818" s="454"/>
      <c r="CE1818" s="120"/>
      <c r="CF1818" s="440"/>
      <c r="CG1818" s="474"/>
      <c r="DA1818" s="114" t="str">
        <f>$DB$62</f>
        <v>Water treatment</v>
      </c>
      <c r="DB1818" s="449" t="s">
        <v>470</v>
      </c>
      <c r="DC1818" s="120"/>
      <c r="DD1818" s="454"/>
      <c r="DE1818" s="120"/>
      <c r="DF1818" s="440"/>
      <c r="DG1818" s="474"/>
      <c r="EA1818" s="114" t="str">
        <f>$EB$64</f>
        <v>Precipitation tank</v>
      </c>
      <c r="EB1818" s="449" t="s">
        <v>470</v>
      </c>
      <c r="EC1818" s="120"/>
      <c r="ED1818" s="454"/>
      <c r="EE1818" s="120"/>
      <c r="EF1818" s="440"/>
      <c r="EG1818" s="474"/>
    </row>
    <row r="1819" spans="53:137" ht="14.5" customHeight="1">
      <c r="BA1819" s="114" t="str">
        <f>$BB$63</f>
        <v>Solvent extraction unit</v>
      </c>
      <c r="BB1819" s="1698"/>
      <c r="BC1819" s="1699"/>
      <c r="BD1819" s="1699"/>
      <c r="BE1819" s="1699"/>
      <c r="BF1819" s="1700"/>
      <c r="BG1819" s="474"/>
      <c r="CA1819" s="114" t="str">
        <f>$CB$63</f>
        <v>Centrifuge</v>
      </c>
      <c r="CB1819" s="1698"/>
      <c r="CC1819" s="1699"/>
      <c r="CD1819" s="1699"/>
      <c r="CE1819" s="1699"/>
      <c r="CF1819" s="1700"/>
      <c r="CG1819" s="474"/>
      <c r="DA1819" s="114" t="str">
        <f>$DB$63</f>
        <v>Wheel loader</v>
      </c>
      <c r="DB1819" s="1698"/>
      <c r="DC1819" s="1699"/>
      <c r="DD1819" s="1699"/>
      <c r="DE1819" s="1699"/>
      <c r="DF1819" s="1700"/>
      <c r="DG1819" s="474"/>
      <c r="EA1819" s="114" t="str">
        <f>$EB$65</f>
        <v>Centrifuge</v>
      </c>
      <c r="EB1819" s="1698"/>
      <c r="EC1819" s="1699"/>
      <c r="ED1819" s="1699"/>
      <c r="EE1819" s="1699"/>
      <c r="EF1819" s="1700"/>
      <c r="EG1819" s="474"/>
    </row>
    <row r="1820" spans="53:137">
      <c r="BA1820" s="114" t="str">
        <f>$BB$64</f>
        <v>Solvent extraction unit</v>
      </c>
      <c r="BB1820" s="436"/>
      <c r="BC1820" s="120"/>
      <c r="BD1820" s="455"/>
      <c r="BE1820" s="120"/>
      <c r="BF1820" s="440"/>
      <c r="CA1820" s="114" t="str">
        <f>$CB$64</f>
        <v>Dryer</v>
      </c>
      <c r="CB1820" s="436"/>
      <c r="CC1820" s="120"/>
      <c r="CD1820" s="455"/>
      <c r="CE1820" s="120"/>
      <c r="CF1820" s="440"/>
      <c r="DA1820" s="114" t="str">
        <f>$DB$64</f>
        <v>Select Equipment</v>
      </c>
      <c r="DB1820" s="436"/>
      <c r="DC1820" s="120"/>
      <c r="DD1820" s="455"/>
      <c r="DE1820" s="120"/>
      <c r="DF1820" s="440"/>
      <c r="EA1820" s="114" t="str">
        <f>$EB$66</f>
        <v>Dryer</v>
      </c>
      <c r="EB1820" s="436"/>
      <c r="EC1820" s="120"/>
      <c r="ED1820" s="455"/>
      <c r="EE1820" s="120"/>
      <c r="EF1820" s="440"/>
    </row>
    <row r="1821" spans="53:137">
      <c r="BA1821" s="114" t="str">
        <f>$BB$65</f>
        <v>Wheel loader</v>
      </c>
      <c r="BB1821" s="436"/>
      <c r="BC1821" s="120"/>
      <c r="BD1821" s="455"/>
      <c r="BE1821" s="120"/>
      <c r="BF1821" s="440"/>
      <c r="CA1821" s="114" t="str">
        <f>$CB$65</f>
        <v>Water treatment</v>
      </c>
      <c r="CB1821" s="436"/>
      <c r="CC1821" s="120"/>
      <c r="CD1821" s="455"/>
      <c r="CE1821" s="120"/>
      <c r="CF1821" s="440"/>
      <c r="DA1821" s="114" t="str">
        <f>$DB$65</f>
        <v>Select Equipment</v>
      </c>
      <c r="DB1821" s="436"/>
      <c r="DC1821" s="120"/>
      <c r="DD1821" s="455"/>
      <c r="DE1821" s="120"/>
      <c r="DF1821" s="440"/>
      <c r="EA1821" s="114" t="str">
        <f>$EB$67</f>
        <v>Water treatment</v>
      </c>
      <c r="EB1821" s="436"/>
      <c r="EC1821" s="120"/>
      <c r="ED1821" s="455"/>
      <c r="EE1821" s="120"/>
      <c r="EF1821" s="440"/>
    </row>
    <row r="1822" spans="53:137">
      <c r="BA1822" s="114" t="str">
        <f>$BB$66</f>
        <v>Water treatment</v>
      </c>
      <c r="BB1822" s="456"/>
      <c r="BC1822" s="457"/>
      <c r="BD1822" s="457"/>
      <c r="BE1822" s="457"/>
      <c r="BF1822" s="458"/>
      <c r="CA1822" s="114" t="str">
        <f>$CB$66</f>
        <v>Wheel loader</v>
      </c>
      <c r="CB1822" s="456"/>
      <c r="CC1822" s="457"/>
      <c r="CD1822" s="457"/>
      <c r="CE1822" s="457"/>
      <c r="CF1822" s="458"/>
      <c r="DA1822" s="114" t="str">
        <f>$DB$66</f>
        <v>Select Equipment</v>
      </c>
      <c r="DB1822" s="456"/>
      <c r="DC1822" s="457"/>
      <c r="DD1822" s="457"/>
      <c r="DE1822" s="457"/>
      <c r="DF1822" s="458"/>
      <c r="EA1822" s="114" t="str">
        <f>$EB$68</f>
        <v>Wheel loader</v>
      </c>
      <c r="EB1822" s="456"/>
      <c r="EC1822" s="457"/>
      <c r="ED1822" s="457"/>
      <c r="EE1822" s="457"/>
      <c r="EF1822" s="458"/>
    </row>
    <row r="1823" spans="53:137">
      <c r="BA1823" s="114" t="str">
        <f>$BB$67</f>
        <v>Select Equipment</v>
      </c>
      <c r="BB1823" s="449" t="s">
        <v>471</v>
      </c>
      <c r="BC1823" s="120"/>
      <c r="BD1823" s="454"/>
      <c r="BE1823" s="120"/>
      <c r="BF1823" s="440"/>
      <c r="CA1823" s="114" t="str">
        <f>$CB$67</f>
        <v>Select Equipment</v>
      </c>
      <c r="CB1823" s="449" t="s">
        <v>471</v>
      </c>
      <c r="CC1823" s="120"/>
      <c r="CD1823" s="454"/>
      <c r="CE1823" s="120"/>
      <c r="CF1823" s="440"/>
      <c r="DA1823" s="114" t="str">
        <f>$DB$67</f>
        <v>Select Equipment</v>
      </c>
      <c r="DB1823" s="449" t="s">
        <v>471</v>
      </c>
      <c r="DC1823" s="120"/>
      <c r="DD1823" s="454"/>
      <c r="DE1823" s="120"/>
      <c r="DF1823" s="440"/>
      <c r="EA1823" s="114" t="str">
        <f>$EB$69</f>
        <v>Select Equipment</v>
      </c>
      <c r="EB1823" s="449" t="s">
        <v>471</v>
      </c>
      <c r="EC1823" s="120"/>
      <c r="ED1823" s="454"/>
      <c r="EE1823" s="120"/>
      <c r="EF1823" s="440"/>
    </row>
    <row r="1824" spans="53:137">
      <c r="BA1824" s="114" t="str">
        <f>$BB$68</f>
        <v>Select Equipment</v>
      </c>
      <c r="BB1824" s="436" t="s">
        <v>577</v>
      </c>
      <c r="BC1824" s="225">
        <f>BC1813*IF(BC1811&gt;1,1,BC1811)</f>
        <v>0</v>
      </c>
      <c r="BD1824" s="446" t="s">
        <v>454</v>
      </c>
      <c r="BE1824" s="120"/>
      <c r="BF1824" s="440"/>
      <c r="CA1824" s="114" t="str">
        <f>$CB$68</f>
        <v>Select Equipment</v>
      </c>
      <c r="CB1824" s="436" t="s">
        <v>577</v>
      </c>
      <c r="CC1824" s="225">
        <f>CC1813*IF(CC1811&gt;1,1,CC1811)</f>
        <v>0</v>
      </c>
      <c r="CD1824" s="446" t="s">
        <v>454</v>
      </c>
      <c r="CE1824" s="120"/>
      <c r="CF1824" s="440"/>
      <c r="DA1824" s="114" t="str">
        <f>$DB$68</f>
        <v>Select Equipment</v>
      </c>
      <c r="DB1824" s="436" t="s">
        <v>577</v>
      </c>
      <c r="DC1824" s="225">
        <f>DC1813*IF(DC1811&gt;1,1,DC1811)</f>
        <v>0</v>
      </c>
      <c r="DD1824" s="446" t="s">
        <v>454</v>
      </c>
      <c r="DE1824" s="120"/>
      <c r="DF1824" s="440"/>
      <c r="EA1824" s="114" t="str">
        <f>$EB$70</f>
        <v>Select Equipment</v>
      </c>
      <c r="EB1824" s="436" t="s">
        <v>577</v>
      </c>
      <c r="EC1824" s="225">
        <f>EC1813*IF(EC1811&gt;1,1,EC1811)</f>
        <v>0</v>
      </c>
      <c r="ED1824" s="446" t="s">
        <v>454</v>
      </c>
      <c r="EE1824" s="120"/>
      <c r="EF1824" s="440"/>
    </row>
    <row r="1825" spans="53:136">
      <c r="BA1825" s="114" t="str">
        <f>$BB$69</f>
        <v>Select Equipment</v>
      </c>
      <c r="BB1825" s="436" t="s">
        <v>578</v>
      </c>
      <c r="BC1825" s="225"/>
      <c r="BD1825" s="446" t="s">
        <v>579</v>
      </c>
      <c r="BE1825" s="120"/>
      <c r="BF1825" s="440"/>
      <c r="CA1825" s="114" t="str">
        <f>$CB$69</f>
        <v>Select Equipment</v>
      </c>
      <c r="CB1825" s="436" t="s">
        <v>578</v>
      </c>
      <c r="CC1825" s="225"/>
      <c r="CD1825" s="446" t="s">
        <v>579</v>
      </c>
      <c r="CE1825" s="120"/>
      <c r="CF1825" s="440"/>
      <c r="DA1825" s="114" t="str">
        <f>$DB$69</f>
        <v>Select Equipment</v>
      </c>
      <c r="DB1825" s="436" t="s">
        <v>578</v>
      </c>
      <c r="DC1825" s="225"/>
      <c r="DD1825" s="446" t="s">
        <v>579</v>
      </c>
      <c r="DE1825" s="120"/>
      <c r="DF1825" s="440"/>
      <c r="EA1825" s="114" t="str">
        <f>$EB$71</f>
        <v>Select Equipment</v>
      </c>
      <c r="EB1825" s="436" t="s">
        <v>578</v>
      </c>
      <c r="EC1825" s="225"/>
      <c r="ED1825" s="446" t="s">
        <v>579</v>
      </c>
      <c r="EE1825" s="120"/>
      <c r="EF1825" s="440"/>
    </row>
    <row r="1826" spans="53:136">
      <c r="BA1826" s="114" t="str">
        <f>$BB$70</f>
        <v>Select Equipment</v>
      </c>
      <c r="BB1826" s="436"/>
      <c r="BC1826" s="120"/>
      <c r="BD1826" s="446"/>
      <c r="BE1826" s="120"/>
      <c r="BF1826" s="440"/>
      <c r="CA1826" s="114" t="str">
        <f>$CB$70</f>
        <v>Select Equipment</v>
      </c>
      <c r="CB1826" s="436"/>
      <c r="CC1826" s="120"/>
      <c r="CD1826" s="446"/>
      <c r="CE1826" s="120"/>
      <c r="CF1826" s="440"/>
      <c r="DA1826" s="114" t="str">
        <f>$DB$70</f>
        <v>Select Equipment</v>
      </c>
      <c r="DB1826" s="436"/>
      <c r="DC1826" s="120"/>
      <c r="DD1826" s="446"/>
      <c r="DE1826" s="120"/>
      <c r="DF1826" s="440"/>
      <c r="EA1826" s="114" t="str">
        <f>$EB$72</f>
        <v>Select Equipment</v>
      </c>
      <c r="EB1826" s="436"/>
      <c r="EC1826" s="120"/>
      <c r="ED1826" s="446"/>
      <c r="EE1826" s="120"/>
      <c r="EF1826" s="440"/>
    </row>
    <row r="1827" spans="53:136">
      <c r="BA1827" s="114" t="str">
        <f>$BB$71</f>
        <v>Select Equipment</v>
      </c>
      <c r="BB1827" s="436" t="s">
        <v>8</v>
      </c>
      <c r="BC1827" s="120"/>
      <c r="BD1827" s="459" t="s">
        <v>564</v>
      </c>
      <c r="BE1827" s="120"/>
      <c r="BF1827" s="440"/>
      <c r="CA1827" s="114" t="str">
        <f>$CB$71</f>
        <v>Select Equipment</v>
      </c>
      <c r="CB1827" s="436" t="s">
        <v>8</v>
      </c>
      <c r="CC1827" s="120"/>
      <c r="CD1827" s="459" t="s">
        <v>564</v>
      </c>
      <c r="CE1827" s="120"/>
      <c r="CF1827" s="440"/>
      <c r="DA1827" s="114" t="str">
        <f>$DB$71</f>
        <v>Select Equipment</v>
      </c>
      <c r="DB1827" s="436" t="s">
        <v>8</v>
      </c>
      <c r="DC1827" s="120"/>
      <c r="DD1827" s="459" t="s">
        <v>564</v>
      </c>
      <c r="DE1827" s="120"/>
      <c r="DF1827" s="440"/>
      <c r="EA1827" s="114" t="str">
        <f>$EB$73</f>
        <v>Select Equipment</v>
      </c>
      <c r="EB1827" s="436" t="s">
        <v>8</v>
      </c>
      <c r="EC1827" s="120"/>
      <c r="ED1827" s="459" t="s">
        <v>564</v>
      </c>
      <c r="EE1827" s="120"/>
      <c r="EF1827" s="440"/>
    </row>
    <row r="1828" spans="53:136">
      <c r="BA1828" s="114" t="str">
        <f>$BB$72</f>
        <v>Select Equipment</v>
      </c>
      <c r="BB1828" s="436"/>
      <c r="BC1828" s="120"/>
      <c r="BD1828" s="459"/>
      <c r="BE1828" s="120"/>
      <c r="BF1828" s="440"/>
      <c r="CA1828" s="114" t="str">
        <f>$CB$72</f>
        <v>Select Equipment</v>
      </c>
      <c r="CB1828" s="436"/>
      <c r="CC1828" s="120"/>
      <c r="CD1828" s="459"/>
      <c r="CE1828" s="120"/>
      <c r="CF1828" s="440"/>
      <c r="DA1828" s="114" t="str">
        <f>$DB$72</f>
        <v>Select Equipment</v>
      </c>
      <c r="DB1828" s="436"/>
      <c r="DC1828" s="120"/>
      <c r="DD1828" s="459"/>
      <c r="DE1828" s="120"/>
      <c r="DF1828" s="440"/>
      <c r="EA1828" s="114" t="str">
        <f>$EB$74</f>
        <v>Select Equipment</v>
      </c>
      <c r="EB1828" s="436"/>
      <c r="EC1828" s="120"/>
      <c r="ED1828" s="459"/>
      <c r="EE1828" s="120"/>
      <c r="EF1828" s="440"/>
    </row>
    <row r="1829" spans="53:136">
      <c r="BA1829" s="114" t="str">
        <f>$BB$73</f>
        <v>Select Equipment</v>
      </c>
      <c r="BB1829" s="436" t="s">
        <v>7</v>
      </c>
      <c r="BC1829" s="120"/>
      <c r="BD1829" s="459" t="s">
        <v>564</v>
      </c>
      <c r="BE1829" s="120"/>
      <c r="BF1829" s="440"/>
      <c r="CA1829" s="114" t="str">
        <f>$CB$73</f>
        <v>Select Equipment</v>
      </c>
      <c r="CB1829" s="436" t="s">
        <v>7</v>
      </c>
      <c r="CC1829" s="120"/>
      <c r="CD1829" s="459" t="s">
        <v>564</v>
      </c>
      <c r="CE1829" s="120"/>
      <c r="CF1829" s="440"/>
      <c r="DA1829" s="114" t="str">
        <f>$DB$73</f>
        <v>Select Equipment</v>
      </c>
      <c r="DB1829" s="436" t="s">
        <v>7</v>
      </c>
      <c r="DC1829" s="120"/>
      <c r="DD1829" s="459" t="s">
        <v>564</v>
      </c>
      <c r="DE1829" s="120"/>
      <c r="DF1829" s="440"/>
      <c r="EA1829" s="114" t="str">
        <f>$EB$75</f>
        <v>Select Equipment</v>
      </c>
      <c r="EB1829" s="436" t="s">
        <v>7</v>
      </c>
      <c r="EC1829" s="120"/>
      <c r="ED1829" s="459" t="s">
        <v>564</v>
      </c>
      <c r="EE1829" s="120"/>
      <c r="EF1829" s="440"/>
    </row>
    <row r="1830" spans="53:136">
      <c r="BA1830" s="114" t="str">
        <f>$BB$74</f>
        <v>Select Equipment</v>
      </c>
      <c r="BB1830" s="436"/>
      <c r="BC1830" s="120"/>
      <c r="BD1830" s="459"/>
      <c r="BE1830" s="120"/>
      <c r="BF1830" s="440"/>
      <c r="CA1830" s="114" t="str">
        <f>$CB$74</f>
        <v>Select Equipment</v>
      </c>
      <c r="CB1830" s="436"/>
      <c r="CC1830" s="120"/>
      <c r="CD1830" s="459"/>
      <c r="CE1830" s="120"/>
      <c r="CF1830" s="440"/>
      <c r="DA1830" s="114" t="str">
        <f>$DB$74</f>
        <v>Select Equipment</v>
      </c>
      <c r="DB1830" s="436"/>
      <c r="DC1830" s="120"/>
      <c r="DD1830" s="459"/>
      <c r="DE1830" s="120"/>
      <c r="DF1830" s="440"/>
      <c r="EA1830" s="114" t="str">
        <f>$EB$76</f>
        <v>Select Equipment</v>
      </c>
      <c r="EB1830" s="436"/>
      <c r="EC1830" s="120"/>
      <c r="ED1830" s="459"/>
      <c r="EE1830" s="120"/>
      <c r="EF1830" s="440"/>
    </row>
    <row r="1831" spans="53:136">
      <c r="BA1831" s="114" t="str">
        <f>$BB$75</f>
        <v>Select Equipment</v>
      </c>
      <c r="BB1831" s="436" t="s">
        <v>9</v>
      </c>
      <c r="BC1831" s="120"/>
      <c r="BD1831" s="459" t="s">
        <v>564</v>
      </c>
      <c r="BE1831" s="120"/>
      <c r="BF1831" s="440"/>
      <c r="CA1831" s="114" t="str">
        <f>$CB$75</f>
        <v>Select Equipment</v>
      </c>
      <c r="CB1831" s="436" t="s">
        <v>9</v>
      </c>
      <c r="CC1831" s="120"/>
      <c r="CD1831" s="459" t="s">
        <v>564</v>
      </c>
      <c r="CE1831" s="120"/>
      <c r="CF1831" s="440"/>
      <c r="DA1831" s="114" t="str">
        <f>$DB$75</f>
        <v>Select Equipment</v>
      </c>
      <c r="DB1831" s="436" t="s">
        <v>9</v>
      </c>
      <c r="DC1831" s="120"/>
      <c r="DD1831" s="459" t="s">
        <v>564</v>
      </c>
      <c r="DE1831" s="120"/>
      <c r="DF1831" s="440"/>
      <c r="EA1831" s="114" t="str">
        <f>$EB$77</f>
        <v>Select Equipment</v>
      </c>
      <c r="EB1831" s="436" t="s">
        <v>9</v>
      </c>
      <c r="EC1831" s="120"/>
      <c r="ED1831" s="459" t="s">
        <v>564</v>
      </c>
      <c r="EE1831" s="120"/>
      <c r="EF1831" s="440"/>
    </row>
    <row r="1832" spans="53:136">
      <c r="BA1832" s="114" t="str">
        <f>$BB$76</f>
        <v>Select Equipment</v>
      </c>
      <c r="BB1832" s="436"/>
      <c r="BC1832" s="120"/>
      <c r="BD1832" s="459"/>
      <c r="BE1832" s="120"/>
      <c r="BF1832" s="440"/>
      <c r="CA1832" s="114" t="str">
        <f>$CB$76</f>
        <v>Select Equipment</v>
      </c>
      <c r="CB1832" s="436"/>
      <c r="CC1832" s="120"/>
      <c r="CD1832" s="459"/>
      <c r="CE1832" s="120"/>
      <c r="CF1832" s="440"/>
      <c r="DA1832" s="114" t="str">
        <f>$DB$76</f>
        <v>Select Equipment</v>
      </c>
      <c r="DB1832" s="436"/>
      <c r="DC1832" s="120"/>
      <c r="DD1832" s="459"/>
      <c r="DE1832" s="120"/>
      <c r="DF1832" s="440"/>
      <c r="EA1832" s="114" t="str">
        <f>$EB$78</f>
        <v>Select Equipment</v>
      </c>
      <c r="EB1832" s="436"/>
      <c r="EC1832" s="120"/>
      <c r="ED1832" s="459"/>
      <c r="EE1832" s="120"/>
      <c r="EF1832" s="440"/>
    </row>
    <row r="1833" spans="53:136">
      <c r="BA1833" s="114" t="str">
        <f>$BB$77</f>
        <v>Select Equipment</v>
      </c>
      <c r="BB1833" s="436" t="s">
        <v>324</v>
      </c>
      <c r="BC1833" s="120"/>
      <c r="BD1833" s="459" t="s">
        <v>564</v>
      </c>
      <c r="BE1833" s="120"/>
      <c r="BF1833" s="440" t="s">
        <v>569</v>
      </c>
      <c r="CA1833" s="114" t="str">
        <f>$CB$77</f>
        <v>Select Equipment</v>
      </c>
      <c r="CB1833" s="436" t="s">
        <v>324</v>
      </c>
      <c r="CC1833" s="120"/>
      <c r="CD1833" s="459" t="s">
        <v>564</v>
      </c>
      <c r="CE1833" s="120"/>
      <c r="CF1833" s="440" t="s">
        <v>569</v>
      </c>
      <c r="DA1833" s="114" t="str">
        <f>$DB$77</f>
        <v>Select Equipment</v>
      </c>
      <c r="DB1833" s="436" t="s">
        <v>324</v>
      </c>
      <c r="DC1833" s="120"/>
      <c r="DD1833" s="459" t="s">
        <v>564</v>
      </c>
      <c r="DE1833" s="120"/>
      <c r="DF1833" s="440" t="s">
        <v>569</v>
      </c>
      <c r="EA1833" s="114" t="str">
        <f>$EB$79</f>
        <v>Select Equipment</v>
      </c>
      <c r="EB1833" s="436" t="s">
        <v>324</v>
      </c>
      <c r="EC1833" s="120"/>
      <c r="ED1833" s="459" t="s">
        <v>564</v>
      </c>
      <c r="EE1833" s="120"/>
      <c r="EF1833" s="440" t="s">
        <v>569</v>
      </c>
    </row>
    <row r="1834" spans="53:136">
      <c r="BA1834" s="114" t="str">
        <f>$BB$78</f>
        <v>Select Equipment</v>
      </c>
      <c r="BB1834" s="436"/>
      <c r="BC1834" s="120"/>
      <c r="BD1834" s="468"/>
      <c r="BE1834" s="469"/>
      <c r="BF1834" s="440"/>
      <c r="CA1834" s="114" t="str">
        <f>$CB$78</f>
        <v>Select Equipment</v>
      </c>
      <c r="CB1834" s="436"/>
      <c r="CC1834" s="120"/>
      <c r="CD1834" s="468"/>
      <c r="CE1834" s="469"/>
      <c r="CF1834" s="440"/>
      <c r="DA1834" s="114" t="str">
        <f>$DB$78</f>
        <v>Select Equipment</v>
      </c>
      <c r="DB1834" s="436"/>
      <c r="DC1834" s="120"/>
      <c r="DD1834" s="468"/>
      <c r="DE1834" s="469"/>
      <c r="DF1834" s="440"/>
      <c r="EA1834" s="114" t="str">
        <f>$EB$80</f>
        <v>Select Equipment</v>
      </c>
      <c r="EB1834" s="436"/>
      <c r="EC1834" s="120"/>
      <c r="ED1834" s="468"/>
      <c r="EE1834" s="469"/>
      <c r="EF1834" s="440"/>
    </row>
    <row r="1835" spans="53:136">
      <c r="BA1835" s="114" t="str">
        <f>$BB$79</f>
        <v>Select Equipment</v>
      </c>
      <c r="BB1835" s="436" t="s">
        <v>374</v>
      </c>
      <c r="BC1835" s="120"/>
      <c r="BD1835" s="459" t="s">
        <v>564</v>
      </c>
      <c r="BE1835" s="469"/>
      <c r="BF1835" s="440" t="s">
        <v>569</v>
      </c>
      <c r="CA1835" s="114" t="str">
        <f>$CB$79</f>
        <v>Select Equipment</v>
      </c>
      <c r="CB1835" s="436" t="s">
        <v>374</v>
      </c>
      <c r="CC1835" s="120"/>
      <c r="CD1835" s="459" t="s">
        <v>564</v>
      </c>
      <c r="CE1835" s="469"/>
      <c r="CF1835" s="440" t="s">
        <v>569</v>
      </c>
      <c r="DA1835" s="114" t="str">
        <f>$DB$79</f>
        <v>Select Equipment</v>
      </c>
      <c r="DB1835" s="436" t="s">
        <v>374</v>
      </c>
      <c r="DC1835" s="120"/>
      <c r="DD1835" s="459" t="s">
        <v>564</v>
      </c>
      <c r="DE1835" s="469"/>
      <c r="DF1835" s="440" t="s">
        <v>569</v>
      </c>
      <c r="EA1835" s="114" t="str">
        <f>$EB$81</f>
        <v>Select Equipment</v>
      </c>
      <c r="EB1835" s="436" t="s">
        <v>374</v>
      </c>
      <c r="EC1835" s="120"/>
      <c r="ED1835" s="459" t="s">
        <v>564</v>
      </c>
      <c r="EE1835" s="469"/>
      <c r="EF1835" s="440" t="s">
        <v>569</v>
      </c>
    </row>
    <row r="1836" spans="53:136">
      <c r="BA1836" s="114" t="str">
        <f>$BB$80</f>
        <v>Select Equipment</v>
      </c>
      <c r="BB1836" s="436"/>
      <c r="BC1836" s="120"/>
      <c r="BD1836" s="472"/>
      <c r="BE1836" s="473"/>
      <c r="BF1836" s="440"/>
      <c r="CA1836" s="114" t="str">
        <f>$CB$80</f>
        <v>Select Equipment</v>
      </c>
      <c r="CB1836" s="436"/>
      <c r="CC1836" s="120"/>
      <c r="CD1836" s="472"/>
      <c r="CE1836" s="473"/>
      <c r="CF1836" s="440"/>
      <c r="DA1836" s="114" t="str">
        <f>$DB$80</f>
        <v>Select Equipment</v>
      </c>
      <c r="DB1836" s="436"/>
      <c r="DC1836" s="120"/>
      <c r="DD1836" s="472"/>
      <c r="DE1836" s="473"/>
      <c r="DF1836" s="440"/>
      <c r="EA1836" s="114" t="str">
        <f>$EB$82</f>
        <v>Select Equipment</v>
      </c>
      <c r="EB1836" s="436"/>
      <c r="EC1836" s="120"/>
      <c r="ED1836" s="472"/>
      <c r="EE1836" s="473"/>
      <c r="EF1836" s="440"/>
    </row>
    <row r="1837" spans="53:136">
      <c r="BA1837" s="114" t="str">
        <f>$BB$81</f>
        <v>Select Equipment</v>
      </c>
      <c r="BB1837" s="436" t="s">
        <v>580</v>
      </c>
      <c r="BC1837" s="120"/>
      <c r="BD1837" s="459" t="s">
        <v>564</v>
      </c>
      <c r="BE1837" s="473"/>
      <c r="BF1837" s="440" t="s">
        <v>569</v>
      </c>
      <c r="CA1837" s="114" t="str">
        <f>$CB$81</f>
        <v>Select Equipment</v>
      </c>
      <c r="CB1837" s="436" t="s">
        <v>580</v>
      </c>
      <c r="CC1837" s="120"/>
      <c r="CD1837" s="459" t="s">
        <v>564</v>
      </c>
      <c r="CE1837" s="473"/>
      <c r="CF1837" s="440" t="s">
        <v>569</v>
      </c>
      <c r="DA1837" s="114" t="str">
        <f>$DB$81</f>
        <v>Select Equipment</v>
      </c>
      <c r="DB1837" s="436" t="s">
        <v>580</v>
      </c>
      <c r="DC1837" s="120"/>
      <c r="DD1837" s="459" t="s">
        <v>564</v>
      </c>
      <c r="DE1837" s="473"/>
      <c r="DF1837" s="440" t="s">
        <v>569</v>
      </c>
      <c r="EA1837" s="114" t="str">
        <f>$EB$83</f>
        <v>Select Equipment</v>
      </c>
      <c r="EB1837" s="436" t="s">
        <v>580</v>
      </c>
      <c r="EC1837" s="120"/>
      <c r="ED1837" s="459" t="s">
        <v>564</v>
      </c>
      <c r="EE1837" s="473"/>
      <c r="EF1837" s="440" t="s">
        <v>569</v>
      </c>
    </row>
    <row r="1838" spans="53:136">
      <c r="BA1838" s="114" t="str">
        <f>$BB$82</f>
        <v>Select Equipment</v>
      </c>
      <c r="BB1838" s="476"/>
      <c r="BC1838" s="477"/>
      <c r="BD1838" s="478"/>
      <c r="BE1838" s="479"/>
      <c r="BF1838" s="458"/>
      <c r="CA1838" s="114" t="str">
        <f>$CB$82</f>
        <v>Select Equipment</v>
      </c>
      <c r="CB1838" s="476"/>
      <c r="CC1838" s="477"/>
      <c r="CD1838" s="478"/>
      <c r="CE1838" s="479"/>
      <c r="CF1838" s="458"/>
      <c r="DA1838" s="114" t="str">
        <f>$DB$82</f>
        <v>Select Equipment</v>
      </c>
      <c r="DB1838" s="476"/>
      <c r="DC1838" s="477"/>
      <c r="DD1838" s="478"/>
      <c r="DE1838" s="479"/>
      <c r="DF1838" s="458"/>
      <c r="EA1838" s="114" t="str">
        <f>$EB$84</f>
        <v>Select Equipment</v>
      </c>
      <c r="EB1838" s="476"/>
      <c r="EC1838" s="477"/>
      <c r="ED1838" s="478"/>
      <c r="EE1838" s="479"/>
      <c r="EF1838" s="458"/>
    </row>
    <row r="1839" spans="53:136">
      <c r="BA1839" s="114" t="str">
        <f>$BB$83</f>
        <v>Select Equipment</v>
      </c>
      <c r="BB1839" s="449" t="s">
        <v>473</v>
      </c>
      <c r="BC1839" s="467" t="s">
        <v>508</v>
      </c>
      <c r="BD1839" s="480"/>
      <c r="BE1839" s="481" t="s">
        <v>308</v>
      </c>
      <c r="BF1839" s="440"/>
      <c r="CA1839" s="114" t="str">
        <f>$CB$83</f>
        <v>Select Equipment</v>
      </c>
      <c r="CB1839" s="449" t="s">
        <v>473</v>
      </c>
      <c r="CC1839" s="467" t="s">
        <v>508</v>
      </c>
      <c r="CD1839" s="480"/>
      <c r="CE1839" s="481" t="s">
        <v>308</v>
      </c>
      <c r="CF1839" s="440"/>
      <c r="DA1839" s="114" t="str">
        <f>$DB$83</f>
        <v>Select Equipment</v>
      </c>
      <c r="DB1839" s="449" t="s">
        <v>473</v>
      </c>
      <c r="DC1839" s="467" t="s">
        <v>508</v>
      </c>
      <c r="DD1839" s="480"/>
      <c r="DE1839" s="481" t="s">
        <v>308</v>
      </c>
      <c r="DF1839" s="440"/>
      <c r="EA1839" s="114" t="str">
        <f>$EB$85</f>
        <v>Select Equipment</v>
      </c>
      <c r="EB1839" s="449" t="s">
        <v>473</v>
      </c>
      <c r="EC1839" s="467" t="s">
        <v>508</v>
      </c>
      <c r="ED1839" s="480"/>
      <c r="EE1839" s="481" t="s">
        <v>308</v>
      </c>
      <c r="EF1839" s="440"/>
    </row>
    <row r="1840" spans="53:136">
      <c r="BB1840" s="436"/>
      <c r="BC1840" s="483"/>
      <c r="BD1840" s="480"/>
      <c r="BE1840" s="484"/>
      <c r="BF1840" s="440"/>
      <c r="CB1840" s="436"/>
      <c r="CC1840" s="483"/>
      <c r="CD1840" s="480"/>
      <c r="CE1840" s="484"/>
      <c r="CF1840" s="440"/>
      <c r="DB1840" s="436"/>
      <c r="DC1840" s="483"/>
      <c r="DD1840" s="480"/>
      <c r="DE1840" s="484"/>
      <c r="DF1840" s="440"/>
      <c r="EB1840" s="436"/>
      <c r="EC1840" s="483"/>
      <c r="ED1840" s="480"/>
      <c r="EE1840" s="484"/>
      <c r="EF1840" s="440"/>
    </row>
    <row r="1841" spans="54:136">
      <c r="BB1841" s="436"/>
      <c r="BC1841" s="120"/>
      <c r="BD1841" s="223"/>
      <c r="BE1841" s="467"/>
      <c r="BF1841" s="440"/>
      <c r="CB1841" s="436"/>
      <c r="CC1841" s="120"/>
      <c r="CD1841" s="223"/>
      <c r="CE1841" s="467"/>
      <c r="CF1841" s="440"/>
      <c r="DB1841" s="436"/>
      <c r="DC1841" s="120"/>
      <c r="DD1841" s="223"/>
      <c r="DE1841" s="467"/>
      <c r="DF1841" s="440"/>
      <c r="EB1841" s="436"/>
      <c r="EC1841" s="120"/>
      <c r="ED1841" s="223"/>
      <c r="EE1841" s="467"/>
      <c r="EF1841" s="440"/>
    </row>
    <row r="1842" spans="54:136">
      <c r="BB1842" s="436"/>
      <c r="BC1842" s="120"/>
      <c r="BD1842" s="466"/>
      <c r="BE1842" s="467"/>
      <c r="BF1842" s="440"/>
      <c r="CB1842" s="436"/>
      <c r="CC1842" s="120"/>
      <c r="CD1842" s="466"/>
      <c r="CE1842" s="467"/>
      <c r="CF1842" s="440"/>
      <c r="DB1842" s="436"/>
      <c r="DC1842" s="120"/>
      <c r="DD1842" s="466"/>
      <c r="DE1842" s="467"/>
      <c r="DF1842" s="440"/>
      <c r="EB1842" s="436"/>
      <c r="EC1842" s="120"/>
      <c r="ED1842" s="466"/>
      <c r="EE1842" s="467"/>
      <c r="EF1842" s="440"/>
    </row>
    <row r="1843" spans="54:136">
      <c r="BB1843" s="436"/>
      <c r="BC1843" s="120"/>
      <c r="BD1843" s="223"/>
      <c r="BE1843" s="467"/>
      <c r="BF1843" s="440"/>
      <c r="CB1843" s="436"/>
      <c r="CC1843" s="120"/>
      <c r="CD1843" s="223"/>
      <c r="CE1843" s="467"/>
      <c r="CF1843" s="440"/>
      <c r="DB1843" s="436"/>
      <c r="DC1843" s="120"/>
      <c r="DD1843" s="223"/>
      <c r="DE1843" s="467"/>
      <c r="DF1843" s="440"/>
      <c r="EB1843" s="436"/>
      <c r="EC1843" s="120"/>
      <c r="ED1843" s="223"/>
      <c r="EE1843" s="467"/>
      <c r="EF1843" s="440"/>
    </row>
    <row r="1844" spans="54:136">
      <c r="BB1844" s="436"/>
      <c r="BC1844" s="120"/>
      <c r="BD1844" s="223"/>
      <c r="BE1844" s="467"/>
      <c r="BF1844" s="440"/>
      <c r="CB1844" s="436"/>
      <c r="CC1844" s="120"/>
      <c r="CD1844" s="223"/>
      <c r="CE1844" s="467"/>
      <c r="CF1844" s="440"/>
      <c r="DB1844" s="436"/>
      <c r="DC1844" s="120"/>
      <c r="DD1844" s="223"/>
      <c r="DE1844" s="467"/>
      <c r="DF1844" s="440"/>
      <c r="EB1844" s="436"/>
      <c r="EC1844" s="120"/>
      <c r="ED1844" s="223"/>
      <c r="EE1844" s="467"/>
      <c r="EF1844" s="440"/>
    </row>
    <row r="1845" spans="54:136">
      <c r="BB1845" s="436"/>
      <c r="BC1845" s="120"/>
      <c r="BD1845" s="471"/>
      <c r="BE1845" s="467"/>
      <c r="BF1845" s="440"/>
      <c r="CB1845" s="436"/>
      <c r="CC1845" s="120"/>
      <c r="CD1845" s="471"/>
      <c r="CE1845" s="467"/>
      <c r="CF1845" s="440"/>
      <c r="DB1845" s="436"/>
      <c r="DC1845" s="120"/>
      <c r="DD1845" s="471"/>
      <c r="DE1845" s="467"/>
      <c r="DF1845" s="440"/>
      <c r="EB1845" s="436"/>
      <c r="EC1845" s="120"/>
      <c r="ED1845" s="471"/>
      <c r="EE1845" s="467"/>
      <c r="EF1845" s="440"/>
    </row>
    <row r="1846" spans="54:136">
      <c r="BB1846" s="436"/>
      <c r="BC1846" s="120"/>
      <c r="BD1846" s="223"/>
      <c r="BE1846" s="467"/>
      <c r="BF1846" s="440"/>
      <c r="CB1846" s="436"/>
      <c r="CC1846" s="120"/>
      <c r="CD1846" s="223"/>
      <c r="CE1846" s="467"/>
      <c r="CF1846" s="440"/>
      <c r="DB1846" s="436"/>
      <c r="DC1846" s="120"/>
      <c r="DD1846" s="223"/>
      <c r="DE1846" s="467"/>
      <c r="DF1846" s="440"/>
      <c r="EB1846" s="436"/>
      <c r="EC1846" s="120"/>
      <c r="ED1846" s="223"/>
      <c r="EE1846" s="467"/>
      <c r="EF1846" s="440"/>
    </row>
    <row r="1847" spans="54:136">
      <c r="BB1847" s="436"/>
      <c r="BC1847" s="120"/>
      <c r="BD1847" s="475"/>
      <c r="BE1847" s="467"/>
      <c r="BF1847" s="440"/>
      <c r="CB1847" s="436"/>
      <c r="CC1847" s="120"/>
      <c r="CD1847" s="475"/>
      <c r="CE1847" s="467"/>
      <c r="CF1847" s="440"/>
      <c r="DB1847" s="436"/>
      <c r="DC1847" s="120"/>
      <c r="DD1847" s="475"/>
      <c r="DE1847" s="467"/>
      <c r="DF1847" s="440"/>
      <c r="EB1847" s="436"/>
      <c r="EC1847" s="120"/>
      <c r="ED1847" s="475"/>
      <c r="EE1847" s="467"/>
      <c r="EF1847" s="440"/>
    </row>
    <row r="1848" spans="54:136">
      <c r="BB1848" s="436"/>
      <c r="BC1848" s="120"/>
      <c r="BD1848" s="223"/>
      <c r="BE1848" s="467"/>
      <c r="BF1848" s="440"/>
      <c r="CB1848" s="436"/>
      <c r="CC1848" s="120"/>
      <c r="CD1848" s="223"/>
      <c r="CE1848" s="467"/>
      <c r="CF1848" s="440"/>
      <c r="DB1848" s="436"/>
      <c r="DC1848" s="120"/>
      <c r="DD1848" s="223"/>
      <c r="DE1848" s="467"/>
      <c r="DF1848" s="440"/>
      <c r="EB1848" s="436"/>
      <c r="EC1848" s="120"/>
      <c r="ED1848" s="223"/>
      <c r="EE1848" s="467"/>
      <c r="EF1848" s="440"/>
    </row>
    <row r="1849" spans="54:136">
      <c r="BB1849" s="436"/>
      <c r="BC1849" s="120"/>
      <c r="BD1849" s="223"/>
      <c r="BE1849" s="467"/>
      <c r="BF1849" s="440"/>
      <c r="CB1849" s="436"/>
      <c r="CC1849" s="120"/>
      <c r="CD1849" s="223"/>
      <c r="CE1849" s="467"/>
      <c r="CF1849" s="440"/>
      <c r="DB1849" s="436"/>
      <c r="DC1849" s="120"/>
      <c r="DD1849" s="223"/>
      <c r="DE1849" s="467"/>
      <c r="DF1849" s="440"/>
      <c r="EB1849" s="436"/>
      <c r="EC1849" s="120"/>
      <c r="ED1849" s="223"/>
      <c r="EE1849" s="467"/>
      <c r="EF1849" s="440"/>
    </row>
    <row r="1850" spans="54:136">
      <c r="BB1850" s="436"/>
      <c r="BC1850" s="120"/>
      <c r="BD1850" s="223"/>
      <c r="BE1850" s="467"/>
      <c r="BF1850" s="440"/>
      <c r="CB1850" s="436"/>
      <c r="CC1850" s="120"/>
      <c r="CD1850" s="223"/>
      <c r="CE1850" s="467"/>
      <c r="CF1850" s="440"/>
      <c r="DB1850" s="436"/>
      <c r="DC1850" s="120"/>
      <c r="DD1850" s="223"/>
      <c r="DE1850" s="467"/>
      <c r="DF1850" s="440"/>
      <c r="EB1850" s="436"/>
      <c r="EC1850" s="120"/>
      <c r="ED1850" s="223"/>
      <c r="EE1850" s="467"/>
      <c r="EF1850" s="440"/>
    </row>
    <row r="1851" spans="54:136">
      <c r="BB1851" s="436"/>
      <c r="BC1851" s="120"/>
      <c r="BD1851" s="223"/>
      <c r="BE1851" s="467"/>
      <c r="BF1851" s="440"/>
      <c r="CB1851" s="436"/>
      <c r="CC1851" s="120"/>
      <c r="CD1851" s="223"/>
      <c r="CE1851" s="467"/>
      <c r="CF1851" s="440"/>
      <c r="DB1851" s="436"/>
      <c r="DC1851" s="120"/>
      <c r="DD1851" s="223"/>
      <c r="DE1851" s="467"/>
      <c r="DF1851" s="440"/>
      <c r="EB1851" s="436"/>
      <c r="EC1851" s="120"/>
      <c r="ED1851" s="223"/>
      <c r="EE1851" s="467"/>
      <c r="EF1851" s="440"/>
    </row>
    <row r="1852" spans="54:136">
      <c r="BB1852" s="436"/>
      <c r="BC1852" s="120"/>
      <c r="BD1852" s="120"/>
      <c r="BE1852" s="467"/>
      <c r="BF1852" s="440"/>
      <c r="CB1852" s="436"/>
      <c r="CC1852" s="120"/>
      <c r="CD1852" s="120"/>
      <c r="CE1852" s="467"/>
      <c r="CF1852" s="440"/>
      <c r="DB1852" s="436"/>
      <c r="DC1852" s="120"/>
      <c r="DD1852" s="120"/>
      <c r="DE1852" s="467"/>
      <c r="DF1852" s="440"/>
      <c r="EB1852" s="436"/>
      <c r="EC1852" s="120"/>
      <c r="ED1852" s="120"/>
      <c r="EE1852" s="467"/>
      <c r="EF1852" s="440"/>
    </row>
    <row r="1853" spans="54:136">
      <c r="BB1853" s="456"/>
      <c r="BC1853" s="457"/>
      <c r="BD1853" s="457"/>
      <c r="BE1853" s="477"/>
      <c r="BF1853" s="458"/>
      <c r="CB1853" s="456"/>
      <c r="CC1853" s="457"/>
      <c r="CD1853" s="457"/>
      <c r="CE1853" s="477"/>
      <c r="CF1853" s="458"/>
      <c r="DB1853" s="456"/>
      <c r="DC1853" s="457"/>
      <c r="DD1853" s="457"/>
      <c r="DE1853" s="477"/>
      <c r="DF1853" s="458"/>
      <c r="EB1853" s="456"/>
      <c r="EC1853" s="457"/>
      <c r="ED1853" s="457"/>
      <c r="EE1853" s="477"/>
      <c r="EF1853" s="458"/>
    </row>
    <row r="1854" spans="54:136">
      <c r="BB1854" s="449" t="s">
        <v>474</v>
      </c>
      <c r="BC1854" s="120"/>
      <c r="BD1854" s="120" t="s">
        <v>1</v>
      </c>
      <c r="BE1854" s="310" t="s">
        <v>307</v>
      </c>
      <c r="BF1854" s="440"/>
      <c r="CB1854" s="449" t="s">
        <v>474</v>
      </c>
      <c r="CC1854" s="120"/>
      <c r="CD1854" s="120" t="s">
        <v>1</v>
      </c>
      <c r="CE1854" s="310" t="s">
        <v>307</v>
      </c>
      <c r="CF1854" s="440"/>
      <c r="DB1854" s="449" t="s">
        <v>474</v>
      </c>
      <c r="DC1854" s="120"/>
      <c r="DD1854" s="120" t="s">
        <v>1</v>
      </c>
      <c r="DE1854" s="310" t="s">
        <v>307</v>
      </c>
      <c r="DF1854" s="440"/>
      <c r="EB1854" s="449" t="s">
        <v>474</v>
      </c>
      <c r="EC1854" s="120"/>
      <c r="ED1854" s="120" t="s">
        <v>1</v>
      </c>
      <c r="EE1854" s="310" t="s">
        <v>307</v>
      </c>
      <c r="EF1854" s="440"/>
    </row>
    <row r="1855" spans="54:136">
      <c r="BB1855" s="436"/>
      <c r="BC1855" s="223"/>
      <c r="BD1855" s="480"/>
      <c r="BE1855" s="484"/>
      <c r="BF1855" s="440"/>
      <c r="CB1855" s="436"/>
      <c r="CC1855" s="223"/>
      <c r="CD1855" s="480"/>
      <c r="CE1855" s="484"/>
      <c r="CF1855" s="440"/>
      <c r="DB1855" s="436"/>
      <c r="DC1855" s="223"/>
      <c r="DD1855" s="480"/>
      <c r="DE1855" s="484"/>
      <c r="DF1855" s="440"/>
      <c r="EB1855" s="436"/>
      <c r="EC1855" s="223"/>
      <c r="ED1855" s="480"/>
      <c r="EE1855" s="484"/>
      <c r="EF1855" s="440"/>
    </row>
    <row r="1856" spans="54:136">
      <c r="BB1856" s="436"/>
      <c r="BC1856" s="120"/>
      <c r="BD1856" s="120"/>
      <c r="BE1856" s="467"/>
      <c r="BF1856" s="440"/>
      <c r="CB1856" s="436"/>
      <c r="CC1856" s="120"/>
      <c r="CD1856" s="120"/>
      <c r="CE1856" s="467"/>
      <c r="CF1856" s="440"/>
      <c r="DB1856" s="436"/>
      <c r="DC1856" s="120"/>
      <c r="DD1856" s="120"/>
      <c r="DE1856" s="467"/>
      <c r="DF1856" s="440"/>
      <c r="EB1856" s="436"/>
      <c r="EC1856" s="120"/>
      <c r="ED1856" s="120"/>
      <c r="EE1856" s="467"/>
      <c r="EF1856" s="440"/>
    </row>
    <row r="1857" spans="54:136">
      <c r="BB1857" s="436"/>
      <c r="BC1857" s="120"/>
      <c r="BD1857" s="120"/>
      <c r="BE1857" s="467"/>
      <c r="BF1857" s="440"/>
      <c r="CB1857" s="436"/>
      <c r="CC1857" s="120"/>
      <c r="CD1857" s="120"/>
      <c r="CE1857" s="467"/>
      <c r="CF1857" s="440"/>
      <c r="DB1857" s="436"/>
      <c r="DC1857" s="120"/>
      <c r="DD1857" s="120"/>
      <c r="DE1857" s="467"/>
      <c r="DF1857" s="440"/>
      <c r="EB1857" s="436"/>
      <c r="EC1857" s="120"/>
      <c r="ED1857" s="120"/>
      <c r="EE1857" s="467"/>
      <c r="EF1857" s="440"/>
    </row>
    <row r="1858" spans="54:136">
      <c r="BB1858" s="436"/>
      <c r="BC1858" s="120"/>
      <c r="BD1858" s="120"/>
      <c r="BE1858" s="467"/>
      <c r="BF1858" s="440"/>
      <c r="CB1858" s="436"/>
      <c r="CC1858" s="120"/>
      <c r="CD1858" s="120"/>
      <c r="CE1858" s="467"/>
      <c r="CF1858" s="440"/>
      <c r="DB1858" s="436"/>
      <c r="DC1858" s="120"/>
      <c r="DD1858" s="120"/>
      <c r="DE1858" s="467"/>
      <c r="DF1858" s="440"/>
      <c r="EB1858" s="436"/>
      <c r="EC1858" s="120"/>
      <c r="ED1858" s="120"/>
      <c r="EE1858" s="467"/>
      <c r="EF1858" s="440"/>
    </row>
    <row r="1859" spans="54:136">
      <c r="BB1859" s="436"/>
      <c r="BC1859" s="120"/>
      <c r="BD1859" s="120"/>
      <c r="BE1859" s="467"/>
      <c r="BF1859" s="440"/>
      <c r="CB1859" s="436"/>
      <c r="CC1859" s="120"/>
      <c r="CD1859" s="120"/>
      <c r="CE1859" s="467"/>
      <c r="CF1859" s="440"/>
      <c r="DB1859" s="436"/>
      <c r="DC1859" s="120"/>
      <c r="DD1859" s="120"/>
      <c r="DE1859" s="467"/>
      <c r="DF1859" s="440"/>
      <c r="EB1859" s="436"/>
      <c r="EC1859" s="120"/>
      <c r="ED1859" s="120"/>
      <c r="EE1859" s="467"/>
      <c r="EF1859" s="440"/>
    </row>
    <row r="1860" spans="54:136">
      <c r="BB1860" s="436"/>
      <c r="BC1860" s="120"/>
      <c r="BD1860" s="120"/>
      <c r="BE1860" s="467"/>
      <c r="BF1860" s="440"/>
      <c r="CB1860" s="436"/>
      <c r="CC1860" s="120"/>
      <c r="CD1860" s="120"/>
      <c r="CE1860" s="467"/>
      <c r="CF1860" s="440"/>
      <c r="DB1860" s="436"/>
      <c r="DC1860" s="120"/>
      <c r="DD1860" s="120"/>
      <c r="DE1860" s="467"/>
      <c r="DF1860" s="440"/>
      <c r="EB1860" s="436"/>
      <c r="EC1860" s="120"/>
      <c r="ED1860" s="120"/>
      <c r="EE1860" s="467"/>
      <c r="EF1860" s="440"/>
    </row>
    <row r="1861" spans="54:136">
      <c r="BB1861" s="436"/>
      <c r="BC1861" s="120"/>
      <c r="BD1861" s="120"/>
      <c r="BE1861" s="467"/>
      <c r="BF1861" s="440"/>
      <c r="CB1861" s="436"/>
      <c r="CC1861" s="120"/>
      <c r="CD1861" s="120"/>
      <c r="CE1861" s="467"/>
      <c r="CF1861" s="440"/>
      <c r="DB1861" s="436"/>
      <c r="DC1861" s="120"/>
      <c r="DD1861" s="120"/>
      <c r="DE1861" s="467"/>
      <c r="DF1861" s="440"/>
      <c r="EB1861" s="436"/>
      <c r="EC1861" s="120"/>
      <c r="ED1861" s="120"/>
      <c r="EE1861" s="467"/>
      <c r="EF1861" s="440"/>
    </row>
    <row r="1862" spans="54:136">
      <c r="BB1862" s="436"/>
      <c r="BC1862" s="120"/>
      <c r="BD1862" s="120"/>
      <c r="BE1862" s="467"/>
      <c r="BF1862" s="440"/>
      <c r="CB1862" s="436"/>
      <c r="CC1862" s="120"/>
      <c r="CD1862" s="120"/>
      <c r="CE1862" s="467"/>
      <c r="CF1862" s="440"/>
      <c r="DB1862" s="436"/>
      <c r="DC1862" s="120"/>
      <c r="DD1862" s="120"/>
      <c r="DE1862" s="467"/>
      <c r="DF1862" s="440"/>
      <c r="EB1862" s="436"/>
      <c r="EC1862" s="120"/>
      <c r="ED1862" s="120"/>
      <c r="EE1862" s="467"/>
      <c r="EF1862" s="440"/>
    </row>
    <row r="1863" spans="54:136">
      <c r="BB1863" s="436"/>
      <c r="BC1863" s="120"/>
      <c r="BD1863" s="120"/>
      <c r="BE1863" s="467"/>
      <c r="BF1863" s="440"/>
      <c r="CB1863" s="436"/>
      <c r="CC1863" s="120"/>
      <c r="CD1863" s="120"/>
      <c r="CE1863" s="467"/>
      <c r="CF1863" s="440"/>
      <c r="DB1863" s="436"/>
      <c r="DC1863" s="120"/>
      <c r="DD1863" s="120"/>
      <c r="DE1863" s="467"/>
      <c r="DF1863" s="440"/>
      <c r="EB1863" s="436"/>
      <c r="EC1863" s="120"/>
      <c r="ED1863" s="120"/>
      <c r="EE1863" s="467"/>
      <c r="EF1863" s="440"/>
    </row>
    <row r="1864" spans="54:136">
      <c r="BB1864" s="436"/>
      <c r="BC1864" s="120"/>
      <c r="BD1864" s="120"/>
      <c r="BE1864" s="467"/>
      <c r="BF1864" s="440"/>
      <c r="CB1864" s="436"/>
      <c r="CC1864" s="120"/>
      <c r="CD1864" s="120"/>
      <c r="CE1864" s="467"/>
      <c r="CF1864" s="440"/>
      <c r="DB1864" s="436"/>
      <c r="DC1864" s="120"/>
      <c r="DD1864" s="120"/>
      <c r="DE1864" s="467"/>
      <c r="DF1864" s="440"/>
      <c r="EB1864" s="436"/>
      <c r="EC1864" s="120"/>
      <c r="ED1864" s="120"/>
      <c r="EE1864" s="467"/>
      <c r="EF1864" s="440"/>
    </row>
    <row r="1865" spans="54:136">
      <c r="BB1865" s="436"/>
      <c r="BC1865" s="120"/>
      <c r="BD1865" s="120"/>
      <c r="BE1865" s="467"/>
      <c r="BF1865" s="440"/>
      <c r="CB1865" s="436"/>
      <c r="CC1865" s="120"/>
      <c r="CD1865" s="120"/>
      <c r="CE1865" s="467"/>
      <c r="CF1865" s="440"/>
      <c r="DB1865" s="436"/>
      <c r="DC1865" s="120"/>
      <c r="DD1865" s="120"/>
      <c r="DE1865" s="467"/>
      <c r="DF1865" s="440"/>
      <c r="EB1865" s="436"/>
      <c r="EC1865" s="120"/>
      <c r="ED1865" s="120"/>
      <c r="EE1865" s="467"/>
      <c r="EF1865" s="440"/>
    </row>
    <row r="1866" spans="54:136">
      <c r="BB1866" s="436"/>
      <c r="BC1866" s="120"/>
      <c r="BD1866" s="120"/>
      <c r="BE1866" s="467"/>
      <c r="BF1866" s="440"/>
      <c r="CB1866" s="436"/>
      <c r="CC1866" s="120"/>
      <c r="CD1866" s="120"/>
      <c r="CE1866" s="467"/>
      <c r="CF1866" s="440"/>
      <c r="DB1866" s="436"/>
      <c r="DC1866" s="120"/>
      <c r="DD1866" s="120"/>
      <c r="DE1866" s="467"/>
      <c r="DF1866" s="440"/>
      <c r="EB1866" s="436"/>
      <c r="EC1866" s="120"/>
      <c r="ED1866" s="120"/>
      <c r="EE1866" s="467"/>
      <c r="EF1866" s="440"/>
    </row>
    <row r="1867" spans="54:136">
      <c r="BB1867" s="456"/>
      <c r="BC1867" s="457"/>
      <c r="BD1867" s="457"/>
      <c r="BE1867" s="477"/>
      <c r="BF1867" s="458"/>
      <c r="CB1867" s="456"/>
      <c r="CC1867" s="457"/>
      <c r="CD1867" s="457"/>
      <c r="CE1867" s="477"/>
      <c r="CF1867" s="458"/>
      <c r="DB1867" s="456"/>
      <c r="DC1867" s="457"/>
      <c r="DD1867" s="457"/>
      <c r="DE1867" s="477"/>
      <c r="DF1867" s="458"/>
      <c r="EB1867" s="456"/>
      <c r="EC1867" s="457"/>
      <c r="ED1867" s="457"/>
      <c r="EE1867" s="477"/>
      <c r="EF1867" s="458"/>
    </row>
    <row r="1868" spans="54:136">
      <c r="BB1868" s="456"/>
      <c r="BC1868" s="457"/>
      <c r="BD1868" s="457"/>
      <c r="BE1868" s="457"/>
      <c r="BF1868" s="458"/>
      <c r="CB1868" s="456"/>
      <c r="CC1868" s="457"/>
      <c r="CD1868" s="457"/>
      <c r="CE1868" s="457"/>
      <c r="CF1868" s="458"/>
      <c r="DB1868" s="456"/>
      <c r="DC1868" s="457"/>
      <c r="DD1868" s="457"/>
      <c r="DE1868" s="457"/>
      <c r="DF1868" s="458"/>
      <c r="EB1868" s="456"/>
      <c r="EC1868" s="457"/>
      <c r="ED1868" s="457"/>
      <c r="EE1868" s="457"/>
      <c r="EF1868" s="458"/>
    </row>
    <row r="1869" spans="54:136">
      <c r="BB1869" s="449" t="s">
        <v>475</v>
      </c>
      <c r="BC1869" s="120"/>
      <c r="BD1869" s="120"/>
      <c r="BE1869" s="120"/>
      <c r="BF1869" s="440"/>
      <c r="CB1869" s="449" t="s">
        <v>475</v>
      </c>
      <c r="CC1869" s="120"/>
      <c r="CD1869" s="120"/>
      <c r="CE1869" s="120"/>
      <c r="CF1869" s="440"/>
      <c r="DB1869" s="449" t="s">
        <v>475</v>
      </c>
      <c r="DC1869" s="120"/>
      <c r="DD1869" s="120"/>
      <c r="DE1869" s="120"/>
      <c r="DF1869" s="440"/>
      <c r="EB1869" s="449" t="s">
        <v>475</v>
      </c>
      <c r="EC1869" s="120"/>
      <c r="ED1869" s="120"/>
      <c r="EE1869" s="120"/>
      <c r="EF1869" s="440"/>
    </row>
    <row r="1870" spans="54:136">
      <c r="BB1870" s="436" t="s">
        <v>509</v>
      </c>
      <c r="BC1870" s="120"/>
      <c r="BD1870" s="120"/>
      <c r="BE1870" s="120"/>
      <c r="BF1870" s="440"/>
      <c r="CB1870" s="436" t="s">
        <v>509</v>
      </c>
      <c r="CC1870" s="120"/>
      <c r="CD1870" s="120"/>
      <c r="CE1870" s="120"/>
      <c r="CF1870" s="440"/>
      <c r="DB1870" s="436" t="s">
        <v>509</v>
      </c>
      <c r="DC1870" s="120"/>
      <c r="DD1870" s="120"/>
      <c r="DE1870" s="120"/>
      <c r="DF1870" s="440"/>
      <c r="EB1870" s="436" t="s">
        <v>509</v>
      </c>
      <c r="EC1870" s="120"/>
      <c r="ED1870" s="120"/>
      <c r="EE1870" s="120"/>
      <c r="EF1870" s="440"/>
    </row>
    <row r="1871" spans="54:136">
      <c r="BB1871" s="436" t="s">
        <v>510</v>
      </c>
      <c r="BC1871" s="120"/>
      <c r="BD1871" s="120"/>
      <c r="BE1871" s="120"/>
      <c r="BF1871" s="440"/>
      <c r="CB1871" s="436" t="s">
        <v>510</v>
      </c>
      <c r="CC1871" s="120"/>
      <c r="CD1871" s="120"/>
      <c r="CE1871" s="120"/>
      <c r="CF1871" s="440"/>
      <c r="DB1871" s="436" t="s">
        <v>510</v>
      </c>
      <c r="DC1871" s="120"/>
      <c r="DD1871" s="120"/>
      <c r="DE1871" s="120"/>
      <c r="DF1871" s="440"/>
      <c r="EB1871" s="436" t="s">
        <v>510</v>
      </c>
      <c r="EC1871" s="120"/>
      <c r="ED1871" s="120"/>
      <c r="EE1871" s="120"/>
      <c r="EF1871" s="440"/>
    </row>
    <row r="1872" spans="54:136">
      <c r="BB1872" s="436"/>
      <c r="BC1872" s="120"/>
      <c r="BD1872" s="120"/>
      <c r="BE1872" s="120"/>
      <c r="BF1872" s="440"/>
      <c r="CB1872" s="436"/>
      <c r="CC1872" s="120"/>
      <c r="CD1872" s="120"/>
      <c r="CE1872" s="120"/>
      <c r="CF1872" s="440"/>
      <c r="DB1872" s="436"/>
      <c r="DC1872" s="120"/>
      <c r="DD1872" s="120"/>
      <c r="DE1872" s="120"/>
      <c r="DF1872" s="440"/>
      <c r="EB1872" s="436"/>
      <c r="EC1872" s="120"/>
      <c r="ED1872" s="120"/>
      <c r="EE1872" s="120"/>
      <c r="EF1872" s="440"/>
    </row>
    <row r="1873" spans="54:136">
      <c r="BB1873" s="436"/>
      <c r="BC1873" s="120"/>
      <c r="BD1873" s="120"/>
      <c r="BE1873" s="120"/>
      <c r="BF1873" s="440"/>
      <c r="CB1873" s="436"/>
      <c r="CC1873" s="120"/>
      <c r="CD1873" s="120"/>
      <c r="CE1873" s="120"/>
      <c r="CF1873" s="440"/>
      <c r="DB1873" s="436"/>
      <c r="DC1873" s="120"/>
      <c r="DD1873" s="120"/>
      <c r="DE1873" s="120"/>
      <c r="DF1873" s="440"/>
      <c r="EB1873" s="436"/>
      <c r="EC1873" s="120"/>
      <c r="ED1873" s="120"/>
      <c r="EE1873" s="120"/>
      <c r="EF1873" s="440"/>
    </row>
    <row r="1874" spans="54:136">
      <c r="BB1874" s="436"/>
      <c r="BC1874" s="120"/>
      <c r="BD1874" s="120"/>
      <c r="BE1874" s="120"/>
      <c r="BF1874" s="440"/>
      <c r="CB1874" s="436"/>
      <c r="CC1874" s="120"/>
      <c r="CD1874" s="120"/>
      <c r="CE1874" s="120"/>
      <c r="CF1874" s="440"/>
      <c r="DB1874" s="436"/>
      <c r="DC1874" s="120"/>
      <c r="DD1874" s="120"/>
      <c r="DE1874" s="120"/>
      <c r="DF1874" s="440"/>
      <c r="EB1874" s="436"/>
      <c r="EC1874" s="120"/>
      <c r="ED1874" s="120"/>
      <c r="EE1874" s="120"/>
      <c r="EF1874" s="440"/>
    </row>
    <row r="1875" spans="54:136">
      <c r="BB1875" s="436"/>
      <c r="BC1875" s="120"/>
      <c r="BD1875" s="120"/>
      <c r="BE1875" s="120"/>
      <c r="BF1875" s="440"/>
      <c r="CB1875" s="436"/>
      <c r="CC1875" s="120"/>
      <c r="CD1875" s="120"/>
      <c r="CE1875" s="120"/>
      <c r="CF1875" s="440"/>
      <c r="DB1875" s="436"/>
      <c r="DC1875" s="120"/>
      <c r="DD1875" s="120"/>
      <c r="DE1875" s="120"/>
      <c r="DF1875" s="440"/>
      <c r="EB1875" s="436"/>
      <c r="EC1875" s="120"/>
      <c r="ED1875" s="120"/>
      <c r="EE1875" s="120"/>
      <c r="EF1875" s="440"/>
    </row>
    <row r="1876" spans="54:136">
      <c r="BB1876" s="436" t="s">
        <v>511</v>
      </c>
      <c r="BC1876" s="120">
        <v>0</v>
      </c>
      <c r="BD1876" s="120" t="s">
        <v>512</v>
      </c>
      <c r="BE1876" s="120"/>
      <c r="BF1876" s="440"/>
      <c r="CB1876" s="436" t="s">
        <v>511</v>
      </c>
      <c r="CC1876" s="120">
        <v>0</v>
      </c>
      <c r="CD1876" s="120" t="s">
        <v>512</v>
      </c>
      <c r="CE1876" s="120"/>
      <c r="CF1876" s="440"/>
      <c r="DB1876" s="436" t="s">
        <v>511</v>
      </c>
      <c r="DC1876" s="120">
        <v>0</v>
      </c>
      <c r="DD1876" s="120" t="s">
        <v>512</v>
      </c>
      <c r="DE1876" s="120"/>
      <c r="DF1876" s="440"/>
      <c r="EB1876" s="436" t="s">
        <v>511</v>
      </c>
      <c r="EC1876" s="120">
        <v>0</v>
      </c>
      <c r="ED1876" s="120" t="s">
        <v>512</v>
      </c>
      <c r="EE1876" s="120"/>
      <c r="EF1876" s="440"/>
    </row>
    <row r="1877" spans="54:136">
      <c r="BB1877" s="436" t="s">
        <v>513</v>
      </c>
      <c r="BC1877" s="120">
        <v>0</v>
      </c>
      <c r="BD1877" s="120" t="s">
        <v>512</v>
      </c>
      <c r="BE1877" s="120"/>
      <c r="BF1877" s="440"/>
      <c r="CB1877" s="436" t="s">
        <v>513</v>
      </c>
      <c r="CC1877" s="120">
        <v>0</v>
      </c>
      <c r="CD1877" s="120" t="s">
        <v>512</v>
      </c>
      <c r="CE1877" s="120"/>
      <c r="CF1877" s="440"/>
      <c r="DB1877" s="436" t="s">
        <v>513</v>
      </c>
      <c r="DC1877" s="120">
        <v>0</v>
      </c>
      <c r="DD1877" s="120" t="s">
        <v>512</v>
      </c>
      <c r="DE1877" s="120"/>
      <c r="DF1877" s="440"/>
      <c r="EB1877" s="436" t="s">
        <v>513</v>
      </c>
      <c r="EC1877" s="120">
        <v>0</v>
      </c>
      <c r="ED1877" s="120" t="s">
        <v>512</v>
      </c>
      <c r="EE1877" s="120"/>
      <c r="EF1877" s="440"/>
    </row>
    <row r="1878" spans="54:136">
      <c r="BB1878" s="456"/>
      <c r="BC1878" s="457"/>
      <c r="BD1878" s="457"/>
      <c r="BE1878" s="457"/>
      <c r="BF1878" s="458"/>
      <c r="CB1878" s="456"/>
      <c r="CC1878" s="457"/>
      <c r="CD1878" s="457"/>
      <c r="CE1878" s="457"/>
      <c r="CF1878" s="458"/>
      <c r="DB1878" s="456"/>
      <c r="DC1878" s="457"/>
      <c r="DD1878" s="457"/>
      <c r="DE1878" s="457"/>
      <c r="DF1878" s="458"/>
      <c r="EB1878" s="456"/>
      <c r="EC1878" s="457"/>
      <c r="ED1878" s="457"/>
      <c r="EE1878" s="457"/>
      <c r="EF1878" s="458"/>
    </row>
    <row r="1879" spans="54:136">
      <c r="BB1879" s="449" t="s">
        <v>461</v>
      </c>
      <c r="BC1879" s="120"/>
      <c r="BD1879" s="120"/>
      <c r="BE1879" s="120"/>
      <c r="BF1879" s="440"/>
      <c r="CB1879" s="449" t="s">
        <v>461</v>
      </c>
      <c r="CC1879" s="120"/>
      <c r="CD1879" s="120"/>
      <c r="CE1879" s="120"/>
      <c r="CF1879" s="440"/>
      <c r="DB1879" s="449" t="s">
        <v>461</v>
      </c>
      <c r="DC1879" s="120"/>
      <c r="DD1879" s="120"/>
      <c r="DE1879" s="120"/>
      <c r="DF1879" s="440"/>
      <c r="EB1879" s="449" t="s">
        <v>461</v>
      </c>
      <c r="EC1879" s="120"/>
      <c r="ED1879" s="120"/>
      <c r="EE1879" s="120"/>
      <c r="EF1879" s="440"/>
    </row>
    <row r="1880" spans="54:136">
      <c r="BB1880" s="436" t="s">
        <v>514</v>
      </c>
      <c r="BC1880" s="120">
        <f>VLOOKUP(BB1808,'Unit Ops'!$B$140:$K$209,10,FALSE)</f>
        <v>0</v>
      </c>
      <c r="BD1880" s="120" t="s">
        <v>515</v>
      </c>
      <c r="BE1880" s="120"/>
      <c r="BF1880" s="440"/>
      <c r="CB1880" s="436" t="s">
        <v>514</v>
      </c>
      <c r="CC1880" s="120">
        <f>VLOOKUP(CB1808,'Unit Ops'!$B$140:$K$209,10,FALSE)</f>
        <v>0</v>
      </c>
      <c r="CD1880" s="120" t="s">
        <v>515</v>
      </c>
      <c r="CE1880" s="120"/>
      <c r="CF1880" s="440"/>
      <c r="DB1880" s="436" t="s">
        <v>514</v>
      </c>
      <c r="DC1880" s="120">
        <f>VLOOKUP(DB1808,'Unit Ops'!$B$140:$K$209,10,FALSE)</f>
        <v>0</v>
      </c>
      <c r="DD1880" s="120" t="s">
        <v>515</v>
      </c>
      <c r="DE1880" s="120"/>
      <c r="DF1880" s="440"/>
      <c r="EB1880" s="436" t="s">
        <v>514</v>
      </c>
      <c r="EC1880" s="120">
        <f>VLOOKUP(EB1808,'Unit Ops'!$B$140:$K$209,10,FALSE)</f>
        <v>0</v>
      </c>
      <c r="ED1880" s="120" t="s">
        <v>515</v>
      </c>
      <c r="EE1880" s="120"/>
      <c r="EF1880" s="440"/>
    </row>
    <row r="1881" spans="54:136">
      <c r="BB1881" s="436" t="s">
        <v>516</v>
      </c>
      <c r="BC1881" s="120">
        <v>0</v>
      </c>
      <c r="BD1881" s="120" t="s">
        <v>515</v>
      </c>
      <c r="BE1881" s="120"/>
      <c r="BF1881" s="440"/>
      <c r="CB1881" s="436" t="s">
        <v>516</v>
      </c>
      <c r="CC1881" s="120">
        <v>0</v>
      </c>
      <c r="CD1881" s="120" t="s">
        <v>515</v>
      </c>
      <c r="CE1881" s="120"/>
      <c r="CF1881" s="440"/>
      <c r="DB1881" s="436" t="s">
        <v>516</v>
      </c>
      <c r="DC1881" s="120">
        <v>0</v>
      </c>
      <c r="DD1881" s="120" t="s">
        <v>515</v>
      </c>
      <c r="DE1881" s="120"/>
      <c r="DF1881" s="440"/>
      <c r="EB1881" s="436" t="s">
        <v>516</v>
      </c>
      <c r="EC1881" s="120">
        <v>0</v>
      </c>
      <c r="ED1881" s="120" t="s">
        <v>515</v>
      </c>
      <c r="EE1881" s="120"/>
      <c r="EF1881" s="440"/>
    </row>
    <row r="1882" spans="54:136">
      <c r="BB1882" s="436"/>
      <c r="BC1882" s="120"/>
      <c r="BD1882" s="120"/>
      <c r="BE1882" s="120"/>
      <c r="BF1882" s="440"/>
      <c r="CB1882" s="436"/>
      <c r="CC1882" s="120"/>
      <c r="CD1882" s="120"/>
      <c r="CE1882" s="120"/>
      <c r="CF1882" s="440"/>
      <c r="DB1882" s="436"/>
      <c r="DC1882" s="120"/>
      <c r="DD1882" s="120"/>
      <c r="DE1882" s="120"/>
      <c r="DF1882" s="440"/>
      <c r="EB1882" s="436"/>
      <c r="EC1882" s="120"/>
      <c r="ED1882" s="120"/>
      <c r="EE1882" s="120"/>
      <c r="EF1882" s="440"/>
    </row>
    <row r="1883" spans="54:136">
      <c r="BB1883" s="436"/>
      <c r="BC1883" s="120"/>
      <c r="BD1883" s="120"/>
      <c r="BE1883" s="120"/>
      <c r="BF1883" s="440"/>
      <c r="CB1883" s="436"/>
      <c r="CC1883" s="120"/>
      <c r="CD1883" s="120"/>
      <c r="CE1883" s="120"/>
      <c r="CF1883" s="440"/>
      <c r="DB1883" s="436"/>
      <c r="DC1883" s="120"/>
      <c r="DD1883" s="120"/>
      <c r="DE1883" s="120"/>
      <c r="DF1883" s="440"/>
      <c r="EB1883" s="436"/>
      <c r="EC1883" s="120"/>
      <c r="ED1883" s="120"/>
      <c r="EE1883" s="120"/>
      <c r="EF1883" s="440"/>
    </row>
    <row r="1884" spans="54:136">
      <c r="BB1884" s="436"/>
      <c r="BC1884" s="120"/>
      <c r="BD1884" s="120"/>
      <c r="BE1884" s="120"/>
      <c r="BF1884" s="440"/>
      <c r="CB1884" s="436"/>
      <c r="CC1884" s="120"/>
      <c r="CD1884" s="120"/>
      <c r="CE1884" s="120"/>
      <c r="CF1884" s="440"/>
      <c r="DB1884" s="436"/>
      <c r="DC1884" s="120"/>
      <c r="DD1884" s="120"/>
      <c r="DE1884" s="120"/>
      <c r="DF1884" s="440"/>
      <c r="EB1884" s="436"/>
      <c r="EC1884" s="120"/>
      <c r="ED1884" s="120"/>
      <c r="EE1884" s="120"/>
      <c r="EF1884" s="440"/>
    </row>
    <row r="1885" spans="54:136">
      <c r="BB1885" s="436"/>
      <c r="BC1885" s="120"/>
      <c r="BD1885" s="120"/>
      <c r="BE1885" s="120"/>
      <c r="BF1885" s="440"/>
      <c r="CB1885" s="436"/>
      <c r="CC1885" s="120"/>
      <c r="CD1885" s="120"/>
      <c r="CE1885" s="120"/>
      <c r="CF1885" s="440"/>
      <c r="DB1885" s="436"/>
      <c r="DC1885" s="120"/>
      <c r="DD1885" s="120"/>
      <c r="DE1885" s="120"/>
      <c r="DF1885" s="440"/>
      <c r="EB1885" s="436"/>
      <c r="EC1885" s="120"/>
      <c r="ED1885" s="120"/>
      <c r="EE1885" s="120"/>
      <c r="EF1885" s="440"/>
    </row>
    <row r="1886" spans="54:136">
      <c r="BB1886" s="436"/>
      <c r="BC1886" s="120"/>
      <c r="BD1886" s="120"/>
      <c r="BE1886" s="120"/>
      <c r="BF1886" s="440"/>
      <c r="CB1886" s="436"/>
      <c r="CC1886" s="120"/>
      <c r="CD1886" s="120"/>
      <c r="CE1886" s="120"/>
      <c r="CF1886" s="440"/>
      <c r="DB1886" s="436"/>
      <c r="DC1886" s="120"/>
      <c r="DD1886" s="120"/>
      <c r="DE1886" s="120"/>
      <c r="DF1886" s="440"/>
      <c r="EB1886" s="436"/>
      <c r="EC1886" s="120"/>
      <c r="ED1886" s="120"/>
      <c r="EE1886" s="120"/>
      <c r="EF1886" s="440"/>
    </row>
    <row r="1887" spans="54:136">
      <c r="BB1887" s="436" t="s">
        <v>464</v>
      </c>
      <c r="BC1887" s="120"/>
      <c r="BD1887" s="120"/>
      <c r="BE1887" s="120"/>
      <c r="BF1887" s="440"/>
      <c r="CB1887" s="436" t="s">
        <v>464</v>
      </c>
      <c r="CC1887" s="120"/>
      <c r="CD1887" s="120"/>
      <c r="CE1887" s="120"/>
      <c r="CF1887" s="440"/>
      <c r="DB1887" s="436" t="s">
        <v>464</v>
      </c>
      <c r="DC1887" s="120"/>
      <c r="DD1887" s="120"/>
      <c r="DE1887" s="120"/>
      <c r="DF1887" s="440"/>
      <c r="EB1887" s="436" t="s">
        <v>464</v>
      </c>
      <c r="EC1887" s="120"/>
      <c r="ED1887" s="120"/>
      <c r="EE1887" s="120"/>
      <c r="EF1887" s="440"/>
    </row>
    <row r="1888" spans="54:136">
      <c r="BB1888" s="456"/>
      <c r="BC1888" s="457"/>
      <c r="BD1888" s="457"/>
      <c r="BE1888" s="457"/>
      <c r="BF1888" s="458"/>
      <c r="CB1888" s="456"/>
      <c r="CC1888" s="457"/>
      <c r="CD1888" s="457"/>
      <c r="CE1888" s="457"/>
      <c r="CF1888" s="458"/>
      <c r="DB1888" s="456"/>
      <c r="DC1888" s="457"/>
      <c r="DD1888" s="457"/>
      <c r="DE1888" s="457"/>
      <c r="DF1888" s="458"/>
      <c r="EB1888" s="456"/>
      <c r="EC1888" s="457"/>
      <c r="ED1888" s="457"/>
      <c r="EE1888" s="457"/>
      <c r="EF1888" s="458"/>
    </row>
    <row r="1889" spans="54:136">
      <c r="BB1889" s="449" t="s">
        <v>472</v>
      </c>
      <c r="BC1889" s="467" t="s">
        <v>517</v>
      </c>
      <c r="BD1889" s="120" t="s">
        <v>518</v>
      </c>
      <c r="BE1889" s="467" t="s">
        <v>519</v>
      </c>
      <c r="BF1889" s="440" t="s">
        <v>518</v>
      </c>
      <c r="CB1889" s="449" t="s">
        <v>472</v>
      </c>
      <c r="CC1889" s="467" t="s">
        <v>517</v>
      </c>
      <c r="CD1889" s="120" t="s">
        <v>518</v>
      </c>
      <c r="CE1889" s="467" t="s">
        <v>519</v>
      </c>
      <c r="CF1889" s="440" t="s">
        <v>518</v>
      </c>
      <c r="DB1889" s="449" t="s">
        <v>472</v>
      </c>
      <c r="DC1889" s="467" t="s">
        <v>517</v>
      </c>
      <c r="DD1889" s="120" t="s">
        <v>518</v>
      </c>
      <c r="DE1889" s="467" t="s">
        <v>519</v>
      </c>
      <c r="DF1889" s="440" t="s">
        <v>518</v>
      </c>
      <c r="EB1889" s="449" t="s">
        <v>472</v>
      </c>
      <c r="EC1889" s="467" t="s">
        <v>517</v>
      </c>
      <c r="ED1889" s="120" t="s">
        <v>518</v>
      </c>
      <c r="EE1889" s="467" t="s">
        <v>519</v>
      </c>
      <c r="EF1889" s="440" t="s">
        <v>518</v>
      </c>
    </row>
    <row r="1890" spans="54:136">
      <c r="BB1890" s="436" t="s">
        <v>520</v>
      </c>
      <c r="BC1890" s="120"/>
      <c r="BD1890" s="120"/>
      <c r="BE1890" s="472">
        <f>((VLOOKUP(BB1808,'Unit Ops'!$B$140:$J$209,3,FALSE)*BC1810^VLOOKUP(BB1808,'Unit Ops'!$B$140:$J$209,4,FALSE)+VLOOKUP(BB1808,'Unit Ops'!$B$140:$J$209,5,FALSE))*VLOOKUP(BB1808,'Unit Ops'!$B$140:$J$209,6,FALSE))*IF(VLOOKUP(BB1808,'Unit Ops'!$B$140:$L$209,11,FALSE)=1,1,2)</f>
        <v>0</v>
      </c>
      <c r="BF1890" s="490">
        <f>$C$7</f>
        <v>2022</v>
      </c>
      <c r="CB1890" s="436" t="s">
        <v>520</v>
      </c>
      <c r="CC1890" s="120"/>
      <c r="CD1890" s="120"/>
      <c r="CE1890" s="472">
        <f>((VLOOKUP(CB1808,'Unit Ops'!$B$140:$J$209,3,FALSE)*CC1810^VLOOKUP(CB1808,'Unit Ops'!$B$140:$J$209,4,FALSE)+VLOOKUP(CB1808,'Unit Ops'!$B$140:$J$209,5,FALSE))*VLOOKUP(CB1808,'Unit Ops'!$B$140:$J$209,6,FALSE))*IF(VLOOKUP(CB1808,'Unit Ops'!$B$140:$L$209,11,FALSE)=1,1,2)</f>
        <v>0</v>
      </c>
      <c r="CF1890" s="490">
        <f>$C$7</f>
        <v>2022</v>
      </c>
      <c r="DB1890" s="436" t="s">
        <v>520</v>
      </c>
      <c r="DC1890" s="120"/>
      <c r="DD1890" s="120"/>
      <c r="DE1890" s="472">
        <f>((VLOOKUP(DB1808,'Unit Ops'!$B$140:$J$209,3,FALSE)*DC1810^VLOOKUP(DB1808,'Unit Ops'!$B$140:$J$209,4,FALSE)+VLOOKUP(DB1808,'Unit Ops'!$B$140:$J$209,5,FALSE))*VLOOKUP(DB1808,'Unit Ops'!$B$140:$J$209,6,FALSE))*IF(VLOOKUP(DB1808,'Unit Ops'!$B$140:$L$209,11,FALSE)=1,1,2)</f>
        <v>0</v>
      </c>
      <c r="DF1890" s="490">
        <f>$C$7</f>
        <v>2022</v>
      </c>
      <c r="EB1890" s="436" t="s">
        <v>520</v>
      </c>
      <c r="EC1890" s="120"/>
      <c r="ED1890" s="120"/>
      <c r="EE1890" s="472">
        <f>((VLOOKUP(EB1808,'Unit Ops'!$B$140:$J$209,3,FALSE)*EC1810^VLOOKUP(EB1808,'Unit Ops'!$B$140:$J$209,4,FALSE)+VLOOKUP(EB1808,'Unit Ops'!$B$140:$J$209,5,FALSE))*VLOOKUP(EB1808,'Unit Ops'!$B$140:$J$209,6,FALSE))*IF(VLOOKUP(EB1808,'Unit Ops'!$B$140:$L$209,11,FALSE)=1,1,2)</f>
        <v>0</v>
      </c>
      <c r="EF1890" s="490">
        <f>$C$7</f>
        <v>2022</v>
      </c>
    </row>
    <row r="1891" spans="54:136">
      <c r="BB1891" s="436"/>
      <c r="BC1891" s="120"/>
      <c r="BD1891" s="120"/>
      <c r="BE1891" s="120"/>
      <c r="BF1891" s="440"/>
      <c r="CB1891" s="436"/>
      <c r="CC1891" s="120"/>
      <c r="CD1891" s="120"/>
      <c r="CE1891" s="120"/>
      <c r="CF1891" s="440"/>
      <c r="DB1891" s="436"/>
      <c r="DC1891" s="120"/>
      <c r="DD1891" s="120"/>
      <c r="DE1891" s="120"/>
      <c r="DF1891" s="440"/>
      <c r="EB1891" s="436"/>
      <c r="EC1891" s="120"/>
      <c r="ED1891" s="120"/>
      <c r="EE1891" s="120"/>
      <c r="EF1891" s="440"/>
    </row>
    <row r="1892" spans="54:136">
      <c r="BB1892" s="436"/>
      <c r="BC1892" s="120"/>
      <c r="BD1892" s="120"/>
      <c r="BE1892" s="120"/>
      <c r="BF1892" s="440"/>
      <c r="CB1892" s="436"/>
      <c r="CC1892" s="120"/>
      <c r="CD1892" s="120"/>
      <c r="CE1892" s="120"/>
      <c r="CF1892" s="440"/>
      <c r="DB1892" s="436"/>
      <c r="DC1892" s="120"/>
      <c r="DD1892" s="120"/>
      <c r="DE1892" s="120"/>
      <c r="DF1892" s="440"/>
      <c r="EB1892" s="436"/>
      <c r="EC1892" s="120"/>
      <c r="ED1892" s="120"/>
      <c r="EE1892" s="120"/>
      <c r="EF1892" s="440"/>
    </row>
    <row r="1893" spans="54:136">
      <c r="BB1893" s="436"/>
      <c r="BC1893" s="120"/>
      <c r="BD1893" s="120"/>
      <c r="BE1893" s="120"/>
      <c r="BF1893" s="440"/>
      <c r="CB1893" s="436"/>
      <c r="CC1893" s="120"/>
      <c r="CD1893" s="120"/>
      <c r="CE1893" s="120"/>
      <c r="CF1893" s="440"/>
      <c r="DB1893" s="436"/>
      <c r="DC1893" s="120"/>
      <c r="DD1893" s="120"/>
      <c r="DE1893" s="120"/>
      <c r="DF1893" s="440"/>
      <c r="EB1893" s="436"/>
      <c r="EC1893" s="120"/>
      <c r="ED1893" s="120"/>
      <c r="EE1893" s="120"/>
      <c r="EF1893" s="440"/>
    </row>
    <row r="1894" spans="54:136">
      <c r="BB1894" s="436"/>
      <c r="BC1894" s="120"/>
      <c r="BD1894" s="120"/>
      <c r="BE1894" s="120"/>
      <c r="BF1894" s="440"/>
      <c r="CB1894" s="436"/>
      <c r="CC1894" s="120"/>
      <c r="CD1894" s="120"/>
      <c r="CE1894" s="120"/>
      <c r="CF1894" s="440"/>
      <c r="DB1894" s="436"/>
      <c r="DC1894" s="120"/>
      <c r="DD1894" s="120"/>
      <c r="DE1894" s="120"/>
      <c r="DF1894" s="440"/>
      <c r="EB1894" s="436"/>
      <c r="EC1894" s="120"/>
      <c r="ED1894" s="120"/>
      <c r="EE1894" s="120"/>
      <c r="EF1894" s="440"/>
    </row>
    <row r="1895" spans="54:136">
      <c r="BB1895" s="436"/>
      <c r="BC1895" s="120"/>
      <c r="BD1895" s="120"/>
      <c r="BE1895" s="120"/>
      <c r="BF1895" s="440"/>
      <c r="CB1895" s="436"/>
      <c r="CC1895" s="120"/>
      <c r="CD1895" s="120"/>
      <c r="CE1895" s="120"/>
      <c r="CF1895" s="440"/>
      <c r="DB1895" s="436"/>
      <c r="DC1895" s="120"/>
      <c r="DD1895" s="120"/>
      <c r="DE1895" s="120"/>
      <c r="DF1895" s="440"/>
      <c r="EB1895" s="436"/>
      <c r="EC1895" s="120"/>
      <c r="ED1895" s="120"/>
      <c r="EE1895" s="120"/>
      <c r="EF1895" s="440"/>
    </row>
    <row r="1896" spans="54:136">
      <c r="BB1896" s="436"/>
      <c r="BC1896" s="120"/>
      <c r="BD1896" s="120"/>
      <c r="BE1896" s="120"/>
      <c r="BF1896" s="440"/>
      <c r="CB1896" s="436"/>
      <c r="CC1896" s="120"/>
      <c r="CD1896" s="120"/>
      <c r="CE1896" s="120"/>
      <c r="CF1896" s="440"/>
      <c r="DB1896" s="436"/>
      <c r="DC1896" s="120"/>
      <c r="DD1896" s="120"/>
      <c r="DE1896" s="120"/>
      <c r="DF1896" s="440"/>
      <c r="EB1896" s="436"/>
      <c r="EC1896" s="120"/>
      <c r="ED1896" s="120"/>
      <c r="EE1896" s="120"/>
      <c r="EF1896" s="440"/>
    </row>
    <row r="1897" spans="54:136">
      <c r="BB1897" s="436"/>
      <c r="BC1897" s="120"/>
      <c r="BD1897" s="120"/>
      <c r="BE1897" s="120"/>
      <c r="BF1897" s="440"/>
      <c r="CB1897" s="436"/>
      <c r="CC1897" s="120"/>
      <c r="CD1897" s="120"/>
      <c r="CE1897" s="120"/>
      <c r="CF1897" s="440"/>
      <c r="DB1897" s="436"/>
      <c r="DC1897" s="120"/>
      <c r="DD1897" s="120"/>
      <c r="DE1897" s="120"/>
      <c r="DF1897" s="440"/>
      <c r="EB1897" s="436"/>
      <c r="EC1897" s="120"/>
      <c r="ED1897" s="120"/>
      <c r="EE1897" s="120"/>
      <c r="EF1897" s="440"/>
    </row>
    <row r="1898" spans="54:136">
      <c r="BB1898" s="436"/>
      <c r="BC1898" s="120"/>
      <c r="BD1898" s="120"/>
      <c r="BE1898" s="120"/>
      <c r="BF1898" s="440"/>
      <c r="CB1898" s="436"/>
      <c r="CC1898" s="120"/>
      <c r="CD1898" s="120"/>
      <c r="CE1898" s="120"/>
      <c r="CF1898" s="440"/>
      <c r="DB1898" s="436"/>
      <c r="DC1898" s="120"/>
      <c r="DD1898" s="120"/>
      <c r="DE1898" s="120"/>
      <c r="DF1898" s="440"/>
      <c r="EB1898" s="436"/>
      <c r="EC1898" s="120"/>
      <c r="ED1898" s="120"/>
      <c r="EE1898" s="120"/>
      <c r="EF1898" s="440"/>
    </row>
    <row r="1899" spans="54:136">
      <c r="BB1899" s="436"/>
      <c r="BC1899" s="120"/>
      <c r="BD1899" s="120"/>
      <c r="BE1899" s="120"/>
      <c r="BF1899" s="440"/>
      <c r="CB1899" s="436"/>
      <c r="CC1899" s="120"/>
      <c r="CD1899" s="120"/>
      <c r="CE1899" s="120"/>
      <c r="CF1899" s="440"/>
      <c r="DB1899" s="436"/>
      <c r="DC1899" s="120"/>
      <c r="DD1899" s="120"/>
      <c r="DE1899" s="120"/>
      <c r="DF1899" s="440"/>
      <c r="EB1899" s="436"/>
      <c r="EC1899" s="120"/>
      <c r="ED1899" s="120"/>
      <c r="EE1899" s="120"/>
      <c r="EF1899" s="440"/>
    </row>
    <row r="1900" spans="54:136">
      <c r="BB1900" s="436"/>
      <c r="BC1900" s="120"/>
      <c r="BD1900" s="120"/>
      <c r="BE1900" s="120"/>
      <c r="BF1900" s="440"/>
      <c r="CB1900" s="436"/>
      <c r="CC1900" s="120"/>
      <c r="CD1900" s="120"/>
      <c r="CE1900" s="120"/>
      <c r="CF1900" s="440"/>
      <c r="DB1900" s="436"/>
      <c r="DC1900" s="120"/>
      <c r="DD1900" s="120"/>
      <c r="DE1900" s="120"/>
      <c r="DF1900" s="440"/>
      <c r="EB1900" s="436"/>
      <c r="EC1900" s="120"/>
      <c r="ED1900" s="120"/>
      <c r="EE1900" s="120"/>
      <c r="EF1900" s="440"/>
    </row>
    <row r="1901" spans="54:136">
      <c r="BB1901" s="436"/>
      <c r="BC1901" s="120"/>
      <c r="BD1901" s="120"/>
      <c r="BE1901" s="120"/>
      <c r="BF1901" s="440"/>
      <c r="CB1901" s="436"/>
      <c r="CC1901" s="120"/>
      <c r="CD1901" s="120"/>
      <c r="CE1901" s="120"/>
      <c r="CF1901" s="440"/>
      <c r="DB1901" s="436"/>
      <c r="DC1901" s="120"/>
      <c r="DD1901" s="120"/>
      <c r="DE1901" s="120"/>
      <c r="DF1901" s="440"/>
      <c r="EB1901" s="436"/>
      <c r="EC1901" s="120"/>
      <c r="ED1901" s="120"/>
      <c r="EE1901" s="120"/>
      <c r="EF1901" s="440"/>
    </row>
    <row r="1902" spans="54:136">
      <c r="BB1902" s="436"/>
      <c r="BC1902" s="120"/>
      <c r="BD1902" s="120"/>
      <c r="BE1902" s="120"/>
      <c r="BF1902" s="440"/>
      <c r="CB1902" s="436"/>
      <c r="CC1902" s="120"/>
      <c r="CD1902" s="120"/>
      <c r="CE1902" s="120"/>
      <c r="CF1902" s="440"/>
      <c r="DB1902" s="436"/>
      <c r="DC1902" s="120"/>
      <c r="DD1902" s="120"/>
      <c r="DE1902" s="120"/>
      <c r="DF1902" s="440"/>
      <c r="EB1902" s="436"/>
      <c r="EC1902" s="120"/>
      <c r="ED1902" s="120"/>
      <c r="EE1902" s="120"/>
      <c r="EF1902" s="440"/>
    </row>
    <row r="1903" spans="54:136">
      <c r="BB1903" s="436"/>
      <c r="BC1903" s="120"/>
      <c r="BD1903" s="120"/>
      <c r="BE1903" s="120"/>
      <c r="BF1903" s="440"/>
      <c r="CB1903" s="436"/>
      <c r="CC1903" s="120"/>
      <c r="CD1903" s="120"/>
      <c r="CE1903" s="120"/>
      <c r="CF1903" s="440"/>
      <c r="DB1903" s="436"/>
      <c r="DC1903" s="120"/>
      <c r="DD1903" s="120"/>
      <c r="DE1903" s="120"/>
      <c r="DF1903" s="440"/>
      <c r="EB1903" s="436"/>
      <c r="EC1903" s="120"/>
      <c r="ED1903" s="120"/>
      <c r="EE1903" s="120"/>
      <c r="EF1903" s="440"/>
    </row>
    <row r="1904" spans="54:136" ht="14.5" thickBot="1">
      <c r="BB1904" s="492"/>
      <c r="BC1904" s="493"/>
      <c r="BD1904" s="493"/>
      <c r="BE1904" s="493"/>
      <c r="BF1904" s="453"/>
      <c r="CB1904" s="492"/>
      <c r="CC1904" s="493"/>
      <c r="CD1904" s="493"/>
      <c r="CE1904" s="493"/>
      <c r="CF1904" s="453"/>
      <c r="DB1904" s="492"/>
      <c r="DC1904" s="493"/>
      <c r="DD1904" s="493"/>
      <c r="DE1904" s="493"/>
      <c r="DF1904" s="453"/>
      <c r="EB1904" s="492"/>
      <c r="EC1904" s="493"/>
      <c r="ED1904" s="493"/>
      <c r="EE1904" s="493"/>
      <c r="EF1904" s="453"/>
    </row>
    <row r="1907" spans="53:136" ht="14.5" thickBot="1"/>
    <row r="1908" spans="53:136">
      <c r="BA1908" s="114" t="s">
        <v>478</v>
      </c>
      <c r="BB1908" s="431" t="str">
        <f>BB68</f>
        <v>Select Equipment</v>
      </c>
      <c r="BC1908" s="432"/>
      <c r="BD1908" s="433"/>
      <c r="BE1908" s="434"/>
      <c r="BF1908" s="435"/>
      <c r="CA1908" s="114" t="s">
        <v>478</v>
      </c>
      <c r="CB1908" s="431" t="str">
        <f>CB68</f>
        <v>Select Equipment</v>
      </c>
      <c r="CC1908" s="432"/>
      <c r="CD1908" s="433"/>
      <c r="CE1908" s="434"/>
      <c r="CF1908" s="435"/>
      <c r="DA1908" s="114" t="s">
        <v>478</v>
      </c>
      <c r="DB1908" s="431" t="str">
        <f>DB68</f>
        <v>Select Equipment</v>
      </c>
      <c r="DC1908" s="432"/>
      <c r="DD1908" s="433"/>
      <c r="DE1908" s="434"/>
      <c r="DF1908" s="435"/>
      <c r="EA1908" s="114" t="s">
        <v>478</v>
      </c>
      <c r="EB1908" s="431" t="str">
        <f>EB70</f>
        <v>Select Equipment</v>
      </c>
      <c r="EC1908" s="432"/>
      <c r="ED1908" s="433"/>
      <c r="EE1908" s="434"/>
      <c r="EF1908" s="435"/>
    </row>
    <row r="1909" spans="53:136">
      <c r="BA1909" s="114" t="s">
        <v>5</v>
      </c>
      <c r="BB1909" s="436" t="s">
        <v>1</v>
      </c>
      <c r="BC1909" s="437">
        <f>BC$25/BC$22/BC$21*VLOOKUP(BB1908,'Unit Ops'!$B$140:$J$209,2,FALSE)</f>
        <v>0.92592592592592593</v>
      </c>
      <c r="BD1909" s="438" t="s">
        <v>586</v>
      </c>
      <c r="BE1909" s="1027">
        <f>BC1909*BC$310*BC$311</f>
        <v>10000</v>
      </c>
      <c r="BF1909" s="439" t="s">
        <v>585</v>
      </c>
      <c r="CA1909" s="114" t="s">
        <v>5</v>
      </c>
      <c r="CB1909" s="436" t="s">
        <v>1</v>
      </c>
      <c r="CC1909" s="437">
        <f>CC$25/CC$22/CC$21*VLOOKUP(CB1908,'Unit Ops'!$B$140:$J$209,2,FALSE)</f>
        <v>0.91324200913242004</v>
      </c>
      <c r="CD1909" s="438" t="s">
        <v>586</v>
      </c>
      <c r="CE1909" s="1027">
        <f>CC1909*CC$310*CC$311</f>
        <v>10000</v>
      </c>
      <c r="CF1909" s="439" t="s">
        <v>585</v>
      </c>
      <c r="DA1909" s="114" t="s">
        <v>5</v>
      </c>
      <c r="DB1909" s="436" t="s">
        <v>1</v>
      </c>
      <c r="DC1909" s="437">
        <f>DC$25/DC$22/DC$21*VLOOKUP(DB1908,'Unit Ops'!$B$140:$J$209,2,FALSE)</f>
        <v>0.92592592592592593</v>
      </c>
      <c r="DD1909" s="438" t="s">
        <v>586</v>
      </c>
      <c r="DE1909" s="1027">
        <f>DC1909*DC$310*DC$311</f>
        <v>10000</v>
      </c>
      <c r="DF1909" s="439" t="s">
        <v>585</v>
      </c>
      <c r="EA1909" s="114" t="s">
        <v>5</v>
      </c>
      <c r="EB1909" s="436" t="s">
        <v>1</v>
      </c>
      <c r="EC1909" s="437">
        <f>EC$26/EC$23/EC$22*VLOOKUP(EB1908,'Unit Ops'!$B$140:$J$209,2,FALSE)</f>
        <v>1.3020833333333333</v>
      </c>
      <c r="ED1909" s="438" t="s">
        <v>586</v>
      </c>
      <c r="EE1909" s="1027">
        <f>EC1909*EC$310*EC$311</f>
        <v>10000</v>
      </c>
      <c r="EF1909" s="439" t="s">
        <v>585</v>
      </c>
    </row>
    <row r="1910" spans="53:136">
      <c r="BA1910" s="114" t="str">
        <f>$BB$54</f>
        <v>Hopper</v>
      </c>
      <c r="BB1910" s="436" t="s">
        <v>505</v>
      </c>
      <c r="BC1910" s="437">
        <f>ROUNDUP(BC1909*IF(VLOOKUP(BB1908,'Unit Ops'!$B$140:$L$209,11,FALSE)=1,1.5,0.75),1)</f>
        <v>0.7</v>
      </c>
      <c r="BD1910" s="438" t="s">
        <v>586</v>
      </c>
      <c r="BE1910" s="120">
        <f>BC1910*BC$310*BC$311</f>
        <v>7560</v>
      </c>
      <c r="BF1910" s="439" t="s">
        <v>585</v>
      </c>
      <c r="CA1910" s="114" t="str">
        <f>$CB$54</f>
        <v>Conveyor</v>
      </c>
      <c r="CB1910" s="436" t="s">
        <v>505</v>
      </c>
      <c r="CC1910" s="437">
        <f>ROUNDUP(CC1909*IF(VLOOKUP(CB1908,'Unit Ops'!$B$140:$L$209,11,FALSE)=1,1.5,0.75),1)</f>
        <v>0.7</v>
      </c>
      <c r="CD1910" s="438" t="s">
        <v>586</v>
      </c>
      <c r="CE1910" s="120">
        <f>CC1910*CC$310*CC$311</f>
        <v>7665</v>
      </c>
      <c r="CF1910" s="439" t="s">
        <v>585</v>
      </c>
      <c r="DA1910" s="114" t="str">
        <f>$DB$54</f>
        <v>Conveyor</v>
      </c>
      <c r="DB1910" s="436" t="s">
        <v>505</v>
      </c>
      <c r="DC1910" s="437">
        <f>ROUNDUP(DC1909*IF(VLOOKUP(DB1908,'Unit Ops'!$B$140:$L$209,11,FALSE)=1,1.5,0.75),1)</f>
        <v>0.7</v>
      </c>
      <c r="DD1910" s="438" t="s">
        <v>586</v>
      </c>
      <c r="DE1910" s="120">
        <f>DC1910*DC$310*DC$311</f>
        <v>7560</v>
      </c>
      <c r="DF1910" s="439" t="s">
        <v>585</v>
      </c>
      <c r="EA1910" s="114" t="str">
        <f>$EB$56</f>
        <v>Conveyor</v>
      </c>
      <c r="EB1910" s="436" t="s">
        <v>505</v>
      </c>
      <c r="EC1910" s="437">
        <f>ROUNDUP(EC1909*IF(VLOOKUP(EB1908,'Unit Ops'!$B$140:$L$209,11,FALSE)=1,1.5,0.75),1)</f>
        <v>1</v>
      </c>
      <c r="ED1910" s="438" t="s">
        <v>586</v>
      </c>
      <c r="EE1910" s="120">
        <f>EC1910*EC$310*EC$311</f>
        <v>7680</v>
      </c>
      <c r="EF1910" s="439" t="s">
        <v>585</v>
      </c>
    </row>
    <row r="1911" spans="53:136">
      <c r="BA1911" s="114" t="str">
        <f>$BB$55</f>
        <v>Conveyor</v>
      </c>
      <c r="BB1911" s="441" t="s">
        <v>521</v>
      </c>
      <c r="BC1911" s="442">
        <f>BC1909/BC1910</f>
        <v>1.3227513227513228</v>
      </c>
      <c r="BD1911" s="438"/>
      <c r="BE1911" s="443"/>
      <c r="BF1911" s="440"/>
      <c r="CA1911" s="114" t="str">
        <f>$CB$55</f>
        <v>Leaching tank</v>
      </c>
      <c r="CB1911" s="441" t="s">
        <v>521</v>
      </c>
      <c r="CC1911" s="442">
        <f>CC1909/CC1910</f>
        <v>1.3046314416177429</v>
      </c>
      <c r="CD1911" s="438"/>
      <c r="CE1911" s="443"/>
      <c r="CF1911" s="440"/>
      <c r="DA1911" s="114" t="str">
        <f>$DB$55</f>
        <v>Froth flotation cell</v>
      </c>
      <c r="DB1911" s="441" t="s">
        <v>521</v>
      </c>
      <c r="DC1911" s="442">
        <f>DC1909/DC1910</f>
        <v>1.3227513227513228</v>
      </c>
      <c r="DD1911" s="438"/>
      <c r="DE1911" s="443"/>
      <c r="DF1911" s="440"/>
      <c r="EA1911" s="114" t="str">
        <f>$EB$57</f>
        <v>Leaching tank</v>
      </c>
      <c r="EB1911" s="441" t="s">
        <v>521</v>
      </c>
      <c r="EC1911" s="442">
        <f>EC1909/EC1910</f>
        <v>1.3020833333333333</v>
      </c>
      <c r="ED1911" s="438"/>
      <c r="EE1911" s="443"/>
      <c r="EF1911" s="440"/>
    </row>
    <row r="1912" spans="53:136">
      <c r="BA1912" s="114" t="str">
        <f>$BB$56</f>
        <v>Smelter</v>
      </c>
      <c r="BB1912" s="441" t="s">
        <v>506</v>
      </c>
      <c r="BC1912" s="445"/>
      <c r="BD1912" s="438" t="s">
        <v>454</v>
      </c>
      <c r="BE1912" s="443"/>
      <c r="BF1912" s="440"/>
      <c r="CA1912" s="114" t="str">
        <f>$CB$56</f>
        <v>Mixing tank</v>
      </c>
      <c r="CB1912" s="441" t="s">
        <v>506</v>
      </c>
      <c r="CC1912" s="445"/>
      <c r="CD1912" s="438" t="s">
        <v>454</v>
      </c>
      <c r="CE1912" s="443"/>
      <c r="CF1912" s="440"/>
      <c r="DA1912" s="114" t="str">
        <f>$DB$56</f>
        <v>Filter press</v>
      </c>
      <c r="DB1912" s="441" t="s">
        <v>506</v>
      </c>
      <c r="DC1912" s="445"/>
      <c r="DD1912" s="438" t="s">
        <v>454</v>
      </c>
      <c r="DE1912" s="443"/>
      <c r="DF1912" s="440"/>
      <c r="EA1912" s="114" t="str">
        <f>$EB$58</f>
        <v>Mixing tank</v>
      </c>
      <c r="EB1912" s="441" t="s">
        <v>506</v>
      </c>
      <c r="EC1912" s="445"/>
      <c r="ED1912" s="438" t="s">
        <v>454</v>
      </c>
      <c r="EE1912" s="443"/>
      <c r="EF1912" s="440"/>
    </row>
    <row r="1913" spans="53:136">
      <c r="BA1913" s="114" t="str">
        <f>$BB$57</f>
        <v>Gas treatment</v>
      </c>
      <c r="BB1913" s="436" t="s">
        <v>507</v>
      </c>
      <c r="BC1913" s="225">
        <f>(VLOOKUP(BB1908,'Unit Ops'!$B$140:$J$209,7,FALSE)*BC1910^VLOOKUP(BB1908,'Unit Ops'!$B$140:$J$209,8,FALSE)+VLOOKUP(BB1908,'Unit Ops'!$B$140:$J$209,9,FALSE))*IF(VLOOKUP(BB1908,'Unit Ops'!$B$140:$L$209,11,FALSE)=1,1,2)</f>
        <v>0</v>
      </c>
      <c r="BD1913" s="446" t="s">
        <v>454</v>
      </c>
      <c r="BE1913" s="443"/>
      <c r="BF1913" s="440"/>
      <c r="CA1913" s="114" t="str">
        <f>$CB$57</f>
        <v>Filter press</v>
      </c>
      <c r="CB1913" s="436" t="s">
        <v>507</v>
      </c>
      <c r="CC1913" s="225">
        <f>(VLOOKUP(CB1908,'Unit Ops'!$B$140:$J$209,7,FALSE)*CC1910^VLOOKUP(CB1908,'Unit Ops'!$B$140:$J$209,8,FALSE)+VLOOKUP(CB1908,'Unit Ops'!$B$140:$J$209,9,FALSE))*IF(VLOOKUP(CB1908,'Unit Ops'!$B$140:$L$209,11,FALSE)=1,1,2)</f>
        <v>0</v>
      </c>
      <c r="CD1913" s="446" t="s">
        <v>454</v>
      </c>
      <c r="CE1913" s="443"/>
      <c r="CF1913" s="440"/>
      <c r="DA1913" s="114" t="str">
        <f>$DB$57</f>
        <v>Froth flotation cell</v>
      </c>
      <c r="DB1913" s="436" t="s">
        <v>507</v>
      </c>
      <c r="DC1913" s="225">
        <f>(VLOOKUP(DB1908,'Unit Ops'!$B$140:$J$209,7,FALSE)*DC1910^VLOOKUP(DB1908,'Unit Ops'!$B$140:$J$209,8,FALSE)+VLOOKUP(DB1908,'Unit Ops'!$B$140:$J$209,9,FALSE))*IF(VLOOKUP(DB1908,'Unit Ops'!$B$140:$L$209,11,FALSE)=1,1,2)</f>
        <v>0</v>
      </c>
      <c r="DD1913" s="446" t="s">
        <v>454</v>
      </c>
      <c r="DE1913" s="443"/>
      <c r="DF1913" s="440"/>
      <c r="EA1913" s="114" t="str">
        <f>$EB$59</f>
        <v>Filter press</v>
      </c>
      <c r="EB1913" s="436" t="s">
        <v>507</v>
      </c>
      <c r="EC1913" s="225">
        <f>(VLOOKUP(EB1908,'Unit Ops'!$B$140:$J$209,7,FALSE)*EC1910^VLOOKUP(EB1908,'Unit Ops'!$B$140:$J$209,8,FALSE)+VLOOKUP(EB1908,'Unit Ops'!$B$140:$J$209,9,FALSE))*IF(VLOOKUP(EB1908,'Unit Ops'!$B$140:$L$209,11,FALSE)=1,1,2)</f>
        <v>0</v>
      </c>
      <c r="ED1913" s="446" t="s">
        <v>454</v>
      </c>
      <c r="EE1913" s="443"/>
      <c r="EF1913" s="440"/>
    </row>
    <row r="1914" spans="53:136">
      <c r="BA1914" s="114" t="str">
        <f>$BB$58</f>
        <v>Conveyor</v>
      </c>
      <c r="BB1914" s="441"/>
      <c r="BC1914" s="445"/>
      <c r="BD1914" s="447"/>
      <c r="BE1914" s="443"/>
      <c r="BF1914" s="440"/>
      <c r="CA1914" s="114" t="str">
        <f>$CB$58</f>
        <v>Solvent extraction unit</v>
      </c>
      <c r="CB1914" s="441"/>
      <c r="CC1914" s="445"/>
      <c r="CD1914" s="447"/>
      <c r="CE1914" s="443"/>
      <c r="CF1914" s="440"/>
      <c r="DA1914" s="114" t="str">
        <f>$DB$58</f>
        <v>Filter press</v>
      </c>
      <c r="DB1914" s="441"/>
      <c r="DC1914" s="445"/>
      <c r="DD1914" s="447"/>
      <c r="DE1914" s="443"/>
      <c r="DF1914" s="440"/>
      <c r="EA1914" s="114" t="str">
        <f>$EB$60</f>
        <v>Solvent extraction unit</v>
      </c>
      <c r="EB1914" s="441"/>
      <c r="EC1914" s="445"/>
      <c r="ED1914" s="447"/>
      <c r="EE1914" s="443"/>
      <c r="EF1914" s="440"/>
    </row>
    <row r="1915" spans="53:136">
      <c r="BA1915" s="114" t="str">
        <f>$BB$59</f>
        <v>Granulator</v>
      </c>
      <c r="BB1915" s="441"/>
      <c r="BC1915" s="445"/>
      <c r="BD1915" s="447"/>
      <c r="BE1915" s="443"/>
      <c r="BF1915" s="440"/>
      <c r="CA1915" s="114" t="str">
        <f>$CB$59</f>
        <v>Solvent extraction unit</v>
      </c>
      <c r="CB1915" s="441"/>
      <c r="CC1915" s="445"/>
      <c r="CD1915" s="447"/>
      <c r="CE1915" s="443"/>
      <c r="CF1915" s="440"/>
      <c r="DA1915" s="114" t="str">
        <f>$DB$59</f>
        <v>Dryer</v>
      </c>
      <c r="DB1915" s="441"/>
      <c r="DC1915" s="445"/>
      <c r="DD1915" s="447"/>
      <c r="DE1915" s="443"/>
      <c r="DF1915" s="440"/>
      <c r="EA1915" s="114" t="str">
        <f>$EB$61</f>
        <v>Solvent extraction unit</v>
      </c>
      <c r="EB1915" s="441"/>
      <c r="EC1915" s="445"/>
      <c r="ED1915" s="447"/>
      <c r="EE1915" s="443"/>
      <c r="EF1915" s="440"/>
    </row>
    <row r="1916" spans="53:136">
      <c r="BA1916" s="114" t="str">
        <f>$BB$60</f>
        <v>Leaching tank</v>
      </c>
      <c r="BB1916" s="449"/>
      <c r="BC1916" s="445"/>
      <c r="BD1916" s="447"/>
      <c r="BE1916" s="443"/>
      <c r="BF1916" s="440"/>
      <c r="CA1916" s="114" t="str">
        <f>$CB$60</f>
        <v>Solvent extraction unit</v>
      </c>
      <c r="CB1916" s="449"/>
      <c r="CC1916" s="445"/>
      <c r="CD1916" s="447"/>
      <c r="CE1916" s="443"/>
      <c r="CF1916" s="440"/>
      <c r="DA1916" s="114" t="str">
        <f>$DB$60</f>
        <v>Ball mill</v>
      </c>
      <c r="DB1916" s="449"/>
      <c r="DC1916" s="445"/>
      <c r="DD1916" s="447"/>
      <c r="DE1916" s="443"/>
      <c r="DF1916" s="440"/>
      <c r="EA1916" s="114" t="str">
        <f>$EB$62</f>
        <v>Solvent extraction unit</v>
      </c>
      <c r="EB1916" s="449"/>
      <c r="EC1916" s="445"/>
      <c r="ED1916" s="447"/>
      <c r="EE1916" s="443"/>
      <c r="EF1916" s="440"/>
    </row>
    <row r="1917" spans="53:136" ht="14.5" thickBot="1">
      <c r="BA1917" s="114" t="str">
        <f>$BB$61</f>
        <v>Solvent extraction unit</v>
      </c>
      <c r="BB1917" s="450"/>
      <c r="BC1917" s="451"/>
      <c r="BD1917" s="451"/>
      <c r="BE1917" s="452"/>
      <c r="BF1917" s="453"/>
      <c r="CA1917" s="114" t="str">
        <f>$CB$61</f>
        <v>Evaporator</v>
      </c>
      <c r="CB1917" s="450"/>
      <c r="CC1917" s="451"/>
      <c r="CD1917" s="451"/>
      <c r="CE1917" s="452"/>
      <c r="CF1917" s="453"/>
      <c r="DA1917" s="114" t="str">
        <f>$DB$61</f>
        <v>Furnace+saggar handling system</v>
      </c>
      <c r="DB1917" s="450"/>
      <c r="DC1917" s="451"/>
      <c r="DD1917" s="451"/>
      <c r="DE1917" s="452"/>
      <c r="DF1917" s="453"/>
      <c r="EA1917" s="114" t="str">
        <f>$EB$63</f>
        <v>Evaporator</v>
      </c>
      <c r="EB1917" s="450"/>
      <c r="EC1917" s="451"/>
      <c r="ED1917" s="451"/>
      <c r="EE1917" s="452"/>
      <c r="EF1917" s="453"/>
    </row>
    <row r="1918" spans="53:136">
      <c r="BA1918" s="114" t="str">
        <f>$BB$62</f>
        <v>Electrowinning cell</v>
      </c>
      <c r="BB1918" s="449" t="s">
        <v>470</v>
      </c>
      <c r="BC1918" s="120"/>
      <c r="BD1918" s="454"/>
      <c r="BE1918" s="120"/>
      <c r="BF1918" s="440"/>
      <c r="CA1918" s="114" t="str">
        <f>$CB$62</f>
        <v>Precipitation tank</v>
      </c>
      <c r="CB1918" s="449" t="s">
        <v>470</v>
      </c>
      <c r="CC1918" s="120"/>
      <c r="CD1918" s="454"/>
      <c r="CE1918" s="120"/>
      <c r="CF1918" s="440"/>
      <c r="DA1918" s="114" t="str">
        <f>$DB$62</f>
        <v>Water treatment</v>
      </c>
      <c r="DB1918" s="449" t="s">
        <v>470</v>
      </c>
      <c r="DC1918" s="120"/>
      <c r="DD1918" s="454"/>
      <c r="DE1918" s="120"/>
      <c r="DF1918" s="440"/>
      <c r="EA1918" s="114" t="str">
        <f>$EB$64</f>
        <v>Precipitation tank</v>
      </c>
      <c r="EB1918" s="449" t="s">
        <v>470</v>
      </c>
      <c r="EC1918" s="120"/>
      <c r="ED1918" s="454"/>
      <c r="EE1918" s="120"/>
      <c r="EF1918" s="440"/>
    </row>
    <row r="1919" spans="53:136" ht="14.5" customHeight="1">
      <c r="BA1919" s="114" t="str">
        <f>$BB$63</f>
        <v>Solvent extraction unit</v>
      </c>
      <c r="BB1919" s="1698"/>
      <c r="BC1919" s="1699"/>
      <c r="BD1919" s="1699"/>
      <c r="BE1919" s="1699"/>
      <c r="BF1919" s="1700"/>
      <c r="CA1919" s="114" t="str">
        <f>$CB$63</f>
        <v>Centrifuge</v>
      </c>
      <c r="CB1919" s="1698"/>
      <c r="CC1919" s="1699"/>
      <c r="CD1919" s="1699"/>
      <c r="CE1919" s="1699"/>
      <c r="CF1919" s="1700"/>
      <c r="DA1919" s="114" t="str">
        <f>$DB$63</f>
        <v>Wheel loader</v>
      </c>
      <c r="DB1919" s="1698"/>
      <c r="DC1919" s="1699"/>
      <c r="DD1919" s="1699"/>
      <c r="DE1919" s="1699"/>
      <c r="DF1919" s="1700"/>
      <c r="EA1919" s="114" t="str">
        <f>$EB$65</f>
        <v>Centrifuge</v>
      </c>
      <c r="EB1919" s="1698"/>
      <c r="EC1919" s="1699"/>
      <c r="ED1919" s="1699"/>
      <c r="EE1919" s="1699"/>
      <c r="EF1919" s="1700"/>
    </row>
    <row r="1920" spans="53:136">
      <c r="BA1920" s="114" t="str">
        <f>$BB$64</f>
        <v>Solvent extraction unit</v>
      </c>
      <c r="BB1920" s="436"/>
      <c r="BC1920" s="120"/>
      <c r="BD1920" s="455"/>
      <c r="BE1920" s="120"/>
      <c r="BF1920" s="440"/>
      <c r="CA1920" s="114" t="str">
        <f>$CB$64</f>
        <v>Dryer</v>
      </c>
      <c r="CB1920" s="436"/>
      <c r="CC1920" s="120"/>
      <c r="CD1920" s="455"/>
      <c r="CE1920" s="120"/>
      <c r="CF1920" s="440"/>
      <c r="DA1920" s="114" t="str">
        <f>$DB$64</f>
        <v>Select Equipment</v>
      </c>
      <c r="DB1920" s="436"/>
      <c r="DC1920" s="120"/>
      <c r="DD1920" s="455"/>
      <c r="DE1920" s="120"/>
      <c r="DF1920" s="440"/>
      <c r="EA1920" s="114" t="str">
        <f>$EB$66</f>
        <v>Dryer</v>
      </c>
      <c r="EB1920" s="436"/>
      <c r="EC1920" s="120"/>
      <c r="ED1920" s="455"/>
      <c r="EE1920" s="120"/>
      <c r="EF1920" s="440"/>
    </row>
    <row r="1921" spans="53:136">
      <c r="BA1921" s="114" t="str">
        <f>$BB$65</f>
        <v>Wheel loader</v>
      </c>
      <c r="BB1921" s="436"/>
      <c r="BC1921" s="120"/>
      <c r="BD1921" s="455"/>
      <c r="BE1921" s="120"/>
      <c r="BF1921" s="440"/>
      <c r="CA1921" s="114" t="str">
        <f>$CB$65</f>
        <v>Water treatment</v>
      </c>
      <c r="CB1921" s="436"/>
      <c r="CC1921" s="120"/>
      <c r="CD1921" s="455"/>
      <c r="CE1921" s="120"/>
      <c r="CF1921" s="440"/>
      <c r="DA1921" s="114" t="str">
        <f>$DB$65</f>
        <v>Select Equipment</v>
      </c>
      <c r="DB1921" s="436"/>
      <c r="DC1921" s="120"/>
      <c r="DD1921" s="455"/>
      <c r="DE1921" s="120"/>
      <c r="DF1921" s="440"/>
      <c r="EA1921" s="114" t="str">
        <f>$EB$67</f>
        <v>Water treatment</v>
      </c>
      <c r="EB1921" s="436"/>
      <c r="EC1921" s="120"/>
      <c r="ED1921" s="455"/>
      <c r="EE1921" s="120"/>
      <c r="EF1921" s="440"/>
    </row>
    <row r="1922" spans="53:136">
      <c r="BA1922" s="114" t="str">
        <f>$BB$66</f>
        <v>Water treatment</v>
      </c>
      <c r="BB1922" s="456"/>
      <c r="BC1922" s="457"/>
      <c r="BD1922" s="457"/>
      <c r="BE1922" s="457"/>
      <c r="BF1922" s="458"/>
      <c r="CA1922" s="114" t="str">
        <f>$CB$66</f>
        <v>Wheel loader</v>
      </c>
      <c r="CB1922" s="456"/>
      <c r="CC1922" s="457"/>
      <c r="CD1922" s="457"/>
      <c r="CE1922" s="457"/>
      <c r="CF1922" s="458"/>
      <c r="DA1922" s="114" t="str">
        <f>$DB$66</f>
        <v>Select Equipment</v>
      </c>
      <c r="DB1922" s="456"/>
      <c r="DC1922" s="457"/>
      <c r="DD1922" s="457"/>
      <c r="DE1922" s="457"/>
      <c r="DF1922" s="458"/>
      <c r="EA1922" s="114" t="str">
        <f>$EB$68</f>
        <v>Wheel loader</v>
      </c>
      <c r="EB1922" s="456"/>
      <c r="EC1922" s="457"/>
      <c r="ED1922" s="457"/>
      <c r="EE1922" s="457"/>
      <c r="EF1922" s="458"/>
    </row>
    <row r="1923" spans="53:136">
      <c r="BA1923" s="114" t="str">
        <f>$BB$67</f>
        <v>Select Equipment</v>
      </c>
      <c r="BB1923" s="449" t="s">
        <v>471</v>
      </c>
      <c r="BC1923" s="120"/>
      <c r="BD1923" s="454"/>
      <c r="BE1923" s="120"/>
      <c r="BF1923" s="440"/>
      <c r="CA1923" s="114" t="str">
        <f>$CB$67</f>
        <v>Select Equipment</v>
      </c>
      <c r="CB1923" s="449" t="s">
        <v>471</v>
      </c>
      <c r="CC1923" s="120"/>
      <c r="CD1923" s="454"/>
      <c r="CE1923" s="120"/>
      <c r="CF1923" s="440"/>
      <c r="DA1923" s="114" t="str">
        <f>$DB$67</f>
        <v>Select Equipment</v>
      </c>
      <c r="DB1923" s="449" t="s">
        <v>471</v>
      </c>
      <c r="DC1923" s="120"/>
      <c r="DD1923" s="454"/>
      <c r="DE1923" s="120"/>
      <c r="DF1923" s="440"/>
      <c r="EA1923" s="114" t="str">
        <f>$EB$69</f>
        <v>Select Equipment</v>
      </c>
      <c r="EB1923" s="449" t="s">
        <v>471</v>
      </c>
      <c r="EC1923" s="120"/>
      <c r="ED1923" s="454"/>
      <c r="EE1923" s="120"/>
      <c r="EF1923" s="440"/>
    </row>
    <row r="1924" spans="53:136">
      <c r="BA1924" s="114" t="str">
        <f>$BB$68</f>
        <v>Select Equipment</v>
      </c>
      <c r="BB1924" s="436" t="s">
        <v>577</v>
      </c>
      <c r="BC1924" s="225">
        <f>BC1913*IF(BC1911&gt;1,1,BC1911)</f>
        <v>0</v>
      </c>
      <c r="BD1924" s="446" t="s">
        <v>454</v>
      </c>
      <c r="BE1924" s="120"/>
      <c r="BF1924" s="440"/>
      <c r="CA1924" s="114" t="str">
        <f>$CB$68</f>
        <v>Select Equipment</v>
      </c>
      <c r="CB1924" s="436" t="s">
        <v>577</v>
      </c>
      <c r="CC1924" s="225">
        <f>CC1913*IF(CC1911&gt;1,1,CC1911)</f>
        <v>0</v>
      </c>
      <c r="CD1924" s="446" t="s">
        <v>454</v>
      </c>
      <c r="CE1924" s="120"/>
      <c r="CF1924" s="440"/>
      <c r="DA1924" s="114" t="str">
        <f>$DB$68</f>
        <v>Select Equipment</v>
      </c>
      <c r="DB1924" s="436" t="s">
        <v>577</v>
      </c>
      <c r="DC1924" s="225">
        <f>DC1913*IF(DC1911&gt;1,1,DC1911)</f>
        <v>0</v>
      </c>
      <c r="DD1924" s="446" t="s">
        <v>454</v>
      </c>
      <c r="DE1924" s="120"/>
      <c r="DF1924" s="440"/>
      <c r="EA1924" s="114" t="str">
        <f>$EB$70</f>
        <v>Select Equipment</v>
      </c>
      <c r="EB1924" s="436" t="s">
        <v>577</v>
      </c>
      <c r="EC1924" s="225">
        <f>EC1913*IF(EC1911&gt;1,1,EC1911)</f>
        <v>0</v>
      </c>
      <c r="ED1924" s="446" t="s">
        <v>454</v>
      </c>
      <c r="EE1924" s="120"/>
      <c r="EF1924" s="440"/>
    </row>
    <row r="1925" spans="53:136">
      <c r="BA1925" s="114" t="str">
        <f>$BB$69</f>
        <v>Select Equipment</v>
      </c>
      <c r="BB1925" s="436" t="s">
        <v>578</v>
      </c>
      <c r="BC1925" s="225"/>
      <c r="BD1925" s="446" t="s">
        <v>579</v>
      </c>
      <c r="BE1925" s="120"/>
      <c r="BF1925" s="440"/>
      <c r="CA1925" s="114" t="str">
        <f>$CB$69</f>
        <v>Select Equipment</v>
      </c>
      <c r="CB1925" s="436" t="s">
        <v>578</v>
      </c>
      <c r="CC1925" s="225"/>
      <c r="CD1925" s="446" t="s">
        <v>579</v>
      </c>
      <c r="CE1925" s="120"/>
      <c r="CF1925" s="440"/>
      <c r="DA1925" s="114" t="str">
        <f>$DB$69</f>
        <v>Select Equipment</v>
      </c>
      <c r="DB1925" s="436" t="s">
        <v>578</v>
      </c>
      <c r="DC1925" s="225"/>
      <c r="DD1925" s="446" t="s">
        <v>579</v>
      </c>
      <c r="DE1925" s="120"/>
      <c r="DF1925" s="440"/>
      <c r="EA1925" s="114" t="str">
        <f>$EB$71</f>
        <v>Select Equipment</v>
      </c>
      <c r="EB1925" s="436" t="s">
        <v>578</v>
      </c>
      <c r="EC1925" s="225"/>
      <c r="ED1925" s="446" t="s">
        <v>579</v>
      </c>
      <c r="EE1925" s="120"/>
      <c r="EF1925" s="440"/>
    </row>
    <row r="1926" spans="53:136">
      <c r="BA1926" s="114" t="str">
        <f>$BB$70</f>
        <v>Select Equipment</v>
      </c>
      <c r="BB1926" s="436"/>
      <c r="BC1926" s="120"/>
      <c r="BD1926" s="446"/>
      <c r="BE1926" s="120"/>
      <c r="BF1926" s="440"/>
      <c r="CA1926" s="114" t="str">
        <f>$CB$70</f>
        <v>Select Equipment</v>
      </c>
      <c r="CB1926" s="436"/>
      <c r="CC1926" s="120"/>
      <c r="CD1926" s="446"/>
      <c r="CE1926" s="120"/>
      <c r="CF1926" s="440"/>
      <c r="DA1926" s="114" t="str">
        <f>$DB$70</f>
        <v>Select Equipment</v>
      </c>
      <c r="DB1926" s="436"/>
      <c r="DC1926" s="120"/>
      <c r="DD1926" s="446"/>
      <c r="DE1926" s="120"/>
      <c r="DF1926" s="440"/>
      <c r="EA1926" s="114" t="str">
        <f>$EB$72</f>
        <v>Select Equipment</v>
      </c>
      <c r="EB1926" s="436"/>
      <c r="EC1926" s="120"/>
      <c r="ED1926" s="446"/>
      <c r="EE1926" s="120"/>
      <c r="EF1926" s="440"/>
    </row>
    <row r="1927" spans="53:136">
      <c r="BA1927" s="114" t="str">
        <f>$BB$71</f>
        <v>Select Equipment</v>
      </c>
      <c r="BB1927" s="436" t="s">
        <v>8</v>
      </c>
      <c r="BC1927" s="120"/>
      <c r="BD1927" s="459" t="s">
        <v>564</v>
      </c>
      <c r="BE1927" s="120"/>
      <c r="BF1927" s="440"/>
      <c r="CA1927" s="114" t="str">
        <f>$CB$71</f>
        <v>Select Equipment</v>
      </c>
      <c r="CB1927" s="436" t="s">
        <v>8</v>
      </c>
      <c r="CC1927" s="120"/>
      <c r="CD1927" s="459" t="s">
        <v>564</v>
      </c>
      <c r="CE1927" s="120"/>
      <c r="CF1927" s="440"/>
      <c r="DA1927" s="114" t="str">
        <f>$DB$71</f>
        <v>Select Equipment</v>
      </c>
      <c r="DB1927" s="436" t="s">
        <v>8</v>
      </c>
      <c r="DC1927" s="120"/>
      <c r="DD1927" s="459" t="s">
        <v>564</v>
      </c>
      <c r="DE1927" s="120"/>
      <c r="DF1927" s="440"/>
      <c r="EA1927" s="114" t="str">
        <f>$EB$73</f>
        <v>Select Equipment</v>
      </c>
      <c r="EB1927" s="436" t="s">
        <v>8</v>
      </c>
      <c r="EC1927" s="120"/>
      <c r="ED1927" s="459" t="s">
        <v>564</v>
      </c>
      <c r="EE1927" s="120"/>
      <c r="EF1927" s="440"/>
    </row>
    <row r="1928" spans="53:136">
      <c r="BA1928" s="114" t="str">
        <f>$BB$72</f>
        <v>Select Equipment</v>
      </c>
      <c r="BB1928" s="436"/>
      <c r="BC1928" s="120"/>
      <c r="BD1928" s="459"/>
      <c r="BE1928" s="120"/>
      <c r="BF1928" s="440"/>
      <c r="CA1928" s="114" t="str">
        <f>$CB$72</f>
        <v>Select Equipment</v>
      </c>
      <c r="CB1928" s="436"/>
      <c r="CC1928" s="120"/>
      <c r="CD1928" s="459"/>
      <c r="CE1928" s="120"/>
      <c r="CF1928" s="440"/>
      <c r="DA1928" s="114" t="str">
        <f>$DB$72</f>
        <v>Select Equipment</v>
      </c>
      <c r="DB1928" s="436"/>
      <c r="DC1928" s="120"/>
      <c r="DD1928" s="459"/>
      <c r="DE1928" s="120"/>
      <c r="DF1928" s="440"/>
      <c r="EA1928" s="114" t="str">
        <f>$EB$74</f>
        <v>Select Equipment</v>
      </c>
      <c r="EB1928" s="436"/>
      <c r="EC1928" s="120"/>
      <c r="ED1928" s="459"/>
      <c r="EE1928" s="120"/>
      <c r="EF1928" s="440"/>
    </row>
    <row r="1929" spans="53:136">
      <c r="BA1929" s="114" t="str">
        <f>$BB$73</f>
        <v>Select Equipment</v>
      </c>
      <c r="BB1929" s="436" t="s">
        <v>7</v>
      </c>
      <c r="BC1929" s="120"/>
      <c r="BD1929" s="459" t="s">
        <v>564</v>
      </c>
      <c r="BE1929" s="120"/>
      <c r="BF1929" s="440"/>
      <c r="CA1929" s="114" t="str">
        <f>$CB$73</f>
        <v>Select Equipment</v>
      </c>
      <c r="CB1929" s="436" t="s">
        <v>7</v>
      </c>
      <c r="CC1929" s="120"/>
      <c r="CD1929" s="459" t="s">
        <v>564</v>
      </c>
      <c r="CE1929" s="120"/>
      <c r="CF1929" s="440"/>
      <c r="DA1929" s="114" t="str">
        <f>$DB$73</f>
        <v>Select Equipment</v>
      </c>
      <c r="DB1929" s="436" t="s">
        <v>7</v>
      </c>
      <c r="DC1929" s="120"/>
      <c r="DD1929" s="459" t="s">
        <v>564</v>
      </c>
      <c r="DE1929" s="120"/>
      <c r="DF1929" s="440"/>
      <c r="EA1929" s="114" t="str">
        <f>$EB$75</f>
        <v>Select Equipment</v>
      </c>
      <c r="EB1929" s="436" t="s">
        <v>7</v>
      </c>
      <c r="EC1929" s="120"/>
      <c r="ED1929" s="459" t="s">
        <v>564</v>
      </c>
      <c r="EE1929" s="120"/>
      <c r="EF1929" s="440"/>
    </row>
    <row r="1930" spans="53:136">
      <c r="BA1930" s="114" t="str">
        <f>$BB$74</f>
        <v>Select Equipment</v>
      </c>
      <c r="BB1930" s="436"/>
      <c r="BC1930" s="120"/>
      <c r="BD1930" s="459"/>
      <c r="BE1930" s="120"/>
      <c r="BF1930" s="440"/>
      <c r="CA1930" s="114" t="str">
        <f>$CB$74</f>
        <v>Select Equipment</v>
      </c>
      <c r="CB1930" s="436"/>
      <c r="CC1930" s="120"/>
      <c r="CD1930" s="459"/>
      <c r="CE1930" s="120"/>
      <c r="CF1930" s="440"/>
      <c r="DA1930" s="114" t="str">
        <f>$DB$74</f>
        <v>Select Equipment</v>
      </c>
      <c r="DB1930" s="436"/>
      <c r="DC1930" s="120"/>
      <c r="DD1930" s="459"/>
      <c r="DE1930" s="120"/>
      <c r="DF1930" s="440"/>
      <c r="EA1930" s="114" t="str">
        <f>$EB$76</f>
        <v>Select Equipment</v>
      </c>
      <c r="EB1930" s="436"/>
      <c r="EC1930" s="120"/>
      <c r="ED1930" s="459"/>
      <c r="EE1930" s="120"/>
      <c r="EF1930" s="440"/>
    </row>
    <row r="1931" spans="53:136">
      <c r="BA1931" s="114" t="str">
        <f>$BB$75</f>
        <v>Select Equipment</v>
      </c>
      <c r="BB1931" s="436" t="s">
        <v>9</v>
      </c>
      <c r="BC1931" s="120"/>
      <c r="BD1931" s="459" t="s">
        <v>564</v>
      </c>
      <c r="BE1931" s="120"/>
      <c r="BF1931" s="440"/>
      <c r="CA1931" s="114" t="str">
        <f>$CB$75</f>
        <v>Select Equipment</v>
      </c>
      <c r="CB1931" s="436" t="s">
        <v>9</v>
      </c>
      <c r="CC1931" s="120"/>
      <c r="CD1931" s="459" t="s">
        <v>564</v>
      </c>
      <c r="CE1931" s="120"/>
      <c r="CF1931" s="440"/>
      <c r="DA1931" s="114" t="str">
        <f>$DB$75</f>
        <v>Select Equipment</v>
      </c>
      <c r="DB1931" s="436" t="s">
        <v>9</v>
      </c>
      <c r="DC1931" s="120"/>
      <c r="DD1931" s="459" t="s">
        <v>564</v>
      </c>
      <c r="DE1931" s="120"/>
      <c r="DF1931" s="440"/>
      <c r="EA1931" s="114" t="str">
        <f>$EB$77</f>
        <v>Select Equipment</v>
      </c>
      <c r="EB1931" s="436" t="s">
        <v>9</v>
      </c>
      <c r="EC1931" s="120"/>
      <c r="ED1931" s="459" t="s">
        <v>564</v>
      </c>
      <c r="EE1931" s="120"/>
      <c r="EF1931" s="440"/>
    </row>
    <row r="1932" spans="53:136">
      <c r="BA1932" s="114" t="str">
        <f>$BB$76</f>
        <v>Select Equipment</v>
      </c>
      <c r="BB1932" s="436"/>
      <c r="BC1932" s="120"/>
      <c r="BD1932" s="459"/>
      <c r="BE1932" s="120"/>
      <c r="BF1932" s="440"/>
      <c r="CA1932" s="114" t="str">
        <f>$CB$76</f>
        <v>Select Equipment</v>
      </c>
      <c r="CB1932" s="436"/>
      <c r="CC1932" s="120"/>
      <c r="CD1932" s="459"/>
      <c r="CE1932" s="120"/>
      <c r="CF1932" s="440"/>
      <c r="DA1932" s="114" t="str">
        <f>$DB$76</f>
        <v>Select Equipment</v>
      </c>
      <c r="DB1932" s="436"/>
      <c r="DC1932" s="120"/>
      <c r="DD1932" s="459"/>
      <c r="DE1932" s="120"/>
      <c r="DF1932" s="440"/>
      <c r="EA1932" s="114" t="str">
        <f>$EB$78</f>
        <v>Select Equipment</v>
      </c>
      <c r="EB1932" s="436"/>
      <c r="EC1932" s="120"/>
      <c r="ED1932" s="459"/>
      <c r="EE1932" s="120"/>
      <c r="EF1932" s="440"/>
    </row>
    <row r="1933" spans="53:136">
      <c r="BA1933" s="114" t="str">
        <f>$BB$77</f>
        <v>Select Equipment</v>
      </c>
      <c r="BB1933" s="436" t="s">
        <v>324</v>
      </c>
      <c r="BC1933" s="120"/>
      <c r="BD1933" s="459" t="s">
        <v>564</v>
      </c>
      <c r="BE1933" s="120"/>
      <c r="BF1933" s="440" t="s">
        <v>569</v>
      </c>
      <c r="CA1933" s="114" t="str">
        <f>$CB$77</f>
        <v>Select Equipment</v>
      </c>
      <c r="CB1933" s="436" t="s">
        <v>324</v>
      </c>
      <c r="CC1933" s="120"/>
      <c r="CD1933" s="459" t="s">
        <v>564</v>
      </c>
      <c r="CE1933" s="120"/>
      <c r="CF1933" s="440" t="s">
        <v>569</v>
      </c>
      <c r="DA1933" s="114" t="str">
        <f>$DB$77</f>
        <v>Select Equipment</v>
      </c>
      <c r="DB1933" s="436" t="s">
        <v>324</v>
      </c>
      <c r="DC1933" s="120"/>
      <c r="DD1933" s="459" t="s">
        <v>564</v>
      </c>
      <c r="DE1933" s="120"/>
      <c r="DF1933" s="440" t="s">
        <v>569</v>
      </c>
      <c r="EA1933" s="114" t="str">
        <f>$EB$79</f>
        <v>Select Equipment</v>
      </c>
      <c r="EB1933" s="436" t="s">
        <v>324</v>
      </c>
      <c r="EC1933" s="120"/>
      <c r="ED1933" s="459" t="s">
        <v>564</v>
      </c>
      <c r="EE1933" s="120"/>
      <c r="EF1933" s="440" t="s">
        <v>569</v>
      </c>
    </row>
    <row r="1934" spans="53:136">
      <c r="BA1934" s="114" t="str">
        <f>$BB$78</f>
        <v>Select Equipment</v>
      </c>
      <c r="BB1934" s="436"/>
      <c r="BC1934" s="120"/>
      <c r="BD1934" s="468"/>
      <c r="BE1934" s="469"/>
      <c r="BF1934" s="440"/>
      <c r="CA1934" s="114" t="str">
        <f>$CB$78</f>
        <v>Select Equipment</v>
      </c>
      <c r="CB1934" s="436"/>
      <c r="CC1934" s="120"/>
      <c r="CD1934" s="468"/>
      <c r="CE1934" s="469"/>
      <c r="CF1934" s="440"/>
      <c r="DA1934" s="114" t="str">
        <f>$DB$78</f>
        <v>Select Equipment</v>
      </c>
      <c r="DB1934" s="436"/>
      <c r="DC1934" s="120"/>
      <c r="DD1934" s="468"/>
      <c r="DE1934" s="469"/>
      <c r="DF1934" s="440"/>
      <c r="EA1934" s="114" t="str">
        <f>$EB$80</f>
        <v>Select Equipment</v>
      </c>
      <c r="EB1934" s="436"/>
      <c r="EC1934" s="120"/>
      <c r="ED1934" s="468"/>
      <c r="EE1934" s="469"/>
      <c r="EF1934" s="440"/>
    </row>
    <row r="1935" spans="53:136">
      <c r="BA1935" s="114" t="str">
        <f>$BB$79</f>
        <v>Select Equipment</v>
      </c>
      <c r="BB1935" s="436" t="s">
        <v>374</v>
      </c>
      <c r="BC1935" s="120"/>
      <c r="BD1935" s="459" t="s">
        <v>564</v>
      </c>
      <c r="BE1935" s="469"/>
      <c r="BF1935" s="440" t="s">
        <v>569</v>
      </c>
      <c r="CA1935" s="114" t="str">
        <f>$CB$79</f>
        <v>Select Equipment</v>
      </c>
      <c r="CB1935" s="436" t="s">
        <v>374</v>
      </c>
      <c r="CC1935" s="120"/>
      <c r="CD1935" s="459" t="s">
        <v>564</v>
      </c>
      <c r="CE1935" s="469"/>
      <c r="CF1935" s="440" t="s">
        <v>569</v>
      </c>
      <c r="DA1935" s="114" t="str">
        <f>$DB$79</f>
        <v>Select Equipment</v>
      </c>
      <c r="DB1935" s="436" t="s">
        <v>374</v>
      </c>
      <c r="DC1935" s="120"/>
      <c r="DD1935" s="459" t="s">
        <v>564</v>
      </c>
      <c r="DE1935" s="469"/>
      <c r="DF1935" s="440" t="s">
        <v>569</v>
      </c>
      <c r="EA1935" s="114" t="str">
        <f>$EB$81</f>
        <v>Select Equipment</v>
      </c>
      <c r="EB1935" s="436" t="s">
        <v>374</v>
      </c>
      <c r="EC1935" s="120"/>
      <c r="ED1935" s="459" t="s">
        <v>564</v>
      </c>
      <c r="EE1935" s="469"/>
      <c r="EF1935" s="440" t="s">
        <v>569</v>
      </c>
    </row>
    <row r="1936" spans="53:136">
      <c r="BA1936" s="114" t="str">
        <f>$BB$80</f>
        <v>Select Equipment</v>
      </c>
      <c r="BB1936" s="436"/>
      <c r="BC1936" s="120"/>
      <c r="BD1936" s="472"/>
      <c r="BE1936" s="473"/>
      <c r="BF1936" s="440"/>
      <c r="CA1936" s="114" t="str">
        <f>$CB$80</f>
        <v>Select Equipment</v>
      </c>
      <c r="CB1936" s="436"/>
      <c r="CC1936" s="120"/>
      <c r="CD1936" s="472"/>
      <c r="CE1936" s="473"/>
      <c r="CF1936" s="440"/>
      <c r="DA1936" s="114" t="str">
        <f>$DB$80</f>
        <v>Select Equipment</v>
      </c>
      <c r="DB1936" s="436"/>
      <c r="DC1936" s="120"/>
      <c r="DD1936" s="472"/>
      <c r="DE1936" s="473"/>
      <c r="DF1936" s="440"/>
      <c r="EA1936" s="114" t="str">
        <f>$EB$82</f>
        <v>Select Equipment</v>
      </c>
      <c r="EB1936" s="436"/>
      <c r="EC1936" s="120"/>
      <c r="ED1936" s="472"/>
      <c r="EE1936" s="473"/>
      <c r="EF1936" s="440"/>
    </row>
    <row r="1937" spans="53:136">
      <c r="BA1937" s="114" t="str">
        <f>$BB$81</f>
        <v>Select Equipment</v>
      </c>
      <c r="BB1937" s="436" t="s">
        <v>580</v>
      </c>
      <c r="BC1937" s="120"/>
      <c r="BD1937" s="459" t="s">
        <v>564</v>
      </c>
      <c r="BE1937" s="473"/>
      <c r="BF1937" s="440" t="s">
        <v>569</v>
      </c>
      <c r="CA1937" s="114" t="str">
        <f>$CB$81</f>
        <v>Select Equipment</v>
      </c>
      <c r="CB1937" s="436" t="s">
        <v>580</v>
      </c>
      <c r="CC1937" s="120"/>
      <c r="CD1937" s="459" t="s">
        <v>564</v>
      </c>
      <c r="CE1937" s="473"/>
      <c r="CF1937" s="440" t="s">
        <v>569</v>
      </c>
      <c r="DA1937" s="114" t="str">
        <f>$DB$81</f>
        <v>Select Equipment</v>
      </c>
      <c r="DB1937" s="436" t="s">
        <v>580</v>
      </c>
      <c r="DC1937" s="120"/>
      <c r="DD1937" s="459" t="s">
        <v>564</v>
      </c>
      <c r="DE1937" s="473"/>
      <c r="DF1937" s="440" t="s">
        <v>569</v>
      </c>
      <c r="EA1937" s="114" t="str">
        <f>$EB$83</f>
        <v>Select Equipment</v>
      </c>
      <c r="EB1937" s="436" t="s">
        <v>580</v>
      </c>
      <c r="EC1937" s="120"/>
      <c r="ED1937" s="459" t="s">
        <v>564</v>
      </c>
      <c r="EE1937" s="473"/>
      <c r="EF1937" s="440" t="s">
        <v>569</v>
      </c>
    </row>
    <row r="1938" spans="53:136">
      <c r="BA1938" s="114" t="str">
        <f>$BB$82</f>
        <v>Select Equipment</v>
      </c>
      <c r="BB1938" s="476"/>
      <c r="BC1938" s="477"/>
      <c r="BD1938" s="478"/>
      <c r="BE1938" s="479"/>
      <c r="BF1938" s="458"/>
      <c r="CA1938" s="114" t="str">
        <f>$CB$82</f>
        <v>Select Equipment</v>
      </c>
      <c r="CB1938" s="476"/>
      <c r="CC1938" s="477"/>
      <c r="CD1938" s="478"/>
      <c r="CE1938" s="479"/>
      <c r="CF1938" s="458"/>
      <c r="DA1938" s="114" t="str">
        <f>$DB$82</f>
        <v>Select Equipment</v>
      </c>
      <c r="DB1938" s="476"/>
      <c r="DC1938" s="477"/>
      <c r="DD1938" s="478"/>
      <c r="DE1938" s="479"/>
      <c r="DF1938" s="458"/>
      <c r="EA1938" s="114" t="str">
        <f>$EB$84</f>
        <v>Select Equipment</v>
      </c>
      <c r="EB1938" s="476"/>
      <c r="EC1938" s="477"/>
      <c r="ED1938" s="478"/>
      <c r="EE1938" s="479"/>
      <c r="EF1938" s="458"/>
    </row>
    <row r="1939" spans="53:136">
      <c r="BA1939" s="114" t="str">
        <f>$BB$83</f>
        <v>Select Equipment</v>
      </c>
      <c r="BB1939" s="449" t="s">
        <v>473</v>
      </c>
      <c r="BC1939" s="467" t="s">
        <v>508</v>
      </c>
      <c r="BD1939" s="480"/>
      <c r="BE1939" s="481" t="s">
        <v>308</v>
      </c>
      <c r="BF1939" s="440"/>
      <c r="CA1939" s="114" t="str">
        <f>$CB$83</f>
        <v>Select Equipment</v>
      </c>
      <c r="CB1939" s="449" t="s">
        <v>473</v>
      </c>
      <c r="CC1939" s="467" t="s">
        <v>508</v>
      </c>
      <c r="CD1939" s="480"/>
      <c r="CE1939" s="481" t="s">
        <v>308</v>
      </c>
      <c r="CF1939" s="440"/>
      <c r="DA1939" s="114" t="str">
        <f>$DB$83</f>
        <v>Select Equipment</v>
      </c>
      <c r="DB1939" s="449" t="s">
        <v>473</v>
      </c>
      <c r="DC1939" s="467" t="s">
        <v>508</v>
      </c>
      <c r="DD1939" s="480"/>
      <c r="DE1939" s="481" t="s">
        <v>308</v>
      </c>
      <c r="DF1939" s="440"/>
      <c r="EA1939" s="114" t="str">
        <f>$EB$85</f>
        <v>Select Equipment</v>
      </c>
      <c r="EB1939" s="449" t="s">
        <v>473</v>
      </c>
      <c r="EC1939" s="467" t="s">
        <v>508</v>
      </c>
      <c r="ED1939" s="480"/>
      <c r="EE1939" s="481" t="s">
        <v>308</v>
      </c>
      <c r="EF1939" s="440"/>
    </row>
    <row r="1940" spans="53:136">
      <c r="BB1940" s="436"/>
      <c r="BC1940" s="483"/>
      <c r="BD1940" s="480"/>
      <c r="BE1940" s="484"/>
      <c r="BF1940" s="440"/>
      <c r="CB1940" s="436"/>
      <c r="CC1940" s="483"/>
      <c r="CD1940" s="480"/>
      <c r="CE1940" s="484"/>
      <c r="CF1940" s="440"/>
      <c r="DB1940" s="436"/>
      <c r="DC1940" s="483"/>
      <c r="DD1940" s="480"/>
      <c r="DE1940" s="484"/>
      <c r="DF1940" s="440"/>
      <c r="EB1940" s="436"/>
      <c r="EC1940" s="483"/>
      <c r="ED1940" s="480"/>
      <c r="EE1940" s="484"/>
      <c r="EF1940" s="440"/>
    </row>
    <row r="1941" spans="53:136">
      <c r="BB1941" s="436"/>
      <c r="BC1941" s="120"/>
      <c r="BD1941" s="223"/>
      <c r="BE1941" s="467"/>
      <c r="BF1941" s="440"/>
      <c r="CB1941" s="436"/>
      <c r="CC1941" s="120"/>
      <c r="CD1941" s="223"/>
      <c r="CE1941" s="467"/>
      <c r="CF1941" s="440"/>
      <c r="DB1941" s="436"/>
      <c r="DC1941" s="120"/>
      <c r="DD1941" s="223"/>
      <c r="DE1941" s="467"/>
      <c r="DF1941" s="440"/>
      <c r="EB1941" s="436"/>
      <c r="EC1941" s="120"/>
      <c r="ED1941" s="223"/>
      <c r="EE1941" s="467"/>
      <c r="EF1941" s="440"/>
    </row>
    <row r="1942" spans="53:136">
      <c r="BB1942" s="436"/>
      <c r="BC1942" s="120"/>
      <c r="BD1942" s="466"/>
      <c r="BE1942" s="467"/>
      <c r="BF1942" s="440"/>
      <c r="CB1942" s="436"/>
      <c r="CC1942" s="120"/>
      <c r="CD1942" s="466"/>
      <c r="CE1942" s="467"/>
      <c r="CF1942" s="440"/>
      <c r="DB1942" s="436"/>
      <c r="DC1942" s="120"/>
      <c r="DD1942" s="466"/>
      <c r="DE1942" s="467"/>
      <c r="DF1942" s="440"/>
      <c r="EB1942" s="436"/>
      <c r="EC1942" s="120"/>
      <c r="ED1942" s="466"/>
      <c r="EE1942" s="467"/>
      <c r="EF1942" s="440"/>
    </row>
    <row r="1943" spans="53:136">
      <c r="BB1943" s="436"/>
      <c r="BC1943" s="120"/>
      <c r="BD1943" s="223"/>
      <c r="BE1943" s="467"/>
      <c r="BF1943" s="440"/>
      <c r="CB1943" s="436"/>
      <c r="CC1943" s="120"/>
      <c r="CD1943" s="223"/>
      <c r="CE1943" s="467"/>
      <c r="CF1943" s="440"/>
      <c r="DB1943" s="436"/>
      <c r="DC1943" s="120"/>
      <c r="DD1943" s="223"/>
      <c r="DE1943" s="467"/>
      <c r="DF1943" s="440"/>
      <c r="EB1943" s="436"/>
      <c r="EC1943" s="120"/>
      <c r="ED1943" s="223"/>
      <c r="EE1943" s="467"/>
      <c r="EF1943" s="440"/>
    </row>
    <row r="1944" spans="53:136">
      <c r="BB1944" s="436"/>
      <c r="BC1944" s="120"/>
      <c r="BD1944" s="223"/>
      <c r="BE1944" s="467"/>
      <c r="BF1944" s="440"/>
      <c r="CB1944" s="436"/>
      <c r="CC1944" s="120"/>
      <c r="CD1944" s="223"/>
      <c r="CE1944" s="467"/>
      <c r="CF1944" s="440"/>
      <c r="DB1944" s="436"/>
      <c r="DC1944" s="120"/>
      <c r="DD1944" s="223"/>
      <c r="DE1944" s="467"/>
      <c r="DF1944" s="440"/>
      <c r="EB1944" s="436"/>
      <c r="EC1944" s="120"/>
      <c r="ED1944" s="223"/>
      <c r="EE1944" s="467"/>
      <c r="EF1944" s="440"/>
    </row>
    <row r="1945" spans="53:136">
      <c r="BB1945" s="436"/>
      <c r="BC1945" s="120"/>
      <c r="BD1945" s="471"/>
      <c r="BE1945" s="467"/>
      <c r="BF1945" s="440"/>
      <c r="CB1945" s="436"/>
      <c r="CC1945" s="120"/>
      <c r="CD1945" s="471"/>
      <c r="CE1945" s="467"/>
      <c r="CF1945" s="440"/>
      <c r="DB1945" s="436"/>
      <c r="DC1945" s="120"/>
      <c r="DD1945" s="471"/>
      <c r="DE1945" s="467"/>
      <c r="DF1945" s="440"/>
      <c r="EB1945" s="436"/>
      <c r="EC1945" s="120"/>
      <c r="ED1945" s="471"/>
      <c r="EE1945" s="467"/>
      <c r="EF1945" s="440"/>
    </row>
    <row r="1946" spans="53:136">
      <c r="BB1946" s="436"/>
      <c r="BC1946" s="120"/>
      <c r="BD1946" s="223"/>
      <c r="BE1946" s="467"/>
      <c r="BF1946" s="440"/>
      <c r="CB1946" s="436"/>
      <c r="CC1946" s="120"/>
      <c r="CD1946" s="223"/>
      <c r="CE1946" s="467"/>
      <c r="CF1946" s="440"/>
      <c r="DB1946" s="436"/>
      <c r="DC1946" s="120"/>
      <c r="DD1946" s="223"/>
      <c r="DE1946" s="467"/>
      <c r="DF1946" s="440"/>
      <c r="EB1946" s="436"/>
      <c r="EC1946" s="120"/>
      <c r="ED1946" s="223"/>
      <c r="EE1946" s="467"/>
      <c r="EF1946" s="440"/>
    </row>
    <row r="1947" spans="53:136">
      <c r="BB1947" s="436"/>
      <c r="BC1947" s="120"/>
      <c r="BD1947" s="475"/>
      <c r="BE1947" s="467"/>
      <c r="BF1947" s="440"/>
      <c r="CB1947" s="436"/>
      <c r="CC1947" s="120"/>
      <c r="CD1947" s="475"/>
      <c r="CE1947" s="467"/>
      <c r="CF1947" s="440"/>
      <c r="DB1947" s="436"/>
      <c r="DC1947" s="120"/>
      <c r="DD1947" s="475"/>
      <c r="DE1947" s="467"/>
      <c r="DF1947" s="440"/>
      <c r="EB1947" s="436"/>
      <c r="EC1947" s="120"/>
      <c r="ED1947" s="475"/>
      <c r="EE1947" s="467"/>
      <c r="EF1947" s="440"/>
    </row>
    <row r="1948" spans="53:136">
      <c r="BB1948" s="436"/>
      <c r="BC1948" s="120"/>
      <c r="BD1948" s="223"/>
      <c r="BE1948" s="467"/>
      <c r="BF1948" s="440"/>
      <c r="CB1948" s="436"/>
      <c r="CC1948" s="120"/>
      <c r="CD1948" s="223"/>
      <c r="CE1948" s="467"/>
      <c r="CF1948" s="440"/>
      <c r="DB1948" s="436"/>
      <c r="DC1948" s="120"/>
      <c r="DD1948" s="223"/>
      <c r="DE1948" s="467"/>
      <c r="DF1948" s="440"/>
      <c r="EB1948" s="436"/>
      <c r="EC1948" s="120"/>
      <c r="ED1948" s="223"/>
      <c r="EE1948" s="467"/>
      <c r="EF1948" s="440"/>
    </row>
    <row r="1949" spans="53:136">
      <c r="BB1949" s="436"/>
      <c r="BC1949" s="120"/>
      <c r="BD1949" s="223"/>
      <c r="BE1949" s="467"/>
      <c r="BF1949" s="440"/>
      <c r="CB1949" s="436"/>
      <c r="CC1949" s="120"/>
      <c r="CD1949" s="223"/>
      <c r="CE1949" s="467"/>
      <c r="CF1949" s="440"/>
      <c r="DB1949" s="436"/>
      <c r="DC1949" s="120"/>
      <c r="DD1949" s="223"/>
      <c r="DE1949" s="467"/>
      <c r="DF1949" s="440"/>
      <c r="EB1949" s="436"/>
      <c r="EC1949" s="120"/>
      <c r="ED1949" s="223"/>
      <c r="EE1949" s="467"/>
      <c r="EF1949" s="440"/>
    </row>
    <row r="1950" spans="53:136">
      <c r="BB1950" s="436"/>
      <c r="BC1950" s="120"/>
      <c r="BD1950" s="223"/>
      <c r="BE1950" s="467"/>
      <c r="BF1950" s="440"/>
      <c r="CB1950" s="436"/>
      <c r="CC1950" s="120"/>
      <c r="CD1950" s="223"/>
      <c r="CE1950" s="467"/>
      <c r="CF1950" s="440"/>
      <c r="DB1950" s="436"/>
      <c r="DC1950" s="120"/>
      <c r="DD1950" s="223"/>
      <c r="DE1950" s="467"/>
      <c r="DF1950" s="440"/>
      <c r="EB1950" s="436"/>
      <c r="EC1950" s="120"/>
      <c r="ED1950" s="223"/>
      <c r="EE1950" s="467"/>
      <c r="EF1950" s="440"/>
    </row>
    <row r="1951" spans="53:136">
      <c r="BB1951" s="436"/>
      <c r="BC1951" s="120"/>
      <c r="BD1951" s="223"/>
      <c r="BE1951" s="467"/>
      <c r="BF1951" s="440"/>
      <c r="CB1951" s="436"/>
      <c r="CC1951" s="120"/>
      <c r="CD1951" s="223"/>
      <c r="CE1951" s="467"/>
      <c r="CF1951" s="440"/>
      <c r="DB1951" s="436"/>
      <c r="DC1951" s="120"/>
      <c r="DD1951" s="223"/>
      <c r="DE1951" s="467"/>
      <c r="DF1951" s="440"/>
      <c r="EB1951" s="436"/>
      <c r="EC1951" s="120"/>
      <c r="ED1951" s="223"/>
      <c r="EE1951" s="467"/>
      <c r="EF1951" s="440"/>
    </row>
    <row r="1952" spans="53:136">
      <c r="BB1952" s="436"/>
      <c r="BC1952" s="120"/>
      <c r="BD1952" s="120"/>
      <c r="BE1952" s="467"/>
      <c r="BF1952" s="440"/>
      <c r="CB1952" s="436"/>
      <c r="CC1952" s="120"/>
      <c r="CD1952" s="120"/>
      <c r="CE1952" s="467"/>
      <c r="CF1952" s="440"/>
      <c r="DB1952" s="436"/>
      <c r="DC1952" s="120"/>
      <c r="DD1952" s="120"/>
      <c r="DE1952" s="467"/>
      <c r="DF1952" s="440"/>
      <c r="EB1952" s="436"/>
      <c r="EC1952" s="120"/>
      <c r="ED1952" s="120"/>
      <c r="EE1952" s="467"/>
      <c r="EF1952" s="440"/>
    </row>
    <row r="1953" spans="54:136">
      <c r="BB1953" s="456"/>
      <c r="BC1953" s="457"/>
      <c r="BD1953" s="457"/>
      <c r="BE1953" s="477"/>
      <c r="BF1953" s="458"/>
      <c r="CB1953" s="456"/>
      <c r="CC1953" s="457"/>
      <c r="CD1953" s="457"/>
      <c r="CE1953" s="477"/>
      <c r="CF1953" s="458"/>
      <c r="DB1953" s="456"/>
      <c r="DC1953" s="457"/>
      <c r="DD1953" s="457"/>
      <c r="DE1953" s="477"/>
      <c r="DF1953" s="458"/>
      <c r="EB1953" s="456"/>
      <c r="EC1953" s="457"/>
      <c r="ED1953" s="457"/>
      <c r="EE1953" s="477"/>
      <c r="EF1953" s="458"/>
    </row>
    <row r="1954" spans="54:136">
      <c r="BB1954" s="449" t="s">
        <v>474</v>
      </c>
      <c r="BC1954" s="120"/>
      <c r="BD1954" s="120" t="s">
        <v>1</v>
      </c>
      <c r="BE1954" s="310" t="s">
        <v>307</v>
      </c>
      <c r="BF1954" s="440"/>
      <c r="CB1954" s="449" t="s">
        <v>474</v>
      </c>
      <c r="CC1954" s="120"/>
      <c r="CD1954" s="120" t="s">
        <v>1</v>
      </c>
      <c r="CE1954" s="310" t="s">
        <v>307</v>
      </c>
      <c r="CF1954" s="440"/>
      <c r="DB1954" s="449" t="s">
        <v>474</v>
      </c>
      <c r="DC1954" s="120"/>
      <c r="DD1954" s="120" t="s">
        <v>1</v>
      </c>
      <c r="DE1954" s="310" t="s">
        <v>307</v>
      </c>
      <c r="DF1954" s="440"/>
      <c r="EB1954" s="449" t="s">
        <v>474</v>
      </c>
      <c r="EC1954" s="120"/>
      <c r="ED1954" s="120" t="s">
        <v>1</v>
      </c>
      <c r="EE1954" s="310" t="s">
        <v>307</v>
      </c>
      <c r="EF1954" s="440"/>
    </row>
    <row r="1955" spans="54:136">
      <c r="BB1955" s="436"/>
      <c r="BC1955" s="223"/>
      <c r="BD1955" s="480"/>
      <c r="BE1955" s="484"/>
      <c r="BF1955" s="440"/>
      <c r="CB1955" s="436"/>
      <c r="CC1955" s="223"/>
      <c r="CD1955" s="480"/>
      <c r="CE1955" s="484"/>
      <c r="CF1955" s="440"/>
      <c r="DB1955" s="436"/>
      <c r="DC1955" s="223"/>
      <c r="DD1955" s="480"/>
      <c r="DE1955" s="484"/>
      <c r="DF1955" s="440"/>
      <c r="EB1955" s="436"/>
      <c r="EC1955" s="223"/>
      <c r="ED1955" s="480"/>
      <c r="EE1955" s="484"/>
      <c r="EF1955" s="440"/>
    </row>
    <row r="1956" spans="54:136">
      <c r="BB1956" s="436"/>
      <c r="BC1956" s="120"/>
      <c r="BD1956" s="120"/>
      <c r="BE1956" s="467"/>
      <c r="BF1956" s="440"/>
      <c r="CB1956" s="436"/>
      <c r="CC1956" s="120"/>
      <c r="CD1956" s="120"/>
      <c r="CE1956" s="467"/>
      <c r="CF1956" s="440"/>
      <c r="DB1956" s="436"/>
      <c r="DC1956" s="120"/>
      <c r="DD1956" s="120"/>
      <c r="DE1956" s="467"/>
      <c r="DF1956" s="440"/>
      <c r="EB1956" s="436"/>
      <c r="EC1956" s="120"/>
      <c r="ED1956" s="120"/>
      <c r="EE1956" s="467"/>
      <c r="EF1956" s="440"/>
    </row>
    <row r="1957" spans="54:136">
      <c r="BB1957" s="436"/>
      <c r="BC1957" s="120"/>
      <c r="BD1957" s="120"/>
      <c r="BE1957" s="467"/>
      <c r="BF1957" s="440"/>
      <c r="CB1957" s="436"/>
      <c r="CC1957" s="120"/>
      <c r="CD1957" s="120"/>
      <c r="CE1957" s="467"/>
      <c r="CF1957" s="440"/>
      <c r="DB1957" s="436"/>
      <c r="DC1957" s="120"/>
      <c r="DD1957" s="120"/>
      <c r="DE1957" s="467"/>
      <c r="DF1957" s="440"/>
      <c r="EB1957" s="436"/>
      <c r="EC1957" s="120"/>
      <c r="ED1957" s="120"/>
      <c r="EE1957" s="467"/>
      <c r="EF1957" s="440"/>
    </row>
    <row r="1958" spans="54:136">
      <c r="BB1958" s="436"/>
      <c r="BC1958" s="120"/>
      <c r="BD1958" s="120"/>
      <c r="BE1958" s="467"/>
      <c r="BF1958" s="440"/>
      <c r="CB1958" s="436"/>
      <c r="CC1958" s="120"/>
      <c r="CD1958" s="120"/>
      <c r="CE1958" s="467"/>
      <c r="CF1958" s="440"/>
      <c r="DB1958" s="436"/>
      <c r="DC1958" s="120"/>
      <c r="DD1958" s="120"/>
      <c r="DE1958" s="467"/>
      <c r="DF1958" s="440"/>
      <c r="EB1958" s="436"/>
      <c r="EC1958" s="120"/>
      <c r="ED1958" s="120"/>
      <c r="EE1958" s="467"/>
      <c r="EF1958" s="440"/>
    </row>
    <row r="1959" spans="54:136">
      <c r="BB1959" s="436"/>
      <c r="BC1959" s="120"/>
      <c r="BD1959" s="120"/>
      <c r="BE1959" s="467"/>
      <c r="BF1959" s="440"/>
      <c r="CB1959" s="436"/>
      <c r="CC1959" s="120"/>
      <c r="CD1959" s="120"/>
      <c r="CE1959" s="467"/>
      <c r="CF1959" s="440"/>
      <c r="DB1959" s="436"/>
      <c r="DC1959" s="120"/>
      <c r="DD1959" s="120"/>
      <c r="DE1959" s="467"/>
      <c r="DF1959" s="440"/>
      <c r="EB1959" s="436"/>
      <c r="EC1959" s="120"/>
      <c r="ED1959" s="120"/>
      <c r="EE1959" s="467"/>
      <c r="EF1959" s="440"/>
    </row>
    <row r="1960" spans="54:136">
      <c r="BB1960" s="436"/>
      <c r="BC1960" s="120"/>
      <c r="BD1960" s="120"/>
      <c r="BE1960" s="467"/>
      <c r="BF1960" s="440"/>
      <c r="CB1960" s="436"/>
      <c r="CC1960" s="120"/>
      <c r="CD1960" s="120"/>
      <c r="CE1960" s="467"/>
      <c r="CF1960" s="440"/>
      <c r="DB1960" s="436"/>
      <c r="DC1960" s="120"/>
      <c r="DD1960" s="120"/>
      <c r="DE1960" s="467"/>
      <c r="DF1960" s="440"/>
      <c r="EB1960" s="436"/>
      <c r="EC1960" s="120"/>
      <c r="ED1960" s="120"/>
      <c r="EE1960" s="467"/>
      <c r="EF1960" s="440"/>
    </row>
    <row r="1961" spans="54:136">
      <c r="BB1961" s="436"/>
      <c r="BC1961" s="120"/>
      <c r="BD1961" s="120"/>
      <c r="BE1961" s="467"/>
      <c r="BF1961" s="440"/>
      <c r="CB1961" s="436"/>
      <c r="CC1961" s="120"/>
      <c r="CD1961" s="120"/>
      <c r="CE1961" s="467"/>
      <c r="CF1961" s="440"/>
      <c r="DB1961" s="436"/>
      <c r="DC1961" s="120"/>
      <c r="DD1961" s="120"/>
      <c r="DE1961" s="467"/>
      <c r="DF1961" s="440"/>
      <c r="EB1961" s="436"/>
      <c r="EC1961" s="120"/>
      <c r="ED1961" s="120"/>
      <c r="EE1961" s="467"/>
      <c r="EF1961" s="440"/>
    </row>
    <row r="1962" spans="54:136">
      <c r="BB1962" s="436"/>
      <c r="BC1962" s="120"/>
      <c r="BD1962" s="120"/>
      <c r="BE1962" s="467"/>
      <c r="BF1962" s="440"/>
      <c r="CB1962" s="436"/>
      <c r="CC1962" s="120"/>
      <c r="CD1962" s="120"/>
      <c r="CE1962" s="467"/>
      <c r="CF1962" s="440"/>
      <c r="DB1962" s="436"/>
      <c r="DC1962" s="120"/>
      <c r="DD1962" s="120"/>
      <c r="DE1962" s="467"/>
      <c r="DF1962" s="440"/>
      <c r="EB1962" s="436"/>
      <c r="EC1962" s="120"/>
      <c r="ED1962" s="120"/>
      <c r="EE1962" s="467"/>
      <c r="EF1962" s="440"/>
    </row>
    <row r="1963" spans="54:136">
      <c r="BB1963" s="436"/>
      <c r="BC1963" s="120"/>
      <c r="BD1963" s="120"/>
      <c r="BE1963" s="467"/>
      <c r="BF1963" s="440"/>
      <c r="CB1963" s="436"/>
      <c r="CC1963" s="120"/>
      <c r="CD1963" s="120"/>
      <c r="CE1963" s="467"/>
      <c r="CF1963" s="440"/>
      <c r="DB1963" s="436"/>
      <c r="DC1963" s="120"/>
      <c r="DD1963" s="120"/>
      <c r="DE1963" s="467"/>
      <c r="DF1963" s="440"/>
      <c r="EB1963" s="436"/>
      <c r="EC1963" s="120"/>
      <c r="ED1963" s="120"/>
      <c r="EE1963" s="467"/>
      <c r="EF1963" s="440"/>
    </row>
    <row r="1964" spans="54:136">
      <c r="BB1964" s="436"/>
      <c r="BC1964" s="120"/>
      <c r="BD1964" s="120"/>
      <c r="BE1964" s="467"/>
      <c r="BF1964" s="440"/>
      <c r="CB1964" s="436"/>
      <c r="CC1964" s="120"/>
      <c r="CD1964" s="120"/>
      <c r="CE1964" s="467"/>
      <c r="CF1964" s="440"/>
      <c r="DB1964" s="436"/>
      <c r="DC1964" s="120"/>
      <c r="DD1964" s="120"/>
      <c r="DE1964" s="467"/>
      <c r="DF1964" s="440"/>
      <c r="EB1964" s="436"/>
      <c r="EC1964" s="120"/>
      <c r="ED1964" s="120"/>
      <c r="EE1964" s="467"/>
      <c r="EF1964" s="440"/>
    </row>
    <row r="1965" spans="54:136">
      <c r="BB1965" s="436"/>
      <c r="BC1965" s="120"/>
      <c r="BD1965" s="120"/>
      <c r="BE1965" s="467"/>
      <c r="BF1965" s="440"/>
      <c r="CB1965" s="436"/>
      <c r="CC1965" s="120"/>
      <c r="CD1965" s="120"/>
      <c r="CE1965" s="467"/>
      <c r="CF1965" s="440"/>
      <c r="DB1965" s="436"/>
      <c r="DC1965" s="120"/>
      <c r="DD1965" s="120"/>
      <c r="DE1965" s="467"/>
      <c r="DF1965" s="440"/>
      <c r="EB1965" s="436"/>
      <c r="EC1965" s="120"/>
      <c r="ED1965" s="120"/>
      <c r="EE1965" s="467"/>
      <c r="EF1965" s="440"/>
    </row>
    <row r="1966" spans="54:136">
      <c r="BB1966" s="436"/>
      <c r="BC1966" s="120"/>
      <c r="BD1966" s="120"/>
      <c r="BE1966" s="467"/>
      <c r="BF1966" s="440"/>
      <c r="CB1966" s="436"/>
      <c r="CC1966" s="120"/>
      <c r="CD1966" s="120"/>
      <c r="CE1966" s="467"/>
      <c r="CF1966" s="440"/>
      <c r="DB1966" s="436"/>
      <c r="DC1966" s="120"/>
      <c r="DD1966" s="120"/>
      <c r="DE1966" s="467"/>
      <c r="DF1966" s="440"/>
      <c r="EB1966" s="436"/>
      <c r="EC1966" s="120"/>
      <c r="ED1966" s="120"/>
      <c r="EE1966" s="467"/>
      <c r="EF1966" s="440"/>
    </row>
    <row r="1967" spans="54:136">
      <c r="BB1967" s="456"/>
      <c r="BC1967" s="457"/>
      <c r="BD1967" s="457"/>
      <c r="BE1967" s="477"/>
      <c r="BF1967" s="458"/>
      <c r="CB1967" s="456"/>
      <c r="CC1967" s="457"/>
      <c r="CD1967" s="457"/>
      <c r="CE1967" s="477"/>
      <c r="CF1967" s="458"/>
      <c r="DB1967" s="456"/>
      <c r="DC1967" s="457"/>
      <c r="DD1967" s="457"/>
      <c r="DE1967" s="477"/>
      <c r="DF1967" s="458"/>
      <c r="EB1967" s="456"/>
      <c r="EC1967" s="457"/>
      <c r="ED1967" s="457"/>
      <c r="EE1967" s="477"/>
      <c r="EF1967" s="458"/>
    </row>
    <row r="1968" spans="54:136">
      <c r="BB1968" s="456"/>
      <c r="BC1968" s="457"/>
      <c r="BD1968" s="457"/>
      <c r="BE1968" s="457"/>
      <c r="BF1968" s="458"/>
      <c r="CB1968" s="456"/>
      <c r="CC1968" s="457"/>
      <c r="CD1968" s="457"/>
      <c r="CE1968" s="457"/>
      <c r="CF1968" s="458"/>
      <c r="DB1968" s="456"/>
      <c r="DC1968" s="457"/>
      <c r="DD1968" s="457"/>
      <c r="DE1968" s="457"/>
      <c r="DF1968" s="458"/>
      <c r="EB1968" s="456"/>
      <c r="EC1968" s="457"/>
      <c r="ED1968" s="457"/>
      <c r="EE1968" s="457"/>
      <c r="EF1968" s="458"/>
    </row>
    <row r="1969" spans="54:136">
      <c r="BB1969" s="449" t="s">
        <v>475</v>
      </c>
      <c r="BC1969" s="120"/>
      <c r="BD1969" s="120"/>
      <c r="BE1969" s="120"/>
      <c r="BF1969" s="440"/>
      <c r="CB1969" s="449" t="s">
        <v>475</v>
      </c>
      <c r="CC1969" s="120"/>
      <c r="CD1969" s="120"/>
      <c r="CE1969" s="120"/>
      <c r="CF1969" s="440"/>
      <c r="DB1969" s="449" t="s">
        <v>475</v>
      </c>
      <c r="DC1969" s="120"/>
      <c r="DD1969" s="120"/>
      <c r="DE1969" s="120"/>
      <c r="DF1969" s="440"/>
      <c r="EB1969" s="449" t="s">
        <v>475</v>
      </c>
      <c r="EC1969" s="120"/>
      <c r="ED1969" s="120"/>
      <c r="EE1969" s="120"/>
      <c r="EF1969" s="440"/>
    </row>
    <row r="1970" spans="54:136">
      <c r="BB1970" s="436" t="s">
        <v>509</v>
      </c>
      <c r="BC1970" s="120"/>
      <c r="BD1970" s="120"/>
      <c r="BE1970" s="120"/>
      <c r="BF1970" s="440"/>
      <c r="CB1970" s="436" t="s">
        <v>509</v>
      </c>
      <c r="CC1970" s="120"/>
      <c r="CD1970" s="120"/>
      <c r="CE1970" s="120"/>
      <c r="CF1970" s="440"/>
      <c r="DB1970" s="436" t="s">
        <v>509</v>
      </c>
      <c r="DC1970" s="120"/>
      <c r="DD1970" s="120"/>
      <c r="DE1970" s="120"/>
      <c r="DF1970" s="440"/>
      <c r="EB1970" s="436" t="s">
        <v>509</v>
      </c>
      <c r="EC1970" s="120"/>
      <c r="ED1970" s="120"/>
      <c r="EE1970" s="120"/>
      <c r="EF1970" s="440"/>
    </row>
    <row r="1971" spans="54:136">
      <c r="BB1971" s="436" t="s">
        <v>510</v>
      </c>
      <c r="BC1971" s="120"/>
      <c r="BD1971" s="120"/>
      <c r="BE1971" s="120"/>
      <c r="BF1971" s="440"/>
      <c r="CB1971" s="436" t="s">
        <v>510</v>
      </c>
      <c r="CC1971" s="120"/>
      <c r="CD1971" s="120"/>
      <c r="CE1971" s="120"/>
      <c r="CF1971" s="440"/>
      <c r="DB1971" s="436" t="s">
        <v>510</v>
      </c>
      <c r="DC1971" s="120"/>
      <c r="DD1971" s="120"/>
      <c r="DE1971" s="120"/>
      <c r="DF1971" s="440"/>
      <c r="EB1971" s="436" t="s">
        <v>510</v>
      </c>
      <c r="EC1971" s="120"/>
      <c r="ED1971" s="120"/>
      <c r="EE1971" s="120"/>
      <c r="EF1971" s="440"/>
    </row>
    <row r="1972" spans="54:136">
      <c r="BB1972" s="436"/>
      <c r="BC1972" s="120"/>
      <c r="BD1972" s="120"/>
      <c r="BE1972" s="120"/>
      <c r="BF1972" s="440"/>
      <c r="CB1972" s="436"/>
      <c r="CC1972" s="120"/>
      <c r="CD1972" s="120"/>
      <c r="CE1972" s="120"/>
      <c r="CF1972" s="440"/>
      <c r="DB1972" s="436"/>
      <c r="DC1972" s="120"/>
      <c r="DD1972" s="120"/>
      <c r="DE1972" s="120"/>
      <c r="DF1972" s="440"/>
      <c r="EB1972" s="436"/>
      <c r="EC1972" s="120"/>
      <c r="ED1972" s="120"/>
      <c r="EE1972" s="120"/>
      <c r="EF1972" s="440"/>
    </row>
    <row r="1973" spans="54:136">
      <c r="BB1973" s="436"/>
      <c r="BC1973" s="120"/>
      <c r="BD1973" s="120"/>
      <c r="BE1973" s="120"/>
      <c r="BF1973" s="440"/>
      <c r="CB1973" s="436"/>
      <c r="CC1973" s="120"/>
      <c r="CD1973" s="120"/>
      <c r="CE1973" s="120"/>
      <c r="CF1973" s="440"/>
      <c r="DB1973" s="436"/>
      <c r="DC1973" s="120"/>
      <c r="DD1973" s="120"/>
      <c r="DE1973" s="120"/>
      <c r="DF1973" s="440"/>
      <c r="EB1973" s="436"/>
      <c r="EC1973" s="120"/>
      <c r="ED1973" s="120"/>
      <c r="EE1973" s="120"/>
      <c r="EF1973" s="440"/>
    </row>
    <row r="1974" spans="54:136">
      <c r="BB1974" s="436"/>
      <c r="BC1974" s="120"/>
      <c r="BD1974" s="120"/>
      <c r="BE1974" s="120"/>
      <c r="BF1974" s="440"/>
      <c r="CB1974" s="436"/>
      <c r="CC1974" s="120"/>
      <c r="CD1974" s="120"/>
      <c r="CE1974" s="120"/>
      <c r="CF1974" s="440"/>
      <c r="DB1974" s="436"/>
      <c r="DC1974" s="120"/>
      <c r="DD1974" s="120"/>
      <c r="DE1974" s="120"/>
      <c r="DF1974" s="440"/>
      <c r="EB1974" s="436"/>
      <c r="EC1974" s="120"/>
      <c r="ED1974" s="120"/>
      <c r="EE1974" s="120"/>
      <c r="EF1974" s="440"/>
    </row>
    <row r="1975" spans="54:136">
      <c r="BB1975" s="436"/>
      <c r="BC1975" s="120"/>
      <c r="BD1975" s="120"/>
      <c r="BE1975" s="120"/>
      <c r="BF1975" s="440"/>
      <c r="CB1975" s="436"/>
      <c r="CC1975" s="120"/>
      <c r="CD1975" s="120"/>
      <c r="CE1975" s="120"/>
      <c r="CF1975" s="440"/>
      <c r="DB1975" s="436"/>
      <c r="DC1975" s="120"/>
      <c r="DD1975" s="120"/>
      <c r="DE1975" s="120"/>
      <c r="DF1975" s="440"/>
      <c r="EB1975" s="436"/>
      <c r="EC1975" s="120"/>
      <c r="ED1975" s="120"/>
      <c r="EE1975" s="120"/>
      <c r="EF1975" s="440"/>
    </row>
    <row r="1976" spans="54:136">
      <c r="BB1976" s="436" t="s">
        <v>511</v>
      </c>
      <c r="BC1976" s="120">
        <v>0</v>
      </c>
      <c r="BD1976" s="120" t="s">
        <v>512</v>
      </c>
      <c r="BE1976" s="120"/>
      <c r="BF1976" s="440"/>
      <c r="CB1976" s="436" t="s">
        <v>511</v>
      </c>
      <c r="CC1976" s="120">
        <v>0</v>
      </c>
      <c r="CD1976" s="120" t="s">
        <v>512</v>
      </c>
      <c r="CE1976" s="120"/>
      <c r="CF1976" s="440"/>
      <c r="DB1976" s="436" t="s">
        <v>511</v>
      </c>
      <c r="DC1976" s="120">
        <v>0</v>
      </c>
      <c r="DD1976" s="120" t="s">
        <v>512</v>
      </c>
      <c r="DE1976" s="120"/>
      <c r="DF1976" s="440"/>
      <c r="EB1976" s="436" t="s">
        <v>511</v>
      </c>
      <c r="EC1976" s="120">
        <v>0</v>
      </c>
      <c r="ED1976" s="120" t="s">
        <v>512</v>
      </c>
      <c r="EE1976" s="120"/>
      <c r="EF1976" s="440"/>
    </row>
    <row r="1977" spans="54:136">
      <c r="BB1977" s="436" t="s">
        <v>513</v>
      </c>
      <c r="BC1977" s="120">
        <v>0</v>
      </c>
      <c r="BD1977" s="120" t="s">
        <v>512</v>
      </c>
      <c r="BE1977" s="120"/>
      <c r="BF1977" s="440"/>
      <c r="CB1977" s="436" t="s">
        <v>513</v>
      </c>
      <c r="CC1977" s="120">
        <v>0</v>
      </c>
      <c r="CD1977" s="120" t="s">
        <v>512</v>
      </c>
      <c r="CE1977" s="120"/>
      <c r="CF1977" s="440"/>
      <c r="DB1977" s="436" t="s">
        <v>513</v>
      </c>
      <c r="DC1977" s="120">
        <v>0</v>
      </c>
      <c r="DD1977" s="120" t="s">
        <v>512</v>
      </c>
      <c r="DE1977" s="120"/>
      <c r="DF1977" s="440"/>
      <c r="EB1977" s="436" t="s">
        <v>513</v>
      </c>
      <c r="EC1977" s="120">
        <v>0</v>
      </c>
      <c r="ED1977" s="120" t="s">
        <v>512</v>
      </c>
      <c r="EE1977" s="120"/>
      <c r="EF1977" s="440"/>
    </row>
    <row r="1978" spans="54:136">
      <c r="BB1978" s="456"/>
      <c r="BC1978" s="457"/>
      <c r="BD1978" s="457"/>
      <c r="BE1978" s="457"/>
      <c r="BF1978" s="458"/>
      <c r="CB1978" s="456"/>
      <c r="CC1978" s="457"/>
      <c r="CD1978" s="457"/>
      <c r="CE1978" s="457"/>
      <c r="CF1978" s="458"/>
      <c r="DB1978" s="456"/>
      <c r="DC1978" s="457"/>
      <c r="DD1978" s="457"/>
      <c r="DE1978" s="457"/>
      <c r="DF1978" s="458"/>
      <c r="EB1978" s="456"/>
      <c r="EC1978" s="457"/>
      <c r="ED1978" s="457"/>
      <c r="EE1978" s="457"/>
      <c r="EF1978" s="458"/>
    </row>
    <row r="1979" spans="54:136">
      <c r="BB1979" s="449" t="s">
        <v>461</v>
      </c>
      <c r="BC1979" s="120"/>
      <c r="BD1979" s="120"/>
      <c r="BE1979" s="120"/>
      <c r="BF1979" s="440"/>
      <c r="CB1979" s="449" t="s">
        <v>461</v>
      </c>
      <c r="CC1979" s="120"/>
      <c r="CD1979" s="120"/>
      <c r="CE1979" s="120"/>
      <c r="CF1979" s="440"/>
      <c r="DB1979" s="449" t="s">
        <v>461</v>
      </c>
      <c r="DC1979" s="120"/>
      <c r="DD1979" s="120"/>
      <c r="DE1979" s="120"/>
      <c r="DF1979" s="440"/>
      <c r="EB1979" s="449" t="s">
        <v>461</v>
      </c>
      <c r="EC1979" s="120"/>
      <c r="ED1979" s="120"/>
      <c r="EE1979" s="120"/>
      <c r="EF1979" s="440"/>
    </row>
    <row r="1980" spans="54:136">
      <c r="BB1980" s="436" t="s">
        <v>514</v>
      </c>
      <c r="BC1980" s="120">
        <f>VLOOKUP(BB1908,'Unit Ops'!$B$140:$K$209,10,FALSE)</f>
        <v>0</v>
      </c>
      <c r="BD1980" s="120" t="s">
        <v>515</v>
      </c>
      <c r="BE1980" s="120"/>
      <c r="BF1980" s="440"/>
      <c r="CB1980" s="436" t="s">
        <v>514</v>
      </c>
      <c r="CC1980" s="120">
        <f>VLOOKUP(CB1908,'Unit Ops'!$B$140:$K$209,10,FALSE)</f>
        <v>0</v>
      </c>
      <c r="CD1980" s="120" t="s">
        <v>515</v>
      </c>
      <c r="CE1980" s="120"/>
      <c r="CF1980" s="440"/>
      <c r="DB1980" s="436" t="s">
        <v>514</v>
      </c>
      <c r="DC1980" s="120">
        <f>VLOOKUP(DB1908,'Unit Ops'!$B$140:$K$209,10,FALSE)</f>
        <v>0</v>
      </c>
      <c r="DD1980" s="120" t="s">
        <v>515</v>
      </c>
      <c r="DE1980" s="120"/>
      <c r="DF1980" s="440"/>
      <c r="EB1980" s="436" t="s">
        <v>514</v>
      </c>
      <c r="EC1980" s="120">
        <f>VLOOKUP(EB1908,'Unit Ops'!$B$140:$K$209,10,FALSE)</f>
        <v>0</v>
      </c>
      <c r="ED1980" s="120" t="s">
        <v>515</v>
      </c>
      <c r="EE1980" s="120"/>
      <c r="EF1980" s="440"/>
    </row>
    <row r="1981" spans="54:136">
      <c r="BB1981" s="436" t="s">
        <v>516</v>
      </c>
      <c r="BC1981" s="120">
        <v>0</v>
      </c>
      <c r="BD1981" s="120" t="s">
        <v>515</v>
      </c>
      <c r="BE1981" s="120"/>
      <c r="BF1981" s="440"/>
      <c r="CB1981" s="436" t="s">
        <v>516</v>
      </c>
      <c r="CC1981" s="120">
        <v>0</v>
      </c>
      <c r="CD1981" s="120" t="s">
        <v>515</v>
      </c>
      <c r="CE1981" s="120"/>
      <c r="CF1981" s="440"/>
      <c r="DB1981" s="436" t="s">
        <v>516</v>
      </c>
      <c r="DC1981" s="120">
        <v>0</v>
      </c>
      <c r="DD1981" s="120" t="s">
        <v>515</v>
      </c>
      <c r="DE1981" s="120"/>
      <c r="DF1981" s="440"/>
      <c r="EB1981" s="436" t="s">
        <v>516</v>
      </c>
      <c r="EC1981" s="120">
        <v>0</v>
      </c>
      <c r="ED1981" s="120" t="s">
        <v>515</v>
      </c>
      <c r="EE1981" s="120"/>
      <c r="EF1981" s="440"/>
    </row>
    <row r="1982" spans="54:136">
      <c r="BB1982" s="436"/>
      <c r="BC1982" s="120"/>
      <c r="BD1982" s="120"/>
      <c r="BE1982" s="120"/>
      <c r="BF1982" s="440"/>
      <c r="CB1982" s="436"/>
      <c r="CC1982" s="120"/>
      <c r="CD1982" s="120"/>
      <c r="CE1982" s="120"/>
      <c r="CF1982" s="440"/>
      <c r="DB1982" s="436"/>
      <c r="DC1982" s="120"/>
      <c r="DD1982" s="120"/>
      <c r="DE1982" s="120"/>
      <c r="DF1982" s="440"/>
      <c r="EB1982" s="436"/>
      <c r="EC1982" s="120"/>
      <c r="ED1982" s="120"/>
      <c r="EE1982" s="120"/>
      <c r="EF1982" s="440"/>
    </row>
    <row r="1983" spans="54:136">
      <c r="BB1983" s="436"/>
      <c r="BC1983" s="120"/>
      <c r="BD1983" s="120"/>
      <c r="BE1983" s="120"/>
      <c r="BF1983" s="440"/>
      <c r="CB1983" s="436"/>
      <c r="CC1983" s="120"/>
      <c r="CD1983" s="120"/>
      <c r="CE1983" s="120"/>
      <c r="CF1983" s="440"/>
      <c r="DB1983" s="436"/>
      <c r="DC1983" s="120"/>
      <c r="DD1983" s="120"/>
      <c r="DE1983" s="120"/>
      <c r="DF1983" s="440"/>
      <c r="EB1983" s="436"/>
      <c r="EC1983" s="120"/>
      <c r="ED1983" s="120"/>
      <c r="EE1983" s="120"/>
      <c r="EF1983" s="440"/>
    </row>
    <row r="1984" spans="54:136">
      <c r="BB1984" s="436"/>
      <c r="BC1984" s="120"/>
      <c r="BD1984" s="120"/>
      <c r="BE1984" s="120"/>
      <c r="BF1984" s="440"/>
      <c r="CB1984" s="436"/>
      <c r="CC1984" s="120"/>
      <c r="CD1984" s="120"/>
      <c r="CE1984" s="120"/>
      <c r="CF1984" s="440"/>
      <c r="DB1984" s="436"/>
      <c r="DC1984" s="120"/>
      <c r="DD1984" s="120"/>
      <c r="DE1984" s="120"/>
      <c r="DF1984" s="440"/>
      <c r="EB1984" s="436"/>
      <c r="EC1984" s="120"/>
      <c r="ED1984" s="120"/>
      <c r="EE1984" s="120"/>
      <c r="EF1984" s="440"/>
    </row>
    <row r="1985" spans="54:136">
      <c r="BB1985" s="436"/>
      <c r="BC1985" s="120"/>
      <c r="BD1985" s="120"/>
      <c r="BE1985" s="120"/>
      <c r="BF1985" s="440"/>
      <c r="CB1985" s="436"/>
      <c r="CC1985" s="120"/>
      <c r="CD1985" s="120"/>
      <c r="CE1985" s="120"/>
      <c r="CF1985" s="440"/>
      <c r="DB1985" s="436"/>
      <c r="DC1985" s="120"/>
      <c r="DD1985" s="120"/>
      <c r="DE1985" s="120"/>
      <c r="DF1985" s="440"/>
      <c r="EB1985" s="436"/>
      <c r="EC1985" s="120"/>
      <c r="ED1985" s="120"/>
      <c r="EE1985" s="120"/>
      <c r="EF1985" s="440"/>
    </row>
    <row r="1986" spans="54:136">
      <c r="BB1986" s="436"/>
      <c r="BC1986" s="120"/>
      <c r="BD1986" s="120"/>
      <c r="BE1986" s="120"/>
      <c r="BF1986" s="440"/>
      <c r="CB1986" s="436"/>
      <c r="CC1986" s="120"/>
      <c r="CD1986" s="120"/>
      <c r="CE1986" s="120"/>
      <c r="CF1986" s="440"/>
      <c r="DB1986" s="436"/>
      <c r="DC1986" s="120"/>
      <c r="DD1986" s="120"/>
      <c r="DE1986" s="120"/>
      <c r="DF1986" s="440"/>
      <c r="EB1986" s="436"/>
      <c r="EC1986" s="120"/>
      <c r="ED1986" s="120"/>
      <c r="EE1986" s="120"/>
      <c r="EF1986" s="440"/>
    </row>
    <row r="1987" spans="54:136">
      <c r="BB1987" s="436" t="s">
        <v>464</v>
      </c>
      <c r="BC1987" s="120"/>
      <c r="BD1987" s="120"/>
      <c r="BE1987" s="120"/>
      <c r="BF1987" s="440"/>
      <c r="CB1987" s="436" t="s">
        <v>464</v>
      </c>
      <c r="CC1987" s="120"/>
      <c r="CD1987" s="120"/>
      <c r="CE1987" s="120"/>
      <c r="CF1987" s="440"/>
      <c r="DB1987" s="436" t="s">
        <v>464</v>
      </c>
      <c r="DC1987" s="120"/>
      <c r="DD1987" s="120"/>
      <c r="DE1987" s="120"/>
      <c r="DF1987" s="440"/>
      <c r="EB1987" s="436" t="s">
        <v>464</v>
      </c>
      <c r="EC1987" s="120"/>
      <c r="ED1987" s="120"/>
      <c r="EE1987" s="120"/>
      <c r="EF1987" s="440"/>
    </row>
    <row r="1988" spans="54:136">
      <c r="BB1988" s="456"/>
      <c r="BC1988" s="457"/>
      <c r="BD1988" s="457"/>
      <c r="BE1988" s="457"/>
      <c r="BF1988" s="458"/>
      <c r="CB1988" s="456"/>
      <c r="CC1988" s="457"/>
      <c r="CD1988" s="457"/>
      <c r="CE1988" s="457"/>
      <c r="CF1988" s="458"/>
      <c r="DB1988" s="456"/>
      <c r="DC1988" s="457"/>
      <c r="DD1988" s="457"/>
      <c r="DE1988" s="457"/>
      <c r="DF1988" s="458"/>
      <c r="EB1988" s="456"/>
      <c r="EC1988" s="457"/>
      <c r="ED1988" s="457"/>
      <c r="EE1988" s="457"/>
      <c r="EF1988" s="458"/>
    </row>
    <row r="1989" spans="54:136">
      <c r="BB1989" s="449" t="s">
        <v>472</v>
      </c>
      <c r="BC1989" s="467" t="s">
        <v>517</v>
      </c>
      <c r="BD1989" s="120" t="s">
        <v>518</v>
      </c>
      <c r="BE1989" s="467" t="s">
        <v>519</v>
      </c>
      <c r="BF1989" s="440" t="s">
        <v>518</v>
      </c>
      <c r="CB1989" s="449" t="s">
        <v>472</v>
      </c>
      <c r="CC1989" s="467" t="s">
        <v>517</v>
      </c>
      <c r="CD1989" s="120" t="s">
        <v>518</v>
      </c>
      <c r="CE1989" s="467" t="s">
        <v>519</v>
      </c>
      <c r="CF1989" s="440" t="s">
        <v>518</v>
      </c>
      <c r="DB1989" s="449" t="s">
        <v>472</v>
      </c>
      <c r="DC1989" s="467" t="s">
        <v>517</v>
      </c>
      <c r="DD1989" s="120" t="s">
        <v>518</v>
      </c>
      <c r="DE1989" s="467" t="s">
        <v>519</v>
      </c>
      <c r="DF1989" s="440" t="s">
        <v>518</v>
      </c>
      <c r="EB1989" s="449" t="s">
        <v>472</v>
      </c>
      <c r="EC1989" s="467" t="s">
        <v>517</v>
      </c>
      <c r="ED1989" s="120" t="s">
        <v>518</v>
      </c>
      <c r="EE1989" s="467" t="s">
        <v>519</v>
      </c>
      <c r="EF1989" s="440" t="s">
        <v>518</v>
      </c>
    </row>
    <row r="1990" spans="54:136">
      <c r="BB1990" s="436" t="s">
        <v>520</v>
      </c>
      <c r="BC1990" s="120"/>
      <c r="BD1990" s="120"/>
      <c r="BE1990" s="472">
        <f>((VLOOKUP(BB1908,'Unit Ops'!$B$140:$J$209,3,FALSE)*BC1910^VLOOKUP(BB1908,'Unit Ops'!$B$140:$J$209,4,FALSE)+VLOOKUP(BB1908,'Unit Ops'!$B$140:$J$209,5,FALSE))*VLOOKUP(BB1908,'Unit Ops'!$B$140:$J$209,6,FALSE))*IF(VLOOKUP(BB1908,'Unit Ops'!$B$140:$L$209,11,FALSE)=1,1,2)</f>
        <v>0</v>
      </c>
      <c r="BF1990" s="490">
        <f>$C$7</f>
        <v>2022</v>
      </c>
      <c r="CB1990" s="436" t="s">
        <v>520</v>
      </c>
      <c r="CC1990" s="120"/>
      <c r="CD1990" s="120"/>
      <c r="CE1990" s="472">
        <f>((VLOOKUP(CB1908,'Unit Ops'!$B$140:$J$209,3,FALSE)*CC1910^VLOOKUP(CB1908,'Unit Ops'!$B$140:$J$209,4,FALSE)+VLOOKUP(CB1908,'Unit Ops'!$B$140:$J$209,5,FALSE))*VLOOKUP(CB1908,'Unit Ops'!$B$140:$J$209,6,FALSE))*IF(VLOOKUP(CB1908,'Unit Ops'!$B$140:$L$209,11,FALSE)=1,1,2)</f>
        <v>0</v>
      </c>
      <c r="CF1990" s="490">
        <f>$C$7</f>
        <v>2022</v>
      </c>
      <c r="DB1990" s="436" t="s">
        <v>520</v>
      </c>
      <c r="DC1990" s="120"/>
      <c r="DD1990" s="120"/>
      <c r="DE1990" s="472">
        <f>((VLOOKUP(DB1908,'Unit Ops'!$B$140:$J$209,3,FALSE)*DC1910^VLOOKUP(DB1908,'Unit Ops'!$B$140:$J$209,4,FALSE)+VLOOKUP(DB1908,'Unit Ops'!$B$140:$J$209,5,FALSE))*VLOOKUP(DB1908,'Unit Ops'!$B$140:$J$209,6,FALSE))*IF(VLOOKUP(DB1908,'Unit Ops'!$B$140:$L$209,11,FALSE)=1,1,2)</f>
        <v>0</v>
      </c>
      <c r="DF1990" s="490">
        <f>$C$7</f>
        <v>2022</v>
      </c>
      <c r="EB1990" s="436" t="s">
        <v>520</v>
      </c>
      <c r="EC1990" s="120"/>
      <c r="ED1990" s="120"/>
      <c r="EE1990" s="472">
        <f>((VLOOKUP(EB1908,'Unit Ops'!$B$140:$J$209,3,FALSE)*EC1910^VLOOKUP(EB1908,'Unit Ops'!$B$140:$J$209,4,FALSE)+VLOOKUP(EB1908,'Unit Ops'!$B$140:$J$209,5,FALSE))*VLOOKUP(EB1908,'Unit Ops'!$B$140:$J$209,6,FALSE))*IF(VLOOKUP(EB1908,'Unit Ops'!$B$140:$L$209,11,FALSE)=1,1,2)</f>
        <v>0</v>
      </c>
      <c r="EF1990" s="490">
        <f>$C$7</f>
        <v>2022</v>
      </c>
    </row>
    <row r="1991" spans="54:136">
      <c r="BB1991" s="436"/>
      <c r="BC1991" s="120"/>
      <c r="BD1991" s="120"/>
      <c r="BE1991" s="120"/>
      <c r="BF1991" s="440"/>
      <c r="CB1991" s="436"/>
      <c r="CC1991" s="120"/>
      <c r="CD1991" s="120"/>
      <c r="CE1991" s="120"/>
      <c r="CF1991" s="440"/>
      <c r="DB1991" s="436"/>
      <c r="DC1991" s="120"/>
      <c r="DD1991" s="120"/>
      <c r="DE1991" s="120"/>
      <c r="DF1991" s="440"/>
      <c r="EB1991" s="436"/>
      <c r="EC1991" s="120"/>
      <c r="ED1991" s="120"/>
      <c r="EE1991" s="120"/>
      <c r="EF1991" s="440"/>
    </row>
    <row r="1992" spans="54:136">
      <c r="BB1992" s="436"/>
      <c r="BC1992" s="120"/>
      <c r="BD1992" s="120"/>
      <c r="BE1992" s="120"/>
      <c r="BF1992" s="440"/>
      <c r="CB1992" s="436"/>
      <c r="CC1992" s="120"/>
      <c r="CD1992" s="120"/>
      <c r="CE1992" s="120"/>
      <c r="CF1992" s="440"/>
      <c r="DB1992" s="436"/>
      <c r="DC1992" s="120"/>
      <c r="DD1992" s="120"/>
      <c r="DE1992" s="120"/>
      <c r="DF1992" s="440"/>
      <c r="EB1992" s="436"/>
      <c r="EC1992" s="120"/>
      <c r="ED1992" s="120"/>
      <c r="EE1992" s="120"/>
      <c r="EF1992" s="440"/>
    </row>
    <row r="1993" spans="54:136">
      <c r="BB1993" s="436"/>
      <c r="BC1993" s="120"/>
      <c r="BD1993" s="120"/>
      <c r="BE1993" s="120"/>
      <c r="BF1993" s="440"/>
      <c r="CB1993" s="436"/>
      <c r="CC1993" s="120"/>
      <c r="CD1993" s="120"/>
      <c r="CE1993" s="120"/>
      <c r="CF1993" s="440"/>
      <c r="DB1993" s="436"/>
      <c r="DC1993" s="120"/>
      <c r="DD1993" s="120"/>
      <c r="DE1993" s="120"/>
      <c r="DF1993" s="440"/>
      <c r="EB1993" s="436"/>
      <c r="EC1993" s="120"/>
      <c r="ED1993" s="120"/>
      <c r="EE1993" s="120"/>
      <c r="EF1993" s="440"/>
    </row>
    <row r="1994" spans="54:136">
      <c r="BB1994" s="436"/>
      <c r="BC1994" s="120"/>
      <c r="BD1994" s="120"/>
      <c r="BE1994" s="120"/>
      <c r="BF1994" s="440"/>
      <c r="CB1994" s="436"/>
      <c r="CC1994" s="120"/>
      <c r="CD1994" s="120"/>
      <c r="CE1994" s="120"/>
      <c r="CF1994" s="440"/>
      <c r="DB1994" s="436"/>
      <c r="DC1994" s="120"/>
      <c r="DD1994" s="120"/>
      <c r="DE1994" s="120"/>
      <c r="DF1994" s="440"/>
      <c r="EB1994" s="436"/>
      <c r="EC1994" s="120"/>
      <c r="ED1994" s="120"/>
      <c r="EE1994" s="120"/>
      <c r="EF1994" s="440"/>
    </row>
    <row r="1995" spans="54:136">
      <c r="BB1995" s="436"/>
      <c r="BC1995" s="120"/>
      <c r="BD1995" s="120"/>
      <c r="BE1995" s="120"/>
      <c r="BF1995" s="440"/>
      <c r="CB1995" s="436"/>
      <c r="CC1995" s="120"/>
      <c r="CD1995" s="120"/>
      <c r="CE1995" s="120"/>
      <c r="CF1995" s="440"/>
      <c r="DB1995" s="436"/>
      <c r="DC1995" s="120"/>
      <c r="DD1995" s="120"/>
      <c r="DE1995" s="120"/>
      <c r="DF1995" s="440"/>
      <c r="EB1995" s="436"/>
      <c r="EC1995" s="120"/>
      <c r="ED1995" s="120"/>
      <c r="EE1995" s="120"/>
      <c r="EF1995" s="440"/>
    </row>
    <row r="1996" spans="54:136">
      <c r="BB1996" s="436"/>
      <c r="BC1996" s="120"/>
      <c r="BD1996" s="120"/>
      <c r="BE1996" s="120"/>
      <c r="BF1996" s="440"/>
      <c r="CB1996" s="436"/>
      <c r="CC1996" s="120"/>
      <c r="CD1996" s="120"/>
      <c r="CE1996" s="120"/>
      <c r="CF1996" s="440"/>
      <c r="DB1996" s="436"/>
      <c r="DC1996" s="120"/>
      <c r="DD1996" s="120"/>
      <c r="DE1996" s="120"/>
      <c r="DF1996" s="440"/>
      <c r="EB1996" s="436"/>
      <c r="EC1996" s="120"/>
      <c r="ED1996" s="120"/>
      <c r="EE1996" s="120"/>
      <c r="EF1996" s="440"/>
    </row>
    <row r="1997" spans="54:136">
      <c r="BB1997" s="436"/>
      <c r="BC1997" s="120"/>
      <c r="BD1997" s="120"/>
      <c r="BE1997" s="120"/>
      <c r="BF1997" s="440"/>
      <c r="CB1997" s="436"/>
      <c r="CC1997" s="120"/>
      <c r="CD1997" s="120"/>
      <c r="CE1997" s="120"/>
      <c r="CF1997" s="440"/>
      <c r="DB1997" s="436"/>
      <c r="DC1997" s="120"/>
      <c r="DD1997" s="120"/>
      <c r="DE1997" s="120"/>
      <c r="DF1997" s="440"/>
      <c r="EB1997" s="436"/>
      <c r="EC1997" s="120"/>
      <c r="ED1997" s="120"/>
      <c r="EE1997" s="120"/>
      <c r="EF1997" s="440"/>
    </row>
    <row r="1998" spans="54:136">
      <c r="BB1998" s="436"/>
      <c r="BC1998" s="120"/>
      <c r="BD1998" s="120"/>
      <c r="BE1998" s="120"/>
      <c r="BF1998" s="440"/>
      <c r="CB1998" s="436"/>
      <c r="CC1998" s="120"/>
      <c r="CD1998" s="120"/>
      <c r="CE1998" s="120"/>
      <c r="CF1998" s="440"/>
      <c r="DB1998" s="436"/>
      <c r="DC1998" s="120"/>
      <c r="DD1998" s="120"/>
      <c r="DE1998" s="120"/>
      <c r="DF1998" s="440"/>
      <c r="EB1998" s="436"/>
      <c r="EC1998" s="120"/>
      <c r="ED1998" s="120"/>
      <c r="EE1998" s="120"/>
      <c r="EF1998" s="440"/>
    </row>
    <row r="1999" spans="54:136">
      <c r="BB1999" s="436"/>
      <c r="BC1999" s="120"/>
      <c r="BD1999" s="120"/>
      <c r="BE1999" s="120"/>
      <c r="BF1999" s="440"/>
      <c r="CB1999" s="436"/>
      <c r="CC1999" s="120"/>
      <c r="CD1999" s="120"/>
      <c r="CE1999" s="120"/>
      <c r="CF1999" s="440"/>
      <c r="DB1999" s="436"/>
      <c r="DC1999" s="120"/>
      <c r="DD1999" s="120"/>
      <c r="DE1999" s="120"/>
      <c r="DF1999" s="440"/>
      <c r="EB1999" s="436"/>
      <c r="EC1999" s="120"/>
      <c r="ED1999" s="120"/>
      <c r="EE1999" s="120"/>
      <c r="EF1999" s="440"/>
    </row>
    <row r="2000" spans="54:136">
      <c r="BB2000" s="436"/>
      <c r="BC2000" s="120"/>
      <c r="BD2000" s="120"/>
      <c r="BE2000" s="120"/>
      <c r="BF2000" s="440"/>
      <c r="CB2000" s="436"/>
      <c r="CC2000" s="120"/>
      <c r="CD2000" s="120"/>
      <c r="CE2000" s="120"/>
      <c r="CF2000" s="440"/>
      <c r="DB2000" s="436"/>
      <c r="DC2000" s="120"/>
      <c r="DD2000" s="120"/>
      <c r="DE2000" s="120"/>
      <c r="DF2000" s="440"/>
      <c r="EB2000" s="436"/>
      <c r="EC2000" s="120"/>
      <c r="ED2000" s="120"/>
      <c r="EE2000" s="120"/>
      <c r="EF2000" s="440"/>
    </row>
    <row r="2001" spans="53:136">
      <c r="BB2001" s="436"/>
      <c r="BC2001" s="120"/>
      <c r="BD2001" s="120"/>
      <c r="BE2001" s="120"/>
      <c r="BF2001" s="440"/>
      <c r="CB2001" s="436"/>
      <c r="CC2001" s="120"/>
      <c r="CD2001" s="120"/>
      <c r="CE2001" s="120"/>
      <c r="CF2001" s="440"/>
      <c r="DB2001" s="436"/>
      <c r="DC2001" s="120"/>
      <c r="DD2001" s="120"/>
      <c r="DE2001" s="120"/>
      <c r="DF2001" s="440"/>
      <c r="EB2001" s="436"/>
      <c r="EC2001" s="120"/>
      <c r="ED2001" s="120"/>
      <c r="EE2001" s="120"/>
      <c r="EF2001" s="440"/>
    </row>
    <row r="2002" spans="53:136">
      <c r="BB2002" s="436"/>
      <c r="BC2002" s="120"/>
      <c r="BD2002" s="120"/>
      <c r="BE2002" s="120"/>
      <c r="BF2002" s="440"/>
      <c r="CB2002" s="436"/>
      <c r="CC2002" s="120"/>
      <c r="CD2002" s="120"/>
      <c r="CE2002" s="120"/>
      <c r="CF2002" s="440"/>
      <c r="DB2002" s="436"/>
      <c r="DC2002" s="120"/>
      <c r="DD2002" s="120"/>
      <c r="DE2002" s="120"/>
      <c r="DF2002" s="440"/>
      <c r="EB2002" s="436"/>
      <c r="EC2002" s="120"/>
      <c r="ED2002" s="120"/>
      <c r="EE2002" s="120"/>
      <c r="EF2002" s="440"/>
    </row>
    <row r="2003" spans="53:136">
      <c r="BB2003" s="436"/>
      <c r="BC2003" s="120"/>
      <c r="BD2003" s="120"/>
      <c r="BE2003" s="120"/>
      <c r="BF2003" s="440"/>
      <c r="CB2003" s="436"/>
      <c r="CC2003" s="120"/>
      <c r="CD2003" s="120"/>
      <c r="CE2003" s="120"/>
      <c r="CF2003" s="440"/>
      <c r="DB2003" s="436"/>
      <c r="DC2003" s="120"/>
      <c r="DD2003" s="120"/>
      <c r="DE2003" s="120"/>
      <c r="DF2003" s="440"/>
      <c r="EB2003" s="436"/>
      <c r="EC2003" s="120"/>
      <c r="ED2003" s="120"/>
      <c r="EE2003" s="120"/>
      <c r="EF2003" s="440"/>
    </row>
    <row r="2004" spans="53:136" ht="14.5" thickBot="1">
      <c r="BB2004" s="492"/>
      <c r="BC2004" s="493"/>
      <c r="BD2004" s="493"/>
      <c r="BE2004" s="493"/>
      <c r="BF2004" s="453"/>
      <c r="CB2004" s="492"/>
      <c r="CC2004" s="493"/>
      <c r="CD2004" s="493"/>
      <c r="CE2004" s="493"/>
      <c r="CF2004" s="453"/>
      <c r="DB2004" s="492"/>
      <c r="DC2004" s="493"/>
      <c r="DD2004" s="493"/>
      <c r="DE2004" s="493"/>
      <c r="DF2004" s="453"/>
      <c r="EB2004" s="492"/>
      <c r="EC2004" s="493"/>
      <c r="ED2004" s="493"/>
      <c r="EE2004" s="493"/>
      <c r="EF2004" s="453"/>
    </row>
    <row r="2007" spans="53:136" ht="14.5" thickBot="1"/>
    <row r="2008" spans="53:136">
      <c r="BA2008" s="114" t="s">
        <v>478</v>
      </c>
      <c r="BB2008" s="431" t="str">
        <f>BB69</f>
        <v>Select Equipment</v>
      </c>
      <c r="BC2008" s="432"/>
      <c r="BD2008" s="433"/>
      <c r="BE2008" s="434"/>
      <c r="BF2008" s="435"/>
      <c r="CA2008" s="114" t="s">
        <v>478</v>
      </c>
      <c r="CB2008" s="431" t="str">
        <f>CB69</f>
        <v>Select Equipment</v>
      </c>
      <c r="CC2008" s="432"/>
      <c r="CD2008" s="433"/>
      <c r="CE2008" s="434"/>
      <c r="CF2008" s="435"/>
      <c r="DA2008" s="114" t="s">
        <v>478</v>
      </c>
      <c r="DB2008" s="431" t="str">
        <f>DB69</f>
        <v>Select Equipment</v>
      </c>
      <c r="DC2008" s="432"/>
      <c r="DD2008" s="433"/>
      <c r="DE2008" s="434"/>
      <c r="DF2008" s="435"/>
      <c r="EA2008" s="114" t="s">
        <v>478</v>
      </c>
      <c r="EB2008" s="431" t="str">
        <f>EB71</f>
        <v>Select Equipment</v>
      </c>
      <c r="EC2008" s="432"/>
      <c r="ED2008" s="433"/>
      <c r="EE2008" s="434"/>
      <c r="EF2008" s="435"/>
    </row>
    <row r="2009" spans="53:136">
      <c r="BA2009" s="114" t="s">
        <v>5</v>
      </c>
      <c r="BB2009" s="436" t="s">
        <v>1</v>
      </c>
      <c r="BC2009" s="437">
        <f>BC$25/BC$22/BC$21*VLOOKUP(BB2008,'Unit Ops'!$B$140:$J$209,2,FALSE)</f>
        <v>0.92592592592592593</v>
      </c>
      <c r="BD2009" s="438" t="s">
        <v>586</v>
      </c>
      <c r="BE2009" s="1027">
        <f>BC2009*BC$310*BC$311</f>
        <v>10000</v>
      </c>
      <c r="BF2009" s="439" t="s">
        <v>585</v>
      </c>
      <c r="CA2009" s="114" t="s">
        <v>5</v>
      </c>
      <c r="CB2009" s="436" t="s">
        <v>1</v>
      </c>
      <c r="CC2009" s="437">
        <f>CC$25/CC$22/CC$21*VLOOKUP(CB2008,'Unit Ops'!$B$140:$J$209,2,FALSE)</f>
        <v>0.91324200913242004</v>
      </c>
      <c r="CD2009" s="438" t="s">
        <v>586</v>
      </c>
      <c r="CE2009" s="1027">
        <f>CC2009*CC$310*CC$311</f>
        <v>10000</v>
      </c>
      <c r="CF2009" s="439" t="s">
        <v>585</v>
      </c>
      <c r="DA2009" s="114" t="s">
        <v>5</v>
      </c>
      <c r="DB2009" s="436" t="s">
        <v>1</v>
      </c>
      <c r="DC2009" s="437">
        <f>DC$25/DC$22/DC$21*VLOOKUP(DB2008,'Unit Ops'!$B$140:$J$209,2,FALSE)</f>
        <v>0.92592592592592593</v>
      </c>
      <c r="DD2009" s="438" t="s">
        <v>586</v>
      </c>
      <c r="DE2009" s="1027">
        <f>DC2009*DC$310*DC$311</f>
        <v>10000</v>
      </c>
      <c r="DF2009" s="439" t="s">
        <v>585</v>
      </c>
      <c r="EA2009" s="114" t="s">
        <v>5</v>
      </c>
      <c r="EB2009" s="436" t="s">
        <v>1</v>
      </c>
      <c r="EC2009" s="437">
        <f>EC$26/EC$23/EC$22*VLOOKUP(EB2008,'Unit Ops'!$B$140:$J$209,2,FALSE)</f>
        <v>1.3020833333333333</v>
      </c>
      <c r="ED2009" s="438" t="s">
        <v>586</v>
      </c>
      <c r="EE2009" s="1027">
        <f>EC2009*EC$310*EC$311</f>
        <v>10000</v>
      </c>
      <c r="EF2009" s="439" t="s">
        <v>585</v>
      </c>
    </row>
    <row r="2010" spans="53:136">
      <c r="BA2010" s="114" t="str">
        <f>$BB$54</f>
        <v>Hopper</v>
      </c>
      <c r="BB2010" s="436" t="s">
        <v>505</v>
      </c>
      <c r="BC2010" s="437">
        <f>ROUNDUP(BC2009*IF(VLOOKUP(BB2008,'Unit Ops'!$B$140:$L$209,11,FALSE)=1,1.5,0.75),1)</f>
        <v>0.7</v>
      </c>
      <c r="BD2010" s="438" t="s">
        <v>586</v>
      </c>
      <c r="BE2010" s="120">
        <f>BC2010*BC$310*BC$311</f>
        <v>7560</v>
      </c>
      <c r="BF2010" s="439" t="s">
        <v>585</v>
      </c>
      <c r="CA2010" s="114" t="str">
        <f>$CB$54</f>
        <v>Conveyor</v>
      </c>
      <c r="CB2010" s="436" t="s">
        <v>505</v>
      </c>
      <c r="CC2010" s="437">
        <f>ROUNDUP(CC2009*IF(VLOOKUP(CB2008,'Unit Ops'!$B$140:$L$209,11,FALSE)=1,1.5,0.75),1)</f>
        <v>0.7</v>
      </c>
      <c r="CD2010" s="438" t="s">
        <v>586</v>
      </c>
      <c r="CE2010" s="120">
        <f>CC2010*CC$310*CC$311</f>
        <v>7665</v>
      </c>
      <c r="CF2010" s="439" t="s">
        <v>585</v>
      </c>
      <c r="DA2010" s="114" t="str">
        <f>$DB$54</f>
        <v>Conveyor</v>
      </c>
      <c r="DB2010" s="436" t="s">
        <v>505</v>
      </c>
      <c r="DC2010" s="437">
        <f>ROUNDUP(DC2009*IF(VLOOKUP(DB2008,'Unit Ops'!$B$140:$L$209,11,FALSE)=1,1.5,0.75),1)</f>
        <v>0.7</v>
      </c>
      <c r="DD2010" s="438" t="s">
        <v>586</v>
      </c>
      <c r="DE2010" s="120">
        <f>DC2010*DC$310*DC$311</f>
        <v>7560</v>
      </c>
      <c r="DF2010" s="439" t="s">
        <v>585</v>
      </c>
      <c r="EA2010" s="114" t="str">
        <f>$EB$56</f>
        <v>Conveyor</v>
      </c>
      <c r="EB2010" s="436" t="s">
        <v>505</v>
      </c>
      <c r="EC2010" s="437">
        <f>ROUNDUP(EC2009*IF(VLOOKUP(EB2008,'Unit Ops'!$B$140:$L$209,11,FALSE)=1,1.5,0.75),1)</f>
        <v>1</v>
      </c>
      <c r="ED2010" s="438" t="s">
        <v>586</v>
      </c>
      <c r="EE2010" s="120">
        <f>EC2010*EC$310*EC$311</f>
        <v>7680</v>
      </c>
      <c r="EF2010" s="439" t="s">
        <v>585</v>
      </c>
    </row>
    <row r="2011" spans="53:136">
      <c r="BA2011" s="114" t="str">
        <f>$BB$55</f>
        <v>Conveyor</v>
      </c>
      <c r="BB2011" s="441" t="s">
        <v>521</v>
      </c>
      <c r="BC2011" s="442">
        <f>BC2009/BC2010</f>
        <v>1.3227513227513228</v>
      </c>
      <c r="BD2011" s="438"/>
      <c r="BE2011" s="443"/>
      <c r="BF2011" s="440"/>
      <c r="CA2011" s="114" t="str">
        <f>$CB$55</f>
        <v>Leaching tank</v>
      </c>
      <c r="CB2011" s="441" t="s">
        <v>521</v>
      </c>
      <c r="CC2011" s="442">
        <f>CC2009/CC2010</f>
        <v>1.3046314416177429</v>
      </c>
      <c r="CD2011" s="438"/>
      <c r="CE2011" s="443"/>
      <c r="CF2011" s="440"/>
      <c r="DA2011" s="114" t="str">
        <f>$DB$55</f>
        <v>Froth flotation cell</v>
      </c>
      <c r="DB2011" s="441" t="s">
        <v>521</v>
      </c>
      <c r="DC2011" s="442">
        <f>DC2009/DC2010</f>
        <v>1.3227513227513228</v>
      </c>
      <c r="DD2011" s="438"/>
      <c r="DE2011" s="443"/>
      <c r="DF2011" s="440"/>
      <c r="EA2011" s="114" t="str">
        <f>$EB$57</f>
        <v>Leaching tank</v>
      </c>
      <c r="EB2011" s="441" t="s">
        <v>521</v>
      </c>
      <c r="EC2011" s="442">
        <f>EC2009/EC2010</f>
        <v>1.3020833333333333</v>
      </c>
      <c r="ED2011" s="438"/>
      <c r="EE2011" s="443"/>
      <c r="EF2011" s="440"/>
    </row>
    <row r="2012" spans="53:136">
      <c r="BA2012" s="114" t="str">
        <f>$BB$56</f>
        <v>Smelter</v>
      </c>
      <c r="BB2012" s="441" t="s">
        <v>506</v>
      </c>
      <c r="BC2012" s="445"/>
      <c r="BD2012" s="438" t="s">
        <v>454</v>
      </c>
      <c r="BE2012" s="443"/>
      <c r="BF2012" s="440"/>
      <c r="CA2012" s="114" t="str">
        <f>$CB$56</f>
        <v>Mixing tank</v>
      </c>
      <c r="CB2012" s="441" t="s">
        <v>506</v>
      </c>
      <c r="CC2012" s="445"/>
      <c r="CD2012" s="438" t="s">
        <v>454</v>
      </c>
      <c r="CE2012" s="443"/>
      <c r="CF2012" s="440"/>
      <c r="DA2012" s="114" t="str">
        <f>$DB$56</f>
        <v>Filter press</v>
      </c>
      <c r="DB2012" s="441" t="s">
        <v>506</v>
      </c>
      <c r="DC2012" s="445"/>
      <c r="DD2012" s="438" t="s">
        <v>454</v>
      </c>
      <c r="DE2012" s="443"/>
      <c r="DF2012" s="440"/>
      <c r="EA2012" s="114" t="str">
        <f>$EB$58</f>
        <v>Mixing tank</v>
      </c>
      <c r="EB2012" s="441" t="s">
        <v>506</v>
      </c>
      <c r="EC2012" s="445"/>
      <c r="ED2012" s="438" t="s">
        <v>454</v>
      </c>
      <c r="EE2012" s="443"/>
      <c r="EF2012" s="440"/>
    </row>
    <row r="2013" spans="53:136">
      <c r="BA2013" s="114" t="str">
        <f>$BB$57</f>
        <v>Gas treatment</v>
      </c>
      <c r="BB2013" s="436" t="s">
        <v>507</v>
      </c>
      <c r="BC2013" s="225">
        <f>(VLOOKUP(BB2008,'Unit Ops'!$B$140:$J$209,7,FALSE)*BC2010^VLOOKUP(BB2008,'Unit Ops'!$B$140:$J$209,8,FALSE)+VLOOKUP(BB2008,'Unit Ops'!$B$140:$J$209,9,FALSE))*IF(VLOOKUP(BB2008,'Unit Ops'!$B$140:$L$209,11,FALSE)=1,1,2)</f>
        <v>0</v>
      </c>
      <c r="BD2013" s="446" t="s">
        <v>454</v>
      </c>
      <c r="BE2013" s="443"/>
      <c r="BF2013" s="440"/>
      <c r="CA2013" s="114" t="str">
        <f>$CB$57</f>
        <v>Filter press</v>
      </c>
      <c r="CB2013" s="436" t="s">
        <v>507</v>
      </c>
      <c r="CC2013" s="225">
        <f>(VLOOKUP(CB2008,'Unit Ops'!$B$140:$J$209,7,FALSE)*CC2010^VLOOKUP(CB2008,'Unit Ops'!$B$140:$J$209,8,FALSE)+VLOOKUP(CB2008,'Unit Ops'!$B$140:$J$209,9,FALSE))*IF(VLOOKUP(CB2008,'Unit Ops'!$B$140:$L$209,11,FALSE)=1,1,2)</f>
        <v>0</v>
      </c>
      <c r="CD2013" s="446" t="s">
        <v>454</v>
      </c>
      <c r="CE2013" s="443"/>
      <c r="CF2013" s="440"/>
      <c r="DA2013" s="114" t="str">
        <f>$DB$57</f>
        <v>Froth flotation cell</v>
      </c>
      <c r="DB2013" s="436" t="s">
        <v>507</v>
      </c>
      <c r="DC2013" s="225">
        <f>(VLOOKUP(DB2008,'Unit Ops'!$B$140:$J$209,7,FALSE)*DC2010^VLOOKUP(DB2008,'Unit Ops'!$B$140:$J$209,8,FALSE)+VLOOKUP(DB2008,'Unit Ops'!$B$140:$J$209,9,FALSE))*IF(VLOOKUP(DB2008,'Unit Ops'!$B$140:$L$209,11,FALSE)=1,1,2)</f>
        <v>0</v>
      </c>
      <c r="DD2013" s="446" t="s">
        <v>454</v>
      </c>
      <c r="DE2013" s="443"/>
      <c r="DF2013" s="440"/>
      <c r="EA2013" s="114" t="str">
        <f>$EB$59</f>
        <v>Filter press</v>
      </c>
      <c r="EB2013" s="436" t="s">
        <v>507</v>
      </c>
      <c r="EC2013" s="225">
        <f>(VLOOKUP(EB2008,'Unit Ops'!$B$140:$J$209,7,FALSE)*EC2010^VLOOKUP(EB2008,'Unit Ops'!$B$140:$J$209,8,FALSE)+VLOOKUP(EB2008,'Unit Ops'!$B$140:$J$209,9,FALSE))*IF(VLOOKUP(EB2008,'Unit Ops'!$B$140:$L$209,11,FALSE)=1,1,2)</f>
        <v>0</v>
      </c>
      <c r="ED2013" s="446" t="s">
        <v>454</v>
      </c>
      <c r="EE2013" s="443"/>
      <c r="EF2013" s="440"/>
    </row>
    <row r="2014" spans="53:136">
      <c r="BA2014" s="114" t="str">
        <f>$BB$58</f>
        <v>Conveyor</v>
      </c>
      <c r="BB2014" s="441"/>
      <c r="BC2014" s="445"/>
      <c r="BD2014" s="447"/>
      <c r="BE2014" s="443"/>
      <c r="BF2014" s="440"/>
      <c r="CA2014" s="114" t="str">
        <f>$CB$58</f>
        <v>Solvent extraction unit</v>
      </c>
      <c r="CB2014" s="441"/>
      <c r="CC2014" s="445"/>
      <c r="CD2014" s="447"/>
      <c r="CE2014" s="443"/>
      <c r="CF2014" s="440"/>
      <c r="DA2014" s="114" t="str">
        <f>$DB$58</f>
        <v>Filter press</v>
      </c>
      <c r="DB2014" s="441"/>
      <c r="DC2014" s="445"/>
      <c r="DD2014" s="447"/>
      <c r="DE2014" s="443"/>
      <c r="DF2014" s="440"/>
      <c r="EA2014" s="114" t="str">
        <f>$EB$60</f>
        <v>Solvent extraction unit</v>
      </c>
      <c r="EB2014" s="441"/>
      <c r="EC2014" s="445"/>
      <c r="ED2014" s="447"/>
      <c r="EE2014" s="443"/>
      <c r="EF2014" s="440"/>
    </row>
    <row r="2015" spans="53:136">
      <c r="BA2015" s="114" t="str">
        <f>$BB$59</f>
        <v>Granulator</v>
      </c>
      <c r="BB2015" s="441"/>
      <c r="BC2015" s="445"/>
      <c r="BD2015" s="447"/>
      <c r="BE2015" s="443"/>
      <c r="BF2015" s="440"/>
      <c r="CA2015" s="114" t="str">
        <f>$CB$59</f>
        <v>Solvent extraction unit</v>
      </c>
      <c r="CB2015" s="441"/>
      <c r="CC2015" s="445"/>
      <c r="CD2015" s="447"/>
      <c r="CE2015" s="443"/>
      <c r="CF2015" s="440"/>
      <c r="DA2015" s="114" t="str">
        <f>$DB$59</f>
        <v>Dryer</v>
      </c>
      <c r="DB2015" s="441"/>
      <c r="DC2015" s="445"/>
      <c r="DD2015" s="447"/>
      <c r="DE2015" s="443"/>
      <c r="DF2015" s="440"/>
      <c r="EA2015" s="114" t="str">
        <f>$EB$61</f>
        <v>Solvent extraction unit</v>
      </c>
      <c r="EB2015" s="441"/>
      <c r="EC2015" s="445"/>
      <c r="ED2015" s="447"/>
      <c r="EE2015" s="443"/>
      <c r="EF2015" s="440"/>
    </row>
    <row r="2016" spans="53:136">
      <c r="BA2016" s="114" t="str">
        <f>$BB$60</f>
        <v>Leaching tank</v>
      </c>
      <c r="BB2016" s="449"/>
      <c r="BC2016" s="445"/>
      <c r="BD2016" s="447"/>
      <c r="BE2016" s="443"/>
      <c r="BF2016" s="440"/>
      <c r="CA2016" s="114" t="str">
        <f>$CB$60</f>
        <v>Solvent extraction unit</v>
      </c>
      <c r="CB2016" s="449"/>
      <c r="CC2016" s="445"/>
      <c r="CD2016" s="447"/>
      <c r="CE2016" s="443"/>
      <c r="CF2016" s="440"/>
      <c r="DA2016" s="114" t="str">
        <f>$DB$60</f>
        <v>Ball mill</v>
      </c>
      <c r="DB2016" s="449"/>
      <c r="DC2016" s="445"/>
      <c r="DD2016" s="447"/>
      <c r="DE2016" s="443"/>
      <c r="DF2016" s="440"/>
      <c r="EA2016" s="114" t="str">
        <f>$EB$62</f>
        <v>Solvent extraction unit</v>
      </c>
      <c r="EB2016" s="449"/>
      <c r="EC2016" s="445"/>
      <c r="ED2016" s="447"/>
      <c r="EE2016" s="443"/>
      <c r="EF2016" s="440"/>
    </row>
    <row r="2017" spans="53:136" ht="14.5" thickBot="1">
      <c r="BA2017" s="114" t="str">
        <f>$BB$61</f>
        <v>Solvent extraction unit</v>
      </c>
      <c r="BB2017" s="450"/>
      <c r="BC2017" s="451"/>
      <c r="BD2017" s="451"/>
      <c r="BE2017" s="452"/>
      <c r="BF2017" s="453"/>
      <c r="CA2017" s="114" t="str">
        <f>$CB$61</f>
        <v>Evaporator</v>
      </c>
      <c r="CB2017" s="450"/>
      <c r="CC2017" s="451"/>
      <c r="CD2017" s="451"/>
      <c r="CE2017" s="452"/>
      <c r="CF2017" s="453"/>
      <c r="DA2017" s="114" t="str">
        <f>$DB$61</f>
        <v>Furnace+saggar handling system</v>
      </c>
      <c r="DB2017" s="450"/>
      <c r="DC2017" s="451"/>
      <c r="DD2017" s="451"/>
      <c r="DE2017" s="452"/>
      <c r="DF2017" s="453"/>
      <c r="EA2017" s="114" t="str">
        <f>$EB$63</f>
        <v>Evaporator</v>
      </c>
      <c r="EB2017" s="450"/>
      <c r="EC2017" s="451"/>
      <c r="ED2017" s="451"/>
      <c r="EE2017" s="452"/>
      <c r="EF2017" s="453"/>
    </row>
    <row r="2018" spans="53:136">
      <c r="BA2018" s="114" t="str">
        <f>$BB$62</f>
        <v>Electrowinning cell</v>
      </c>
      <c r="BB2018" s="449" t="s">
        <v>470</v>
      </c>
      <c r="BC2018" s="120"/>
      <c r="BD2018" s="454"/>
      <c r="BE2018" s="120"/>
      <c r="BF2018" s="440"/>
      <c r="CA2018" s="114" t="str">
        <f>$CB$62</f>
        <v>Precipitation tank</v>
      </c>
      <c r="CB2018" s="449" t="s">
        <v>470</v>
      </c>
      <c r="CC2018" s="120"/>
      <c r="CD2018" s="454"/>
      <c r="CE2018" s="120"/>
      <c r="CF2018" s="440"/>
      <c r="DA2018" s="114" t="str">
        <f>$DB$62</f>
        <v>Water treatment</v>
      </c>
      <c r="DB2018" s="449" t="s">
        <v>470</v>
      </c>
      <c r="DC2018" s="120"/>
      <c r="DD2018" s="454"/>
      <c r="DE2018" s="120"/>
      <c r="DF2018" s="440"/>
      <c r="EA2018" s="114" t="str">
        <f>$EB$64</f>
        <v>Precipitation tank</v>
      </c>
      <c r="EB2018" s="449" t="s">
        <v>470</v>
      </c>
      <c r="EC2018" s="120"/>
      <c r="ED2018" s="454"/>
      <c r="EE2018" s="120"/>
      <c r="EF2018" s="440"/>
    </row>
    <row r="2019" spans="53:136" ht="14.5" customHeight="1">
      <c r="BA2019" s="114" t="str">
        <f>$BB$63</f>
        <v>Solvent extraction unit</v>
      </c>
      <c r="BB2019" s="1698"/>
      <c r="BC2019" s="1699"/>
      <c r="BD2019" s="1699"/>
      <c r="BE2019" s="1699"/>
      <c r="BF2019" s="1700"/>
      <c r="CA2019" s="114" t="str">
        <f>$CB$63</f>
        <v>Centrifuge</v>
      </c>
      <c r="CB2019" s="1698"/>
      <c r="CC2019" s="1699"/>
      <c r="CD2019" s="1699"/>
      <c r="CE2019" s="1699"/>
      <c r="CF2019" s="1700"/>
      <c r="DA2019" s="114" t="str">
        <f>$DB$63</f>
        <v>Wheel loader</v>
      </c>
      <c r="DB2019" s="1698"/>
      <c r="DC2019" s="1699"/>
      <c r="DD2019" s="1699"/>
      <c r="DE2019" s="1699"/>
      <c r="DF2019" s="1700"/>
      <c r="EA2019" s="114" t="str">
        <f>$EB$65</f>
        <v>Centrifuge</v>
      </c>
      <c r="EB2019" s="1698"/>
      <c r="EC2019" s="1699"/>
      <c r="ED2019" s="1699"/>
      <c r="EE2019" s="1699"/>
      <c r="EF2019" s="1700"/>
    </row>
    <row r="2020" spans="53:136">
      <c r="BA2020" s="114" t="str">
        <f>$BB$64</f>
        <v>Solvent extraction unit</v>
      </c>
      <c r="BB2020" s="436"/>
      <c r="BC2020" s="120"/>
      <c r="BD2020" s="455"/>
      <c r="BE2020" s="120"/>
      <c r="BF2020" s="440"/>
      <c r="CA2020" s="114" t="str">
        <f>$CB$64</f>
        <v>Dryer</v>
      </c>
      <c r="CB2020" s="436"/>
      <c r="CC2020" s="120"/>
      <c r="CD2020" s="455"/>
      <c r="CE2020" s="120"/>
      <c r="CF2020" s="440"/>
      <c r="DA2020" s="114" t="str">
        <f>$DB$64</f>
        <v>Select Equipment</v>
      </c>
      <c r="DB2020" s="436"/>
      <c r="DC2020" s="120"/>
      <c r="DD2020" s="455"/>
      <c r="DE2020" s="120"/>
      <c r="DF2020" s="440"/>
      <c r="EA2020" s="114" t="str">
        <f>$EB$66</f>
        <v>Dryer</v>
      </c>
      <c r="EB2020" s="436"/>
      <c r="EC2020" s="120"/>
      <c r="ED2020" s="455"/>
      <c r="EE2020" s="120"/>
      <c r="EF2020" s="440"/>
    </row>
    <row r="2021" spans="53:136">
      <c r="BA2021" s="114" t="str">
        <f>$BB$65</f>
        <v>Wheel loader</v>
      </c>
      <c r="BB2021" s="436"/>
      <c r="BC2021" s="120"/>
      <c r="BD2021" s="455"/>
      <c r="BE2021" s="120"/>
      <c r="BF2021" s="440"/>
      <c r="CA2021" s="114" t="str">
        <f>$CB$65</f>
        <v>Water treatment</v>
      </c>
      <c r="CB2021" s="436"/>
      <c r="CC2021" s="120"/>
      <c r="CD2021" s="455"/>
      <c r="CE2021" s="120"/>
      <c r="CF2021" s="440"/>
      <c r="DA2021" s="114" t="str">
        <f>$DB$65</f>
        <v>Select Equipment</v>
      </c>
      <c r="DB2021" s="436"/>
      <c r="DC2021" s="120"/>
      <c r="DD2021" s="455"/>
      <c r="DE2021" s="120"/>
      <c r="DF2021" s="440"/>
      <c r="EA2021" s="114" t="str">
        <f>$EB$67</f>
        <v>Water treatment</v>
      </c>
      <c r="EB2021" s="436"/>
      <c r="EC2021" s="120"/>
      <c r="ED2021" s="455"/>
      <c r="EE2021" s="120"/>
      <c r="EF2021" s="440"/>
    </row>
    <row r="2022" spans="53:136">
      <c r="BA2022" s="114" t="str">
        <f>$BB$66</f>
        <v>Water treatment</v>
      </c>
      <c r="BB2022" s="456"/>
      <c r="BC2022" s="457"/>
      <c r="BD2022" s="457"/>
      <c r="BE2022" s="457"/>
      <c r="BF2022" s="458"/>
      <c r="CA2022" s="114" t="str">
        <f>$CB$66</f>
        <v>Wheel loader</v>
      </c>
      <c r="CB2022" s="456"/>
      <c r="CC2022" s="457"/>
      <c r="CD2022" s="457"/>
      <c r="CE2022" s="457"/>
      <c r="CF2022" s="458"/>
      <c r="DA2022" s="114" t="str">
        <f>$DB$66</f>
        <v>Select Equipment</v>
      </c>
      <c r="DB2022" s="456"/>
      <c r="DC2022" s="457"/>
      <c r="DD2022" s="457"/>
      <c r="DE2022" s="457"/>
      <c r="DF2022" s="458"/>
      <c r="EA2022" s="114" t="str">
        <f>$EB$68</f>
        <v>Wheel loader</v>
      </c>
      <c r="EB2022" s="456"/>
      <c r="EC2022" s="457"/>
      <c r="ED2022" s="457"/>
      <c r="EE2022" s="457"/>
      <c r="EF2022" s="458"/>
    </row>
    <row r="2023" spans="53:136">
      <c r="BA2023" s="114" t="str">
        <f>$BB$67</f>
        <v>Select Equipment</v>
      </c>
      <c r="BB2023" s="449" t="s">
        <v>471</v>
      </c>
      <c r="BC2023" s="120"/>
      <c r="BD2023" s="454"/>
      <c r="BE2023" s="120"/>
      <c r="BF2023" s="440"/>
      <c r="CA2023" s="114" t="str">
        <f>$CB$67</f>
        <v>Select Equipment</v>
      </c>
      <c r="CB2023" s="449" t="s">
        <v>471</v>
      </c>
      <c r="CC2023" s="120"/>
      <c r="CD2023" s="454"/>
      <c r="CE2023" s="120"/>
      <c r="CF2023" s="440"/>
      <c r="DA2023" s="114" t="str">
        <f>$DB$67</f>
        <v>Select Equipment</v>
      </c>
      <c r="DB2023" s="449" t="s">
        <v>471</v>
      </c>
      <c r="DC2023" s="120"/>
      <c r="DD2023" s="454"/>
      <c r="DE2023" s="120"/>
      <c r="DF2023" s="440"/>
      <c r="EA2023" s="114" t="str">
        <f>$EB$69</f>
        <v>Select Equipment</v>
      </c>
      <c r="EB2023" s="449" t="s">
        <v>471</v>
      </c>
      <c r="EC2023" s="120"/>
      <c r="ED2023" s="454"/>
      <c r="EE2023" s="120"/>
      <c r="EF2023" s="440"/>
    </row>
    <row r="2024" spans="53:136">
      <c r="BA2024" s="114" t="str">
        <f>$BB$68</f>
        <v>Select Equipment</v>
      </c>
      <c r="BB2024" s="436" t="s">
        <v>577</v>
      </c>
      <c r="BC2024" s="225">
        <f>BC2013*IF(BC2011&gt;1,1,BC2011)</f>
        <v>0</v>
      </c>
      <c r="BD2024" s="446" t="s">
        <v>454</v>
      </c>
      <c r="BE2024" s="120"/>
      <c r="BF2024" s="440"/>
      <c r="CA2024" s="114" t="str">
        <f>$CB$68</f>
        <v>Select Equipment</v>
      </c>
      <c r="CB2024" s="436" t="s">
        <v>577</v>
      </c>
      <c r="CC2024" s="225">
        <f>CC2013*IF(CC2011&gt;1,1,CC2011)</f>
        <v>0</v>
      </c>
      <c r="CD2024" s="446" t="s">
        <v>454</v>
      </c>
      <c r="CE2024" s="120"/>
      <c r="CF2024" s="440"/>
      <c r="DA2024" s="114" t="str">
        <f>$DB$68</f>
        <v>Select Equipment</v>
      </c>
      <c r="DB2024" s="436" t="s">
        <v>577</v>
      </c>
      <c r="DC2024" s="225">
        <f>DC2013*IF(DC2011&gt;1,1,DC2011)</f>
        <v>0</v>
      </c>
      <c r="DD2024" s="446" t="s">
        <v>454</v>
      </c>
      <c r="DE2024" s="120"/>
      <c r="DF2024" s="440"/>
      <c r="EA2024" s="114" t="str">
        <f>$EB$70</f>
        <v>Select Equipment</v>
      </c>
      <c r="EB2024" s="436" t="s">
        <v>577</v>
      </c>
      <c r="EC2024" s="225">
        <f>EC2013*IF(EC2011&gt;1,1,EC2011)</f>
        <v>0</v>
      </c>
      <c r="ED2024" s="446" t="s">
        <v>454</v>
      </c>
      <c r="EE2024" s="120"/>
      <c r="EF2024" s="440"/>
    </row>
    <row r="2025" spans="53:136">
      <c r="BA2025" s="114" t="str">
        <f>$BB$69</f>
        <v>Select Equipment</v>
      </c>
      <c r="BB2025" s="436" t="s">
        <v>578</v>
      </c>
      <c r="BC2025" s="225"/>
      <c r="BD2025" s="446" t="s">
        <v>579</v>
      </c>
      <c r="BE2025" s="120"/>
      <c r="BF2025" s="440"/>
      <c r="CA2025" s="114" t="str">
        <f>$CB$69</f>
        <v>Select Equipment</v>
      </c>
      <c r="CB2025" s="436" t="s">
        <v>578</v>
      </c>
      <c r="CC2025" s="225"/>
      <c r="CD2025" s="446" t="s">
        <v>579</v>
      </c>
      <c r="CE2025" s="120"/>
      <c r="CF2025" s="440"/>
      <c r="DA2025" s="114" t="str">
        <f>$DB$69</f>
        <v>Select Equipment</v>
      </c>
      <c r="DB2025" s="436" t="s">
        <v>578</v>
      </c>
      <c r="DC2025" s="225"/>
      <c r="DD2025" s="446" t="s">
        <v>579</v>
      </c>
      <c r="DE2025" s="120"/>
      <c r="DF2025" s="440"/>
      <c r="EA2025" s="114" t="str">
        <f>$EB$71</f>
        <v>Select Equipment</v>
      </c>
      <c r="EB2025" s="436" t="s">
        <v>578</v>
      </c>
      <c r="EC2025" s="225"/>
      <c r="ED2025" s="446" t="s">
        <v>579</v>
      </c>
      <c r="EE2025" s="120"/>
      <c r="EF2025" s="440"/>
    </row>
    <row r="2026" spans="53:136">
      <c r="BA2026" s="114" t="str">
        <f>$BB$70</f>
        <v>Select Equipment</v>
      </c>
      <c r="BB2026" s="436"/>
      <c r="BC2026" s="120"/>
      <c r="BD2026" s="446"/>
      <c r="BE2026" s="120"/>
      <c r="BF2026" s="440"/>
      <c r="CA2026" s="114" t="str">
        <f>$CB$70</f>
        <v>Select Equipment</v>
      </c>
      <c r="CB2026" s="436"/>
      <c r="CC2026" s="120"/>
      <c r="CD2026" s="446"/>
      <c r="CE2026" s="120"/>
      <c r="CF2026" s="440"/>
      <c r="DA2026" s="114" t="str">
        <f>$DB$70</f>
        <v>Select Equipment</v>
      </c>
      <c r="DB2026" s="436"/>
      <c r="DC2026" s="120"/>
      <c r="DD2026" s="446"/>
      <c r="DE2026" s="120"/>
      <c r="DF2026" s="440"/>
      <c r="EA2026" s="114" t="str">
        <f>$EB$72</f>
        <v>Select Equipment</v>
      </c>
      <c r="EB2026" s="436"/>
      <c r="EC2026" s="120"/>
      <c r="ED2026" s="446"/>
      <c r="EE2026" s="120"/>
      <c r="EF2026" s="440"/>
    </row>
    <row r="2027" spans="53:136">
      <c r="BA2027" s="114" t="str">
        <f>$BB$71</f>
        <v>Select Equipment</v>
      </c>
      <c r="BB2027" s="436" t="s">
        <v>8</v>
      </c>
      <c r="BC2027" s="120"/>
      <c r="BD2027" s="459" t="s">
        <v>564</v>
      </c>
      <c r="BE2027" s="120"/>
      <c r="BF2027" s="440"/>
      <c r="CA2027" s="114" t="str">
        <f>$CB$71</f>
        <v>Select Equipment</v>
      </c>
      <c r="CB2027" s="436" t="s">
        <v>8</v>
      </c>
      <c r="CC2027" s="120"/>
      <c r="CD2027" s="459" t="s">
        <v>564</v>
      </c>
      <c r="CE2027" s="120"/>
      <c r="CF2027" s="440"/>
      <c r="DA2027" s="114" t="str">
        <f>$DB$71</f>
        <v>Select Equipment</v>
      </c>
      <c r="DB2027" s="436" t="s">
        <v>8</v>
      </c>
      <c r="DC2027" s="120"/>
      <c r="DD2027" s="459" t="s">
        <v>564</v>
      </c>
      <c r="DE2027" s="120"/>
      <c r="DF2027" s="440"/>
      <c r="EA2027" s="114" t="str">
        <f>$EB$73</f>
        <v>Select Equipment</v>
      </c>
      <c r="EB2027" s="436" t="s">
        <v>8</v>
      </c>
      <c r="EC2027" s="120"/>
      <c r="ED2027" s="459" t="s">
        <v>564</v>
      </c>
      <c r="EE2027" s="120"/>
      <c r="EF2027" s="440"/>
    </row>
    <row r="2028" spans="53:136">
      <c r="BA2028" s="114" t="str">
        <f>$BB$72</f>
        <v>Select Equipment</v>
      </c>
      <c r="BB2028" s="436"/>
      <c r="BC2028" s="120"/>
      <c r="BD2028" s="459"/>
      <c r="BE2028" s="120"/>
      <c r="BF2028" s="440"/>
      <c r="CA2028" s="114" t="str">
        <f>$CB$72</f>
        <v>Select Equipment</v>
      </c>
      <c r="CB2028" s="436"/>
      <c r="CC2028" s="120"/>
      <c r="CD2028" s="459"/>
      <c r="CE2028" s="120"/>
      <c r="CF2028" s="440"/>
      <c r="DA2028" s="114" t="str">
        <f>$DB$72</f>
        <v>Select Equipment</v>
      </c>
      <c r="DB2028" s="436"/>
      <c r="DC2028" s="120"/>
      <c r="DD2028" s="459"/>
      <c r="DE2028" s="120"/>
      <c r="DF2028" s="440"/>
      <c r="EA2028" s="114" t="str">
        <f>$EB$74</f>
        <v>Select Equipment</v>
      </c>
      <c r="EB2028" s="436"/>
      <c r="EC2028" s="120"/>
      <c r="ED2028" s="459"/>
      <c r="EE2028" s="120"/>
      <c r="EF2028" s="440"/>
    </row>
    <row r="2029" spans="53:136">
      <c r="BA2029" s="114" t="str">
        <f>$BB$73</f>
        <v>Select Equipment</v>
      </c>
      <c r="BB2029" s="436" t="s">
        <v>7</v>
      </c>
      <c r="BC2029" s="120"/>
      <c r="BD2029" s="459" t="s">
        <v>564</v>
      </c>
      <c r="BE2029" s="120"/>
      <c r="BF2029" s="440"/>
      <c r="CA2029" s="114" t="str">
        <f>$CB$73</f>
        <v>Select Equipment</v>
      </c>
      <c r="CB2029" s="436" t="s">
        <v>7</v>
      </c>
      <c r="CC2029" s="120"/>
      <c r="CD2029" s="459" t="s">
        <v>564</v>
      </c>
      <c r="CE2029" s="120"/>
      <c r="CF2029" s="440"/>
      <c r="DA2029" s="114" t="str">
        <f>$DB$73</f>
        <v>Select Equipment</v>
      </c>
      <c r="DB2029" s="436" t="s">
        <v>7</v>
      </c>
      <c r="DC2029" s="120"/>
      <c r="DD2029" s="459" t="s">
        <v>564</v>
      </c>
      <c r="DE2029" s="120"/>
      <c r="DF2029" s="440"/>
      <c r="EA2029" s="114" t="str">
        <f>$EB$75</f>
        <v>Select Equipment</v>
      </c>
      <c r="EB2029" s="436" t="s">
        <v>7</v>
      </c>
      <c r="EC2029" s="120"/>
      <c r="ED2029" s="459" t="s">
        <v>564</v>
      </c>
      <c r="EE2029" s="120"/>
      <c r="EF2029" s="440"/>
    </row>
    <row r="2030" spans="53:136">
      <c r="BA2030" s="114" t="str">
        <f>$BB$74</f>
        <v>Select Equipment</v>
      </c>
      <c r="BB2030" s="436"/>
      <c r="BC2030" s="120"/>
      <c r="BD2030" s="459"/>
      <c r="BE2030" s="120"/>
      <c r="BF2030" s="440"/>
      <c r="CA2030" s="114" t="str">
        <f>$CB$74</f>
        <v>Select Equipment</v>
      </c>
      <c r="CB2030" s="436"/>
      <c r="CC2030" s="120"/>
      <c r="CD2030" s="459"/>
      <c r="CE2030" s="120"/>
      <c r="CF2030" s="440"/>
      <c r="DA2030" s="114" t="str">
        <f>$DB$74</f>
        <v>Select Equipment</v>
      </c>
      <c r="DB2030" s="436"/>
      <c r="DC2030" s="120"/>
      <c r="DD2030" s="459"/>
      <c r="DE2030" s="120"/>
      <c r="DF2030" s="440"/>
      <c r="EA2030" s="114" t="str">
        <f>$EB$76</f>
        <v>Select Equipment</v>
      </c>
      <c r="EB2030" s="436"/>
      <c r="EC2030" s="120"/>
      <c r="ED2030" s="459"/>
      <c r="EE2030" s="120"/>
      <c r="EF2030" s="440"/>
    </row>
    <row r="2031" spans="53:136">
      <c r="BA2031" s="114" t="str">
        <f>$BB$75</f>
        <v>Select Equipment</v>
      </c>
      <c r="BB2031" s="436" t="s">
        <v>9</v>
      </c>
      <c r="BC2031" s="120"/>
      <c r="BD2031" s="459" t="s">
        <v>564</v>
      </c>
      <c r="BE2031" s="120"/>
      <c r="BF2031" s="440"/>
      <c r="CA2031" s="114" t="str">
        <f>$CB$75</f>
        <v>Select Equipment</v>
      </c>
      <c r="CB2031" s="436" t="s">
        <v>9</v>
      </c>
      <c r="CC2031" s="120"/>
      <c r="CD2031" s="459" t="s">
        <v>564</v>
      </c>
      <c r="CE2031" s="120"/>
      <c r="CF2031" s="440"/>
      <c r="DA2031" s="114" t="str">
        <f>$DB$75</f>
        <v>Select Equipment</v>
      </c>
      <c r="DB2031" s="436" t="s">
        <v>9</v>
      </c>
      <c r="DC2031" s="120"/>
      <c r="DD2031" s="459" t="s">
        <v>564</v>
      </c>
      <c r="DE2031" s="120"/>
      <c r="DF2031" s="440"/>
      <c r="EA2031" s="114" t="str">
        <f>$EB$77</f>
        <v>Select Equipment</v>
      </c>
      <c r="EB2031" s="436" t="s">
        <v>9</v>
      </c>
      <c r="EC2031" s="120"/>
      <c r="ED2031" s="459" t="s">
        <v>564</v>
      </c>
      <c r="EE2031" s="120"/>
      <c r="EF2031" s="440"/>
    </row>
    <row r="2032" spans="53:136">
      <c r="BA2032" s="114" t="str">
        <f>$BB$76</f>
        <v>Select Equipment</v>
      </c>
      <c r="BB2032" s="436"/>
      <c r="BC2032" s="120"/>
      <c r="BD2032" s="459"/>
      <c r="BE2032" s="120"/>
      <c r="BF2032" s="440"/>
      <c r="CA2032" s="114" t="str">
        <f>$CB$76</f>
        <v>Select Equipment</v>
      </c>
      <c r="CB2032" s="436"/>
      <c r="CC2032" s="120"/>
      <c r="CD2032" s="459"/>
      <c r="CE2032" s="120"/>
      <c r="CF2032" s="440"/>
      <c r="DA2032" s="114" t="str">
        <f>$DB$76</f>
        <v>Select Equipment</v>
      </c>
      <c r="DB2032" s="436"/>
      <c r="DC2032" s="120"/>
      <c r="DD2032" s="459"/>
      <c r="DE2032" s="120"/>
      <c r="DF2032" s="440"/>
      <c r="EA2032" s="114" t="str">
        <f>$EB$78</f>
        <v>Select Equipment</v>
      </c>
      <c r="EB2032" s="436"/>
      <c r="EC2032" s="120"/>
      <c r="ED2032" s="459"/>
      <c r="EE2032" s="120"/>
      <c r="EF2032" s="440"/>
    </row>
    <row r="2033" spans="53:136">
      <c r="BA2033" s="114" t="str">
        <f>$BB$77</f>
        <v>Select Equipment</v>
      </c>
      <c r="BB2033" s="436" t="s">
        <v>324</v>
      </c>
      <c r="BC2033" s="120"/>
      <c r="BD2033" s="459" t="s">
        <v>564</v>
      </c>
      <c r="BE2033" s="120"/>
      <c r="BF2033" s="440" t="s">
        <v>569</v>
      </c>
      <c r="CA2033" s="114" t="str">
        <f>$CB$77</f>
        <v>Select Equipment</v>
      </c>
      <c r="CB2033" s="436" t="s">
        <v>324</v>
      </c>
      <c r="CC2033" s="120"/>
      <c r="CD2033" s="459" t="s">
        <v>564</v>
      </c>
      <c r="CE2033" s="120"/>
      <c r="CF2033" s="440" t="s">
        <v>569</v>
      </c>
      <c r="DA2033" s="114" t="str">
        <f>$DB$77</f>
        <v>Select Equipment</v>
      </c>
      <c r="DB2033" s="436" t="s">
        <v>324</v>
      </c>
      <c r="DC2033" s="120"/>
      <c r="DD2033" s="459" t="s">
        <v>564</v>
      </c>
      <c r="DE2033" s="120"/>
      <c r="DF2033" s="440" t="s">
        <v>569</v>
      </c>
      <c r="EA2033" s="114" t="str">
        <f>$EB$79</f>
        <v>Select Equipment</v>
      </c>
      <c r="EB2033" s="436" t="s">
        <v>324</v>
      </c>
      <c r="EC2033" s="120"/>
      <c r="ED2033" s="459" t="s">
        <v>564</v>
      </c>
      <c r="EE2033" s="120"/>
      <c r="EF2033" s="440" t="s">
        <v>569</v>
      </c>
    </row>
    <row r="2034" spans="53:136">
      <c r="BA2034" s="114" t="str">
        <f>$BB$78</f>
        <v>Select Equipment</v>
      </c>
      <c r="BB2034" s="436"/>
      <c r="BC2034" s="120"/>
      <c r="BD2034" s="468"/>
      <c r="BE2034" s="469"/>
      <c r="BF2034" s="440"/>
      <c r="CA2034" s="114" t="str">
        <f>$CB$78</f>
        <v>Select Equipment</v>
      </c>
      <c r="CB2034" s="436"/>
      <c r="CC2034" s="120"/>
      <c r="CD2034" s="468"/>
      <c r="CE2034" s="469"/>
      <c r="CF2034" s="440"/>
      <c r="DA2034" s="114" t="str">
        <f>$DB$78</f>
        <v>Select Equipment</v>
      </c>
      <c r="DB2034" s="436"/>
      <c r="DC2034" s="120"/>
      <c r="DD2034" s="468"/>
      <c r="DE2034" s="469"/>
      <c r="DF2034" s="440"/>
      <c r="EA2034" s="114" t="str">
        <f>$EB$80</f>
        <v>Select Equipment</v>
      </c>
      <c r="EB2034" s="436"/>
      <c r="EC2034" s="120"/>
      <c r="ED2034" s="468"/>
      <c r="EE2034" s="469"/>
      <c r="EF2034" s="440"/>
    </row>
    <row r="2035" spans="53:136">
      <c r="BA2035" s="114" t="str">
        <f>$BB$79</f>
        <v>Select Equipment</v>
      </c>
      <c r="BB2035" s="436" t="s">
        <v>374</v>
      </c>
      <c r="BC2035" s="120"/>
      <c r="BD2035" s="459" t="s">
        <v>564</v>
      </c>
      <c r="BE2035" s="469"/>
      <c r="BF2035" s="440" t="s">
        <v>569</v>
      </c>
      <c r="CA2035" s="114" t="str">
        <f>$CB$79</f>
        <v>Select Equipment</v>
      </c>
      <c r="CB2035" s="436" t="s">
        <v>374</v>
      </c>
      <c r="CC2035" s="120"/>
      <c r="CD2035" s="459" t="s">
        <v>564</v>
      </c>
      <c r="CE2035" s="469"/>
      <c r="CF2035" s="440" t="s">
        <v>569</v>
      </c>
      <c r="DA2035" s="114" t="str">
        <f>$DB$79</f>
        <v>Select Equipment</v>
      </c>
      <c r="DB2035" s="436" t="s">
        <v>374</v>
      </c>
      <c r="DC2035" s="120"/>
      <c r="DD2035" s="459" t="s">
        <v>564</v>
      </c>
      <c r="DE2035" s="469"/>
      <c r="DF2035" s="440" t="s">
        <v>569</v>
      </c>
      <c r="EA2035" s="114" t="str">
        <f>$EB$81</f>
        <v>Select Equipment</v>
      </c>
      <c r="EB2035" s="436" t="s">
        <v>374</v>
      </c>
      <c r="EC2035" s="120"/>
      <c r="ED2035" s="459" t="s">
        <v>564</v>
      </c>
      <c r="EE2035" s="469"/>
      <c r="EF2035" s="440" t="s">
        <v>569</v>
      </c>
    </row>
    <row r="2036" spans="53:136">
      <c r="BA2036" s="114" t="str">
        <f>$BB$80</f>
        <v>Select Equipment</v>
      </c>
      <c r="BB2036" s="436"/>
      <c r="BC2036" s="120"/>
      <c r="BD2036" s="472"/>
      <c r="BE2036" s="473"/>
      <c r="BF2036" s="440"/>
      <c r="CA2036" s="114" t="str">
        <f>$CB$80</f>
        <v>Select Equipment</v>
      </c>
      <c r="CB2036" s="436"/>
      <c r="CC2036" s="120"/>
      <c r="CD2036" s="472"/>
      <c r="CE2036" s="473"/>
      <c r="CF2036" s="440"/>
      <c r="DA2036" s="114" t="str">
        <f>$DB$80</f>
        <v>Select Equipment</v>
      </c>
      <c r="DB2036" s="436"/>
      <c r="DC2036" s="120"/>
      <c r="DD2036" s="472"/>
      <c r="DE2036" s="473"/>
      <c r="DF2036" s="440"/>
      <c r="EA2036" s="114" t="str">
        <f>$EB$82</f>
        <v>Select Equipment</v>
      </c>
      <c r="EB2036" s="436"/>
      <c r="EC2036" s="120"/>
      <c r="ED2036" s="472"/>
      <c r="EE2036" s="473"/>
      <c r="EF2036" s="440"/>
    </row>
    <row r="2037" spans="53:136">
      <c r="BA2037" s="114" t="str">
        <f>$BB$81</f>
        <v>Select Equipment</v>
      </c>
      <c r="BB2037" s="436" t="s">
        <v>580</v>
      </c>
      <c r="BC2037" s="120"/>
      <c r="BD2037" s="459" t="s">
        <v>564</v>
      </c>
      <c r="BE2037" s="473"/>
      <c r="BF2037" s="440" t="s">
        <v>569</v>
      </c>
      <c r="CA2037" s="114" t="str">
        <f>$CB$81</f>
        <v>Select Equipment</v>
      </c>
      <c r="CB2037" s="436" t="s">
        <v>580</v>
      </c>
      <c r="CC2037" s="120"/>
      <c r="CD2037" s="459" t="s">
        <v>564</v>
      </c>
      <c r="CE2037" s="473"/>
      <c r="CF2037" s="440" t="s">
        <v>569</v>
      </c>
      <c r="DA2037" s="114" t="str">
        <f>$DB$81</f>
        <v>Select Equipment</v>
      </c>
      <c r="DB2037" s="436" t="s">
        <v>580</v>
      </c>
      <c r="DC2037" s="120"/>
      <c r="DD2037" s="459" t="s">
        <v>564</v>
      </c>
      <c r="DE2037" s="473"/>
      <c r="DF2037" s="440" t="s">
        <v>569</v>
      </c>
      <c r="EA2037" s="114" t="str">
        <f>$EB$83</f>
        <v>Select Equipment</v>
      </c>
      <c r="EB2037" s="436" t="s">
        <v>580</v>
      </c>
      <c r="EC2037" s="120"/>
      <c r="ED2037" s="459" t="s">
        <v>564</v>
      </c>
      <c r="EE2037" s="473"/>
      <c r="EF2037" s="440" t="s">
        <v>569</v>
      </c>
    </row>
    <row r="2038" spans="53:136">
      <c r="BA2038" s="114" t="str">
        <f>$BB$82</f>
        <v>Select Equipment</v>
      </c>
      <c r="BB2038" s="476"/>
      <c r="BC2038" s="477"/>
      <c r="BD2038" s="478"/>
      <c r="BE2038" s="479"/>
      <c r="BF2038" s="458"/>
      <c r="CA2038" s="114" t="str">
        <f>$CB$82</f>
        <v>Select Equipment</v>
      </c>
      <c r="CB2038" s="476"/>
      <c r="CC2038" s="477"/>
      <c r="CD2038" s="478"/>
      <c r="CE2038" s="479"/>
      <c r="CF2038" s="458"/>
      <c r="DA2038" s="114" t="str">
        <f>$DB$82</f>
        <v>Select Equipment</v>
      </c>
      <c r="DB2038" s="476"/>
      <c r="DC2038" s="477"/>
      <c r="DD2038" s="478"/>
      <c r="DE2038" s="479"/>
      <c r="DF2038" s="458"/>
      <c r="EA2038" s="114" t="str">
        <f>$EB$84</f>
        <v>Select Equipment</v>
      </c>
      <c r="EB2038" s="476"/>
      <c r="EC2038" s="477"/>
      <c r="ED2038" s="478"/>
      <c r="EE2038" s="479"/>
      <c r="EF2038" s="458"/>
    </row>
    <row r="2039" spans="53:136">
      <c r="BA2039" s="114" t="str">
        <f>$BB$83</f>
        <v>Select Equipment</v>
      </c>
      <c r="BB2039" s="449" t="s">
        <v>473</v>
      </c>
      <c r="BC2039" s="467" t="s">
        <v>508</v>
      </c>
      <c r="BD2039" s="480"/>
      <c r="BE2039" s="481" t="s">
        <v>308</v>
      </c>
      <c r="BF2039" s="440"/>
      <c r="CA2039" s="114" t="str">
        <f>$CB$83</f>
        <v>Select Equipment</v>
      </c>
      <c r="CB2039" s="449" t="s">
        <v>473</v>
      </c>
      <c r="CC2039" s="467" t="s">
        <v>508</v>
      </c>
      <c r="CD2039" s="480"/>
      <c r="CE2039" s="481" t="s">
        <v>308</v>
      </c>
      <c r="CF2039" s="440"/>
      <c r="DA2039" s="114" t="str">
        <f>$DB$83</f>
        <v>Select Equipment</v>
      </c>
      <c r="DB2039" s="449" t="s">
        <v>473</v>
      </c>
      <c r="DC2039" s="467" t="s">
        <v>508</v>
      </c>
      <c r="DD2039" s="480"/>
      <c r="DE2039" s="481" t="s">
        <v>308</v>
      </c>
      <c r="DF2039" s="440"/>
      <c r="EA2039" s="114" t="str">
        <f>$EB$85</f>
        <v>Select Equipment</v>
      </c>
      <c r="EB2039" s="449" t="s">
        <v>473</v>
      </c>
      <c r="EC2039" s="467" t="s">
        <v>508</v>
      </c>
      <c r="ED2039" s="480"/>
      <c r="EE2039" s="481" t="s">
        <v>308</v>
      </c>
      <c r="EF2039" s="440"/>
    </row>
    <row r="2040" spans="53:136">
      <c r="BB2040" s="436"/>
      <c r="BC2040" s="483"/>
      <c r="BD2040" s="480"/>
      <c r="BE2040" s="484"/>
      <c r="BF2040" s="440"/>
      <c r="CB2040" s="436"/>
      <c r="CC2040" s="483"/>
      <c r="CD2040" s="480"/>
      <c r="CE2040" s="484"/>
      <c r="CF2040" s="440"/>
      <c r="DB2040" s="436"/>
      <c r="DC2040" s="483"/>
      <c r="DD2040" s="480"/>
      <c r="DE2040" s="484"/>
      <c r="DF2040" s="440"/>
      <c r="EB2040" s="436"/>
      <c r="EC2040" s="483"/>
      <c r="ED2040" s="480"/>
      <c r="EE2040" s="484"/>
      <c r="EF2040" s="440"/>
    </row>
    <row r="2041" spans="53:136">
      <c r="BB2041" s="436"/>
      <c r="BC2041" s="120"/>
      <c r="BD2041" s="223"/>
      <c r="BE2041" s="467"/>
      <c r="BF2041" s="440"/>
      <c r="CB2041" s="436"/>
      <c r="CC2041" s="120"/>
      <c r="CD2041" s="223"/>
      <c r="CE2041" s="467"/>
      <c r="CF2041" s="440"/>
      <c r="DB2041" s="436"/>
      <c r="DC2041" s="120"/>
      <c r="DD2041" s="223"/>
      <c r="DE2041" s="467"/>
      <c r="DF2041" s="440"/>
      <c r="EB2041" s="436"/>
      <c r="EC2041" s="120"/>
      <c r="ED2041" s="223"/>
      <c r="EE2041" s="467"/>
      <c r="EF2041" s="440"/>
    </row>
    <row r="2042" spans="53:136">
      <c r="BB2042" s="436"/>
      <c r="BC2042" s="120"/>
      <c r="BD2042" s="466"/>
      <c r="BE2042" s="467"/>
      <c r="BF2042" s="440"/>
      <c r="CB2042" s="436"/>
      <c r="CC2042" s="120"/>
      <c r="CD2042" s="466"/>
      <c r="CE2042" s="467"/>
      <c r="CF2042" s="440"/>
      <c r="DB2042" s="436"/>
      <c r="DC2042" s="120"/>
      <c r="DD2042" s="466"/>
      <c r="DE2042" s="467"/>
      <c r="DF2042" s="440"/>
      <c r="EB2042" s="436"/>
      <c r="EC2042" s="120"/>
      <c r="ED2042" s="466"/>
      <c r="EE2042" s="467"/>
      <c r="EF2042" s="440"/>
    </row>
    <row r="2043" spans="53:136">
      <c r="BB2043" s="436"/>
      <c r="BC2043" s="120"/>
      <c r="BD2043" s="223"/>
      <c r="BE2043" s="467"/>
      <c r="BF2043" s="440"/>
      <c r="CB2043" s="436"/>
      <c r="CC2043" s="120"/>
      <c r="CD2043" s="223"/>
      <c r="CE2043" s="467"/>
      <c r="CF2043" s="440"/>
      <c r="DB2043" s="436"/>
      <c r="DC2043" s="120"/>
      <c r="DD2043" s="223"/>
      <c r="DE2043" s="467"/>
      <c r="DF2043" s="440"/>
      <c r="EB2043" s="436"/>
      <c r="EC2043" s="120"/>
      <c r="ED2043" s="223"/>
      <c r="EE2043" s="467"/>
      <c r="EF2043" s="440"/>
    </row>
    <row r="2044" spans="53:136">
      <c r="BB2044" s="436"/>
      <c r="BC2044" s="120"/>
      <c r="BD2044" s="223"/>
      <c r="BE2044" s="467"/>
      <c r="BF2044" s="440"/>
      <c r="CB2044" s="436"/>
      <c r="CC2044" s="120"/>
      <c r="CD2044" s="223"/>
      <c r="CE2044" s="467"/>
      <c r="CF2044" s="440"/>
      <c r="DB2044" s="436"/>
      <c r="DC2044" s="120"/>
      <c r="DD2044" s="223"/>
      <c r="DE2044" s="467"/>
      <c r="DF2044" s="440"/>
      <c r="EB2044" s="436"/>
      <c r="EC2044" s="120"/>
      <c r="ED2044" s="223"/>
      <c r="EE2044" s="467"/>
      <c r="EF2044" s="440"/>
    </row>
    <row r="2045" spans="53:136">
      <c r="BB2045" s="436"/>
      <c r="BC2045" s="120"/>
      <c r="BD2045" s="471"/>
      <c r="BE2045" s="467"/>
      <c r="BF2045" s="440"/>
      <c r="CB2045" s="436"/>
      <c r="CC2045" s="120"/>
      <c r="CD2045" s="471"/>
      <c r="CE2045" s="467"/>
      <c r="CF2045" s="440"/>
      <c r="DB2045" s="436"/>
      <c r="DC2045" s="120"/>
      <c r="DD2045" s="471"/>
      <c r="DE2045" s="467"/>
      <c r="DF2045" s="440"/>
      <c r="EB2045" s="436"/>
      <c r="EC2045" s="120"/>
      <c r="ED2045" s="471"/>
      <c r="EE2045" s="467"/>
      <c r="EF2045" s="440"/>
    </row>
    <row r="2046" spans="53:136">
      <c r="BB2046" s="436"/>
      <c r="BC2046" s="120"/>
      <c r="BD2046" s="223"/>
      <c r="BE2046" s="467"/>
      <c r="BF2046" s="440"/>
      <c r="CB2046" s="436"/>
      <c r="CC2046" s="120"/>
      <c r="CD2046" s="223"/>
      <c r="CE2046" s="467"/>
      <c r="CF2046" s="440"/>
      <c r="DB2046" s="436"/>
      <c r="DC2046" s="120"/>
      <c r="DD2046" s="223"/>
      <c r="DE2046" s="467"/>
      <c r="DF2046" s="440"/>
      <c r="EB2046" s="436"/>
      <c r="EC2046" s="120"/>
      <c r="ED2046" s="223"/>
      <c r="EE2046" s="467"/>
      <c r="EF2046" s="440"/>
    </row>
    <row r="2047" spans="53:136">
      <c r="BB2047" s="436"/>
      <c r="BC2047" s="120"/>
      <c r="BD2047" s="475"/>
      <c r="BE2047" s="467"/>
      <c r="BF2047" s="440"/>
      <c r="CB2047" s="436"/>
      <c r="CC2047" s="120"/>
      <c r="CD2047" s="475"/>
      <c r="CE2047" s="467"/>
      <c r="CF2047" s="440"/>
      <c r="DB2047" s="436"/>
      <c r="DC2047" s="120"/>
      <c r="DD2047" s="475"/>
      <c r="DE2047" s="467"/>
      <c r="DF2047" s="440"/>
      <c r="EB2047" s="436"/>
      <c r="EC2047" s="120"/>
      <c r="ED2047" s="475"/>
      <c r="EE2047" s="467"/>
      <c r="EF2047" s="440"/>
    </row>
    <row r="2048" spans="53:136">
      <c r="BB2048" s="436"/>
      <c r="BC2048" s="120"/>
      <c r="BD2048" s="223"/>
      <c r="BE2048" s="467"/>
      <c r="BF2048" s="440"/>
      <c r="CB2048" s="436"/>
      <c r="CC2048" s="120"/>
      <c r="CD2048" s="223"/>
      <c r="CE2048" s="467"/>
      <c r="CF2048" s="440"/>
      <c r="DB2048" s="436"/>
      <c r="DC2048" s="120"/>
      <c r="DD2048" s="223"/>
      <c r="DE2048" s="467"/>
      <c r="DF2048" s="440"/>
      <c r="EB2048" s="436"/>
      <c r="EC2048" s="120"/>
      <c r="ED2048" s="223"/>
      <c r="EE2048" s="467"/>
      <c r="EF2048" s="440"/>
    </row>
    <row r="2049" spans="54:136">
      <c r="BB2049" s="436"/>
      <c r="BC2049" s="120"/>
      <c r="BD2049" s="223"/>
      <c r="BE2049" s="467"/>
      <c r="BF2049" s="440"/>
      <c r="CB2049" s="436"/>
      <c r="CC2049" s="120"/>
      <c r="CD2049" s="223"/>
      <c r="CE2049" s="467"/>
      <c r="CF2049" s="440"/>
      <c r="DB2049" s="436"/>
      <c r="DC2049" s="120"/>
      <c r="DD2049" s="223"/>
      <c r="DE2049" s="467"/>
      <c r="DF2049" s="440"/>
      <c r="EB2049" s="436"/>
      <c r="EC2049" s="120"/>
      <c r="ED2049" s="223"/>
      <c r="EE2049" s="467"/>
      <c r="EF2049" s="440"/>
    </row>
    <row r="2050" spans="54:136">
      <c r="BB2050" s="436"/>
      <c r="BC2050" s="120"/>
      <c r="BD2050" s="223"/>
      <c r="BE2050" s="467"/>
      <c r="BF2050" s="440"/>
      <c r="CB2050" s="436"/>
      <c r="CC2050" s="120"/>
      <c r="CD2050" s="223"/>
      <c r="CE2050" s="467"/>
      <c r="CF2050" s="440"/>
      <c r="DB2050" s="436"/>
      <c r="DC2050" s="120"/>
      <c r="DD2050" s="223"/>
      <c r="DE2050" s="467"/>
      <c r="DF2050" s="440"/>
      <c r="EB2050" s="436"/>
      <c r="EC2050" s="120"/>
      <c r="ED2050" s="223"/>
      <c r="EE2050" s="467"/>
      <c r="EF2050" s="440"/>
    </row>
    <row r="2051" spans="54:136">
      <c r="BB2051" s="436"/>
      <c r="BC2051" s="120"/>
      <c r="BD2051" s="223"/>
      <c r="BE2051" s="467"/>
      <c r="BF2051" s="440"/>
      <c r="CB2051" s="436"/>
      <c r="CC2051" s="120"/>
      <c r="CD2051" s="223"/>
      <c r="CE2051" s="467"/>
      <c r="CF2051" s="440"/>
      <c r="DB2051" s="436"/>
      <c r="DC2051" s="120"/>
      <c r="DD2051" s="223"/>
      <c r="DE2051" s="467"/>
      <c r="DF2051" s="440"/>
      <c r="EB2051" s="436"/>
      <c r="EC2051" s="120"/>
      <c r="ED2051" s="223"/>
      <c r="EE2051" s="467"/>
      <c r="EF2051" s="440"/>
    </row>
    <row r="2052" spans="54:136">
      <c r="BB2052" s="436"/>
      <c r="BC2052" s="120"/>
      <c r="BD2052" s="120"/>
      <c r="BE2052" s="467"/>
      <c r="BF2052" s="440"/>
      <c r="CB2052" s="436"/>
      <c r="CC2052" s="120"/>
      <c r="CD2052" s="120"/>
      <c r="CE2052" s="467"/>
      <c r="CF2052" s="440"/>
      <c r="DB2052" s="436"/>
      <c r="DC2052" s="120"/>
      <c r="DD2052" s="120"/>
      <c r="DE2052" s="467"/>
      <c r="DF2052" s="440"/>
      <c r="EB2052" s="436"/>
      <c r="EC2052" s="120"/>
      <c r="ED2052" s="120"/>
      <c r="EE2052" s="467"/>
      <c r="EF2052" s="440"/>
    </row>
    <row r="2053" spans="54:136">
      <c r="BB2053" s="456"/>
      <c r="BC2053" s="457"/>
      <c r="BD2053" s="457"/>
      <c r="BE2053" s="477"/>
      <c r="BF2053" s="458"/>
      <c r="CB2053" s="456"/>
      <c r="CC2053" s="457"/>
      <c r="CD2053" s="457"/>
      <c r="CE2053" s="477"/>
      <c r="CF2053" s="458"/>
      <c r="DB2053" s="456"/>
      <c r="DC2053" s="457"/>
      <c r="DD2053" s="457"/>
      <c r="DE2053" s="477"/>
      <c r="DF2053" s="458"/>
      <c r="EB2053" s="456"/>
      <c r="EC2053" s="457"/>
      <c r="ED2053" s="457"/>
      <c r="EE2053" s="477"/>
      <c r="EF2053" s="458"/>
    </row>
    <row r="2054" spans="54:136">
      <c r="BB2054" s="449" t="s">
        <v>474</v>
      </c>
      <c r="BC2054" s="120"/>
      <c r="BD2054" s="120" t="s">
        <v>1</v>
      </c>
      <c r="BE2054" s="310" t="s">
        <v>307</v>
      </c>
      <c r="BF2054" s="440"/>
      <c r="CB2054" s="449" t="s">
        <v>474</v>
      </c>
      <c r="CC2054" s="120"/>
      <c r="CD2054" s="120" t="s">
        <v>1</v>
      </c>
      <c r="CE2054" s="310" t="s">
        <v>307</v>
      </c>
      <c r="CF2054" s="440"/>
      <c r="DB2054" s="449" t="s">
        <v>474</v>
      </c>
      <c r="DC2054" s="120"/>
      <c r="DD2054" s="120" t="s">
        <v>1</v>
      </c>
      <c r="DE2054" s="310" t="s">
        <v>307</v>
      </c>
      <c r="DF2054" s="440"/>
      <c r="EB2054" s="449" t="s">
        <v>474</v>
      </c>
      <c r="EC2054" s="120"/>
      <c r="ED2054" s="120" t="s">
        <v>1</v>
      </c>
      <c r="EE2054" s="310" t="s">
        <v>307</v>
      </c>
      <c r="EF2054" s="440"/>
    </row>
    <row r="2055" spans="54:136">
      <c r="BB2055" s="436"/>
      <c r="BC2055" s="223"/>
      <c r="BD2055" s="480"/>
      <c r="BE2055" s="484"/>
      <c r="BF2055" s="440"/>
      <c r="CB2055" s="436"/>
      <c r="CC2055" s="223"/>
      <c r="CD2055" s="480"/>
      <c r="CE2055" s="484"/>
      <c r="CF2055" s="440"/>
      <c r="DB2055" s="436"/>
      <c r="DC2055" s="223"/>
      <c r="DD2055" s="480"/>
      <c r="DE2055" s="484"/>
      <c r="DF2055" s="440"/>
      <c r="EB2055" s="436"/>
      <c r="EC2055" s="223"/>
      <c r="ED2055" s="480"/>
      <c r="EE2055" s="484"/>
      <c r="EF2055" s="440"/>
    </row>
    <row r="2056" spans="54:136">
      <c r="BB2056" s="436"/>
      <c r="BC2056" s="120"/>
      <c r="BD2056" s="120"/>
      <c r="BE2056" s="467"/>
      <c r="BF2056" s="440"/>
      <c r="CB2056" s="436"/>
      <c r="CC2056" s="120"/>
      <c r="CD2056" s="120"/>
      <c r="CE2056" s="467"/>
      <c r="CF2056" s="440"/>
      <c r="DB2056" s="436"/>
      <c r="DC2056" s="120"/>
      <c r="DD2056" s="120"/>
      <c r="DE2056" s="467"/>
      <c r="DF2056" s="440"/>
      <c r="EB2056" s="436"/>
      <c r="EC2056" s="120"/>
      <c r="ED2056" s="120"/>
      <c r="EE2056" s="467"/>
      <c r="EF2056" s="440"/>
    </row>
    <row r="2057" spans="54:136">
      <c r="BB2057" s="436"/>
      <c r="BC2057" s="120"/>
      <c r="BD2057" s="120"/>
      <c r="BE2057" s="467"/>
      <c r="BF2057" s="440"/>
      <c r="CB2057" s="436"/>
      <c r="CC2057" s="120"/>
      <c r="CD2057" s="120"/>
      <c r="CE2057" s="467"/>
      <c r="CF2057" s="440"/>
      <c r="DB2057" s="436"/>
      <c r="DC2057" s="120"/>
      <c r="DD2057" s="120"/>
      <c r="DE2057" s="467"/>
      <c r="DF2057" s="440"/>
      <c r="EB2057" s="436"/>
      <c r="EC2057" s="120"/>
      <c r="ED2057" s="120"/>
      <c r="EE2057" s="467"/>
      <c r="EF2057" s="440"/>
    </row>
    <row r="2058" spans="54:136">
      <c r="BB2058" s="436"/>
      <c r="BC2058" s="120"/>
      <c r="BD2058" s="120"/>
      <c r="BE2058" s="467"/>
      <c r="BF2058" s="440"/>
      <c r="CB2058" s="436"/>
      <c r="CC2058" s="120"/>
      <c r="CD2058" s="120"/>
      <c r="CE2058" s="467"/>
      <c r="CF2058" s="440"/>
      <c r="DB2058" s="436"/>
      <c r="DC2058" s="120"/>
      <c r="DD2058" s="120"/>
      <c r="DE2058" s="467"/>
      <c r="DF2058" s="440"/>
      <c r="EB2058" s="436"/>
      <c r="EC2058" s="120"/>
      <c r="ED2058" s="120"/>
      <c r="EE2058" s="467"/>
      <c r="EF2058" s="440"/>
    </row>
    <row r="2059" spans="54:136">
      <c r="BB2059" s="436"/>
      <c r="BC2059" s="120"/>
      <c r="BD2059" s="120"/>
      <c r="BE2059" s="467"/>
      <c r="BF2059" s="440"/>
      <c r="CB2059" s="436"/>
      <c r="CC2059" s="120"/>
      <c r="CD2059" s="120"/>
      <c r="CE2059" s="467"/>
      <c r="CF2059" s="440"/>
      <c r="DB2059" s="436"/>
      <c r="DC2059" s="120"/>
      <c r="DD2059" s="120"/>
      <c r="DE2059" s="467"/>
      <c r="DF2059" s="440"/>
      <c r="EB2059" s="436"/>
      <c r="EC2059" s="120"/>
      <c r="ED2059" s="120"/>
      <c r="EE2059" s="467"/>
      <c r="EF2059" s="440"/>
    </row>
    <row r="2060" spans="54:136">
      <c r="BB2060" s="436"/>
      <c r="BC2060" s="120"/>
      <c r="BD2060" s="120"/>
      <c r="BE2060" s="467"/>
      <c r="BF2060" s="440"/>
      <c r="CB2060" s="436"/>
      <c r="CC2060" s="120"/>
      <c r="CD2060" s="120"/>
      <c r="CE2060" s="467"/>
      <c r="CF2060" s="440"/>
      <c r="DB2060" s="436"/>
      <c r="DC2060" s="120"/>
      <c r="DD2060" s="120"/>
      <c r="DE2060" s="467"/>
      <c r="DF2060" s="440"/>
      <c r="EB2060" s="436"/>
      <c r="EC2060" s="120"/>
      <c r="ED2060" s="120"/>
      <c r="EE2060" s="467"/>
      <c r="EF2060" s="440"/>
    </row>
    <row r="2061" spans="54:136">
      <c r="BB2061" s="436"/>
      <c r="BC2061" s="120"/>
      <c r="BD2061" s="120"/>
      <c r="BE2061" s="467"/>
      <c r="BF2061" s="440"/>
      <c r="CB2061" s="436"/>
      <c r="CC2061" s="120"/>
      <c r="CD2061" s="120"/>
      <c r="CE2061" s="467"/>
      <c r="CF2061" s="440"/>
      <c r="DB2061" s="436"/>
      <c r="DC2061" s="120"/>
      <c r="DD2061" s="120"/>
      <c r="DE2061" s="467"/>
      <c r="DF2061" s="440"/>
      <c r="EB2061" s="436"/>
      <c r="EC2061" s="120"/>
      <c r="ED2061" s="120"/>
      <c r="EE2061" s="467"/>
      <c r="EF2061" s="440"/>
    </row>
    <row r="2062" spans="54:136">
      <c r="BB2062" s="436"/>
      <c r="BC2062" s="120"/>
      <c r="BD2062" s="120"/>
      <c r="BE2062" s="467"/>
      <c r="BF2062" s="440"/>
      <c r="CB2062" s="436"/>
      <c r="CC2062" s="120"/>
      <c r="CD2062" s="120"/>
      <c r="CE2062" s="467"/>
      <c r="CF2062" s="440"/>
      <c r="DB2062" s="436"/>
      <c r="DC2062" s="120"/>
      <c r="DD2062" s="120"/>
      <c r="DE2062" s="467"/>
      <c r="DF2062" s="440"/>
      <c r="EB2062" s="436"/>
      <c r="EC2062" s="120"/>
      <c r="ED2062" s="120"/>
      <c r="EE2062" s="467"/>
      <c r="EF2062" s="440"/>
    </row>
    <row r="2063" spans="54:136">
      <c r="BB2063" s="436"/>
      <c r="BC2063" s="120"/>
      <c r="BD2063" s="120"/>
      <c r="BE2063" s="467"/>
      <c r="BF2063" s="440"/>
      <c r="CB2063" s="436"/>
      <c r="CC2063" s="120"/>
      <c r="CD2063" s="120"/>
      <c r="CE2063" s="467"/>
      <c r="CF2063" s="440"/>
      <c r="DB2063" s="436"/>
      <c r="DC2063" s="120"/>
      <c r="DD2063" s="120"/>
      <c r="DE2063" s="467"/>
      <c r="DF2063" s="440"/>
      <c r="EB2063" s="436"/>
      <c r="EC2063" s="120"/>
      <c r="ED2063" s="120"/>
      <c r="EE2063" s="467"/>
      <c r="EF2063" s="440"/>
    </row>
    <row r="2064" spans="54:136">
      <c r="BB2064" s="436"/>
      <c r="BC2064" s="120"/>
      <c r="BD2064" s="120"/>
      <c r="BE2064" s="467"/>
      <c r="BF2064" s="440"/>
      <c r="CB2064" s="436"/>
      <c r="CC2064" s="120"/>
      <c r="CD2064" s="120"/>
      <c r="CE2064" s="467"/>
      <c r="CF2064" s="440"/>
      <c r="DB2064" s="436"/>
      <c r="DC2064" s="120"/>
      <c r="DD2064" s="120"/>
      <c r="DE2064" s="467"/>
      <c r="DF2064" s="440"/>
      <c r="EB2064" s="436"/>
      <c r="EC2064" s="120"/>
      <c r="ED2064" s="120"/>
      <c r="EE2064" s="467"/>
      <c r="EF2064" s="440"/>
    </row>
    <row r="2065" spans="54:136">
      <c r="BB2065" s="436"/>
      <c r="BC2065" s="120"/>
      <c r="BD2065" s="120"/>
      <c r="BE2065" s="467"/>
      <c r="BF2065" s="440"/>
      <c r="CB2065" s="436"/>
      <c r="CC2065" s="120"/>
      <c r="CD2065" s="120"/>
      <c r="CE2065" s="467"/>
      <c r="CF2065" s="440"/>
      <c r="DB2065" s="436"/>
      <c r="DC2065" s="120"/>
      <c r="DD2065" s="120"/>
      <c r="DE2065" s="467"/>
      <c r="DF2065" s="440"/>
      <c r="EB2065" s="436"/>
      <c r="EC2065" s="120"/>
      <c r="ED2065" s="120"/>
      <c r="EE2065" s="467"/>
      <c r="EF2065" s="440"/>
    </row>
    <row r="2066" spans="54:136">
      <c r="BB2066" s="436"/>
      <c r="BC2066" s="120"/>
      <c r="BD2066" s="120"/>
      <c r="BE2066" s="467"/>
      <c r="BF2066" s="440"/>
      <c r="CB2066" s="436"/>
      <c r="CC2066" s="120"/>
      <c r="CD2066" s="120"/>
      <c r="CE2066" s="467"/>
      <c r="CF2066" s="440"/>
      <c r="DB2066" s="436"/>
      <c r="DC2066" s="120"/>
      <c r="DD2066" s="120"/>
      <c r="DE2066" s="467"/>
      <c r="DF2066" s="440"/>
      <c r="EB2066" s="436"/>
      <c r="EC2066" s="120"/>
      <c r="ED2066" s="120"/>
      <c r="EE2066" s="467"/>
      <c r="EF2066" s="440"/>
    </row>
    <row r="2067" spans="54:136">
      <c r="BB2067" s="456"/>
      <c r="BC2067" s="457"/>
      <c r="BD2067" s="457"/>
      <c r="BE2067" s="477"/>
      <c r="BF2067" s="458"/>
      <c r="CB2067" s="456"/>
      <c r="CC2067" s="457"/>
      <c r="CD2067" s="457"/>
      <c r="CE2067" s="477"/>
      <c r="CF2067" s="458"/>
      <c r="DB2067" s="456"/>
      <c r="DC2067" s="457"/>
      <c r="DD2067" s="457"/>
      <c r="DE2067" s="477"/>
      <c r="DF2067" s="458"/>
      <c r="EB2067" s="456"/>
      <c r="EC2067" s="457"/>
      <c r="ED2067" s="457"/>
      <c r="EE2067" s="477"/>
      <c r="EF2067" s="458"/>
    </row>
    <row r="2068" spans="54:136">
      <c r="BB2068" s="456"/>
      <c r="BC2068" s="457"/>
      <c r="BD2068" s="457"/>
      <c r="BE2068" s="457"/>
      <c r="BF2068" s="458"/>
      <c r="CB2068" s="456"/>
      <c r="CC2068" s="457"/>
      <c r="CD2068" s="457"/>
      <c r="CE2068" s="457"/>
      <c r="CF2068" s="458"/>
      <c r="DB2068" s="456"/>
      <c r="DC2068" s="457"/>
      <c r="DD2068" s="457"/>
      <c r="DE2068" s="457"/>
      <c r="DF2068" s="458"/>
      <c r="EB2068" s="456"/>
      <c r="EC2068" s="457"/>
      <c r="ED2068" s="457"/>
      <c r="EE2068" s="457"/>
      <c r="EF2068" s="458"/>
    </row>
    <row r="2069" spans="54:136">
      <c r="BB2069" s="449" t="s">
        <v>475</v>
      </c>
      <c r="BC2069" s="120"/>
      <c r="BD2069" s="120"/>
      <c r="BE2069" s="120"/>
      <c r="BF2069" s="440"/>
      <c r="CB2069" s="449" t="s">
        <v>475</v>
      </c>
      <c r="CC2069" s="120"/>
      <c r="CD2069" s="120"/>
      <c r="CE2069" s="120"/>
      <c r="CF2069" s="440"/>
      <c r="DB2069" s="449" t="s">
        <v>475</v>
      </c>
      <c r="DC2069" s="120"/>
      <c r="DD2069" s="120"/>
      <c r="DE2069" s="120"/>
      <c r="DF2069" s="440"/>
      <c r="EB2069" s="449" t="s">
        <v>475</v>
      </c>
      <c r="EC2069" s="120"/>
      <c r="ED2069" s="120"/>
      <c r="EE2069" s="120"/>
      <c r="EF2069" s="440"/>
    </row>
    <row r="2070" spans="54:136">
      <c r="BB2070" s="436" t="s">
        <v>509</v>
      </c>
      <c r="BC2070" s="120"/>
      <c r="BD2070" s="120"/>
      <c r="BE2070" s="120"/>
      <c r="BF2070" s="440"/>
      <c r="CB2070" s="436" t="s">
        <v>509</v>
      </c>
      <c r="CC2070" s="120"/>
      <c r="CD2070" s="120"/>
      <c r="CE2070" s="120"/>
      <c r="CF2070" s="440"/>
      <c r="DB2070" s="436" t="s">
        <v>509</v>
      </c>
      <c r="DC2070" s="120"/>
      <c r="DD2070" s="120"/>
      <c r="DE2070" s="120"/>
      <c r="DF2070" s="440"/>
      <c r="EB2070" s="436" t="s">
        <v>509</v>
      </c>
      <c r="EC2070" s="120"/>
      <c r="ED2070" s="120"/>
      <c r="EE2070" s="120"/>
      <c r="EF2070" s="440"/>
    </row>
    <row r="2071" spans="54:136">
      <c r="BB2071" s="436" t="s">
        <v>510</v>
      </c>
      <c r="BC2071" s="120"/>
      <c r="BD2071" s="120"/>
      <c r="BE2071" s="120"/>
      <c r="BF2071" s="440"/>
      <c r="CB2071" s="436" t="s">
        <v>510</v>
      </c>
      <c r="CC2071" s="120"/>
      <c r="CD2071" s="120"/>
      <c r="CE2071" s="120"/>
      <c r="CF2071" s="440"/>
      <c r="DB2071" s="436" t="s">
        <v>510</v>
      </c>
      <c r="DC2071" s="120"/>
      <c r="DD2071" s="120"/>
      <c r="DE2071" s="120"/>
      <c r="DF2071" s="440"/>
      <c r="EB2071" s="436" t="s">
        <v>510</v>
      </c>
      <c r="EC2071" s="120"/>
      <c r="ED2071" s="120"/>
      <c r="EE2071" s="120"/>
      <c r="EF2071" s="440"/>
    </row>
    <row r="2072" spans="54:136">
      <c r="BB2072" s="436"/>
      <c r="BC2072" s="120"/>
      <c r="BD2072" s="120"/>
      <c r="BE2072" s="120"/>
      <c r="BF2072" s="440"/>
      <c r="CB2072" s="436"/>
      <c r="CC2072" s="120"/>
      <c r="CD2072" s="120"/>
      <c r="CE2072" s="120"/>
      <c r="CF2072" s="440"/>
      <c r="DB2072" s="436"/>
      <c r="DC2072" s="120"/>
      <c r="DD2072" s="120"/>
      <c r="DE2072" s="120"/>
      <c r="DF2072" s="440"/>
      <c r="EB2072" s="436"/>
      <c r="EC2072" s="120"/>
      <c r="ED2072" s="120"/>
      <c r="EE2072" s="120"/>
      <c r="EF2072" s="440"/>
    </row>
    <row r="2073" spans="54:136">
      <c r="BB2073" s="436"/>
      <c r="BC2073" s="120"/>
      <c r="BD2073" s="120"/>
      <c r="BE2073" s="120"/>
      <c r="BF2073" s="440"/>
      <c r="CB2073" s="436"/>
      <c r="CC2073" s="120"/>
      <c r="CD2073" s="120"/>
      <c r="CE2073" s="120"/>
      <c r="CF2073" s="440"/>
      <c r="DB2073" s="436"/>
      <c r="DC2073" s="120"/>
      <c r="DD2073" s="120"/>
      <c r="DE2073" s="120"/>
      <c r="DF2073" s="440"/>
      <c r="EB2073" s="436"/>
      <c r="EC2073" s="120"/>
      <c r="ED2073" s="120"/>
      <c r="EE2073" s="120"/>
      <c r="EF2073" s="440"/>
    </row>
    <row r="2074" spans="54:136">
      <c r="BB2074" s="436"/>
      <c r="BC2074" s="120"/>
      <c r="BD2074" s="120"/>
      <c r="BE2074" s="120"/>
      <c r="BF2074" s="440"/>
      <c r="CB2074" s="436"/>
      <c r="CC2074" s="120"/>
      <c r="CD2074" s="120"/>
      <c r="CE2074" s="120"/>
      <c r="CF2074" s="440"/>
      <c r="DB2074" s="436"/>
      <c r="DC2074" s="120"/>
      <c r="DD2074" s="120"/>
      <c r="DE2074" s="120"/>
      <c r="DF2074" s="440"/>
      <c r="EB2074" s="436"/>
      <c r="EC2074" s="120"/>
      <c r="ED2074" s="120"/>
      <c r="EE2074" s="120"/>
      <c r="EF2074" s="440"/>
    </row>
    <row r="2075" spans="54:136">
      <c r="BB2075" s="436"/>
      <c r="BC2075" s="120"/>
      <c r="BD2075" s="120"/>
      <c r="BE2075" s="120"/>
      <c r="BF2075" s="440"/>
      <c r="CB2075" s="436"/>
      <c r="CC2075" s="120"/>
      <c r="CD2075" s="120"/>
      <c r="CE2075" s="120"/>
      <c r="CF2075" s="440"/>
      <c r="DB2075" s="436"/>
      <c r="DC2075" s="120"/>
      <c r="DD2075" s="120"/>
      <c r="DE2075" s="120"/>
      <c r="DF2075" s="440"/>
      <c r="EB2075" s="436"/>
      <c r="EC2075" s="120"/>
      <c r="ED2075" s="120"/>
      <c r="EE2075" s="120"/>
      <c r="EF2075" s="440"/>
    </row>
    <row r="2076" spans="54:136">
      <c r="BB2076" s="436" t="s">
        <v>511</v>
      </c>
      <c r="BC2076" s="120">
        <v>0</v>
      </c>
      <c r="BD2076" s="120" t="s">
        <v>512</v>
      </c>
      <c r="BE2076" s="120"/>
      <c r="BF2076" s="440"/>
      <c r="CB2076" s="436" t="s">
        <v>511</v>
      </c>
      <c r="CC2076" s="120">
        <v>0</v>
      </c>
      <c r="CD2076" s="120" t="s">
        <v>512</v>
      </c>
      <c r="CE2076" s="120"/>
      <c r="CF2076" s="440"/>
      <c r="DB2076" s="436" t="s">
        <v>511</v>
      </c>
      <c r="DC2076" s="120">
        <v>0</v>
      </c>
      <c r="DD2076" s="120" t="s">
        <v>512</v>
      </c>
      <c r="DE2076" s="120"/>
      <c r="DF2076" s="440"/>
      <c r="EB2076" s="436" t="s">
        <v>511</v>
      </c>
      <c r="EC2076" s="120">
        <v>0</v>
      </c>
      <c r="ED2076" s="120" t="s">
        <v>512</v>
      </c>
      <c r="EE2076" s="120"/>
      <c r="EF2076" s="440"/>
    </row>
    <row r="2077" spans="54:136">
      <c r="BB2077" s="436" t="s">
        <v>513</v>
      </c>
      <c r="BC2077" s="120">
        <v>0</v>
      </c>
      <c r="BD2077" s="120" t="s">
        <v>512</v>
      </c>
      <c r="BE2077" s="120"/>
      <c r="BF2077" s="440"/>
      <c r="CB2077" s="436" t="s">
        <v>513</v>
      </c>
      <c r="CC2077" s="120">
        <v>0</v>
      </c>
      <c r="CD2077" s="120" t="s">
        <v>512</v>
      </c>
      <c r="CE2077" s="120"/>
      <c r="CF2077" s="440"/>
      <c r="DB2077" s="436" t="s">
        <v>513</v>
      </c>
      <c r="DC2077" s="120">
        <v>0</v>
      </c>
      <c r="DD2077" s="120" t="s">
        <v>512</v>
      </c>
      <c r="DE2077" s="120"/>
      <c r="DF2077" s="440"/>
      <c r="EB2077" s="436" t="s">
        <v>513</v>
      </c>
      <c r="EC2077" s="120">
        <v>0</v>
      </c>
      <c r="ED2077" s="120" t="s">
        <v>512</v>
      </c>
      <c r="EE2077" s="120"/>
      <c r="EF2077" s="440"/>
    </row>
    <row r="2078" spans="54:136">
      <c r="BB2078" s="456"/>
      <c r="BC2078" s="457"/>
      <c r="BD2078" s="457"/>
      <c r="BE2078" s="457"/>
      <c r="BF2078" s="458"/>
      <c r="CB2078" s="456"/>
      <c r="CC2078" s="457"/>
      <c r="CD2078" s="457"/>
      <c r="CE2078" s="457"/>
      <c r="CF2078" s="458"/>
      <c r="DB2078" s="456"/>
      <c r="DC2078" s="457"/>
      <c r="DD2078" s="457"/>
      <c r="DE2078" s="457"/>
      <c r="DF2078" s="458"/>
      <c r="EB2078" s="456"/>
      <c r="EC2078" s="457"/>
      <c r="ED2078" s="457"/>
      <c r="EE2078" s="457"/>
      <c r="EF2078" s="458"/>
    </row>
    <row r="2079" spans="54:136">
      <c r="BB2079" s="449" t="s">
        <v>461</v>
      </c>
      <c r="BC2079" s="120"/>
      <c r="BD2079" s="120"/>
      <c r="BE2079" s="120"/>
      <c r="BF2079" s="440"/>
      <c r="CB2079" s="449" t="s">
        <v>461</v>
      </c>
      <c r="CC2079" s="120"/>
      <c r="CD2079" s="120"/>
      <c r="CE2079" s="120"/>
      <c r="CF2079" s="440"/>
      <c r="DB2079" s="449" t="s">
        <v>461</v>
      </c>
      <c r="DC2079" s="120"/>
      <c r="DD2079" s="120"/>
      <c r="DE2079" s="120"/>
      <c r="DF2079" s="440"/>
      <c r="EB2079" s="449" t="s">
        <v>461</v>
      </c>
      <c r="EC2079" s="120"/>
      <c r="ED2079" s="120"/>
      <c r="EE2079" s="120"/>
      <c r="EF2079" s="440"/>
    </row>
    <row r="2080" spans="54:136">
      <c r="BB2080" s="436" t="s">
        <v>514</v>
      </c>
      <c r="BC2080" s="120">
        <f>VLOOKUP(BB2008,'Unit Ops'!$B$140:$K$209,10,FALSE)</f>
        <v>0</v>
      </c>
      <c r="BD2080" s="120" t="s">
        <v>515</v>
      </c>
      <c r="BE2080" s="120"/>
      <c r="BF2080" s="440"/>
      <c r="CB2080" s="436" t="s">
        <v>514</v>
      </c>
      <c r="CC2080" s="120">
        <f>VLOOKUP(CB2008,'Unit Ops'!$B$140:$K$209,10,FALSE)</f>
        <v>0</v>
      </c>
      <c r="CD2080" s="120" t="s">
        <v>515</v>
      </c>
      <c r="CE2080" s="120"/>
      <c r="CF2080" s="440"/>
      <c r="DB2080" s="436" t="s">
        <v>514</v>
      </c>
      <c r="DC2080" s="120">
        <f>VLOOKUP(DB2008,'Unit Ops'!$B$140:$K$209,10,FALSE)</f>
        <v>0</v>
      </c>
      <c r="DD2080" s="120" t="s">
        <v>515</v>
      </c>
      <c r="DE2080" s="120"/>
      <c r="DF2080" s="440"/>
      <c r="EB2080" s="436" t="s">
        <v>514</v>
      </c>
      <c r="EC2080" s="120">
        <f>VLOOKUP(EB2008,'Unit Ops'!$B$140:$K$209,10,FALSE)</f>
        <v>0</v>
      </c>
      <c r="ED2080" s="120" t="s">
        <v>515</v>
      </c>
      <c r="EE2080" s="120"/>
      <c r="EF2080" s="440"/>
    </row>
    <row r="2081" spans="54:136">
      <c r="BB2081" s="436" t="s">
        <v>516</v>
      </c>
      <c r="BC2081" s="120">
        <v>0</v>
      </c>
      <c r="BD2081" s="120" t="s">
        <v>515</v>
      </c>
      <c r="BE2081" s="120"/>
      <c r="BF2081" s="440"/>
      <c r="CB2081" s="436" t="s">
        <v>516</v>
      </c>
      <c r="CC2081" s="120">
        <v>0</v>
      </c>
      <c r="CD2081" s="120" t="s">
        <v>515</v>
      </c>
      <c r="CE2081" s="120"/>
      <c r="CF2081" s="440"/>
      <c r="DB2081" s="436" t="s">
        <v>516</v>
      </c>
      <c r="DC2081" s="120">
        <v>0</v>
      </c>
      <c r="DD2081" s="120" t="s">
        <v>515</v>
      </c>
      <c r="DE2081" s="120"/>
      <c r="DF2081" s="440"/>
      <c r="EB2081" s="436" t="s">
        <v>516</v>
      </c>
      <c r="EC2081" s="120">
        <v>0</v>
      </c>
      <c r="ED2081" s="120" t="s">
        <v>515</v>
      </c>
      <c r="EE2081" s="120"/>
      <c r="EF2081" s="440"/>
    </row>
    <row r="2082" spans="54:136">
      <c r="BB2082" s="436"/>
      <c r="BC2082" s="120"/>
      <c r="BD2082" s="120"/>
      <c r="BE2082" s="120"/>
      <c r="BF2082" s="440"/>
      <c r="CB2082" s="436"/>
      <c r="CC2082" s="120"/>
      <c r="CD2082" s="120"/>
      <c r="CE2082" s="120"/>
      <c r="CF2082" s="440"/>
      <c r="DB2082" s="436"/>
      <c r="DC2082" s="120"/>
      <c r="DD2082" s="120"/>
      <c r="DE2082" s="120"/>
      <c r="DF2082" s="440"/>
      <c r="EB2082" s="436"/>
      <c r="EC2082" s="120"/>
      <c r="ED2082" s="120"/>
      <c r="EE2082" s="120"/>
      <c r="EF2082" s="440"/>
    </row>
    <row r="2083" spans="54:136">
      <c r="BB2083" s="436"/>
      <c r="BC2083" s="120"/>
      <c r="BD2083" s="120"/>
      <c r="BE2083" s="120"/>
      <c r="BF2083" s="440"/>
      <c r="CB2083" s="436"/>
      <c r="CC2083" s="120"/>
      <c r="CD2083" s="120"/>
      <c r="CE2083" s="120"/>
      <c r="CF2083" s="440"/>
      <c r="DB2083" s="436"/>
      <c r="DC2083" s="120"/>
      <c r="DD2083" s="120"/>
      <c r="DE2083" s="120"/>
      <c r="DF2083" s="440"/>
      <c r="EB2083" s="436"/>
      <c r="EC2083" s="120"/>
      <c r="ED2083" s="120"/>
      <c r="EE2083" s="120"/>
      <c r="EF2083" s="440"/>
    </row>
    <row r="2084" spans="54:136">
      <c r="BB2084" s="436"/>
      <c r="BC2084" s="120"/>
      <c r="BD2084" s="120"/>
      <c r="BE2084" s="120"/>
      <c r="BF2084" s="440"/>
      <c r="CB2084" s="436"/>
      <c r="CC2084" s="120"/>
      <c r="CD2084" s="120"/>
      <c r="CE2084" s="120"/>
      <c r="CF2084" s="440"/>
      <c r="DB2084" s="436"/>
      <c r="DC2084" s="120"/>
      <c r="DD2084" s="120"/>
      <c r="DE2084" s="120"/>
      <c r="DF2084" s="440"/>
      <c r="EB2084" s="436"/>
      <c r="EC2084" s="120"/>
      <c r="ED2084" s="120"/>
      <c r="EE2084" s="120"/>
      <c r="EF2084" s="440"/>
    </row>
    <row r="2085" spans="54:136">
      <c r="BB2085" s="436"/>
      <c r="BC2085" s="120"/>
      <c r="BD2085" s="120"/>
      <c r="BE2085" s="120"/>
      <c r="BF2085" s="440"/>
      <c r="CB2085" s="436"/>
      <c r="CC2085" s="120"/>
      <c r="CD2085" s="120"/>
      <c r="CE2085" s="120"/>
      <c r="CF2085" s="440"/>
      <c r="DB2085" s="436"/>
      <c r="DC2085" s="120"/>
      <c r="DD2085" s="120"/>
      <c r="DE2085" s="120"/>
      <c r="DF2085" s="440"/>
      <c r="EB2085" s="436"/>
      <c r="EC2085" s="120"/>
      <c r="ED2085" s="120"/>
      <c r="EE2085" s="120"/>
      <c r="EF2085" s="440"/>
    </row>
    <row r="2086" spans="54:136">
      <c r="BB2086" s="436"/>
      <c r="BC2086" s="120"/>
      <c r="BD2086" s="120"/>
      <c r="BE2086" s="120"/>
      <c r="BF2086" s="440"/>
      <c r="CB2086" s="436"/>
      <c r="CC2086" s="120"/>
      <c r="CD2086" s="120"/>
      <c r="CE2086" s="120"/>
      <c r="CF2086" s="440"/>
      <c r="DB2086" s="436"/>
      <c r="DC2086" s="120"/>
      <c r="DD2086" s="120"/>
      <c r="DE2086" s="120"/>
      <c r="DF2086" s="440"/>
      <c r="EB2086" s="436"/>
      <c r="EC2086" s="120"/>
      <c r="ED2086" s="120"/>
      <c r="EE2086" s="120"/>
      <c r="EF2086" s="440"/>
    </row>
    <row r="2087" spans="54:136">
      <c r="BB2087" s="436" t="s">
        <v>464</v>
      </c>
      <c r="BC2087" s="120"/>
      <c r="BD2087" s="120"/>
      <c r="BE2087" s="120"/>
      <c r="BF2087" s="440"/>
      <c r="CB2087" s="436" t="s">
        <v>464</v>
      </c>
      <c r="CC2087" s="120"/>
      <c r="CD2087" s="120"/>
      <c r="CE2087" s="120"/>
      <c r="CF2087" s="440"/>
      <c r="DB2087" s="436" t="s">
        <v>464</v>
      </c>
      <c r="DC2087" s="120"/>
      <c r="DD2087" s="120"/>
      <c r="DE2087" s="120"/>
      <c r="DF2087" s="440"/>
      <c r="EB2087" s="436" t="s">
        <v>464</v>
      </c>
      <c r="EC2087" s="120"/>
      <c r="ED2087" s="120"/>
      <c r="EE2087" s="120"/>
      <c r="EF2087" s="440"/>
    </row>
    <row r="2088" spans="54:136">
      <c r="BB2088" s="456"/>
      <c r="BC2088" s="457"/>
      <c r="BD2088" s="457"/>
      <c r="BE2088" s="457"/>
      <c r="BF2088" s="458"/>
      <c r="CB2088" s="456"/>
      <c r="CC2088" s="457"/>
      <c r="CD2088" s="457"/>
      <c r="CE2088" s="457"/>
      <c r="CF2088" s="458"/>
      <c r="DB2088" s="456"/>
      <c r="DC2088" s="457"/>
      <c r="DD2088" s="457"/>
      <c r="DE2088" s="457"/>
      <c r="DF2088" s="458"/>
      <c r="EB2088" s="456"/>
      <c r="EC2088" s="457"/>
      <c r="ED2088" s="457"/>
      <c r="EE2088" s="457"/>
      <c r="EF2088" s="458"/>
    </row>
    <row r="2089" spans="54:136">
      <c r="BB2089" s="449" t="s">
        <v>472</v>
      </c>
      <c r="BC2089" s="467" t="s">
        <v>517</v>
      </c>
      <c r="BD2089" s="120" t="s">
        <v>518</v>
      </c>
      <c r="BE2089" s="467" t="s">
        <v>519</v>
      </c>
      <c r="BF2089" s="440" t="s">
        <v>518</v>
      </c>
      <c r="CB2089" s="449" t="s">
        <v>472</v>
      </c>
      <c r="CC2089" s="467" t="s">
        <v>517</v>
      </c>
      <c r="CD2089" s="120" t="s">
        <v>518</v>
      </c>
      <c r="CE2089" s="467" t="s">
        <v>519</v>
      </c>
      <c r="CF2089" s="440" t="s">
        <v>518</v>
      </c>
      <c r="DB2089" s="449" t="s">
        <v>472</v>
      </c>
      <c r="DC2089" s="467" t="s">
        <v>517</v>
      </c>
      <c r="DD2089" s="120" t="s">
        <v>518</v>
      </c>
      <c r="DE2089" s="467" t="s">
        <v>519</v>
      </c>
      <c r="DF2089" s="440" t="s">
        <v>518</v>
      </c>
      <c r="EB2089" s="449" t="s">
        <v>472</v>
      </c>
      <c r="EC2089" s="467" t="s">
        <v>517</v>
      </c>
      <c r="ED2089" s="120" t="s">
        <v>518</v>
      </c>
      <c r="EE2089" s="467" t="s">
        <v>519</v>
      </c>
      <c r="EF2089" s="440" t="s">
        <v>518</v>
      </c>
    </row>
    <row r="2090" spans="54:136">
      <c r="BB2090" s="436" t="s">
        <v>520</v>
      </c>
      <c r="BC2090" s="120"/>
      <c r="BD2090" s="120"/>
      <c r="BE2090" s="472">
        <f>((VLOOKUP(BB2008,'Unit Ops'!$B$140:$J$209,3,FALSE)*BC2010^VLOOKUP(BB2008,'Unit Ops'!$B$140:$J$209,4,FALSE)+VLOOKUP(BB2008,'Unit Ops'!$B$140:$J$209,5,FALSE))*VLOOKUP(BB2008,'Unit Ops'!$B$140:$J$209,6,FALSE))*IF(VLOOKUP(BB2008,'Unit Ops'!$B$140:$L$209,11,FALSE)=1,1,2)</f>
        <v>0</v>
      </c>
      <c r="BF2090" s="490">
        <f>$C$7</f>
        <v>2022</v>
      </c>
      <c r="CB2090" s="436" t="s">
        <v>520</v>
      </c>
      <c r="CC2090" s="120"/>
      <c r="CD2090" s="120"/>
      <c r="CE2090" s="472">
        <f>((VLOOKUP(CB2008,'Unit Ops'!$B$140:$J$209,3,FALSE)*CC2010^VLOOKUP(CB2008,'Unit Ops'!$B$140:$J$209,4,FALSE)+VLOOKUP(CB2008,'Unit Ops'!$B$140:$J$209,5,FALSE))*VLOOKUP(CB2008,'Unit Ops'!$B$140:$J$209,6,FALSE))*IF(VLOOKUP(CB2008,'Unit Ops'!$B$140:$L$209,11,FALSE)=1,1,2)</f>
        <v>0</v>
      </c>
      <c r="CF2090" s="490">
        <f>$C$7</f>
        <v>2022</v>
      </c>
      <c r="DB2090" s="436" t="s">
        <v>520</v>
      </c>
      <c r="DC2090" s="120"/>
      <c r="DD2090" s="120"/>
      <c r="DE2090" s="472">
        <f>((VLOOKUP(DB2008,'Unit Ops'!$B$140:$J$209,3,FALSE)*DC2010^VLOOKUP(DB2008,'Unit Ops'!$B$140:$J$209,4,FALSE)+VLOOKUP(DB2008,'Unit Ops'!$B$140:$J$209,5,FALSE))*VLOOKUP(DB2008,'Unit Ops'!$B$140:$J$209,6,FALSE))*IF(VLOOKUP(DB2008,'Unit Ops'!$B$140:$L$209,11,FALSE)=1,1,2)</f>
        <v>0</v>
      </c>
      <c r="DF2090" s="490">
        <f>$C$7</f>
        <v>2022</v>
      </c>
      <c r="EB2090" s="436" t="s">
        <v>520</v>
      </c>
      <c r="EC2090" s="120"/>
      <c r="ED2090" s="120"/>
      <c r="EE2090" s="472">
        <f>((VLOOKUP(EB2008,'Unit Ops'!$B$140:$J$209,3,FALSE)*EC2010^VLOOKUP(EB2008,'Unit Ops'!$B$140:$J$209,4,FALSE)+VLOOKUP(EB2008,'Unit Ops'!$B$140:$J$209,5,FALSE))*VLOOKUP(EB2008,'Unit Ops'!$B$140:$J$209,6,FALSE))*IF(VLOOKUP(EB2008,'Unit Ops'!$B$140:$L$209,11,FALSE)=1,1,2)</f>
        <v>0</v>
      </c>
      <c r="EF2090" s="490">
        <f>$C$7</f>
        <v>2022</v>
      </c>
    </row>
    <row r="2091" spans="54:136">
      <c r="BB2091" s="436"/>
      <c r="BC2091" s="120"/>
      <c r="BD2091" s="120"/>
      <c r="BE2091" s="120"/>
      <c r="BF2091" s="440"/>
      <c r="CB2091" s="436"/>
      <c r="CC2091" s="120"/>
      <c r="CD2091" s="120"/>
      <c r="CE2091" s="120"/>
      <c r="CF2091" s="440"/>
      <c r="DB2091" s="436"/>
      <c r="DC2091" s="120"/>
      <c r="DD2091" s="120"/>
      <c r="DE2091" s="120"/>
      <c r="DF2091" s="440"/>
      <c r="EB2091" s="436"/>
      <c r="EC2091" s="120"/>
      <c r="ED2091" s="120"/>
      <c r="EE2091" s="120"/>
      <c r="EF2091" s="440"/>
    </row>
    <row r="2092" spans="54:136">
      <c r="BB2092" s="436"/>
      <c r="BC2092" s="120"/>
      <c r="BD2092" s="120"/>
      <c r="BE2092" s="120"/>
      <c r="BF2092" s="440"/>
      <c r="CB2092" s="436"/>
      <c r="CC2092" s="120"/>
      <c r="CD2092" s="120"/>
      <c r="CE2092" s="120"/>
      <c r="CF2092" s="440"/>
      <c r="DB2092" s="436"/>
      <c r="DC2092" s="120"/>
      <c r="DD2092" s="120"/>
      <c r="DE2092" s="120"/>
      <c r="DF2092" s="440"/>
      <c r="EB2092" s="436"/>
      <c r="EC2092" s="120"/>
      <c r="ED2092" s="120"/>
      <c r="EE2092" s="120"/>
      <c r="EF2092" s="440"/>
    </row>
    <row r="2093" spans="54:136">
      <c r="BB2093" s="436"/>
      <c r="BC2093" s="120"/>
      <c r="BD2093" s="120"/>
      <c r="BE2093" s="120"/>
      <c r="BF2093" s="440"/>
      <c r="CB2093" s="436"/>
      <c r="CC2093" s="120"/>
      <c r="CD2093" s="120"/>
      <c r="CE2093" s="120"/>
      <c r="CF2093" s="440"/>
      <c r="DB2093" s="436"/>
      <c r="DC2093" s="120"/>
      <c r="DD2093" s="120"/>
      <c r="DE2093" s="120"/>
      <c r="DF2093" s="440"/>
      <c r="EB2093" s="436"/>
      <c r="EC2093" s="120"/>
      <c r="ED2093" s="120"/>
      <c r="EE2093" s="120"/>
      <c r="EF2093" s="440"/>
    </row>
    <row r="2094" spans="54:136">
      <c r="BB2094" s="436"/>
      <c r="BC2094" s="120"/>
      <c r="BD2094" s="120"/>
      <c r="BE2094" s="120"/>
      <c r="BF2094" s="440"/>
      <c r="CB2094" s="436"/>
      <c r="CC2094" s="120"/>
      <c r="CD2094" s="120"/>
      <c r="CE2094" s="120"/>
      <c r="CF2094" s="440"/>
      <c r="DB2094" s="436"/>
      <c r="DC2094" s="120"/>
      <c r="DD2094" s="120"/>
      <c r="DE2094" s="120"/>
      <c r="DF2094" s="440"/>
      <c r="EB2094" s="436"/>
      <c r="EC2094" s="120"/>
      <c r="ED2094" s="120"/>
      <c r="EE2094" s="120"/>
      <c r="EF2094" s="440"/>
    </row>
    <row r="2095" spans="54:136">
      <c r="BB2095" s="436"/>
      <c r="BC2095" s="120"/>
      <c r="BD2095" s="120"/>
      <c r="BE2095" s="120"/>
      <c r="BF2095" s="440"/>
      <c r="CB2095" s="436"/>
      <c r="CC2095" s="120"/>
      <c r="CD2095" s="120"/>
      <c r="CE2095" s="120"/>
      <c r="CF2095" s="440"/>
      <c r="DB2095" s="436"/>
      <c r="DC2095" s="120"/>
      <c r="DD2095" s="120"/>
      <c r="DE2095" s="120"/>
      <c r="DF2095" s="440"/>
      <c r="EB2095" s="436"/>
      <c r="EC2095" s="120"/>
      <c r="ED2095" s="120"/>
      <c r="EE2095" s="120"/>
      <c r="EF2095" s="440"/>
    </row>
    <row r="2096" spans="54:136">
      <c r="BB2096" s="436"/>
      <c r="BC2096" s="120"/>
      <c r="BD2096" s="120"/>
      <c r="BE2096" s="120"/>
      <c r="BF2096" s="440"/>
      <c r="CB2096" s="436"/>
      <c r="CC2096" s="120"/>
      <c r="CD2096" s="120"/>
      <c r="CE2096" s="120"/>
      <c r="CF2096" s="440"/>
      <c r="DB2096" s="436"/>
      <c r="DC2096" s="120"/>
      <c r="DD2096" s="120"/>
      <c r="DE2096" s="120"/>
      <c r="DF2096" s="440"/>
      <c r="EB2096" s="436"/>
      <c r="EC2096" s="120"/>
      <c r="ED2096" s="120"/>
      <c r="EE2096" s="120"/>
      <c r="EF2096" s="440"/>
    </row>
    <row r="2097" spans="53:136">
      <c r="BB2097" s="436"/>
      <c r="BC2097" s="120"/>
      <c r="BD2097" s="120"/>
      <c r="BE2097" s="120"/>
      <c r="BF2097" s="440"/>
      <c r="CB2097" s="436"/>
      <c r="CC2097" s="120"/>
      <c r="CD2097" s="120"/>
      <c r="CE2097" s="120"/>
      <c r="CF2097" s="440"/>
      <c r="DB2097" s="436"/>
      <c r="DC2097" s="120"/>
      <c r="DD2097" s="120"/>
      <c r="DE2097" s="120"/>
      <c r="DF2097" s="440"/>
      <c r="EB2097" s="436"/>
      <c r="EC2097" s="120"/>
      <c r="ED2097" s="120"/>
      <c r="EE2097" s="120"/>
      <c r="EF2097" s="440"/>
    </row>
    <row r="2098" spans="53:136">
      <c r="BB2098" s="436"/>
      <c r="BC2098" s="120"/>
      <c r="BD2098" s="120"/>
      <c r="BE2098" s="120"/>
      <c r="BF2098" s="440"/>
      <c r="CB2098" s="436"/>
      <c r="CC2098" s="120"/>
      <c r="CD2098" s="120"/>
      <c r="CE2098" s="120"/>
      <c r="CF2098" s="440"/>
      <c r="DB2098" s="436"/>
      <c r="DC2098" s="120"/>
      <c r="DD2098" s="120"/>
      <c r="DE2098" s="120"/>
      <c r="DF2098" s="440"/>
      <c r="EB2098" s="436"/>
      <c r="EC2098" s="120"/>
      <c r="ED2098" s="120"/>
      <c r="EE2098" s="120"/>
      <c r="EF2098" s="440"/>
    </row>
    <row r="2099" spans="53:136">
      <c r="BB2099" s="436"/>
      <c r="BC2099" s="120"/>
      <c r="BD2099" s="120"/>
      <c r="BE2099" s="120"/>
      <c r="BF2099" s="440"/>
      <c r="CB2099" s="436"/>
      <c r="CC2099" s="120"/>
      <c r="CD2099" s="120"/>
      <c r="CE2099" s="120"/>
      <c r="CF2099" s="440"/>
      <c r="DB2099" s="436"/>
      <c r="DC2099" s="120"/>
      <c r="DD2099" s="120"/>
      <c r="DE2099" s="120"/>
      <c r="DF2099" s="440"/>
      <c r="EB2099" s="436"/>
      <c r="EC2099" s="120"/>
      <c r="ED2099" s="120"/>
      <c r="EE2099" s="120"/>
      <c r="EF2099" s="440"/>
    </row>
    <row r="2100" spans="53:136">
      <c r="BB2100" s="436"/>
      <c r="BC2100" s="120"/>
      <c r="BD2100" s="120"/>
      <c r="BE2100" s="120"/>
      <c r="BF2100" s="440"/>
      <c r="CB2100" s="436"/>
      <c r="CC2100" s="120"/>
      <c r="CD2100" s="120"/>
      <c r="CE2100" s="120"/>
      <c r="CF2100" s="440"/>
      <c r="DB2100" s="436"/>
      <c r="DC2100" s="120"/>
      <c r="DD2100" s="120"/>
      <c r="DE2100" s="120"/>
      <c r="DF2100" s="440"/>
      <c r="EB2100" s="436"/>
      <c r="EC2100" s="120"/>
      <c r="ED2100" s="120"/>
      <c r="EE2100" s="120"/>
      <c r="EF2100" s="440"/>
    </row>
    <row r="2101" spans="53:136">
      <c r="BB2101" s="436"/>
      <c r="BC2101" s="120"/>
      <c r="BD2101" s="120"/>
      <c r="BE2101" s="120"/>
      <c r="BF2101" s="440"/>
      <c r="CB2101" s="436"/>
      <c r="CC2101" s="120"/>
      <c r="CD2101" s="120"/>
      <c r="CE2101" s="120"/>
      <c r="CF2101" s="440"/>
      <c r="DB2101" s="436"/>
      <c r="DC2101" s="120"/>
      <c r="DD2101" s="120"/>
      <c r="DE2101" s="120"/>
      <c r="DF2101" s="440"/>
      <c r="EB2101" s="436"/>
      <c r="EC2101" s="120"/>
      <c r="ED2101" s="120"/>
      <c r="EE2101" s="120"/>
      <c r="EF2101" s="440"/>
    </row>
    <row r="2102" spans="53:136">
      <c r="BB2102" s="436"/>
      <c r="BC2102" s="120"/>
      <c r="BD2102" s="120"/>
      <c r="BE2102" s="120"/>
      <c r="BF2102" s="440"/>
      <c r="CB2102" s="436"/>
      <c r="CC2102" s="120"/>
      <c r="CD2102" s="120"/>
      <c r="CE2102" s="120"/>
      <c r="CF2102" s="440"/>
      <c r="DB2102" s="436"/>
      <c r="DC2102" s="120"/>
      <c r="DD2102" s="120"/>
      <c r="DE2102" s="120"/>
      <c r="DF2102" s="440"/>
      <c r="EB2102" s="436"/>
      <c r="EC2102" s="120"/>
      <c r="ED2102" s="120"/>
      <c r="EE2102" s="120"/>
      <c r="EF2102" s="440"/>
    </row>
    <row r="2103" spans="53:136">
      <c r="BB2103" s="436"/>
      <c r="BC2103" s="120"/>
      <c r="BD2103" s="120"/>
      <c r="BE2103" s="120"/>
      <c r="BF2103" s="440"/>
      <c r="CB2103" s="436"/>
      <c r="CC2103" s="120"/>
      <c r="CD2103" s="120"/>
      <c r="CE2103" s="120"/>
      <c r="CF2103" s="440"/>
      <c r="DB2103" s="436"/>
      <c r="DC2103" s="120"/>
      <c r="DD2103" s="120"/>
      <c r="DE2103" s="120"/>
      <c r="DF2103" s="440"/>
      <c r="EB2103" s="436"/>
      <c r="EC2103" s="120"/>
      <c r="ED2103" s="120"/>
      <c r="EE2103" s="120"/>
      <c r="EF2103" s="440"/>
    </row>
    <row r="2104" spans="53:136" ht="14.5" thickBot="1">
      <c r="BB2104" s="492"/>
      <c r="BC2104" s="493"/>
      <c r="BD2104" s="493"/>
      <c r="BE2104" s="493"/>
      <c r="BF2104" s="453"/>
      <c r="CB2104" s="492"/>
      <c r="CC2104" s="493"/>
      <c r="CD2104" s="493"/>
      <c r="CE2104" s="493"/>
      <c r="CF2104" s="453"/>
      <c r="DB2104" s="492"/>
      <c r="DC2104" s="493"/>
      <c r="DD2104" s="493"/>
      <c r="DE2104" s="493"/>
      <c r="DF2104" s="453"/>
      <c r="EB2104" s="492"/>
      <c r="EC2104" s="493"/>
      <c r="ED2104" s="493"/>
      <c r="EE2104" s="493"/>
      <c r="EF2104" s="453"/>
    </row>
    <row r="2107" spans="53:136" ht="14.5" thickBot="1"/>
    <row r="2108" spans="53:136">
      <c r="BA2108" s="114" t="s">
        <v>478</v>
      </c>
      <c r="BB2108" s="431" t="str">
        <f>BB70</f>
        <v>Select Equipment</v>
      </c>
      <c r="BC2108" s="432"/>
      <c r="BD2108" s="433"/>
      <c r="BE2108" s="434"/>
      <c r="BF2108" s="435"/>
      <c r="CA2108" s="114" t="s">
        <v>478</v>
      </c>
      <c r="CB2108" s="431" t="str">
        <f>CB70</f>
        <v>Select Equipment</v>
      </c>
      <c r="CC2108" s="432"/>
      <c r="CD2108" s="433"/>
      <c r="CE2108" s="434"/>
      <c r="CF2108" s="435"/>
      <c r="DA2108" s="114" t="s">
        <v>478</v>
      </c>
      <c r="DB2108" s="431" t="str">
        <f>DB70</f>
        <v>Select Equipment</v>
      </c>
      <c r="DC2108" s="432"/>
      <c r="DD2108" s="433"/>
      <c r="DE2108" s="434"/>
      <c r="DF2108" s="435"/>
      <c r="EA2108" s="114" t="s">
        <v>478</v>
      </c>
      <c r="EB2108" s="431" t="str">
        <f>EB72</f>
        <v>Select Equipment</v>
      </c>
      <c r="EC2108" s="432"/>
      <c r="ED2108" s="433"/>
      <c r="EE2108" s="434"/>
      <c r="EF2108" s="435"/>
    </row>
    <row r="2109" spans="53:136">
      <c r="BA2109" s="114" t="s">
        <v>5</v>
      </c>
      <c r="BB2109" s="436" t="s">
        <v>1</v>
      </c>
      <c r="BC2109" s="437">
        <f>BC$25/BC$22/BC$21*VLOOKUP(BB2108,'Unit Ops'!$B$140:$J$209,2,FALSE)</f>
        <v>0.92592592592592593</v>
      </c>
      <c r="BD2109" s="438" t="s">
        <v>586</v>
      </c>
      <c r="BE2109" s="1027">
        <f>BC2109*BC$310*BC$311</f>
        <v>10000</v>
      </c>
      <c r="BF2109" s="439" t="s">
        <v>585</v>
      </c>
      <c r="CA2109" s="114" t="s">
        <v>5</v>
      </c>
      <c r="CB2109" s="436" t="s">
        <v>1</v>
      </c>
      <c r="CC2109" s="437">
        <f>CC$25/CC$22/CC$21*VLOOKUP(CB2108,'Unit Ops'!$B$140:$J$209,2,FALSE)</f>
        <v>0.91324200913242004</v>
      </c>
      <c r="CD2109" s="438" t="s">
        <v>586</v>
      </c>
      <c r="CE2109" s="1027">
        <f>CC2109*CC$310*CC$311</f>
        <v>10000</v>
      </c>
      <c r="CF2109" s="439" t="s">
        <v>585</v>
      </c>
      <c r="DA2109" s="114" t="s">
        <v>5</v>
      </c>
      <c r="DB2109" s="436" t="s">
        <v>1</v>
      </c>
      <c r="DC2109" s="437">
        <f>DC$25/DC$22/DC$21*VLOOKUP(DB2108,'Unit Ops'!$B$140:$J$209,2,FALSE)</f>
        <v>0.92592592592592593</v>
      </c>
      <c r="DD2109" s="438" t="s">
        <v>586</v>
      </c>
      <c r="DE2109" s="1027">
        <f>DC2109*DC$310*DC$311</f>
        <v>10000</v>
      </c>
      <c r="DF2109" s="439" t="s">
        <v>585</v>
      </c>
      <c r="EA2109" s="114" t="s">
        <v>5</v>
      </c>
      <c r="EB2109" s="436" t="s">
        <v>1</v>
      </c>
      <c r="EC2109" s="437">
        <f>EC$26/EC$23/EC$22*VLOOKUP(EB2108,'Unit Ops'!$B$140:$J$209,2,FALSE)</f>
        <v>1.3020833333333333</v>
      </c>
      <c r="ED2109" s="438" t="s">
        <v>586</v>
      </c>
      <c r="EE2109" s="1027">
        <f>EC2109*EC$310*EC$311</f>
        <v>10000</v>
      </c>
      <c r="EF2109" s="439" t="s">
        <v>585</v>
      </c>
    </row>
    <row r="2110" spans="53:136">
      <c r="BA2110" s="114" t="str">
        <f>$BB$54</f>
        <v>Hopper</v>
      </c>
      <c r="BB2110" s="436" t="s">
        <v>505</v>
      </c>
      <c r="BC2110" s="437">
        <f>ROUNDUP(BC2109*IF(VLOOKUP(BB2108,'Unit Ops'!$B$140:$L$209,11,FALSE)=1,1.5,0.75),1)</f>
        <v>0.7</v>
      </c>
      <c r="BD2110" s="438" t="s">
        <v>586</v>
      </c>
      <c r="BE2110" s="120">
        <f>BC2110*BC$310*BC$311</f>
        <v>7560</v>
      </c>
      <c r="BF2110" s="439" t="s">
        <v>585</v>
      </c>
      <c r="CA2110" s="114" t="str">
        <f>$CB$54</f>
        <v>Conveyor</v>
      </c>
      <c r="CB2110" s="436" t="s">
        <v>505</v>
      </c>
      <c r="CC2110" s="437">
        <f>ROUNDUP(CC2109*IF(VLOOKUP(CB2108,'Unit Ops'!$B$140:$L$209,11,FALSE)=1,1.5,0.75),1)</f>
        <v>0.7</v>
      </c>
      <c r="CD2110" s="438" t="s">
        <v>586</v>
      </c>
      <c r="CE2110" s="120">
        <f>CC2110*CC$310*CC$311</f>
        <v>7665</v>
      </c>
      <c r="CF2110" s="439" t="s">
        <v>585</v>
      </c>
      <c r="DA2110" s="114" t="str">
        <f>$DB$54</f>
        <v>Conveyor</v>
      </c>
      <c r="DB2110" s="436" t="s">
        <v>505</v>
      </c>
      <c r="DC2110" s="437">
        <f>ROUNDUP(DC2109*IF(VLOOKUP(DB2108,'Unit Ops'!$B$140:$L$209,11,FALSE)=1,1.5,0.75),1)</f>
        <v>0.7</v>
      </c>
      <c r="DD2110" s="438" t="s">
        <v>586</v>
      </c>
      <c r="DE2110" s="120">
        <f>DC2110*DC$310*DC$311</f>
        <v>7560</v>
      </c>
      <c r="DF2110" s="439" t="s">
        <v>585</v>
      </c>
      <c r="EA2110" s="114" t="str">
        <f>$EB$56</f>
        <v>Conveyor</v>
      </c>
      <c r="EB2110" s="436" t="s">
        <v>505</v>
      </c>
      <c r="EC2110" s="437">
        <f>ROUNDUP(EC2109*IF(VLOOKUP(EB2108,'Unit Ops'!$B$140:$L$209,11,FALSE)=1,1.5,0.75),1)</f>
        <v>1</v>
      </c>
      <c r="ED2110" s="438" t="s">
        <v>586</v>
      </c>
      <c r="EE2110" s="120">
        <f>EC2110*EC$310*EC$311</f>
        <v>7680</v>
      </c>
      <c r="EF2110" s="439" t="s">
        <v>585</v>
      </c>
    </row>
    <row r="2111" spans="53:136">
      <c r="BA2111" s="114" t="str">
        <f>$BB$55</f>
        <v>Conveyor</v>
      </c>
      <c r="BB2111" s="441" t="s">
        <v>521</v>
      </c>
      <c r="BC2111" s="442">
        <f>BC2109/BC2110</f>
        <v>1.3227513227513228</v>
      </c>
      <c r="BD2111" s="438"/>
      <c r="BE2111" s="443"/>
      <c r="BF2111" s="440"/>
      <c r="CA2111" s="114" t="str">
        <f>$CB$55</f>
        <v>Leaching tank</v>
      </c>
      <c r="CB2111" s="441" t="s">
        <v>521</v>
      </c>
      <c r="CC2111" s="442">
        <f>CC2109/CC2110</f>
        <v>1.3046314416177429</v>
      </c>
      <c r="CD2111" s="438"/>
      <c r="CE2111" s="443"/>
      <c r="CF2111" s="440"/>
      <c r="DA2111" s="114" t="str">
        <f>$DB$55</f>
        <v>Froth flotation cell</v>
      </c>
      <c r="DB2111" s="441" t="s">
        <v>521</v>
      </c>
      <c r="DC2111" s="442">
        <f>DC2109/DC2110</f>
        <v>1.3227513227513228</v>
      </c>
      <c r="DD2111" s="438"/>
      <c r="DE2111" s="443"/>
      <c r="DF2111" s="440"/>
      <c r="EA2111" s="114" t="str">
        <f>$EB$57</f>
        <v>Leaching tank</v>
      </c>
      <c r="EB2111" s="441" t="s">
        <v>521</v>
      </c>
      <c r="EC2111" s="442">
        <f>EC2109/EC2110</f>
        <v>1.3020833333333333</v>
      </c>
      <c r="ED2111" s="438"/>
      <c r="EE2111" s="443"/>
      <c r="EF2111" s="440"/>
    </row>
    <row r="2112" spans="53:136">
      <c r="BA2112" s="114" t="str">
        <f>$BB$56</f>
        <v>Smelter</v>
      </c>
      <c r="BB2112" s="441" t="s">
        <v>506</v>
      </c>
      <c r="BC2112" s="445"/>
      <c r="BD2112" s="438" t="s">
        <v>454</v>
      </c>
      <c r="BE2112" s="443"/>
      <c r="BF2112" s="440"/>
      <c r="CA2112" s="114" t="str">
        <f>$CB$56</f>
        <v>Mixing tank</v>
      </c>
      <c r="CB2112" s="441" t="s">
        <v>506</v>
      </c>
      <c r="CC2112" s="445"/>
      <c r="CD2112" s="438" t="s">
        <v>454</v>
      </c>
      <c r="CE2112" s="443"/>
      <c r="CF2112" s="440"/>
      <c r="DA2112" s="114" t="str">
        <f>$DB$56</f>
        <v>Filter press</v>
      </c>
      <c r="DB2112" s="441" t="s">
        <v>506</v>
      </c>
      <c r="DC2112" s="445"/>
      <c r="DD2112" s="438" t="s">
        <v>454</v>
      </c>
      <c r="DE2112" s="443"/>
      <c r="DF2112" s="440"/>
      <c r="EA2112" s="114" t="str">
        <f>$EB$58</f>
        <v>Mixing tank</v>
      </c>
      <c r="EB2112" s="441" t="s">
        <v>506</v>
      </c>
      <c r="EC2112" s="445"/>
      <c r="ED2112" s="438" t="s">
        <v>454</v>
      </c>
      <c r="EE2112" s="443"/>
      <c r="EF2112" s="440"/>
    </row>
    <row r="2113" spans="53:136">
      <c r="BA2113" s="114" t="str">
        <f>$BB$57</f>
        <v>Gas treatment</v>
      </c>
      <c r="BB2113" s="436" t="s">
        <v>507</v>
      </c>
      <c r="BC2113" s="225">
        <f>(VLOOKUP(BB2108,'Unit Ops'!$B$140:$J$209,7,FALSE)*BC2110^VLOOKUP(BB2108,'Unit Ops'!$B$140:$J$209,8,FALSE)+VLOOKUP(BB2108,'Unit Ops'!$B$140:$J$209,9,FALSE))*IF(VLOOKUP(BB2108,'Unit Ops'!$B$140:$L$209,11,FALSE)=1,1,2)</f>
        <v>0</v>
      </c>
      <c r="BD2113" s="446" t="s">
        <v>454</v>
      </c>
      <c r="BE2113" s="443"/>
      <c r="BF2113" s="440"/>
      <c r="CA2113" s="114" t="str">
        <f>$CB$57</f>
        <v>Filter press</v>
      </c>
      <c r="CB2113" s="436" t="s">
        <v>507</v>
      </c>
      <c r="CC2113" s="225">
        <f>(VLOOKUP(CB2108,'Unit Ops'!$B$140:$J$209,7,FALSE)*CC2110^VLOOKUP(CB2108,'Unit Ops'!$B$140:$J$209,8,FALSE)+VLOOKUP(CB2108,'Unit Ops'!$B$140:$J$209,9,FALSE))*IF(VLOOKUP(CB2108,'Unit Ops'!$B$140:$L$209,11,FALSE)=1,1,2)</f>
        <v>0</v>
      </c>
      <c r="CD2113" s="446" t="s">
        <v>454</v>
      </c>
      <c r="CE2113" s="443"/>
      <c r="CF2113" s="440"/>
      <c r="DA2113" s="114" t="str">
        <f>$DB$57</f>
        <v>Froth flotation cell</v>
      </c>
      <c r="DB2113" s="436" t="s">
        <v>507</v>
      </c>
      <c r="DC2113" s="225">
        <f>(VLOOKUP(DB2108,'Unit Ops'!$B$140:$J$209,7,FALSE)*DC2110^VLOOKUP(DB2108,'Unit Ops'!$B$140:$J$209,8,FALSE)+VLOOKUP(DB2108,'Unit Ops'!$B$140:$J$209,9,FALSE))*IF(VLOOKUP(DB2108,'Unit Ops'!$B$140:$L$209,11,FALSE)=1,1,2)</f>
        <v>0</v>
      </c>
      <c r="DD2113" s="446" t="s">
        <v>454</v>
      </c>
      <c r="DE2113" s="443"/>
      <c r="DF2113" s="440"/>
      <c r="EA2113" s="114" t="str">
        <f>$EB$59</f>
        <v>Filter press</v>
      </c>
      <c r="EB2113" s="436" t="s">
        <v>507</v>
      </c>
      <c r="EC2113" s="225">
        <f>(VLOOKUP(EB2108,'Unit Ops'!$B$140:$J$209,7,FALSE)*EC2110^VLOOKUP(EB2108,'Unit Ops'!$B$140:$J$209,8,FALSE)+VLOOKUP(EB2108,'Unit Ops'!$B$140:$J$209,9,FALSE))*IF(VLOOKUP(EB2108,'Unit Ops'!$B$140:$L$209,11,FALSE)=1,1,2)</f>
        <v>0</v>
      </c>
      <c r="ED2113" s="446" t="s">
        <v>454</v>
      </c>
      <c r="EE2113" s="443"/>
      <c r="EF2113" s="440"/>
    </row>
    <row r="2114" spans="53:136">
      <c r="BA2114" s="114" t="str">
        <f>$BB$58</f>
        <v>Conveyor</v>
      </c>
      <c r="BB2114" s="441"/>
      <c r="BC2114" s="445"/>
      <c r="BD2114" s="447"/>
      <c r="BE2114" s="443"/>
      <c r="BF2114" s="440"/>
      <c r="CA2114" s="114" t="str">
        <f>$CB$58</f>
        <v>Solvent extraction unit</v>
      </c>
      <c r="CB2114" s="441"/>
      <c r="CC2114" s="445"/>
      <c r="CD2114" s="447"/>
      <c r="CE2114" s="443"/>
      <c r="CF2114" s="440"/>
      <c r="DA2114" s="114" t="str">
        <f>$DB$58</f>
        <v>Filter press</v>
      </c>
      <c r="DB2114" s="441"/>
      <c r="DC2114" s="445"/>
      <c r="DD2114" s="447"/>
      <c r="DE2114" s="443"/>
      <c r="DF2114" s="440"/>
      <c r="EA2114" s="114" t="str">
        <f>$EB$60</f>
        <v>Solvent extraction unit</v>
      </c>
      <c r="EB2114" s="441"/>
      <c r="EC2114" s="445"/>
      <c r="ED2114" s="447"/>
      <c r="EE2114" s="443"/>
      <c r="EF2114" s="440"/>
    </row>
    <row r="2115" spans="53:136">
      <c r="BA2115" s="114" t="str">
        <f>$BB$59</f>
        <v>Granulator</v>
      </c>
      <c r="BB2115" s="441"/>
      <c r="BC2115" s="445"/>
      <c r="BD2115" s="447"/>
      <c r="BE2115" s="443"/>
      <c r="BF2115" s="440"/>
      <c r="CA2115" s="114" t="str">
        <f>$CB$59</f>
        <v>Solvent extraction unit</v>
      </c>
      <c r="CB2115" s="441"/>
      <c r="CC2115" s="445"/>
      <c r="CD2115" s="447"/>
      <c r="CE2115" s="443"/>
      <c r="CF2115" s="440"/>
      <c r="DA2115" s="114" t="str">
        <f>$DB$59</f>
        <v>Dryer</v>
      </c>
      <c r="DB2115" s="441"/>
      <c r="DC2115" s="445"/>
      <c r="DD2115" s="447"/>
      <c r="DE2115" s="443"/>
      <c r="DF2115" s="440"/>
      <c r="EA2115" s="114" t="str">
        <f>$EB$61</f>
        <v>Solvent extraction unit</v>
      </c>
      <c r="EB2115" s="441"/>
      <c r="EC2115" s="445"/>
      <c r="ED2115" s="447"/>
      <c r="EE2115" s="443"/>
      <c r="EF2115" s="440"/>
    </row>
    <row r="2116" spans="53:136">
      <c r="BA2116" s="114" t="str">
        <f>$BB$60</f>
        <v>Leaching tank</v>
      </c>
      <c r="BB2116" s="449"/>
      <c r="BC2116" s="445"/>
      <c r="BD2116" s="447"/>
      <c r="BE2116" s="443"/>
      <c r="BF2116" s="440"/>
      <c r="CA2116" s="114" t="str">
        <f>$CB$60</f>
        <v>Solvent extraction unit</v>
      </c>
      <c r="CB2116" s="449"/>
      <c r="CC2116" s="445"/>
      <c r="CD2116" s="447"/>
      <c r="CE2116" s="443"/>
      <c r="CF2116" s="440"/>
      <c r="DA2116" s="114" t="str">
        <f>$DB$60</f>
        <v>Ball mill</v>
      </c>
      <c r="DB2116" s="449"/>
      <c r="DC2116" s="445"/>
      <c r="DD2116" s="447"/>
      <c r="DE2116" s="443"/>
      <c r="DF2116" s="440"/>
      <c r="EA2116" s="114" t="str">
        <f>$EB$62</f>
        <v>Solvent extraction unit</v>
      </c>
      <c r="EB2116" s="449"/>
      <c r="EC2116" s="445"/>
      <c r="ED2116" s="447"/>
      <c r="EE2116" s="443"/>
      <c r="EF2116" s="440"/>
    </row>
    <row r="2117" spans="53:136" ht="14.5" thickBot="1">
      <c r="BA2117" s="114" t="str">
        <f>$BB$61</f>
        <v>Solvent extraction unit</v>
      </c>
      <c r="BB2117" s="450"/>
      <c r="BC2117" s="451"/>
      <c r="BD2117" s="451"/>
      <c r="BE2117" s="452"/>
      <c r="BF2117" s="453"/>
      <c r="CA2117" s="114" t="str">
        <f>$CB$61</f>
        <v>Evaporator</v>
      </c>
      <c r="CB2117" s="450"/>
      <c r="CC2117" s="451"/>
      <c r="CD2117" s="451"/>
      <c r="CE2117" s="452"/>
      <c r="CF2117" s="453"/>
      <c r="DA2117" s="114" t="str">
        <f>$DB$61</f>
        <v>Furnace+saggar handling system</v>
      </c>
      <c r="DB2117" s="450"/>
      <c r="DC2117" s="451"/>
      <c r="DD2117" s="451"/>
      <c r="DE2117" s="452"/>
      <c r="DF2117" s="453"/>
      <c r="EA2117" s="114" t="str">
        <f>$EB$63</f>
        <v>Evaporator</v>
      </c>
      <c r="EB2117" s="450"/>
      <c r="EC2117" s="451"/>
      <c r="ED2117" s="451"/>
      <c r="EE2117" s="452"/>
      <c r="EF2117" s="453"/>
    </row>
    <row r="2118" spans="53:136">
      <c r="BA2118" s="114" t="str">
        <f>$BB$62</f>
        <v>Electrowinning cell</v>
      </c>
      <c r="BB2118" s="449" t="s">
        <v>470</v>
      </c>
      <c r="BC2118" s="120"/>
      <c r="BD2118" s="454"/>
      <c r="BE2118" s="120"/>
      <c r="BF2118" s="440"/>
      <c r="CA2118" s="114" t="str">
        <f>$CB$62</f>
        <v>Precipitation tank</v>
      </c>
      <c r="CB2118" s="449" t="s">
        <v>470</v>
      </c>
      <c r="CC2118" s="120"/>
      <c r="CD2118" s="454"/>
      <c r="CE2118" s="120"/>
      <c r="CF2118" s="440"/>
      <c r="DA2118" s="114" t="str">
        <f>$DB$62</f>
        <v>Water treatment</v>
      </c>
      <c r="DB2118" s="449" t="s">
        <v>470</v>
      </c>
      <c r="DC2118" s="120"/>
      <c r="DD2118" s="454"/>
      <c r="DE2118" s="120"/>
      <c r="DF2118" s="440"/>
      <c r="EA2118" s="114" t="str">
        <f>$EB$64</f>
        <v>Precipitation tank</v>
      </c>
      <c r="EB2118" s="449" t="s">
        <v>470</v>
      </c>
      <c r="EC2118" s="120"/>
      <c r="ED2118" s="454"/>
      <c r="EE2118" s="120"/>
      <c r="EF2118" s="440"/>
    </row>
    <row r="2119" spans="53:136" ht="14.5" customHeight="1">
      <c r="BA2119" s="114" t="str">
        <f>$BB$63</f>
        <v>Solvent extraction unit</v>
      </c>
      <c r="BB2119" s="1698"/>
      <c r="BC2119" s="1699"/>
      <c r="BD2119" s="1699"/>
      <c r="BE2119" s="1699"/>
      <c r="BF2119" s="1700"/>
      <c r="CA2119" s="114" t="str">
        <f>$CB$63</f>
        <v>Centrifuge</v>
      </c>
      <c r="CB2119" s="1698"/>
      <c r="CC2119" s="1699"/>
      <c r="CD2119" s="1699"/>
      <c r="CE2119" s="1699"/>
      <c r="CF2119" s="1700"/>
      <c r="DA2119" s="114" t="str">
        <f>$DB$63</f>
        <v>Wheel loader</v>
      </c>
      <c r="DB2119" s="1698"/>
      <c r="DC2119" s="1699"/>
      <c r="DD2119" s="1699"/>
      <c r="DE2119" s="1699"/>
      <c r="DF2119" s="1700"/>
      <c r="EA2119" s="114" t="str">
        <f>$EB$65</f>
        <v>Centrifuge</v>
      </c>
      <c r="EB2119" s="1698"/>
      <c r="EC2119" s="1699"/>
      <c r="ED2119" s="1699"/>
      <c r="EE2119" s="1699"/>
      <c r="EF2119" s="1700"/>
    </row>
    <row r="2120" spans="53:136">
      <c r="BA2120" s="114" t="str">
        <f>$BB$64</f>
        <v>Solvent extraction unit</v>
      </c>
      <c r="BB2120" s="436"/>
      <c r="BC2120" s="120"/>
      <c r="BD2120" s="455"/>
      <c r="BE2120" s="120"/>
      <c r="BF2120" s="440"/>
      <c r="CA2120" s="114" t="str">
        <f>$CB$64</f>
        <v>Dryer</v>
      </c>
      <c r="CB2120" s="436"/>
      <c r="CC2120" s="120"/>
      <c r="CD2120" s="455"/>
      <c r="CE2120" s="120"/>
      <c r="CF2120" s="440"/>
      <c r="DA2120" s="114" t="str">
        <f>$DB$64</f>
        <v>Select Equipment</v>
      </c>
      <c r="DB2120" s="436"/>
      <c r="DC2120" s="120"/>
      <c r="DD2120" s="455"/>
      <c r="DE2120" s="120"/>
      <c r="DF2120" s="440"/>
      <c r="EA2120" s="114" t="str">
        <f>$EB$66</f>
        <v>Dryer</v>
      </c>
      <c r="EB2120" s="436"/>
      <c r="EC2120" s="120"/>
      <c r="ED2120" s="455"/>
      <c r="EE2120" s="120"/>
      <c r="EF2120" s="440"/>
    </row>
    <row r="2121" spans="53:136">
      <c r="BA2121" s="114" t="str">
        <f>$BB$65</f>
        <v>Wheel loader</v>
      </c>
      <c r="BB2121" s="436"/>
      <c r="BC2121" s="120"/>
      <c r="BD2121" s="455"/>
      <c r="BE2121" s="120"/>
      <c r="BF2121" s="440"/>
      <c r="CA2121" s="114" t="str">
        <f>$CB$65</f>
        <v>Water treatment</v>
      </c>
      <c r="CB2121" s="436"/>
      <c r="CC2121" s="120"/>
      <c r="CD2121" s="455"/>
      <c r="CE2121" s="120"/>
      <c r="CF2121" s="440"/>
      <c r="DA2121" s="114" t="str">
        <f>$DB$65</f>
        <v>Select Equipment</v>
      </c>
      <c r="DB2121" s="436"/>
      <c r="DC2121" s="120"/>
      <c r="DD2121" s="455"/>
      <c r="DE2121" s="120"/>
      <c r="DF2121" s="440"/>
      <c r="EA2121" s="114" t="str">
        <f>$EB$67</f>
        <v>Water treatment</v>
      </c>
      <c r="EB2121" s="436"/>
      <c r="EC2121" s="120"/>
      <c r="ED2121" s="455"/>
      <c r="EE2121" s="120"/>
      <c r="EF2121" s="440"/>
    </row>
    <row r="2122" spans="53:136">
      <c r="BA2122" s="114" t="str">
        <f>$BB$66</f>
        <v>Water treatment</v>
      </c>
      <c r="BB2122" s="456"/>
      <c r="BC2122" s="457"/>
      <c r="BD2122" s="457"/>
      <c r="BE2122" s="457"/>
      <c r="BF2122" s="458"/>
      <c r="CA2122" s="114" t="str">
        <f>$CB$66</f>
        <v>Wheel loader</v>
      </c>
      <c r="CB2122" s="456"/>
      <c r="CC2122" s="457"/>
      <c r="CD2122" s="457"/>
      <c r="CE2122" s="457"/>
      <c r="CF2122" s="458"/>
      <c r="DA2122" s="114" t="str">
        <f>$DB$66</f>
        <v>Select Equipment</v>
      </c>
      <c r="DB2122" s="456"/>
      <c r="DC2122" s="457"/>
      <c r="DD2122" s="457"/>
      <c r="DE2122" s="457"/>
      <c r="DF2122" s="458"/>
      <c r="EA2122" s="114" t="str">
        <f>$EB$68</f>
        <v>Wheel loader</v>
      </c>
      <c r="EB2122" s="456"/>
      <c r="EC2122" s="457"/>
      <c r="ED2122" s="457"/>
      <c r="EE2122" s="457"/>
      <c r="EF2122" s="458"/>
    </row>
    <row r="2123" spans="53:136">
      <c r="BA2123" s="114" t="str">
        <f>$BB$67</f>
        <v>Select Equipment</v>
      </c>
      <c r="BB2123" s="449" t="s">
        <v>471</v>
      </c>
      <c r="BC2123" s="120"/>
      <c r="BD2123" s="454"/>
      <c r="BE2123" s="120"/>
      <c r="BF2123" s="440"/>
      <c r="CA2123" s="114" t="str">
        <f>$CB$67</f>
        <v>Select Equipment</v>
      </c>
      <c r="CB2123" s="449" t="s">
        <v>471</v>
      </c>
      <c r="CC2123" s="120"/>
      <c r="CD2123" s="454"/>
      <c r="CE2123" s="120"/>
      <c r="CF2123" s="440"/>
      <c r="DA2123" s="114" t="str">
        <f>$DB$67</f>
        <v>Select Equipment</v>
      </c>
      <c r="DB2123" s="449" t="s">
        <v>471</v>
      </c>
      <c r="DC2123" s="120"/>
      <c r="DD2123" s="454"/>
      <c r="DE2123" s="120"/>
      <c r="DF2123" s="440"/>
      <c r="EA2123" s="114" t="str">
        <f>$EB$69</f>
        <v>Select Equipment</v>
      </c>
      <c r="EB2123" s="449" t="s">
        <v>471</v>
      </c>
      <c r="EC2123" s="120"/>
      <c r="ED2123" s="454"/>
      <c r="EE2123" s="120"/>
      <c r="EF2123" s="440"/>
    </row>
    <row r="2124" spans="53:136">
      <c r="BA2124" s="114" t="str">
        <f>$BB$68</f>
        <v>Select Equipment</v>
      </c>
      <c r="BB2124" s="436" t="s">
        <v>577</v>
      </c>
      <c r="BC2124" s="225">
        <f>BC2113*IF(BC2111&gt;1,1,BC2111)</f>
        <v>0</v>
      </c>
      <c r="BD2124" s="446" t="s">
        <v>454</v>
      </c>
      <c r="BE2124" s="120"/>
      <c r="BF2124" s="440"/>
      <c r="CA2124" s="114" t="str">
        <f>$CB$68</f>
        <v>Select Equipment</v>
      </c>
      <c r="CB2124" s="436" t="s">
        <v>577</v>
      </c>
      <c r="CC2124" s="225">
        <f>CC2113*IF(CC2111&gt;1,1,CC2111)</f>
        <v>0</v>
      </c>
      <c r="CD2124" s="446" t="s">
        <v>454</v>
      </c>
      <c r="CE2124" s="120"/>
      <c r="CF2124" s="440"/>
      <c r="DA2124" s="114" t="str">
        <f>$DB$68</f>
        <v>Select Equipment</v>
      </c>
      <c r="DB2124" s="436" t="s">
        <v>577</v>
      </c>
      <c r="DC2124" s="225">
        <f>DC2113*IF(DC2111&gt;1,1,DC2111)</f>
        <v>0</v>
      </c>
      <c r="DD2124" s="446" t="s">
        <v>454</v>
      </c>
      <c r="DE2124" s="120"/>
      <c r="DF2124" s="440"/>
      <c r="EA2124" s="114" t="str">
        <f>$EB$70</f>
        <v>Select Equipment</v>
      </c>
      <c r="EB2124" s="436" t="s">
        <v>577</v>
      </c>
      <c r="EC2124" s="225">
        <f>EC2113*IF(EC2111&gt;1,1,EC2111)</f>
        <v>0</v>
      </c>
      <c r="ED2124" s="446" t="s">
        <v>454</v>
      </c>
      <c r="EE2124" s="120"/>
      <c r="EF2124" s="440"/>
    </row>
    <row r="2125" spans="53:136">
      <c r="BA2125" s="114" t="str">
        <f>$BB$69</f>
        <v>Select Equipment</v>
      </c>
      <c r="BB2125" s="436" t="s">
        <v>578</v>
      </c>
      <c r="BC2125" s="225"/>
      <c r="BD2125" s="446" t="s">
        <v>579</v>
      </c>
      <c r="BE2125" s="120"/>
      <c r="BF2125" s="440"/>
      <c r="CA2125" s="114" t="str">
        <f>$CB$69</f>
        <v>Select Equipment</v>
      </c>
      <c r="CB2125" s="436" t="s">
        <v>578</v>
      </c>
      <c r="CC2125" s="225"/>
      <c r="CD2125" s="446" t="s">
        <v>579</v>
      </c>
      <c r="CE2125" s="120"/>
      <c r="CF2125" s="440"/>
      <c r="DA2125" s="114" t="str">
        <f>$DB$69</f>
        <v>Select Equipment</v>
      </c>
      <c r="DB2125" s="436" t="s">
        <v>578</v>
      </c>
      <c r="DC2125" s="225"/>
      <c r="DD2125" s="446" t="s">
        <v>579</v>
      </c>
      <c r="DE2125" s="120"/>
      <c r="DF2125" s="440"/>
      <c r="EA2125" s="114" t="str">
        <f>$EB$71</f>
        <v>Select Equipment</v>
      </c>
      <c r="EB2125" s="436" t="s">
        <v>578</v>
      </c>
      <c r="EC2125" s="225"/>
      <c r="ED2125" s="446" t="s">
        <v>579</v>
      </c>
      <c r="EE2125" s="120"/>
      <c r="EF2125" s="440"/>
    </row>
    <row r="2126" spans="53:136">
      <c r="BA2126" s="114" t="str">
        <f>$BB$70</f>
        <v>Select Equipment</v>
      </c>
      <c r="BB2126" s="436"/>
      <c r="BC2126" s="120"/>
      <c r="BD2126" s="446"/>
      <c r="BE2126" s="120"/>
      <c r="BF2126" s="440"/>
      <c r="CA2126" s="114" t="str">
        <f>$CB$70</f>
        <v>Select Equipment</v>
      </c>
      <c r="CB2126" s="436"/>
      <c r="CC2126" s="120"/>
      <c r="CD2126" s="446"/>
      <c r="CE2126" s="120"/>
      <c r="CF2126" s="440"/>
      <c r="DA2126" s="114" t="str">
        <f>$DB$70</f>
        <v>Select Equipment</v>
      </c>
      <c r="DB2126" s="436"/>
      <c r="DC2126" s="120"/>
      <c r="DD2126" s="446"/>
      <c r="DE2126" s="120"/>
      <c r="DF2126" s="440"/>
      <c r="EA2126" s="114" t="str">
        <f>$EB$72</f>
        <v>Select Equipment</v>
      </c>
      <c r="EB2126" s="436"/>
      <c r="EC2126" s="120"/>
      <c r="ED2126" s="446"/>
      <c r="EE2126" s="120"/>
      <c r="EF2126" s="440"/>
    </row>
    <row r="2127" spans="53:136">
      <c r="BA2127" s="114" t="str">
        <f>$BB$71</f>
        <v>Select Equipment</v>
      </c>
      <c r="BB2127" s="436" t="s">
        <v>8</v>
      </c>
      <c r="BC2127" s="120"/>
      <c r="BD2127" s="459" t="s">
        <v>564</v>
      </c>
      <c r="BE2127" s="120"/>
      <c r="BF2127" s="440"/>
      <c r="CA2127" s="114" t="str">
        <f>$CB$71</f>
        <v>Select Equipment</v>
      </c>
      <c r="CB2127" s="436" t="s">
        <v>8</v>
      </c>
      <c r="CC2127" s="120"/>
      <c r="CD2127" s="459" t="s">
        <v>564</v>
      </c>
      <c r="CE2127" s="120"/>
      <c r="CF2127" s="440"/>
      <c r="DA2127" s="114" t="str">
        <f>$DB$71</f>
        <v>Select Equipment</v>
      </c>
      <c r="DB2127" s="436" t="s">
        <v>8</v>
      </c>
      <c r="DC2127" s="120"/>
      <c r="DD2127" s="459" t="s">
        <v>564</v>
      </c>
      <c r="DE2127" s="120"/>
      <c r="DF2127" s="440"/>
      <c r="EA2127" s="114" t="str">
        <f>$EB$73</f>
        <v>Select Equipment</v>
      </c>
      <c r="EB2127" s="436" t="s">
        <v>8</v>
      </c>
      <c r="EC2127" s="120"/>
      <c r="ED2127" s="459" t="s">
        <v>564</v>
      </c>
      <c r="EE2127" s="120"/>
      <c r="EF2127" s="440"/>
    </row>
    <row r="2128" spans="53:136">
      <c r="BA2128" s="114" t="str">
        <f>$BB$72</f>
        <v>Select Equipment</v>
      </c>
      <c r="BB2128" s="436"/>
      <c r="BC2128" s="120"/>
      <c r="BD2128" s="459"/>
      <c r="BE2128" s="120"/>
      <c r="BF2128" s="440"/>
      <c r="CA2128" s="114" t="str">
        <f>$CB$72</f>
        <v>Select Equipment</v>
      </c>
      <c r="CB2128" s="436"/>
      <c r="CC2128" s="120"/>
      <c r="CD2128" s="459"/>
      <c r="CE2128" s="120"/>
      <c r="CF2128" s="440"/>
      <c r="DA2128" s="114" t="str">
        <f>$DB$72</f>
        <v>Select Equipment</v>
      </c>
      <c r="DB2128" s="436"/>
      <c r="DC2128" s="120"/>
      <c r="DD2128" s="459"/>
      <c r="DE2128" s="120"/>
      <c r="DF2128" s="440"/>
      <c r="EA2128" s="114" t="str">
        <f>$EB$74</f>
        <v>Select Equipment</v>
      </c>
      <c r="EB2128" s="436"/>
      <c r="EC2128" s="120"/>
      <c r="ED2128" s="459"/>
      <c r="EE2128" s="120"/>
      <c r="EF2128" s="440"/>
    </row>
    <row r="2129" spans="53:136">
      <c r="BA2129" s="114" t="str">
        <f>$BB$73</f>
        <v>Select Equipment</v>
      </c>
      <c r="BB2129" s="436" t="s">
        <v>7</v>
      </c>
      <c r="BC2129" s="120"/>
      <c r="BD2129" s="459" t="s">
        <v>564</v>
      </c>
      <c r="BE2129" s="120"/>
      <c r="BF2129" s="440"/>
      <c r="CA2129" s="114" t="str">
        <f>$CB$73</f>
        <v>Select Equipment</v>
      </c>
      <c r="CB2129" s="436" t="s">
        <v>7</v>
      </c>
      <c r="CC2129" s="120"/>
      <c r="CD2129" s="459" t="s">
        <v>564</v>
      </c>
      <c r="CE2129" s="120"/>
      <c r="CF2129" s="440"/>
      <c r="DA2129" s="114" t="str">
        <f>$DB$73</f>
        <v>Select Equipment</v>
      </c>
      <c r="DB2129" s="436" t="s">
        <v>7</v>
      </c>
      <c r="DC2129" s="120"/>
      <c r="DD2129" s="459" t="s">
        <v>564</v>
      </c>
      <c r="DE2129" s="120"/>
      <c r="DF2129" s="440"/>
      <c r="EA2129" s="114" t="str">
        <f>$EB$75</f>
        <v>Select Equipment</v>
      </c>
      <c r="EB2129" s="436" t="s">
        <v>7</v>
      </c>
      <c r="EC2129" s="120"/>
      <c r="ED2129" s="459" t="s">
        <v>564</v>
      </c>
      <c r="EE2129" s="120"/>
      <c r="EF2129" s="440"/>
    </row>
    <row r="2130" spans="53:136">
      <c r="BA2130" s="114" t="str">
        <f>$BB$74</f>
        <v>Select Equipment</v>
      </c>
      <c r="BB2130" s="436"/>
      <c r="BC2130" s="120"/>
      <c r="BD2130" s="459"/>
      <c r="BE2130" s="120"/>
      <c r="BF2130" s="440"/>
      <c r="CA2130" s="114" t="str">
        <f>$CB$74</f>
        <v>Select Equipment</v>
      </c>
      <c r="CB2130" s="436"/>
      <c r="CC2130" s="120"/>
      <c r="CD2130" s="459"/>
      <c r="CE2130" s="120"/>
      <c r="CF2130" s="440"/>
      <c r="DA2130" s="114" t="str">
        <f>$DB$74</f>
        <v>Select Equipment</v>
      </c>
      <c r="DB2130" s="436"/>
      <c r="DC2130" s="120"/>
      <c r="DD2130" s="459"/>
      <c r="DE2130" s="120"/>
      <c r="DF2130" s="440"/>
      <c r="EA2130" s="114" t="str">
        <f>$EB$76</f>
        <v>Select Equipment</v>
      </c>
      <c r="EB2130" s="436"/>
      <c r="EC2130" s="120"/>
      <c r="ED2130" s="459"/>
      <c r="EE2130" s="120"/>
      <c r="EF2130" s="440"/>
    </row>
    <row r="2131" spans="53:136">
      <c r="BA2131" s="114" t="str">
        <f>$BB$75</f>
        <v>Select Equipment</v>
      </c>
      <c r="BB2131" s="436" t="s">
        <v>9</v>
      </c>
      <c r="BC2131" s="120"/>
      <c r="BD2131" s="459" t="s">
        <v>564</v>
      </c>
      <c r="BE2131" s="120"/>
      <c r="BF2131" s="440"/>
      <c r="CA2131" s="114" t="str">
        <f>$CB$75</f>
        <v>Select Equipment</v>
      </c>
      <c r="CB2131" s="436" t="s">
        <v>9</v>
      </c>
      <c r="CC2131" s="120"/>
      <c r="CD2131" s="459" t="s">
        <v>564</v>
      </c>
      <c r="CE2131" s="120"/>
      <c r="CF2131" s="440"/>
      <c r="DA2131" s="114" t="str">
        <f>$DB$75</f>
        <v>Select Equipment</v>
      </c>
      <c r="DB2131" s="436" t="s">
        <v>9</v>
      </c>
      <c r="DC2131" s="120"/>
      <c r="DD2131" s="459" t="s">
        <v>564</v>
      </c>
      <c r="DE2131" s="120"/>
      <c r="DF2131" s="440"/>
      <c r="EA2131" s="114" t="str">
        <f>$EB$77</f>
        <v>Select Equipment</v>
      </c>
      <c r="EB2131" s="436" t="s">
        <v>9</v>
      </c>
      <c r="EC2131" s="120"/>
      <c r="ED2131" s="459" t="s">
        <v>564</v>
      </c>
      <c r="EE2131" s="120"/>
      <c r="EF2131" s="440"/>
    </row>
    <row r="2132" spans="53:136">
      <c r="BA2132" s="114" t="str">
        <f>$BB$76</f>
        <v>Select Equipment</v>
      </c>
      <c r="BB2132" s="436"/>
      <c r="BC2132" s="120"/>
      <c r="BD2132" s="459"/>
      <c r="BE2132" s="120"/>
      <c r="BF2132" s="440"/>
      <c r="CA2132" s="114" t="str">
        <f>$CB$76</f>
        <v>Select Equipment</v>
      </c>
      <c r="CB2132" s="436"/>
      <c r="CC2132" s="120"/>
      <c r="CD2132" s="459"/>
      <c r="CE2132" s="120"/>
      <c r="CF2132" s="440"/>
      <c r="DA2132" s="114" t="str">
        <f>$DB$76</f>
        <v>Select Equipment</v>
      </c>
      <c r="DB2132" s="436"/>
      <c r="DC2132" s="120"/>
      <c r="DD2132" s="459"/>
      <c r="DE2132" s="120"/>
      <c r="DF2132" s="440"/>
      <c r="EA2132" s="114" t="str">
        <f>$EB$78</f>
        <v>Select Equipment</v>
      </c>
      <c r="EB2132" s="436"/>
      <c r="EC2132" s="120"/>
      <c r="ED2132" s="459"/>
      <c r="EE2132" s="120"/>
      <c r="EF2132" s="440"/>
    </row>
    <row r="2133" spans="53:136">
      <c r="BA2133" s="114" t="str">
        <f>$BB$77</f>
        <v>Select Equipment</v>
      </c>
      <c r="BB2133" s="436" t="s">
        <v>324</v>
      </c>
      <c r="BC2133" s="120"/>
      <c r="BD2133" s="459" t="s">
        <v>564</v>
      </c>
      <c r="BE2133" s="120"/>
      <c r="BF2133" s="440" t="s">
        <v>569</v>
      </c>
      <c r="CA2133" s="114" t="str">
        <f>$CB$77</f>
        <v>Select Equipment</v>
      </c>
      <c r="CB2133" s="436" t="s">
        <v>324</v>
      </c>
      <c r="CC2133" s="120"/>
      <c r="CD2133" s="459" t="s">
        <v>564</v>
      </c>
      <c r="CE2133" s="120"/>
      <c r="CF2133" s="440" t="s">
        <v>569</v>
      </c>
      <c r="DA2133" s="114" t="str">
        <f>$DB$77</f>
        <v>Select Equipment</v>
      </c>
      <c r="DB2133" s="436" t="s">
        <v>324</v>
      </c>
      <c r="DC2133" s="120"/>
      <c r="DD2133" s="459" t="s">
        <v>564</v>
      </c>
      <c r="DE2133" s="120"/>
      <c r="DF2133" s="440" t="s">
        <v>569</v>
      </c>
      <c r="EA2133" s="114" t="str">
        <f>$EB$79</f>
        <v>Select Equipment</v>
      </c>
      <c r="EB2133" s="436" t="s">
        <v>324</v>
      </c>
      <c r="EC2133" s="120"/>
      <c r="ED2133" s="459" t="s">
        <v>564</v>
      </c>
      <c r="EE2133" s="120"/>
      <c r="EF2133" s="440" t="s">
        <v>569</v>
      </c>
    </row>
    <row r="2134" spans="53:136">
      <c r="BA2134" s="114" t="str">
        <f>$BB$78</f>
        <v>Select Equipment</v>
      </c>
      <c r="BB2134" s="436"/>
      <c r="BC2134" s="120"/>
      <c r="BD2134" s="468"/>
      <c r="BE2134" s="469"/>
      <c r="BF2134" s="440"/>
      <c r="CA2134" s="114" t="str">
        <f>$CB$78</f>
        <v>Select Equipment</v>
      </c>
      <c r="CB2134" s="436"/>
      <c r="CC2134" s="120"/>
      <c r="CD2134" s="468"/>
      <c r="CE2134" s="469"/>
      <c r="CF2134" s="440"/>
      <c r="DA2134" s="114" t="str">
        <f>$DB$78</f>
        <v>Select Equipment</v>
      </c>
      <c r="DB2134" s="436"/>
      <c r="DC2134" s="120"/>
      <c r="DD2134" s="468"/>
      <c r="DE2134" s="469"/>
      <c r="DF2134" s="440"/>
      <c r="EA2134" s="114" t="str">
        <f>$EB$80</f>
        <v>Select Equipment</v>
      </c>
      <c r="EB2134" s="436"/>
      <c r="EC2134" s="120"/>
      <c r="ED2134" s="468"/>
      <c r="EE2134" s="469"/>
      <c r="EF2134" s="440"/>
    </row>
    <row r="2135" spans="53:136">
      <c r="BA2135" s="114" t="str">
        <f>$BB$79</f>
        <v>Select Equipment</v>
      </c>
      <c r="BB2135" s="436" t="s">
        <v>374</v>
      </c>
      <c r="BC2135" s="120"/>
      <c r="BD2135" s="459" t="s">
        <v>564</v>
      </c>
      <c r="BE2135" s="469"/>
      <c r="BF2135" s="440" t="s">
        <v>569</v>
      </c>
      <c r="CA2135" s="114" t="str">
        <f>$CB$79</f>
        <v>Select Equipment</v>
      </c>
      <c r="CB2135" s="436" t="s">
        <v>374</v>
      </c>
      <c r="CC2135" s="120"/>
      <c r="CD2135" s="459" t="s">
        <v>564</v>
      </c>
      <c r="CE2135" s="469"/>
      <c r="CF2135" s="440" t="s">
        <v>569</v>
      </c>
      <c r="DA2135" s="114" t="str">
        <f>$DB$79</f>
        <v>Select Equipment</v>
      </c>
      <c r="DB2135" s="436" t="s">
        <v>374</v>
      </c>
      <c r="DC2135" s="120"/>
      <c r="DD2135" s="459" t="s">
        <v>564</v>
      </c>
      <c r="DE2135" s="469"/>
      <c r="DF2135" s="440" t="s">
        <v>569</v>
      </c>
      <c r="EA2135" s="114" t="str">
        <f>$EB$81</f>
        <v>Select Equipment</v>
      </c>
      <c r="EB2135" s="436" t="s">
        <v>374</v>
      </c>
      <c r="EC2135" s="120"/>
      <c r="ED2135" s="459" t="s">
        <v>564</v>
      </c>
      <c r="EE2135" s="469"/>
      <c r="EF2135" s="440" t="s">
        <v>569</v>
      </c>
    </row>
    <row r="2136" spans="53:136">
      <c r="BA2136" s="114" t="str">
        <f>$BB$80</f>
        <v>Select Equipment</v>
      </c>
      <c r="BB2136" s="436"/>
      <c r="BC2136" s="120"/>
      <c r="BD2136" s="472"/>
      <c r="BE2136" s="473"/>
      <c r="BF2136" s="440"/>
      <c r="CA2136" s="114" t="str">
        <f>$CB$80</f>
        <v>Select Equipment</v>
      </c>
      <c r="CB2136" s="436"/>
      <c r="CC2136" s="120"/>
      <c r="CD2136" s="472"/>
      <c r="CE2136" s="473"/>
      <c r="CF2136" s="440"/>
      <c r="DA2136" s="114" t="str">
        <f>$DB$80</f>
        <v>Select Equipment</v>
      </c>
      <c r="DB2136" s="436"/>
      <c r="DC2136" s="120"/>
      <c r="DD2136" s="472"/>
      <c r="DE2136" s="473"/>
      <c r="DF2136" s="440"/>
      <c r="EA2136" s="114" t="str">
        <f>$EB$82</f>
        <v>Select Equipment</v>
      </c>
      <c r="EB2136" s="436"/>
      <c r="EC2136" s="120"/>
      <c r="ED2136" s="472"/>
      <c r="EE2136" s="473"/>
      <c r="EF2136" s="440"/>
    </row>
    <row r="2137" spans="53:136">
      <c r="BA2137" s="114" t="str">
        <f>$BB$81</f>
        <v>Select Equipment</v>
      </c>
      <c r="BB2137" s="436" t="s">
        <v>580</v>
      </c>
      <c r="BC2137" s="120"/>
      <c r="BD2137" s="459" t="s">
        <v>564</v>
      </c>
      <c r="BE2137" s="473"/>
      <c r="BF2137" s="440" t="s">
        <v>569</v>
      </c>
      <c r="CA2137" s="114" t="str">
        <f>$CB$81</f>
        <v>Select Equipment</v>
      </c>
      <c r="CB2137" s="436" t="s">
        <v>580</v>
      </c>
      <c r="CC2137" s="120"/>
      <c r="CD2137" s="459" t="s">
        <v>564</v>
      </c>
      <c r="CE2137" s="473"/>
      <c r="CF2137" s="440" t="s">
        <v>569</v>
      </c>
      <c r="DA2137" s="114" t="str">
        <f>$DB$81</f>
        <v>Select Equipment</v>
      </c>
      <c r="DB2137" s="436" t="s">
        <v>580</v>
      </c>
      <c r="DC2137" s="120"/>
      <c r="DD2137" s="459" t="s">
        <v>564</v>
      </c>
      <c r="DE2137" s="473"/>
      <c r="DF2137" s="440" t="s">
        <v>569</v>
      </c>
      <c r="EA2137" s="114" t="str">
        <f>$EB$83</f>
        <v>Select Equipment</v>
      </c>
      <c r="EB2137" s="436" t="s">
        <v>580</v>
      </c>
      <c r="EC2137" s="120"/>
      <c r="ED2137" s="459" t="s">
        <v>564</v>
      </c>
      <c r="EE2137" s="473"/>
      <c r="EF2137" s="440" t="s">
        <v>569</v>
      </c>
    </row>
    <row r="2138" spans="53:136">
      <c r="BA2138" s="114" t="str">
        <f>$BB$82</f>
        <v>Select Equipment</v>
      </c>
      <c r="BB2138" s="476"/>
      <c r="BC2138" s="477"/>
      <c r="BD2138" s="478"/>
      <c r="BE2138" s="479"/>
      <c r="BF2138" s="458"/>
      <c r="CA2138" s="114" t="str">
        <f>$CB$82</f>
        <v>Select Equipment</v>
      </c>
      <c r="CB2138" s="476"/>
      <c r="CC2138" s="477"/>
      <c r="CD2138" s="478"/>
      <c r="CE2138" s="479"/>
      <c r="CF2138" s="458"/>
      <c r="DA2138" s="114" t="str">
        <f>$DB$82</f>
        <v>Select Equipment</v>
      </c>
      <c r="DB2138" s="476"/>
      <c r="DC2138" s="477"/>
      <c r="DD2138" s="478"/>
      <c r="DE2138" s="479"/>
      <c r="DF2138" s="458"/>
      <c r="EA2138" s="114" t="str">
        <f>$EB$84</f>
        <v>Select Equipment</v>
      </c>
      <c r="EB2138" s="476"/>
      <c r="EC2138" s="477"/>
      <c r="ED2138" s="478"/>
      <c r="EE2138" s="479"/>
      <c r="EF2138" s="458"/>
    </row>
    <row r="2139" spans="53:136">
      <c r="BA2139" s="114" t="str">
        <f>$BB$83</f>
        <v>Select Equipment</v>
      </c>
      <c r="BB2139" s="449" t="s">
        <v>473</v>
      </c>
      <c r="BC2139" s="467" t="s">
        <v>508</v>
      </c>
      <c r="BD2139" s="480"/>
      <c r="BE2139" s="481" t="s">
        <v>308</v>
      </c>
      <c r="BF2139" s="440"/>
      <c r="CA2139" s="114" t="str">
        <f>$CB$83</f>
        <v>Select Equipment</v>
      </c>
      <c r="CB2139" s="449" t="s">
        <v>473</v>
      </c>
      <c r="CC2139" s="467" t="s">
        <v>508</v>
      </c>
      <c r="CD2139" s="480"/>
      <c r="CE2139" s="481" t="s">
        <v>308</v>
      </c>
      <c r="CF2139" s="440"/>
      <c r="DA2139" s="114" t="str">
        <f>$DB$83</f>
        <v>Select Equipment</v>
      </c>
      <c r="DB2139" s="449" t="s">
        <v>473</v>
      </c>
      <c r="DC2139" s="467" t="s">
        <v>508</v>
      </c>
      <c r="DD2139" s="480"/>
      <c r="DE2139" s="481" t="s">
        <v>308</v>
      </c>
      <c r="DF2139" s="440"/>
      <c r="EA2139" s="114" t="str">
        <f>$EB$85</f>
        <v>Select Equipment</v>
      </c>
      <c r="EB2139" s="449" t="s">
        <v>473</v>
      </c>
      <c r="EC2139" s="467" t="s">
        <v>508</v>
      </c>
      <c r="ED2139" s="480"/>
      <c r="EE2139" s="481" t="s">
        <v>308</v>
      </c>
      <c r="EF2139" s="440"/>
    </row>
    <row r="2140" spans="53:136">
      <c r="BB2140" s="436"/>
      <c r="BC2140" s="483"/>
      <c r="BD2140" s="480"/>
      <c r="BE2140" s="484"/>
      <c r="BF2140" s="440"/>
      <c r="CB2140" s="436"/>
      <c r="CC2140" s="483"/>
      <c r="CD2140" s="480"/>
      <c r="CE2140" s="484"/>
      <c r="CF2140" s="440"/>
      <c r="DB2140" s="436"/>
      <c r="DC2140" s="483"/>
      <c r="DD2140" s="480"/>
      <c r="DE2140" s="484"/>
      <c r="DF2140" s="440"/>
      <c r="EB2140" s="436"/>
      <c r="EC2140" s="483"/>
      <c r="ED2140" s="480"/>
      <c r="EE2140" s="484"/>
      <c r="EF2140" s="440"/>
    </row>
    <row r="2141" spans="53:136">
      <c r="BB2141" s="436"/>
      <c r="BC2141" s="120"/>
      <c r="BD2141" s="223"/>
      <c r="BE2141" s="467"/>
      <c r="BF2141" s="440"/>
      <c r="CB2141" s="436"/>
      <c r="CC2141" s="120"/>
      <c r="CD2141" s="223"/>
      <c r="CE2141" s="467"/>
      <c r="CF2141" s="440"/>
      <c r="DB2141" s="436"/>
      <c r="DC2141" s="120"/>
      <c r="DD2141" s="223"/>
      <c r="DE2141" s="467"/>
      <c r="DF2141" s="440"/>
      <c r="EB2141" s="436"/>
      <c r="EC2141" s="120"/>
      <c r="ED2141" s="223"/>
      <c r="EE2141" s="467"/>
      <c r="EF2141" s="440"/>
    </row>
    <row r="2142" spans="53:136">
      <c r="BB2142" s="436"/>
      <c r="BC2142" s="120"/>
      <c r="BD2142" s="466"/>
      <c r="BE2142" s="467"/>
      <c r="BF2142" s="440"/>
      <c r="CB2142" s="436"/>
      <c r="CC2142" s="120"/>
      <c r="CD2142" s="466"/>
      <c r="CE2142" s="467"/>
      <c r="CF2142" s="440"/>
      <c r="DB2142" s="436"/>
      <c r="DC2142" s="120"/>
      <c r="DD2142" s="466"/>
      <c r="DE2142" s="467"/>
      <c r="DF2142" s="440"/>
      <c r="EB2142" s="436"/>
      <c r="EC2142" s="120"/>
      <c r="ED2142" s="466"/>
      <c r="EE2142" s="467"/>
      <c r="EF2142" s="440"/>
    </row>
    <row r="2143" spans="53:136">
      <c r="BB2143" s="436"/>
      <c r="BC2143" s="120"/>
      <c r="BD2143" s="223"/>
      <c r="BE2143" s="467"/>
      <c r="BF2143" s="440"/>
      <c r="CB2143" s="436"/>
      <c r="CC2143" s="120"/>
      <c r="CD2143" s="223"/>
      <c r="CE2143" s="467"/>
      <c r="CF2143" s="440"/>
      <c r="DB2143" s="436"/>
      <c r="DC2143" s="120"/>
      <c r="DD2143" s="223"/>
      <c r="DE2143" s="467"/>
      <c r="DF2143" s="440"/>
      <c r="EB2143" s="436"/>
      <c r="EC2143" s="120"/>
      <c r="ED2143" s="223"/>
      <c r="EE2143" s="467"/>
      <c r="EF2143" s="440"/>
    </row>
    <row r="2144" spans="53:136">
      <c r="BB2144" s="436"/>
      <c r="BC2144" s="120"/>
      <c r="BD2144" s="223"/>
      <c r="BE2144" s="467"/>
      <c r="BF2144" s="440"/>
      <c r="CB2144" s="436"/>
      <c r="CC2144" s="120"/>
      <c r="CD2144" s="223"/>
      <c r="CE2144" s="467"/>
      <c r="CF2144" s="440"/>
      <c r="DB2144" s="436"/>
      <c r="DC2144" s="120"/>
      <c r="DD2144" s="223"/>
      <c r="DE2144" s="467"/>
      <c r="DF2144" s="440"/>
      <c r="EB2144" s="436"/>
      <c r="EC2144" s="120"/>
      <c r="ED2144" s="223"/>
      <c r="EE2144" s="467"/>
      <c r="EF2144" s="440"/>
    </row>
    <row r="2145" spans="54:136">
      <c r="BB2145" s="436"/>
      <c r="BC2145" s="120"/>
      <c r="BD2145" s="471"/>
      <c r="BE2145" s="467"/>
      <c r="BF2145" s="440"/>
      <c r="CB2145" s="436"/>
      <c r="CC2145" s="120"/>
      <c r="CD2145" s="471"/>
      <c r="CE2145" s="467"/>
      <c r="CF2145" s="440"/>
      <c r="DB2145" s="436"/>
      <c r="DC2145" s="120"/>
      <c r="DD2145" s="471"/>
      <c r="DE2145" s="467"/>
      <c r="DF2145" s="440"/>
      <c r="EB2145" s="436"/>
      <c r="EC2145" s="120"/>
      <c r="ED2145" s="471"/>
      <c r="EE2145" s="467"/>
      <c r="EF2145" s="440"/>
    </row>
    <row r="2146" spans="54:136">
      <c r="BB2146" s="436"/>
      <c r="BC2146" s="120"/>
      <c r="BD2146" s="223"/>
      <c r="BE2146" s="467"/>
      <c r="BF2146" s="440"/>
      <c r="CB2146" s="436"/>
      <c r="CC2146" s="120"/>
      <c r="CD2146" s="223"/>
      <c r="CE2146" s="467"/>
      <c r="CF2146" s="440"/>
      <c r="DB2146" s="436"/>
      <c r="DC2146" s="120"/>
      <c r="DD2146" s="223"/>
      <c r="DE2146" s="467"/>
      <c r="DF2146" s="440"/>
      <c r="EB2146" s="436"/>
      <c r="EC2146" s="120"/>
      <c r="ED2146" s="223"/>
      <c r="EE2146" s="467"/>
      <c r="EF2146" s="440"/>
    </row>
    <row r="2147" spans="54:136">
      <c r="BB2147" s="436"/>
      <c r="BC2147" s="120"/>
      <c r="BD2147" s="475"/>
      <c r="BE2147" s="467"/>
      <c r="BF2147" s="440"/>
      <c r="CB2147" s="436"/>
      <c r="CC2147" s="120"/>
      <c r="CD2147" s="475"/>
      <c r="CE2147" s="467"/>
      <c r="CF2147" s="440"/>
      <c r="DB2147" s="436"/>
      <c r="DC2147" s="120"/>
      <c r="DD2147" s="475"/>
      <c r="DE2147" s="467"/>
      <c r="DF2147" s="440"/>
      <c r="EB2147" s="436"/>
      <c r="EC2147" s="120"/>
      <c r="ED2147" s="475"/>
      <c r="EE2147" s="467"/>
      <c r="EF2147" s="440"/>
    </row>
    <row r="2148" spans="54:136">
      <c r="BB2148" s="436"/>
      <c r="BC2148" s="120"/>
      <c r="BD2148" s="223"/>
      <c r="BE2148" s="467"/>
      <c r="BF2148" s="440"/>
      <c r="CB2148" s="436"/>
      <c r="CC2148" s="120"/>
      <c r="CD2148" s="223"/>
      <c r="CE2148" s="467"/>
      <c r="CF2148" s="440"/>
      <c r="DB2148" s="436"/>
      <c r="DC2148" s="120"/>
      <c r="DD2148" s="223"/>
      <c r="DE2148" s="467"/>
      <c r="DF2148" s="440"/>
      <c r="EB2148" s="436"/>
      <c r="EC2148" s="120"/>
      <c r="ED2148" s="223"/>
      <c r="EE2148" s="467"/>
      <c r="EF2148" s="440"/>
    </row>
    <row r="2149" spans="54:136">
      <c r="BB2149" s="436"/>
      <c r="BC2149" s="120"/>
      <c r="BD2149" s="223"/>
      <c r="BE2149" s="467"/>
      <c r="BF2149" s="440"/>
      <c r="CB2149" s="436"/>
      <c r="CC2149" s="120"/>
      <c r="CD2149" s="223"/>
      <c r="CE2149" s="467"/>
      <c r="CF2149" s="440"/>
      <c r="DB2149" s="436"/>
      <c r="DC2149" s="120"/>
      <c r="DD2149" s="223"/>
      <c r="DE2149" s="467"/>
      <c r="DF2149" s="440"/>
      <c r="EB2149" s="436"/>
      <c r="EC2149" s="120"/>
      <c r="ED2149" s="223"/>
      <c r="EE2149" s="467"/>
      <c r="EF2149" s="440"/>
    </row>
    <row r="2150" spans="54:136">
      <c r="BB2150" s="436"/>
      <c r="BC2150" s="120"/>
      <c r="BD2150" s="223"/>
      <c r="BE2150" s="467"/>
      <c r="BF2150" s="440"/>
      <c r="CB2150" s="436"/>
      <c r="CC2150" s="120"/>
      <c r="CD2150" s="223"/>
      <c r="CE2150" s="467"/>
      <c r="CF2150" s="440"/>
      <c r="DB2150" s="436"/>
      <c r="DC2150" s="120"/>
      <c r="DD2150" s="223"/>
      <c r="DE2150" s="467"/>
      <c r="DF2150" s="440"/>
      <c r="EB2150" s="436"/>
      <c r="EC2150" s="120"/>
      <c r="ED2150" s="223"/>
      <c r="EE2150" s="467"/>
      <c r="EF2150" s="440"/>
    </row>
    <row r="2151" spans="54:136">
      <c r="BB2151" s="436"/>
      <c r="BC2151" s="120"/>
      <c r="BD2151" s="223"/>
      <c r="BE2151" s="467"/>
      <c r="BF2151" s="440"/>
      <c r="CB2151" s="436"/>
      <c r="CC2151" s="120"/>
      <c r="CD2151" s="223"/>
      <c r="CE2151" s="467"/>
      <c r="CF2151" s="440"/>
      <c r="DB2151" s="436"/>
      <c r="DC2151" s="120"/>
      <c r="DD2151" s="223"/>
      <c r="DE2151" s="467"/>
      <c r="DF2151" s="440"/>
      <c r="EB2151" s="436"/>
      <c r="EC2151" s="120"/>
      <c r="ED2151" s="223"/>
      <c r="EE2151" s="467"/>
      <c r="EF2151" s="440"/>
    </row>
    <row r="2152" spans="54:136">
      <c r="BB2152" s="436"/>
      <c r="BC2152" s="120"/>
      <c r="BD2152" s="120"/>
      <c r="BE2152" s="467"/>
      <c r="BF2152" s="440"/>
      <c r="CB2152" s="436"/>
      <c r="CC2152" s="120"/>
      <c r="CD2152" s="120"/>
      <c r="CE2152" s="467"/>
      <c r="CF2152" s="440"/>
      <c r="DB2152" s="436"/>
      <c r="DC2152" s="120"/>
      <c r="DD2152" s="120"/>
      <c r="DE2152" s="467"/>
      <c r="DF2152" s="440"/>
      <c r="EB2152" s="436"/>
      <c r="EC2152" s="120"/>
      <c r="ED2152" s="120"/>
      <c r="EE2152" s="467"/>
      <c r="EF2152" s="440"/>
    </row>
    <row r="2153" spans="54:136">
      <c r="BB2153" s="456"/>
      <c r="BC2153" s="457"/>
      <c r="BD2153" s="457"/>
      <c r="BE2153" s="477"/>
      <c r="BF2153" s="458"/>
      <c r="CB2153" s="456"/>
      <c r="CC2153" s="457"/>
      <c r="CD2153" s="457"/>
      <c r="CE2153" s="477"/>
      <c r="CF2153" s="458"/>
      <c r="DB2153" s="456"/>
      <c r="DC2153" s="457"/>
      <c r="DD2153" s="457"/>
      <c r="DE2153" s="477"/>
      <c r="DF2153" s="458"/>
      <c r="EB2153" s="456"/>
      <c r="EC2153" s="457"/>
      <c r="ED2153" s="457"/>
      <c r="EE2153" s="477"/>
      <c r="EF2153" s="458"/>
    </row>
    <row r="2154" spans="54:136">
      <c r="BB2154" s="449" t="s">
        <v>474</v>
      </c>
      <c r="BC2154" s="120"/>
      <c r="BD2154" s="120" t="s">
        <v>1</v>
      </c>
      <c r="BE2154" s="310" t="s">
        <v>307</v>
      </c>
      <c r="BF2154" s="440"/>
      <c r="CB2154" s="449" t="s">
        <v>474</v>
      </c>
      <c r="CC2154" s="120"/>
      <c r="CD2154" s="120" t="s">
        <v>1</v>
      </c>
      <c r="CE2154" s="310" t="s">
        <v>307</v>
      </c>
      <c r="CF2154" s="440"/>
      <c r="DB2154" s="449" t="s">
        <v>474</v>
      </c>
      <c r="DC2154" s="120"/>
      <c r="DD2154" s="120" t="s">
        <v>1</v>
      </c>
      <c r="DE2154" s="310" t="s">
        <v>307</v>
      </c>
      <c r="DF2154" s="440"/>
      <c r="EB2154" s="449" t="s">
        <v>474</v>
      </c>
      <c r="EC2154" s="120"/>
      <c r="ED2154" s="120" t="s">
        <v>1</v>
      </c>
      <c r="EE2154" s="310" t="s">
        <v>307</v>
      </c>
      <c r="EF2154" s="440"/>
    </row>
    <row r="2155" spans="54:136">
      <c r="BB2155" s="436"/>
      <c r="BC2155" s="223"/>
      <c r="BD2155" s="480"/>
      <c r="BE2155" s="484"/>
      <c r="BF2155" s="440"/>
      <c r="CB2155" s="436"/>
      <c r="CC2155" s="223"/>
      <c r="CD2155" s="480"/>
      <c r="CE2155" s="484"/>
      <c r="CF2155" s="440"/>
      <c r="DB2155" s="436"/>
      <c r="DC2155" s="223"/>
      <c r="DD2155" s="480"/>
      <c r="DE2155" s="484"/>
      <c r="DF2155" s="440"/>
      <c r="EB2155" s="436"/>
      <c r="EC2155" s="223"/>
      <c r="ED2155" s="480"/>
      <c r="EE2155" s="484"/>
      <c r="EF2155" s="440"/>
    </row>
    <row r="2156" spans="54:136">
      <c r="BB2156" s="436"/>
      <c r="BC2156" s="120"/>
      <c r="BD2156" s="120"/>
      <c r="BE2156" s="467"/>
      <c r="BF2156" s="440"/>
      <c r="CB2156" s="436"/>
      <c r="CC2156" s="120"/>
      <c r="CD2156" s="120"/>
      <c r="CE2156" s="467"/>
      <c r="CF2156" s="440"/>
      <c r="DB2156" s="436"/>
      <c r="DC2156" s="120"/>
      <c r="DD2156" s="120"/>
      <c r="DE2156" s="467"/>
      <c r="DF2156" s="440"/>
      <c r="EB2156" s="436"/>
      <c r="EC2156" s="120"/>
      <c r="ED2156" s="120"/>
      <c r="EE2156" s="467"/>
      <c r="EF2156" s="440"/>
    </row>
    <row r="2157" spans="54:136">
      <c r="BB2157" s="436"/>
      <c r="BC2157" s="120"/>
      <c r="BD2157" s="120"/>
      <c r="BE2157" s="467"/>
      <c r="BF2157" s="440"/>
      <c r="CB2157" s="436"/>
      <c r="CC2157" s="120"/>
      <c r="CD2157" s="120"/>
      <c r="CE2157" s="467"/>
      <c r="CF2157" s="440"/>
      <c r="DB2157" s="436"/>
      <c r="DC2157" s="120"/>
      <c r="DD2157" s="120"/>
      <c r="DE2157" s="467"/>
      <c r="DF2157" s="440"/>
      <c r="EB2157" s="436"/>
      <c r="EC2157" s="120"/>
      <c r="ED2157" s="120"/>
      <c r="EE2157" s="467"/>
      <c r="EF2157" s="440"/>
    </row>
    <row r="2158" spans="54:136">
      <c r="BB2158" s="436"/>
      <c r="BC2158" s="120"/>
      <c r="BD2158" s="120"/>
      <c r="BE2158" s="467"/>
      <c r="BF2158" s="440"/>
      <c r="CB2158" s="436"/>
      <c r="CC2158" s="120"/>
      <c r="CD2158" s="120"/>
      <c r="CE2158" s="467"/>
      <c r="CF2158" s="440"/>
      <c r="DB2158" s="436"/>
      <c r="DC2158" s="120"/>
      <c r="DD2158" s="120"/>
      <c r="DE2158" s="467"/>
      <c r="DF2158" s="440"/>
      <c r="EB2158" s="436"/>
      <c r="EC2158" s="120"/>
      <c r="ED2158" s="120"/>
      <c r="EE2158" s="467"/>
      <c r="EF2158" s="440"/>
    </row>
    <row r="2159" spans="54:136">
      <c r="BB2159" s="436"/>
      <c r="BC2159" s="120"/>
      <c r="BD2159" s="120"/>
      <c r="BE2159" s="467"/>
      <c r="BF2159" s="440"/>
      <c r="CB2159" s="436"/>
      <c r="CC2159" s="120"/>
      <c r="CD2159" s="120"/>
      <c r="CE2159" s="467"/>
      <c r="CF2159" s="440"/>
      <c r="DB2159" s="436"/>
      <c r="DC2159" s="120"/>
      <c r="DD2159" s="120"/>
      <c r="DE2159" s="467"/>
      <c r="DF2159" s="440"/>
      <c r="EB2159" s="436"/>
      <c r="EC2159" s="120"/>
      <c r="ED2159" s="120"/>
      <c r="EE2159" s="467"/>
      <c r="EF2159" s="440"/>
    </row>
    <row r="2160" spans="54:136">
      <c r="BB2160" s="436"/>
      <c r="BC2160" s="120"/>
      <c r="BD2160" s="120"/>
      <c r="BE2160" s="467"/>
      <c r="BF2160" s="440"/>
      <c r="CB2160" s="436"/>
      <c r="CC2160" s="120"/>
      <c r="CD2160" s="120"/>
      <c r="CE2160" s="467"/>
      <c r="CF2160" s="440"/>
      <c r="DB2160" s="436"/>
      <c r="DC2160" s="120"/>
      <c r="DD2160" s="120"/>
      <c r="DE2160" s="467"/>
      <c r="DF2160" s="440"/>
      <c r="EB2160" s="436"/>
      <c r="EC2160" s="120"/>
      <c r="ED2160" s="120"/>
      <c r="EE2160" s="467"/>
      <c r="EF2160" s="440"/>
    </row>
    <row r="2161" spans="54:136">
      <c r="BB2161" s="436"/>
      <c r="BC2161" s="120"/>
      <c r="BD2161" s="120"/>
      <c r="BE2161" s="467"/>
      <c r="BF2161" s="440"/>
      <c r="CB2161" s="436"/>
      <c r="CC2161" s="120"/>
      <c r="CD2161" s="120"/>
      <c r="CE2161" s="467"/>
      <c r="CF2161" s="440"/>
      <c r="DB2161" s="436"/>
      <c r="DC2161" s="120"/>
      <c r="DD2161" s="120"/>
      <c r="DE2161" s="467"/>
      <c r="DF2161" s="440"/>
      <c r="EB2161" s="436"/>
      <c r="EC2161" s="120"/>
      <c r="ED2161" s="120"/>
      <c r="EE2161" s="467"/>
      <c r="EF2161" s="440"/>
    </row>
    <row r="2162" spans="54:136">
      <c r="BB2162" s="436"/>
      <c r="BC2162" s="120"/>
      <c r="BD2162" s="120"/>
      <c r="BE2162" s="467"/>
      <c r="BF2162" s="440"/>
      <c r="CB2162" s="436"/>
      <c r="CC2162" s="120"/>
      <c r="CD2162" s="120"/>
      <c r="CE2162" s="467"/>
      <c r="CF2162" s="440"/>
      <c r="DB2162" s="436"/>
      <c r="DC2162" s="120"/>
      <c r="DD2162" s="120"/>
      <c r="DE2162" s="467"/>
      <c r="DF2162" s="440"/>
      <c r="EB2162" s="436"/>
      <c r="EC2162" s="120"/>
      <c r="ED2162" s="120"/>
      <c r="EE2162" s="467"/>
      <c r="EF2162" s="440"/>
    </row>
    <row r="2163" spans="54:136">
      <c r="BB2163" s="436"/>
      <c r="BC2163" s="120"/>
      <c r="BD2163" s="120"/>
      <c r="BE2163" s="467"/>
      <c r="BF2163" s="440"/>
      <c r="CB2163" s="436"/>
      <c r="CC2163" s="120"/>
      <c r="CD2163" s="120"/>
      <c r="CE2163" s="467"/>
      <c r="CF2163" s="440"/>
      <c r="DB2163" s="436"/>
      <c r="DC2163" s="120"/>
      <c r="DD2163" s="120"/>
      <c r="DE2163" s="467"/>
      <c r="DF2163" s="440"/>
      <c r="EB2163" s="436"/>
      <c r="EC2163" s="120"/>
      <c r="ED2163" s="120"/>
      <c r="EE2163" s="467"/>
      <c r="EF2163" s="440"/>
    </row>
    <row r="2164" spans="54:136">
      <c r="BB2164" s="436"/>
      <c r="BC2164" s="120"/>
      <c r="BD2164" s="120"/>
      <c r="BE2164" s="467"/>
      <c r="BF2164" s="440"/>
      <c r="CB2164" s="436"/>
      <c r="CC2164" s="120"/>
      <c r="CD2164" s="120"/>
      <c r="CE2164" s="467"/>
      <c r="CF2164" s="440"/>
      <c r="DB2164" s="436"/>
      <c r="DC2164" s="120"/>
      <c r="DD2164" s="120"/>
      <c r="DE2164" s="467"/>
      <c r="DF2164" s="440"/>
      <c r="EB2164" s="436"/>
      <c r="EC2164" s="120"/>
      <c r="ED2164" s="120"/>
      <c r="EE2164" s="467"/>
      <c r="EF2164" s="440"/>
    </row>
    <row r="2165" spans="54:136">
      <c r="BB2165" s="436"/>
      <c r="BC2165" s="120"/>
      <c r="BD2165" s="120"/>
      <c r="BE2165" s="467"/>
      <c r="BF2165" s="440"/>
      <c r="CB2165" s="436"/>
      <c r="CC2165" s="120"/>
      <c r="CD2165" s="120"/>
      <c r="CE2165" s="467"/>
      <c r="CF2165" s="440"/>
      <c r="DB2165" s="436"/>
      <c r="DC2165" s="120"/>
      <c r="DD2165" s="120"/>
      <c r="DE2165" s="467"/>
      <c r="DF2165" s="440"/>
      <c r="EB2165" s="436"/>
      <c r="EC2165" s="120"/>
      <c r="ED2165" s="120"/>
      <c r="EE2165" s="467"/>
      <c r="EF2165" s="440"/>
    </row>
    <row r="2166" spans="54:136">
      <c r="BB2166" s="436"/>
      <c r="BC2166" s="120"/>
      <c r="BD2166" s="120"/>
      <c r="BE2166" s="467"/>
      <c r="BF2166" s="440"/>
      <c r="CB2166" s="436"/>
      <c r="CC2166" s="120"/>
      <c r="CD2166" s="120"/>
      <c r="CE2166" s="467"/>
      <c r="CF2166" s="440"/>
      <c r="DB2166" s="436"/>
      <c r="DC2166" s="120"/>
      <c r="DD2166" s="120"/>
      <c r="DE2166" s="467"/>
      <c r="DF2166" s="440"/>
      <c r="EB2166" s="436"/>
      <c r="EC2166" s="120"/>
      <c r="ED2166" s="120"/>
      <c r="EE2166" s="467"/>
      <c r="EF2166" s="440"/>
    </row>
    <row r="2167" spans="54:136">
      <c r="BB2167" s="456"/>
      <c r="BC2167" s="457"/>
      <c r="BD2167" s="457"/>
      <c r="BE2167" s="477"/>
      <c r="BF2167" s="458"/>
      <c r="CB2167" s="456"/>
      <c r="CC2167" s="457"/>
      <c r="CD2167" s="457"/>
      <c r="CE2167" s="477"/>
      <c r="CF2167" s="458"/>
      <c r="DB2167" s="456"/>
      <c r="DC2167" s="457"/>
      <c r="DD2167" s="457"/>
      <c r="DE2167" s="477"/>
      <c r="DF2167" s="458"/>
      <c r="EB2167" s="456"/>
      <c r="EC2167" s="457"/>
      <c r="ED2167" s="457"/>
      <c r="EE2167" s="477"/>
      <c r="EF2167" s="458"/>
    </row>
    <row r="2168" spans="54:136">
      <c r="BB2168" s="456"/>
      <c r="BC2168" s="457"/>
      <c r="BD2168" s="457"/>
      <c r="BE2168" s="457"/>
      <c r="BF2168" s="458"/>
      <c r="CB2168" s="456"/>
      <c r="CC2168" s="457"/>
      <c r="CD2168" s="457"/>
      <c r="CE2168" s="457"/>
      <c r="CF2168" s="458"/>
      <c r="DB2168" s="456"/>
      <c r="DC2168" s="457"/>
      <c r="DD2168" s="457"/>
      <c r="DE2168" s="457"/>
      <c r="DF2168" s="458"/>
      <c r="EB2168" s="456"/>
      <c r="EC2168" s="457"/>
      <c r="ED2168" s="457"/>
      <c r="EE2168" s="457"/>
      <c r="EF2168" s="458"/>
    </row>
    <row r="2169" spans="54:136">
      <c r="BB2169" s="449" t="s">
        <v>475</v>
      </c>
      <c r="BC2169" s="120"/>
      <c r="BD2169" s="120"/>
      <c r="BE2169" s="120"/>
      <c r="BF2169" s="440"/>
      <c r="CB2169" s="449" t="s">
        <v>475</v>
      </c>
      <c r="CC2169" s="120"/>
      <c r="CD2169" s="120"/>
      <c r="CE2169" s="120"/>
      <c r="CF2169" s="440"/>
      <c r="DB2169" s="449" t="s">
        <v>475</v>
      </c>
      <c r="DC2169" s="120"/>
      <c r="DD2169" s="120"/>
      <c r="DE2169" s="120"/>
      <c r="DF2169" s="440"/>
      <c r="EB2169" s="449" t="s">
        <v>475</v>
      </c>
      <c r="EC2169" s="120"/>
      <c r="ED2169" s="120"/>
      <c r="EE2169" s="120"/>
      <c r="EF2169" s="440"/>
    </row>
    <row r="2170" spans="54:136">
      <c r="BB2170" s="436" t="s">
        <v>509</v>
      </c>
      <c r="BC2170" s="120"/>
      <c r="BD2170" s="120"/>
      <c r="BE2170" s="120"/>
      <c r="BF2170" s="440"/>
      <c r="CB2170" s="436" t="s">
        <v>509</v>
      </c>
      <c r="CC2170" s="120"/>
      <c r="CD2170" s="120"/>
      <c r="CE2170" s="120"/>
      <c r="CF2170" s="440"/>
      <c r="DB2170" s="436" t="s">
        <v>509</v>
      </c>
      <c r="DC2170" s="120"/>
      <c r="DD2170" s="120"/>
      <c r="DE2170" s="120"/>
      <c r="DF2170" s="440"/>
      <c r="EB2170" s="436" t="s">
        <v>509</v>
      </c>
      <c r="EC2170" s="120"/>
      <c r="ED2170" s="120"/>
      <c r="EE2170" s="120"/>
      <c r="EF2170" s="440"/>
    </row>
    <row r="2171" spans="54:136">
      <c r="BB2171" s="436" t="s">
        <v>510</v>
      </c>
      <c r="BC2171" s="120"/>
      <c r="BD2171" s="120"/>
      <c r="BE2171" s="120"/>
      <c r="BF2171" s="440"/>
      <c r="CB2171" s="436" t="s">
        <v>510</v>
      </c>
      <c r="CC2171" s="120"/>
      <c r="CD2171" s="120"/>
      <c r="CE2171" s="120"/>
      <c r="CF2171" s="440"/>
      <c r="DB2171" s="436" t="s">
        <v>510</v>
      </c>
      <c r="DC2171" s="120"/>
      <c r="DD2171" s="120"/>
      <c r="DE2171" s="120"/>
      <c r="DF2171" s="440"/>
      <c r="EB2171" s="436" t="s">
        <v>510</v>
      </c>
      <c r="EC2171" s="120"/>
      <c r="ED2171" s="120"/>
      <c r="EE2171" s="120"/>
      <c r="EF2171" s="440"/>
    </row>
    <row r="2172" spans="54:136">
      <c r="BB2172" s="436"/>
      <c r="BC2172" s="120"/>
      <c r="BD2172" s="120"/>
      <c r="BE2172" s="120"/>
      <c r="BF2172" s="440"/>
      <c r="CB2172" s="436"/>
      <c r="CC2172" s="120"/>
      <c r="CD2172" s="120"/>
      <c r="CE2172" s="120"/>
      <c r="CF2172" s="440"/>
      <c r="DB2172" s="436"/>
      <c r="DC2172" s="120"/>
      <c r="DD2172" s="120"/>
      <c r="DE2172" s="120"/>
      <c r="DF2172" s="440"/>
      <c r="EB2172" s="436"/>
      <c r="EC2172" s="120"/>
      <c r="ED2172" s="120"/>
      <c r="EE2172" s="120"/>
      <c r="EF2172" s="440"/>
    </row>
    <row r="2173" spans="54:136">
      <c r="BB2173" s="436"/>
      <c r="BC2173" s="120"/>
      <c r="BD2173" s="120"/>
      <c r="BE2173" s="120"/>
      <c r="BF2173" s="440"/>
      <c r="CB2173" s="436"/>
      <c r="CC2173" s="120"/>
      <c r="CD2173" s="120"/>
      <c r="CE2173" s="120"/>
      <c r="CF2173" s="440"/>
      <c r="DB2173" s="436"/>
      <c r="DC2173" s="120"/>
      <c r="DD2173" s="120"/>
      <c r="DE2173" s="120"/>
      <c r="DF2173" s="440"/>
      <c r="EB2173" s="436"/>
      <c r="EC2173" s="120"/>
      <c r="ED2173" s="120"/>
      <c r="EE2173" s="120"/>
      <c r="EF2173" s="440"/>
    </row>
    <row r="2174" spans="54:136">
      <c r="BB2174" s="436"/>
      <c r="BC2174" s="120"/>
      <c r="BD2174" s="120"/>
      <c r="BE2174" s="120"/>
      <c r="BF2174" s="440"/>
      <c r="CB2174" s="436"/>
      <c r="CC2174" s="120"/>
      <c r="CD2174" s="120"/>
      <c r="CE2174" s="120"/>
      <c r="CF2174" s="440"/>
      <c r="DB2174" s="436"/>
      <c r="DC2174" s="120"/>
      <c r="DD2174" s="120"/>
      <c r="DE2174" s="120"/>
      <c r="DF2174" s="440"/>
      <c r="EB2174" s="436"/>
      <c r="EC2174" s="120"/>
      <c r="ED2174" s="120"/>
      <c r="EE2174" s="120"/>
      <c r="EF2174" s="440"/>
    </row>
    <row r="2175" spans="54:136">
      <c r="BB2175" s="436"/>
      <c r="BC2175" s="120"/>
      <c r="BD2175" s="120"/>
      <c r="BE2175" s="120"/>
      <c r="BF2175" s="440"/>
      <c r="CB2175" s="436"/>
      <c r="CC2175" s="120"/>
      <c r="CD2175" s="120"/>
      <c r="CE2175" s="120"/>
      <c r="CF2175" s="440"/>
      <c r="DB2175" s="436"/>
      <c r="DC2175" s="120"/>
      <c r="DD2175" s="120"/>
      <c r="DE2175" s="120"/>
      <c r="DF2175" s="440"/>
      <c r="EB2175" s="436"/>
      <c r="EC2175" s="120"/>
      <c r="ED2175" s="120"/>
      <c r="EE2175" s="120"/>
      <c r="EF2175" s="440"/>
    </row>
    <row r="2176" spans="54:136">
      <c r="BB2176" s="436" t="s">
        <v>511</v>
      </c>
      <c r="BC2176" s="120">
        <v>0</v>
      </c>
      <c r="BD2176" s="120" t="s">
        <v>512</v>
      </c>
      <c r="BE2176" s="120"/>
      <c r="BF2176" s="440"/>
      <c r="CB2176" s="436" t="s">
        <v>511</v>
      </c>
      <c r="CC2176" s="120">
        <v>0</v>
      </c>
      <c r="CD2176" s="120" t="s">
        <v>512</v>
      </c>
      <c r="CE2176" s="120"/>
      <c r="CF2176" s="440"/>
      <c r="DB2176" s="436" t="s">
        <v>511</v>
      </c>
      <c r="DC2176" s="120">
        <v>0</v>
      </c>
      <c r="DD2176" s="120" t="s">
        <v>512</v>
      </c>
      <c r="DE2176" s="120"/>
      <c r="DF2176" s="440"/>
      <c r="EB2176" s="436" t="s">
        <v>511</v>
      </c>
      <c r="EC2176" s="120">
        <v>0</v>
      </c>
      <c r="ED2176" s="120" t="s">
        <v>512</v>
      </c>
      <c r="EE2176" s="120"/>
      <c r="EF2176" s="440"/>
    </row>
    <row r="2177" spans="54:136">
      <c r="BB2177" s="436" t="s">
        <v>513</v>
      </c>
      <c r="BC2177" s="120">
        <v>0</v>
      </c>
      <c r="BD2177" s="120" t="s">
        <v>512</v>
      </c>
      <c r="BE2177" s="120"/>
      <c r="BF2177" s="440"/>
      <c r="CB2177" s="436" t="s">
        <v>513</v>
      </c>
      <c r="CC2177" s="120">
        <v>0</v>
      </c>
      <c r="CD2177" s="120" t="s">
        <v>512</v>
      </c>
      <c r="CE2177" s="120"/>
      <c r="CF2177" s="440"/>
      <c r="DB2177" s="436" t="s">
        <v>513</v>
      </c>
      <c r="DC2177" s="120">
        <v>0</v>
      </c>
      <c r="DD2177" s="120" t="s">
        <v>512</v>
      </c>
      <c r="DE2177" s="120"/>
      <c r="DF2177" s="440"/>
      <c r="EB2177" s="436" t="s">
        <v>513</v>
      </c>
      <c r="EC2177" s="120">
        <v>0</v>
      </c>
      <c r="ED2177" s="120" t="s">
        <v>512</v>
      </c>
      <c r="EE2177" s="120"/>
      <c r="EF2177" s="440"/>
    </row>
    <row r="2178" spans="54:136">
      <c r="BB2178" s="456"/>
      <c r="BC2178" s="457"/>
      <c r="BD2178" s="457"/>
      <c r="BE2178" s="457"/>
      <c r="BF2178" s="458"/>
      <c r="CB2178" s="456"/>
      <c r="CC2178" s="457"/>
      <c r="CD2178" s="457"/>
      <c r="CE2178" s="457"/>
      <c r="CF2178" s="458"/>
      <c r="DB2178" s="456"/>
      <c r="DC2178" s="457"/>
      <c r="DD2178" s="457"/>
      <c r="DE2178" s="457"/>
      <c r="DF2178" s="458"/>
      <c r="EB2178" s="456"/>
      <c r="EC2178" s="457"/>
      <c r="ED2178" s="457"/>
      <c r="EE2178" s="457"/>
      <c r="EF2178" s="458"/>
    </row>
    <row r="2179" spans="54:136">
      <c r="BB2179" s="449" t="s">
        <v>461</v>
      </c>
      <c r="BC2179" s="120"/>
      <c r="BD2179" s="120"/>
      <c r="BE2179" s="120"/>
      <c r="BF2179" s="440"/>
      <c r="CB2179" s="449" t="s">
        <v>461</v>
      </c>
      <c r="CC2179" s="120"/>
      <c r="CD2179" s="120"/>
      <c r="CE2179" s="120"/>
      <c r="CF2179" s="440"/>
      <c r="DB2179" s="449" t="s">
        <v>461</v>
      </c>
      <c r="DC2179" s="120"/>
      <c r="DD2179" s="120"/>
      <c r="DE2179" s="120"/>
      <c r="DF2179" s="440"/>
      <c r="EB2179" s="449" t="s">
        <v>461</v>
      </c>
      <c r="EC2179" s="120"/>
      <c r="ED2179" s="120"/>
      <c r="EE2179" s="120"/>
      <c r="EF2179" s="440"/>
    </row>
    <row r="2180" spans="54:136">
      <c r="BB2180" s="436" t="s">
        <v>514</v>
      </c>
      <c r="BC2180" s="120">
        <f>VLOOKUP(BB2108,'Unit Ops'!$B$140:$K$209,10,FALSE)</f>
        <v>0</v>
      </c>
      <c r="BD2180" s="120" t="s">
        <v>515</v>
      </c>
      <c r="BE2180" s="120"/>
      <c r="BF2180" s="440"/>
      <c r="CB2180" s="436" t="s">
        <v>514</v>
      </c>
      <c r="CC2180" s="120">
        <f>VLOOKUP(CB2108,'Unit Ops'!$B$140:$K$209,10,FALSE)</f>
        <v>0</v>
      </c>
      <c r="CD2180" s="120" t="s">
        <v>515</v>
      </c>
      <c r="CE2180" s="120"/>
      <c r="CF2180" s="440"/>
      <c r="DB2180" s="436" t="s">
        <v>514</v>
      </c>
      <c r="DC2180" s="120">
        <f>VLOOKUP(DB2108,'Unit Ops'!$B$140:$K$209,10,FALSE)</f>
        <v>0</v>
      </c>
      <c r="DD2180" s="120" t="s">
        <v>515</v>
      </c>
      <c r="DE2180" s="120"/>
      <c r="DF2180" s="440"/>
      <c r="EB2180" s="436" t="s">
        <v>514</v>
      </c>
      <c r="EC2180" s="120">
        <f>VLOOKUP(EB2108,'Unit Ops'!$B$140:$K$209,10,FALSE)</f>
        <v>0</v>
      </c>
      <c r="ED2180" s="120" t="s">
        <v>515</v>
      </c>
      <c r="EE2180" s="120"/>
      <c r="EF2180" s="440"/>
    </row>
    <row r="2181" spans="54:136">
      <c r="BB2181" s="436" t="s">
        <v>516</v>
      </c>
      <c r="BC2181" s="120">
        <v>0</v>
      </c>
      <c r="BD2181" s="120" t="s">
        <v>515</v>
      </c>
      <c r="BE2181" s="120"/>
      <c r="BF2181" s="440"/>
      <c r="CB2181" s="436" t="s">
        <v>516</v>
      </c>
      <c r="CC2181" s="120">
        <v>0</v>
      </c>
      <c r="CD2181" s="120" t="s">
        <v>515</v>
      </c>
      <c r="CE2181" s="120"/>
      <c r="CF2181" s="440"/>
      <c r="DB2181" s="436" t="s">
        <v>516</v>
      </c>
      <c r="DC2181" s="120">
        <v>0</v>
      </c>
      <c r="DD2181" s="120" t="s">
        <v>515</v>
      </c>
      <c r="DE2181" s="120"/>
      <c r="DF2181" s="440"/>
      <c r="EB2181" s="436" t="s">
        <v>516</v>
      </c>
      <c r="EC2181" s="120">
        <v>0</v>
      </c>
      <c r="ED2181" s="120" t="s">
        <v>515</v>
      </c>
      <c r="EE2181" s="120"/>
      <c r="EF2181" s="440"/>
    </row>
    <row r="2182" spans="54:136">
      <c r="BB2182" s="436"/>
      <c r="BC2182" s="120"/>
      <c r="BD2182" s="120"/>
      <c r="BE2182" s="120"/>
      <c r="BF2182" s="440"/>
      <c r="CB2182" s="436"/>
      <c r="CC2182" s="120"/>
      <c r="CD2182" s="120"/>
      <c r="CE2182" s="120"/>
      <c r="CF2182" s="440"/>
      <c r="DB2182" s="436"/>
      <c r="DC2182" s="120"/>
      <c r="DD2182" s="120"/>
      <c r="DE2182" s="120"/>
      <c r="DF2182" s="440"/>
      <c r="EB2182" s="436"/>
      <c r="EC2182" s="120"/>
      <c r="ED2182" s="120"/>
      <c r="EE2182" s="120"/>
      <c r="EF2182" s="440"/>
    </row>
    <row r="2183" spans="54:136">
      <c r="BB2183" s="436"/>
      <c r="BC2183" s="120"/>
      <c r="BD2183" s="120"/>
      <c r="BE2183" s="120"/>
      <c r="BF2183" s="440"/>
      <c r="CB2183" s="436"/>
      <c r="CC2183" s="120"/>
      <c r="CD2183" s="120"/>
      <c r="CE2183" s="120"/>
      <c r="CF2183" s="440"/>
      <c r="DB2183" s="436"/>
      <c r="DC2183" s="120"/>
      <c r="DD2183" s="120"/>
      <c r="DE2183" s="120"/>
      <c r="DF2183" s="440"/>
      <c r="EB2183" s="436"/>
      <c r="EC2183" s="120"/>
      <c r="ED2183" s="120"/>
      <c r="EE2183" s="120"/>
      <c r="EF2183" s="440"/>
    </row>
    <row r="2184" spans="54:136">
      <c r="BB2184" s="436"/>
      <c r="BC2184" s="120"/>
      <c r="BD2184" s="120"/>
      <c r="BE2184" s="120"/>
      <c r="BF2184" s="440"/>
      <c r="CB2184" s="436"/>
      <c r="CC2184" s="120"/>
      <c r="CD2184" s="120"/>
      <c r="CE2184" s="120"/>
      <c r="CF2184" s="440"/>
      <c r="DB2184" s="436"/>
      <c r="DC2184" s="120"/>
      <c r="DD2184" s="120"/>
      <c r="DE2184" s="120"/>
      <c r="DF2184" s="440"/>
      <c r="EB2184" s="436"/>
      <c r="EC2184" s="120"/>
      <c r="ED2184" s="120"/>
      <c r="EE2184" s="120"/>
      <c r="EF2184" s="440"/>
    </row>
    <row r="2185" spans="54:136">
      <c r="BB2185" s="436"/>
      <c r="BC2185" s="120"/>
      <c r="BD2185" s="120"/>
      <c r="BE2185" s="120"/>
      <c r="BF2185" s="440"/>
      <c r="CB2185" s="436"/>
      <c r="CC2185" s="120"/>
      <c r="CD2185" s="120"/>
      <c r="CE2185" s="120"/>
      <c r="CF2185" s="440"/>
      <c r="DB2185" s="436"/>
      <c r="DC2185" s="120"/>
      <c r="DD2185" s="120"/>
      <c r="DE2185" s="120"/>
      <c r="DF2185" s="440"/>
      <c r="EB2185" s="436"/>
      <c r="EC2185" s="120"/>
      <c r="ED2185" s="120"/>
      <c r="EE2185" s="120"/>
      <c r="EF2185" s="440"/>
    </row>
    <row r="2186" spans="54:136">
      <c r="BB2186" s="436"/>
      <c r="BC2186" s="120"/>
      <c r="BD2186" s="120"/>
      <c r="BE2186" s="120"/>
      <c r="BF2186" s="440"/>
      <c r="CB2186" s="436"/>
      <c r="CC2186" s="120"/>
      <c r="CD2186" s="120"/>
      <c r="CE2186" s="120"/>
      <c r="CF2186" s="440"/>
      <c r="DB2186" s="436"/>
      <c r="DC2186" s="120"/>
      <c r="DD2186" s="120"/>
      <c r="DE2186" s="120"/>
      <c r="DF2186" s="440"/>
      <c r="EB2186" s="436"/>
      <c r="EC2186" s="120"/>
      <c r="ED2186" s="120"/>
      <c r="EE2186" s="120"/>
      <c r="EF2186" s="440"/>
    </row>
    <row r="2187" spans="54:136">
      <c r="BB2187" s="436" t="s">
        <v>464</v>
      </c>
      <c r="BC2187" s="120"/>
      <c r="BD2187" s="120"/>
      <c r="BE2187" s="120"/>
      <c r="BF2187" s="440"/>
      <c r="CB2187" s="436" t="s">
        <v>464</v>
      </c>
      <c r="CC2187" s="120"/>
      <c r="CD2187" s="120"/>
      <c r="CE2187" s="120"/>
      <c r="CF2187" s="440"/>
      <c r="DB2187" s="436" t="s">
        <v>464</v>
      </c>
      <c r="DC2187" s="120"/>
      <c r="DD2187" s="120"/>
      <c r="DE2187" s="120"/>
      <c r="DF2187" s="440"/>
      <c r="EB2187" s="436" t="s">
        <v>464</v>
      </c>
      <c r="EC2187" s="120"/>
      <c r="ED2187" s="120"/>
      <c r="EE2187" s="120"/>
      <c r="EF2187" s="440"/>
    </row>
    <row r="2188" spans="54:136">
      <c r="BB2188" s="456"/>
      <c r="BC2188" s="457"/>
      <c r="BD2188" s="457"/>
      <c r="BE2188" s="457"/>
      <c r="BF2188" s="458"/>
      <c r="CB2188" s="456"/>
      <c r="CC2188" s="457"/>
      <c r="CD2188" s="457"/>
      <c r="CE2188" s="457"/>
      <c r="CF2188" s="458"/>
      <c r="DB2188" s="456"/>
      <c r="DC2188" s="457"/>
      <c r="DD2188" s="457"/>
      <c r="DE2188" s="457"/>
      <c r="DF2188" s="458"/>
      <c r="EB2188" s="456"/>
      <c r="EC2188" s="457"/>
      <c r="ED2188" s="457"/>
      <c r="EE2188" s="457"/>
      <c r="EF2188" s="458"/>
    </row>
    <row r="2189" spans="54:136">
      <c r="BB2189" s="449" t="s">
        <v>472</v>
      </c>
      <c r="BC2189" s="467" t="s">
        <v>517</v>
      </c>
      <c r="BD2189" s="120" t="s">
        <v>518</v>
      </c>
      <c r="BE2189" s="467" t="s">
        <v>519</v>
      </c>
      <c r="BF2189" s="440" t="s">
        <v>518</v>
      </c>
      <c r="CB2189" s="449" t="s">
        <v>472</v>
      </c>
      <c r="CC2189" s="467" t="s">
        <v>517</v>
      </c>
      <c r="CD2189" s="120" t="s">
        <v>518</v>
      </c>
      <c r="CE2189" s="467" t="s">
        <v>519</v>
      </c>
      <c r="CF2189" s="440" t="s">
        <v>518</v>
      </c>
      <c r="DB2189" s="449" t="s">
        <v>472</v>
      </c>
      <c r="DC2189" s="467" t="s">
        <v>517</v>
      </c>
      <c r="DD2189" s="120" t="s">
        <v>518</v>
      </c>
      <c r="DE2189" s="467" t="s">
        <v>519</v>
      </c>
      <c r="DF2189" s="440" t="s">
        <v>518</v>
      </c>
      <c r="EB2189" s="449" t="s">
        <v>472</v>
      </c>
      <c r="EC2189" s="467" t="s">
        <v>517</v>
      </c>
      <c r="ED2189" s="120" t="s">
        <v>518</v>
      </c>
      <c r="EE2189" s="467" t="s">
        <v>519</v>
      </c>
      <c r="EF2189" s="440" t="s">
        <v>518</v>
      </c>
    </row>
    <row r="2190" spans="54:136">
      <c r="BB2190" s="436" t="s">
        <v>520</v>
      </c>
      <c r="BC2190" s="120"/>
      <c r="BD2190" s="120"/>
      <c r="BE2190" s="472">
        <f>((VLOOKUP(BB2108,'Unit Ops'!$B$140:$J$209,3,FALSE)*BC2110^VLOOKUP(BB2108,'Unit Ops'!$B$140:$J$209,4,FALSE)+VLOOKUP(BB2108,'Unit Ops'!$B$140:$J$209,5,FALSE))*VLOOKUP(BB2108,'Unit Ops'!$B$140:$J$209,6,FALSE))*IF(VLOOKUP(BB2108,'Unit Ops'!$B$140:$L$209,11,FALSE)=1,1,2)</f>
        <v>0</v>
      </c>
      <c r="BF2190" s="490">
        <f>$C$7</f>
        <v>2022</v>
      </c>
      <c r="CB2190" s="436" t="s">
        <v>520</v>
      </c>
      <c r="CC2190" s="120"/>
      <c r="CD2190" s="120"/>
      <c r="CE2190" s="472">
        <f>((VLOOKUP(CB2108,'Unit Ops'!$B$140:$J$209,3,FALSE)*CC2110^VLOOKUP(CB2108,'Unit Ops'!$B$140:$J$209,4,FALSE)+VLOOKUP(CB2108,'Unit Ops'!$B$140:$J$209,5,FALSE))*VLOOKUP(CB2108,'Unit Ops'!$B$140:$J$209,6,FALSE))*IF(VLOOKUP(CB2108,'Unit Ops'!$B$140:$L$209,11,FALSE)=1,1,2)</f>
        <v>0</v>
      </c>
      <c r="CF2190" s="490">
        <f>$C$7</f>
        <v>2022</v>
      </c>
      <c r="DB2190" s="436" t="s">
        <v>520</v>
      </c>
      <c r="DC2190" s="120"/>
      <c r="DD2190" s="120"/>
      <c r="DE2190" s="472">
        <f>((VLOOKUP(DB2108,'Unit Ops'!$B$140:$J$209,3,FALSE)*DC2110^VLOOKUP(DB2108,'Unit Ops'!$B$140:$J$209,4,FALSE)+VLOOKUP(DB2108,'Unit Ops'!$B$140:$J$209,5,FALSE))*VLOOKUP(DB2108,'Unit Ops'!$B$140:$J$209,6,FALSE))*IF(VLOOKUP(DB2108,'Unit Ops'!$B$140:$L$209,11,FALSE)=1,1,2)</f>
        <v>0</v>
      </c>
      <c r="DF2190" s="490">
        <f>$C$7</f>
        <v>2022</v>
      </c>
      <c r="EB2190" s="436" t="s">
        <v>520</v>
      </c>
      <c r="EC2190" s="120"/>
      <c r="ED2190" s="120"/>
      <c r="EE2190" s="472">
        <f>((VLOOKUP(EB2108,'Unit Ops'!$B$140:$J$209,3,FALSE)*EC2110^VLOOKUP(EB2108,'Unit Ops'!$B$140:$J$209,4,FALSE)+VLOOKUP(EB2108,'Unit Ops'!$B$140:$J$209,5,FALSE))*VLOOKUP(EB2108,'Unit Ops'!$B$140:$J$209,6,FALSE))*IF(VLOOKUP(EB2108,'Unit Ops'!$B$140:$L$209,11,FALSE)=1,1,2)</f>
        <v>0</v>
      </c>
      <c r="EF2190" s="490">
        <f>$C$7</f>
        <v>2022</v>
      </c>
    </row>
    <row r="2191" spans="54:136">
      <c r="BB2191" s="436"/>
      <c r="BC2191" s="120"/>
      <c r="BD2191" s="120"/>
      <c r="BE2191" s="120"/>
      <c r="BF2191" s="440"/>
      <c r="CB2191" s="436"/>
      <c r="CC2191" s="120"/>
      <c r="CD2191" s="120"/>
      <c r="CE2191" s="120"/>
      <c r="CF2191" s="440"/>
      <c r="DB2191" s="436"/>
      <c r="DC2191" s="120"/>
      <c r="DD2191" s="120"/>
      <c r="DE2191" s="120"/>
      <c r="DF2191" s="440"/>
      <c r="EB2191" s="436"/>
      <c r="EC2191" s="120"/>
      <c r="ED2191" s="120"/>
      <c r="EE2191" s="120"/>
      <c r="EF2191" s="440"/>
    </row>
    <row r="2192" spans="54:136">
      <c r="BB2192" s="436"/>
      <c r="BC2192" s="120"/>
      <c r="BD2192" s="120"/>
      <c r="BE2192" s="120"/>
      <c r="BF2192" s="440"/>
      <c r="CB2192" s="436"/>
      <c r="CC2192" s="120"/>
      <c r="CD2192" s="120"/>
      <c r="CE2192" s="120"/>
      <c r="CF2192" s="440"/>
      <c r="DB2192" s="436"/>
      <c r="DC2192" s="120"/>
      <c r="DD2192" s="120"/>
      <c r="DE2192" s="120"/>
      <c r="DF2192" s="440"/>
      <c r="EB2192" s="436"/>
      <c r="EC2192" s="120"/>
      <c r="ED2192" s="120"/>
      <c r="EE2192" s="120"/>
      <c r="EF2192" s="440"/>
    </row>
    <row r="2193" spans="53:136">
      <c r="BB2193" s="436"/>
      <c r="BC2193" s="120"/>
      <c r="BD2193" s="120"/>
      <c r="BE2193" s="120"/>
      <c r="BF2193" s="440"/>
      <c r="CB2193" s="436"/>
      <c r="CC2193" s="120"/>
      <c r="CD2193" s="120"/>
      <c r="CE2193" s="120"/>
      <c r="CF2193" s="440"/>
      <c r="DB2193" s="436"/>
      <c r="DC2193" s="120"/>
      <c r="DD2193" s="120"/>
      <c r="DE2193" s="120"/>
      <c r="DF2193" s="440"/>
      <c r="EB2193" s="436"/>
      <c r="EC2193" s="120"/>
      <c r="ED2193" s="120"/>
      <c r="EE2193" s="120"/>
      <c r="EF2193" s="440"/>
    </row>
    <row r="2194" spans="53:136">
      <c r="BB2194" s="436"/>
      <c r="BC2194" s="120"/>
      <c r="BD2194" s="120"/>
      <c r="BE2194" s="120"/>
      <c r="BF2194" s="440"/>
      <c r="CB2194" s="436"/>
      <c r="CC2194" s="120"/>
      <c r="CD2194" s="120"/>
      <c r="CE2194" s="120"/>
      <c r="CF2194" s="440"/>
      <c r="DB2194" s="436"/>
      <c r="DC2194" s="120"/>
      <c r="DD2194" s="120"/>
      <c r="DE2194" s="120"/>
      <c r="DF2194" s="440"/>
      <c r="EB2194" s="436"/>
      <c r="EC2194" s="120"/>
      <c r="ED2194" s="120"/>
      <c r="EE2194" s="120"/>
      <c r="EF2194" s="440"/>
    </row>
    <row r="2195" spans="53:136">
      <c r="BB2195" s="436"/>
      <c r="BC2195" s="120"/>
      <c r="BD2195" s="120"/>
      <c r="BE2195" s="120"/>
      <c r="BF2195" s="440"/>
      <c r="CB2195" s="436"/>
      <c r="CC2195" s="120"/>
      <c r="CD2195" s="120"/>
      <c r="CE2195" s="120"/>
      <c r="CF2195" s="440"/>
      <c r="DB2195" s="436"/>
      <c r="DC2195" s="120"/>
      <c r="DD2195" s="120"/>
      <c r="DE2195" s="120"/>
      <c r="DF2195" s="440"/>
      <c r="EB2195" s="436"/>
      <c r="EC2195" s="120"/>
      <c r="ED2195" s="120"/>
      <c r="EE2195" s="120"/>
      <c r="EF2195" s="440"/>
    </row>
    <row r="2196" spans="53:136">
      <c r="BB2196" s="436"/>
      <c r="BC2196" s="120"/>
      <c r="BD2196" s="120"/>
      <c r="BE2196" s="120"/>
      <c r="BF2196" s="440"/>
      <c r="CB2196" s="436"/>
      <c r="CC2196" s="120"/>
      <c r="CD2196" s="120"/>
      <c r="CE2196" s="120"/>
      <c r="CF2196" s="440"/>
      <c r="DB2196" s="436"/>
      <c r="DC2196" s="120"/>
      <c r="DD2196" s="120"/>
      <c r="DE2196" s="120"/>
      <c r="DF2196" s="440"/>
      <c r="EB2196" s="436"/>
      <c r="EC2196" s="120"/>
      <c r="ED2196" s="120"/>
      <c r="EE2196" s="120"/>
      <c r="EF2196" s="440"/>
    </row>
    <row r="2197" spans="53:136">
      <c r="BB2197" s="436"/>
      <c r="BC2197" s="120"/>
      <c r="BD2197" s="120"/>
      <c r="BE2197" s="120"/>
      <c r="BF2197" s="440"/>
      <c r="CB2197" s="436"/>
      <c r="CC2197" s="120"/>
      <c r="CD2197" s="120"/>
      <c r="CE2197" s="120"/>
      <c r="CF2197" s="440"/>
      <c r="DB2197" s="436"/>
      <c r="DC2197" s="120"/>
      <c r="DD2197" s="120"/>
      <c r="DE2197" s="120"/>
      <c r="DF2197" s="440"/>
      <c r="EB2197" s="436"/>
      <c r="EC2197" s="120"/>
      <c r="ED2197" s="120"/>
      <c r="EE2197" s="120"/>
      <c r="EF2197" s="440"/>
    </row>
    <row r="2198" spans="53:136">
      <c r="BB2198" s="436"/>
      <c r="BC2198" s="120"/>
      <c r="BD2198" s="120"/>
      <c r="BE2198" s="120"/>
      <c r="BF2198" s="440"/>
      <c r="CB2198" s="436"/>
      <c r="CC2198" s="120"/>
      <c r="CD2198" s="120"/>
      <c r="CE2198" s="120"/>
      <c r="CF2198" s="440"/>
      <c r="DB2198" s="436"/>
      <c r="DC2198" s="120"/>
      <c r="DD2198" s="120"/>
      <c r="DE2198" s="120"/>
      <c r="DF2198" s="440"/>
      <c r="EB2198" s="436"/>
      <c r="EC2198" s="120"/>
      <c r="ED2198" s="120"/>
      <c r="EE2198" s="120"/>
      <c r="EF2198" s="440"/>
    </row>
    <row r="2199" spans="53:136">
      <c r="BB2199" s="436"/>
      <c r="BC2199" s="120"/>
      <c r="BD2199" s="120"/>
      <c r="BE2199" s="120"/>
      <c r="BF2199" s="440"/>
      <c r="CB2199" s="436"/>
      <c r="CC2199" s="120"/>
      <c r="CD2199" s="120"/>
      <c r="CE2199" s="120"/>
      <c r="CF2199" s="440"/>
      <c r="DB2199" s="436"/>
      <c r="DC2199" s="120"/>
      <c r="DD2199" s="120"/>
      <c r="DE2199" s="120"/>
      <c r="DF2199" s="440"/>
      <c r="EB2199" s="436"/>
      <c r="EC2199" s="120"/>
      <c r="ED2199" s="120"/>
      <c r="EE2199" s="120"/>
      <c r="EF2199" s="440"/>
    </row>
    <row r="2200" spans="53:136">
      <c r="BB2200" s="436"/>
      <c r="BC2200" s="120"/>
      <c r="BD2200" s="120"/>
      <c r="BE2200" s="120"/>
      <c r="BF2200" s="440"/>
      <c r="CB2200" s="436"/>
      <c r="CC2200" s="120"/>
      <c r="CD2200" s="120"/>
      <c r="CE2200" s="120"/>
      <c r="CF2200" s="440"/>
      <c r="DB2200" s="436"/>
      <c r="DC2200" s="120"/>
      <c r="DD2200" s="120"/>
      <c r="DE2200" s="120"/>
      <c r="DF2200" s="440"/>
      <c r="EB2200" s="436"/>
      <c r="EC2200" s="120"/>
      <c r="ED2200" s="120"/>
      <c r="EE2200" s="120"/>
      <c r="EF2200" s="440"/>
    </row>
    <row r="2201" spans="53:136">
      <c r="BB2201" s="436"/>
      <c r="BC2201" s="120"/>
      <c r="BD2201" s="120"/>
      <c r="BE2201" s="120"/>
      <c r="BF2201" s="440"/>
      <c r="CB2201" s="436"/>
      <c r="CC2201" s="120"/>
      <c r="CD2201" s="120"/>
      <c r="CE2201" s="120"/>
      <c r="CF2201" s="440"/>
      <c r="DB2201" s="436"/>
      <c r="DC2201" s="120"/>
      <c r="DD2201" s="120"/>
      <c r="DE2201" s="120"/>
      <c r="DF2201" s="440"/>
      <c r="EB2201" s="436"/>
      <c r="EC2201" s="120"/>
      <c r="ED2201" s="120"/>
      <c r="EE2201" s="120"/>
      <c r="EF2201" s="440"/>
    </row>
    <row r="2202" spans="53:136">
      <c r="BB2202" s="436"/>
      <c r="BC2202" s="120"/>
      <c r="BD2202" s="120"/>
      <c r="BE2202" s="120"/>
      <c r="BF2202" s="440"/>
      <c r="CB2202" s="436"/>
      <c r="CC2202" s="120"/>
      <c r="CD2202" s="120"/>
      <c r="CE2202" s="120"/>
      <c r="CF2202" s="440"/>
      <c r="DB2202" s="436"/>
      <c r="DC2202" s="120"/>
      <c r="DD2202" s="120"/>
      <c r="DE2202" s="120"/>
      <c r="DF2202" s="440"/>
      <c r="EB2202" s="436"/>
      <c r="EC2202" s="120"/>
      <c r="ED2202" s="120"/>
      <c r="EE2202" s="120"/>
      <c r="EF2202" s="440"/>
    </row>
    <row r="2203" spans="53:136">
      <c r="BB2203" s="436"/>
      <c r="BC2203" s="120"/>
      <c r="BD2203" s="120"/>
      <c r="BE2203" s="120"/>
      <c r="BF2203" s="440"/>
      <c r="CB2203" s="436"/>
      <c r="CC2203" s="120"/>
      <c r="CD2203" s="120"/>
      <c r="CE2203" s="120"/>
      <c r="CF2203" s="440"/>
      <c r="DB2203" s="436"/>
      <c r="DC2203" s="120"/>
      <c r="DD2203" s="120"/>
      <c r="DE2203" s="120"/>
      <c r="DF2203" s="440"/>
      <c r="EB2203" s="436"/>
      <c r="EC2203" s="120"/>
      <c r="ED2203" s="120"/>
      <c r="EE2203" s="120"/>
      <c r="EF2203" s="440"/>
    </row>
    <row r="2204" spans="53:136" ht="14.5" thickBot="1">
      <c r="BB2204" s="492"/>
      <c r="BC2204" s="493"/>
      <c r="BD2204" s="493"/>
      <c r="BE2204" s="493"/>
      <c r="BF2204" s="453"/>
      <c r="CB2204" s="492"/>
      <c r="CC2204" s="493"/>
      <c r="CD2204" s="493"/>
      <c r="CE2204" s="493"/>
      <c r="CF2204" s="453"/>
      <c r="DB2204" s="492"/>
      <c r="DC2204" s="493"/>
      <c r="DD2204" s="493"/>
      <c r="DE2204" s="493"/>
      <c r="DF2204" s="453"/>
      <c r="EB2204" s="492"/>
      <c r="EC2204" s="493"/>
      <c r="ED2204" s="493"/>
      <c r="EE2204" s="493"/>
      <c r="EF2204" s="453"/>
    </row>
    <row r="2207" spans="53:136" ht="14.5" thickBot="1"/>
    <row r="2208" spans="53:136">
      <c r="BA2208" s="114" t="s">
        <v>478</v>
      </c>
      <c r="BB2208" s="431" t="str">
        <f>BB71</f>
        <v>Select Equipment</v>
      </c>
      <c r="BC2208" s="432"/>
      <c r="BD2208" s="433"/>
      <c r="BE2208" s="434"/>
      <c r="BF2208" s="435"/>
      <c r="CA2208" s="114" t="s">
        <v>478</v>
      </c>
      <c r="CB2208" s="431" t="str">
        <f>CB71</f>
        <v>Select Equipment</v>
      </c>
      <c r="CC2208" s="432"/>
      <c r="CD2208" s="433"/>
      <c r="CE2208" s="434"/>
      <c r="CF2208" s="435"/>
      <c r="DA2208" s="114" t="s">
        <v>478</v>
      </c>
      <c r="DB2208" s="431" t="str">
        <f>DB71</f>
        <v>Select Equipment</v>
      </c>
      <c r="DC2208" s="432"/>
      <c r="DD2208" s="433"/>
      <c r="DE2208" s="434"/>
      <c r="DF2208" s="435"/>
      <c r="EA2208" s="114" t="s">
        <v>478</v>
      </c>
      <c r="EB2208" s="431" t="str">
        <f>EB73</f>
        <v>Select Equipment</v>
      </c>
      <c r="EC2208" s="432"/>
      <c r="ED2208" s="433"/>
      <c r="EE2208" s="434"/>
      <c r="EF2208" s="435"/>
    </row>
    <row r="2209" spans="53:136">
      <c r="BA2209" s="114" t="s">
        <v>5</v>
      </c>
      <c r="BB2209" s="436" t="s">
        <v>1</v>
      </c>
      <c r="BC2209" s="437">
        <f>BC$25/BC$22/BC$21*VLOOKUP(BB2208,'Unit Ops'!$B$140:$J$209,2,FALSE)</f>
        <v>0.92592592592592593</v>
      </c>
      <c r="BD2209" s="438" t="s">
        <v>586</v>
      </c>
      <c r="BE2209" s="1027">
        <f>BC2209*BC$310*BC$311</f>
        <v>10000</v>
      </c>
      <c r="BF2209" s="439" t="s">
        <v>585</v>
      </c>
      <c r="CA2209" s="114" t="s">
        <v>5</v>
      </c>
      <c r="CB2209" s="436" t="s">
        <v>1</v>
      </c>
      <c r="CC2209" s="437">
        <f>CC$25/CC$22/CC$21*VLOOKUP(CB2208,'Unit Ops'!$B$140:$J$209,2,FALSE)</f>
        <v>0.91324200913242004</v>
      </c>
      <c r="CD2209" s="438" t="s">
        <v>586</v>
      </c>
      <c r="CE2209" s="1027">
        <f>CC2209*CC$310*CC$311</f>
        <v>10000</v>
      </c>
      <c r="CF2209" s="439" t="s">
        <v>585</v>
      </c>
      <c r="DA2209" s="114" t="s">
        <v>5</v>
      </c>
      <c r="DB2209" s="436" t="s">
        <v>1</v>
      </c>
      <c r="DC2209" s="437">
        <f>DC$25/DC$22/DC$21*VLOOKUP(DB2208,'Unit Ops'!$B$140:$J$209,2,FALSE)</f>
        <v>0.92592592592592593</v>
      </c>
      <c r="DD2209" s="438" t="s">
        <v>586</v>
      </c>
      <c r="DE2209" s="1027">
        <f>DC2209*DC$310*DC$311</f>
        <v>10000</v>
      </c>
      <c r="DF2209" s="439" t="s">
        <v>585</v>
      </c>
      <c r="EA2209" s="114" t="s">
        <v>5</v>
      </c>
      <c r="EB2209" s="436" t="s">
        <v>1</v>
      </c>
      <c r="EC2209" s="437">
        <f>EC$26/EC$23/EC$22*VLOOKUP(EB2208,'Unit Ops'!$B$140:$J$209,2,FALSE)</f>
        <v>1.3020833333333333</v>
      </c>
      <c r="ED2209" s="438" t="s">
        <v>586</v>
      </c>
      <c r="EE2209" s="1027">
        <f>EC2209*EC$310*EC$311</f>
        <v>10000</v>
      </c>
      <c r="EF2209" s="439" t="s">
        <v>585</v>
      </c>
    </row>
    <row r="2210" spans="53:136">
      <c r="BA2210" s="114" t="str">
        <f>$BB$54</f>
        <v>Hopper</v>
      </c>
      <c r="BB2210" s="436" t="s">
        <v>505</v>
      </c>
      <c r="BC2210" s="437">
        <f>ROUNDUP(BC2209*IF(VLOOKUP(BB2208,'Unit Ops'!$B$140:$L$209,11,FALSE)=1,1.5,0.75),1)</f>
        <v>0.7</v>
      </c>
      <c r="BD2210" s="438" t="s">
        <v>586</v>
      </c>
      <c r="BE2210" s="120">
        <f>BC2210*BC$310*BC$311</f>
        <v>7560</v>
      </c>
      <c r="BF2210" s="439" t="s">
        <v>585</v>
      </c>
      <c r="CA2210" s="114" t="str">
        <f>$CB$54</f>
        <v>Conveyor</v>
      </c>
      <c r="CB2210" s="436" t="s">
        <v>505</v>
      </c>
      <c r="CC2210" s="437">
        <f>ROUNDUP(CC2209*IF(VLOOKUP(CB2208,'Unit Ops'!$B$140:$L$209,11,FALSE)=1,1.5,0.75),1)</f>
        <v>0.7</v>
      </c>
      <c r="CD2210" s="438" t="s">
        <v>586</v>
      </c>
      <c r="CE2210" s="120">
        <f>CC2210*CC$310*CC$311</f>
        <v>7665</v>
      </c>
      <c r="CF2210" s="439" t="s">
        <v>585</v>
      </c>
      <c r="DA2210" s="114" t="str">
        <f>$DB$54</f>
        <v>Conveyor</v>
      </c>
      <c r="DB2210" s="436" t="s">
        <v>505</v>
      </c>
      <c r="DC2210" s="437">
        <f>ROUNDUP(DC2209*IF(VLOOKUP(DB2208,'Unit Ops'!$B$140:$L$209,11,FALSE)=1,1.5,0.75),1)</f>
        <v>0.7</v>
      </c>
      <c r="DD2210" s="438" t="s">
        <v>586</v>
      </c>
      <c r="DE2210" s="120">
        <f>DC2210*DC$310*DC$311</f>
        <v>7560</v>
      </c>
      <c r="DF2210" s="439" t="s">
        <v>585</v>
      </c>
      <c r="EA2210" s="114" t="str">
        <f>$EB$56</f>
        <v>Conveyor</v>
      </c>
      <c r="EB2210" s="436" t="s">
        <v>505</v>
      </c>
      <c r="EC2210" s="437">
        <f>ROUNDUP(EC2209*IF(VLOOKUP(EB2208,'Unit Ops'!$B$140:$L$209,11,FALSE)=1,1.5,0.75),1)</f>
        <v>1</v>
      </c>
      <c r="ED2210" s="438" t="s">
        <v>586</v>
      </c>
      <c r="EE2210" s="120">
        <f>EC2210*EC$310*EC$311</f>
        <v>7680</v>
      </c>
      <c r="EF2210" s="439" t="s">
        <v>585</v>
      </c>
    </row>
    <row r="2211" spans="53:136">
      <c r="BA2211" s="114" t="str">
        <f>$BB$55</f>
        <v>Conveyor</v>
      </c>
      <c r="BB2211" s="441" t="s">
        <v>521</v>
      </c>
      <c r="BC2211" s="442">
        <f>BC2209/BC2210</f>
        <v>1.3227513227513228</v>
      </c>
      <c r="BD2211" s="438"/>
      <c r="BE2211" s="443"/>
      <c r="BF2211" s="440"/>
      <c r="CA2211" s="114" t="str">
        <f>$CB$55</f>
        <v>Leaching tank</v>
      </c>
      <c r="CB2211" s="441" t="s">
        <v>521</v>
      </c>
      <c r="CC2211" s="442">
        <f>CC2209/CC2210</f>
        <v>1.3046314416177429</v>
      </c>
      <c r="CD2211" s="438"/>
      <c r="CE2211" s="443"/>
      <c r="CF2211" s="440"/>
      <c r="DA2211" s="114" t="str">
        <f>$DB$55</f>
        <v>Froth flotation cell</v>
      </c>
      <c r="DB2211" s="441" t="s">
        <v>521</v>
      </c>
      <c r="DC2211" s="442">
        <f>DC2209/DC2210</f>
        <v>1.3227513227513228</v>
      </c>
      <c r="DD2211" s="438"/>
      <c r="DE2211" s="443"/>
      <c r="DF2211" s="440"/>
      <c r="EA2211" s="114" t="str">
        <f>$EB$57</f>
        <v>Leaching tank</v>
      </c>
      <c r="EB2211" s="441" t="s">
        <v>521</v>
      </c>
      <c r="EC2211" s="442">
        <f>EC2209/EC2210</f>
        <v>1.3020833333333333</v>
      </c>
      <c r="ED2211" s="438"/>
      <c r="EE2211" s="443"/>
      <c r="EF2211" s="440"/>
    </row>
    <row r="2212" spans="53:136">
      <c r="BA2212" s="114" t="str">
        <f>$BB$56</f>
        <v>Smelter</v>
      </c>
      <c r="BB2212" s="441" t="s">
        <v>506</v>
      </c>
      <c r="BC2212" s="445"/>
      <c r="BD2212" s="438" t="s">
        <v>454</v>
      </c>
      <c r="BE2212" s="443"/>
      <c r="BF2212" s="440"/>
      <c r="CA2212" s="114" t="str">
        <f>$CB$56</f>
        <v>Mixing tank</v>
      </c>
      <c r="CB2212" s="441" t="s">
        <v>506</v>
      </c>
      <c r="CC2212" s="445"/>
      <c r="CD2212" s="438" t="s">
        <v>454</v>
      </c>
      <c r="CE2212" s="443"/>
      <c r="CF2212" s="440"/>
      <c r="DA2212" s="114" t="str">
        <f>$DB$56</f>
        <v>Filter press</v>
      </c>
      <c r="DB2212" s="441" t="s">
        <v>506</v>
      </c>
      <c r="DC2212" s="445"/>
      <c r="DD2212" s="438" t="s">
        <v>454</v>
      </c>
      <c r="DE2212" s="443"/>
      <c r="DF2212" s="440"/>
      <c r="EA2212" s="114" t="str">
        <f>$EB$58</f>
        <v>Mixing tank</v>
      </c>
      <c r="EB2212" s="441" t="s">
        <v>506</v>
      </c>
      <c r="EC2212" s="445"/>
      <c r="ED2212" s="438" t="s">
        <v>454</v>
      </c>
      <c r="EE2212" s="443"/>
      <c r="EF2212" s="440"/>
    </row>
    <row r="2213" spans="53:136">
      <c r="BA2213" s="114" t="str">
        <f>$BB$57</f>
        <v>Gas treatment</v>
      </c>
      <c r="BB2213" s="436" t="s">
        <v>507</v>
      </c>
      <c r="BC2213" s="225">
        <f>(VLOOKUP(BB2208,'Unit Ops'!$B$140:$J$209,7,FALSE)*BC2210^VLOOKUP(BB2208,'Unit Ops'!$B$140:$J$209,8,FALSE)+VLOOKUP(BB2208,'Unit Ops'!$B$140:$J$209,9,FALSE))*IF(VLOOKUP(BB2208,'Unit Ops'!$B$140:$L$209,11,FALSE)=1,1,2)</f>
        <v>0</v>
      </c>
      <c r="BD2213" s="446" t="s">
        <v>454</v>
      </c>
      <c r="BE2213" s="443"/>
      <c r="BF2213" s="440"/>
      <c r="CA2213" s="114" t="str">
        <f>$CB$57</f>
        <v>Filter press</v>
      </c>
      <c r="CB2213" s="436" t="s">
        <v>507</v>
      </c>
      <c r="CC2213" s="225">
        <f>(VLOOKUP(CB2208,'Unit Ops'!$B$140:$J$209,7,FALSE)*CC2210^VLOOKUP(CB2208,'Unit Ops'!$B$140:$J$209,8,FALSE)+VLOOKUP(CB2208,'Unit Ops'!$B$140:$J$209,9,FALSE))*IF(VLOOKUP(CB2208,'Unit Ops'!$B$140:$L$209,11,FALSE)=1,1,2)</f>
        <v>0</v>
      </c>
      <c r="CD2213" s="446" t="s">
        <v>454</v>
      </c>
      <c r="CE2213" s="443"/>
      <c r="CF2213" s="440"/>
      <c r="DA2213" s="114" t="str">
        <f>$DB$57</f>
        <v>Froth flotation cell</v>
      </c>
      <c r="DB2213" s="436" t="s">
        <v>507</v>
      </c>
      <c r="DC2213" s="225">
        <f>(VLOOKUP(DB2208,'Unit Ops'!$B$140:$J$209,7,FALSE)*DC2210^VLOOKUP(DB2208,'Unit Ops'!$B$140:$J$209,8,FALSE)+VLOOKUP(DB2208,'Unit Ops'!$B$140:$J$209,9,FALSE))*IF(VLOOKUP(DB2208,'Unit Ops'!$B$140:$L$209,11,FALSE)=1,1,2)</f>
        <v>0</v>
      </c>
      <c r="DD2213" s="446" t="s">
        <v>454</v>
      </c>
      <c r="DE2213" s="443"/>
      <c r="DF2213" s="440"/>
      <c r="EA2213" s="114" t="str">
        <f>$EB$59</f>
        <v>Filter press</v>
      </c>
      <c r="EB2213" s="436" t="s">
        <v>507</v>
      </c>
      <c r="EC2213" s="225">
        <f>(VLOOKUP(EB2208,'Unit Ops'!$B$140:$J$209,7,FALSE)*EC2210^VLOOKUP(EB2208,'Unit Ops'!$B$140:$J$209,8,FALSE)+VLOOKUP(EB2208,'Unit Ops'!$B$140:$J$209,9,FALSE))*IF(VLOOKUP(EB2208,'Unit Ops'!$B$140:$L$209,11,FALSE)=1,1,2)</f>
        <v>0</v>
      </c>
      <c r="ED2213" s="446" t="s">
        <v>454</v>
      </c>
      <c r="EE2213" s="443"/>
      <c r="EF2213" s="440"/>
    </row>
    <row r="2214" spans="53:136">
      <c r="BA2214" s="114" t="str">
        <f>$BB$58</f>
        <v>Conveyor</v>
      </c>
      <c r="BB2214" s="441"/>
      <c r="BC2214" s="445"/>
      <c r="BD2214" s="447"/>
      <c r="BE2214" s="443"/>
      <c r="BF2214" s="440"/>
      <c r="CA2214" s="114" t="str">
        <f>$CB$58</f>
        <v>Solvent extraction unit</v>
      </c>
      <c r="CB2214" s="441"/>
      <c r="CC2214" s="445"/>
      <c r="CD2214" s="447"/>
      <c r="CE2214" s="443"/>
      <c r="CF2214" s="440"/>
      <c r="DA2214" s="114" t="str">
        <f>$DB$58</f>
        <v>Filter press</v>
      </c>
      <c r="DB2214" s="441"/>
      <c r="DC2214" s="445"/>
      <c r="DD2214" s="447"/>
      <c r="DE2214" s="443"/>
      <c r="DF2214" s="440"/>
      <c r="EA2214" s="114" t="str">
        <f>$EB$60</f>
        <v>Solvent extraction unit</v>
      </c>
      <c r="EB2214" s="441"/>
      <c r="EC2214" s="445"/>
      <c r="ED2214" s="447"/>
      <c r="EE2214" s="443"/>
      <c r="EF2214" s="440"/>
    </row>
    <row r="2215" spans="53:136">
      <c r="BA2215" s="114" t="str">
        <f>$BB$59</f>
        <v>Granulator</v>
      </c>
      <c r="BB2215" s="441"/>
      <c r="BC2215" s="445"/>
      <c r="BD2215" s="447"/>
      <c r="BE2215" s="443"/>
      <c r="BF2215" s="440"/>
      <c r="CA2215" s="114" t="str">
        <f>$CB$59</f>
        <v>Solvent extraction unit</v>
      </c>
      <c r="CB2215" s="441"/>
      <c r="CC2215" s="445"/>
      <c r="CD2215" s="447"/>
      <c r="CE2215" s="443"/>
      <c r="CF2215" s="440"/>
      <c r="DA2215" s="114" t="str">
        <f>$DB$59</f>
        <v>Dryer</v>
      </c>
      <c r="DB2215" s="441"/>
      <c r="DC2215" s="445"/>
      <c r="DD2215" s="447"/>
      <c r="DE2215" s="443"/>
      <c r="DF2215" s="440"/>
      <c r="EA2215" s="114" t="str">
        <f>$EB$61</f>
        <v>Solvent extraction unit</v>
      </c>
      <c r="EB2215" s="441"/>
      <c r="EC2215" s="445"/>
      <c r="ED2215" s="447"/>
      <c r="EE2215" s="443"/>
      <c r="EF2215" s="440"/>
    </row>
    <row r="2216" spans="53:136">
      <c r="BA2216" s="114" t="str">
        <f>$BB$60</f>
        <v>Leaching tank</v>
      </c>
      <c r="BB2216" s="449"/>
      <c r="BC2216" s="445"/>
      <c r="BD2216" s="447"/>
      <c r="BE2216" s="443"/>
      <c r="BF2216" s="440"/>
      <c r="CA2216" s="114" t="str">
        <f>$CB$60</f>
        <v>Solvent extraction unit</v>
      </c>
      <c r="CB2216" s="449"/>
      <c r="CC2216" s="445"/>
      <c r="CD2216" s="447"/>
      <c r="CE2216" s="443"/>
      <c r="CF2216" s="440"/>
      <c r="DA2216" s="114" t="str">
        <f>$DB$60</f>
        <v>Ball mill</v>
      </c>
      <c r="DB2216" s="449"/>
      <c r="DC2216" s="445"/>
      <c r="DD2216" s="447"/>
      <c r="DE2216" s="443"/>
      <c r="DF2216" s="440"/>
      <c r="EA2216" s="114" t="str">
        <f>$EB$62</f>
        <v>Solvent extraction unit</v>
      </c>
      <c r="EB2216" s="449"/>
      <c r="EC2216" s="445"/>
      <c r="ED2216" s="447"/>
      <c r="EE2216" s="443"/>
      <c r="EF2216" s="440"/>
    </row>
    <row r="2217" spans="53:136" ht="14.5" thickBot="1">
      <c r="BA2217" s="114" t="str">
        <f>$BB$61</f>
        <v>Solvent extraction unit</v>
      </c>
      <c r="BB2217" s="450"/>
      <c r="BC2217" s="451"/>
      <c r="BD2217" s="451"/>
      <c r="BE2217" s="452"/>
      <c r="BF2217" s="453"/>
      <c r="CA2217" s="114" t="str">
        <f>$CB$61</f>
        <v>Evaporator</v>
      </c>
      <c r="CB2217" s="450"/>
      <c r="CC2217" s="451"/>
      <c r="CD2217" s="451"/>
      <c r="CE2217" s="452"/>
      <c r="CF2217" s="453"/>
      <c r="DA2217" s="114" t="str">
        <f>$DB$61</f>
        <v>Furnace+saggar handling system</v>
      </c>
      <c r="DB2217" s="450"/>
      <c r="DC2217" s="451"/>
      <c r="DD2217" s="451"/>
      <c r="DE2217" s="452"/>
      <c r="DF2217" s="453"/>
      <c r="EA2217" s="114" t="str">
        <f>$EB$63</f>
        <v>Evaporator</v>
      </c>
      <c r="EB2217" s="450"/>
      <c r="EC2217" s="451"/>
      <c r="ED2217" s="451"/>
      <c r="EE2217" s="452"/>
      <c r="EF2217" s="453"/>
    </row>
    <row r="2218" spans="53:136">
      <c r="BA2218" s="114" t="str">
        <f>$BB$62</f>
        <v>Electrowinning cell</v>
      </c>
      <c r="BB2218" s="449" t="s">
        <v>470</v>
      </c>
      <c r="BC2218" s="120"/>
      <c r="BD2218" s="454"/>
      <c r="BE2218" s="120"/>
      <c r="BF2218" s="440"/>
      <c r="CA2218" s="114" t="str">
        <f>$CB$62</f>
        <v>Precipitation tank</v>
      </c>
      <c r="CB2218" s="449" t="s">
        <v>470</v>
      </c>
      <c r="CC2218" s="120"/>
      <c r="CD2218" s="454"/>
      <c r="CE2218" s="120"/>
      <c r="CF2218" s="440"/>
      <c r="DA2218" s="114" t="str">
        <f>$DB$62</f>
        <v>Water treatment</v>
      </c>
      <c r="DB2218" s="449" t="s">
        <v>470</v>
      </c>
      <c r="DC2218" s="120"/>
      <c r="DD2218" s="454"/>
      <c r="DE2218" s="120"/>
      <c r="DF2218" s="440"/>
      <c r="EA2218" s="114" t="str">
        <f>$EB$64</f>
        <v>Precipitation tank</v>
      </c>
      <c r="EB2218" s="449" t="s">
        <v>470</v>
      </c>
      <c r="EC2218" s="120"/>
      <c r="ED2218" s="454"/>
      <c r="EE2218" s="120"/>
      <c r="EF2218" s="440"/>
    </row>
    <row r="2219" spans="53:136" ht="14.5" customHeight="1">
      <c r="BA2219" s="114" t="str">
        <f>$BB$63</f>
        <v>Solvent extraction unit</v>
      </c>
      <c r="BB2219" s="1698"/>
      <c r="BC2219" s="1699"/>
      <c r="BD2219" s="1699"/>
      <c r="BE2219" s="1699"/>
      <c r="BF2219" s="1700"/>
      <c r="CA2219" s="114" t="str">
        <f>$CB$63</f>
        <v>Centrifuge</v>
      </c>
      <c r="CB2219" s="1698"/>
      <c r="CC2219" s="1699"/>
      <c r="CD2219" s="1699"/>
      <c r="CE2219" s="1699"/>
      <c r="CF2219" s="1700"/>
      <c r="DA2219" s="114" t="str">
        <f>$DB$63</f>
        <v>Wheel loader</v>
      </c>
      <c r="DB2219" s="1698"/>
      <c r="DC2219" s="1699"/>
      <c r="DD2219" s="1699"/>
      <c r="DE2219" s="1699"/>
      <c r="DF2219" s="1700"/>
      <c r="EA2219" s="114" t="str">
        <f>$EB$65</f>
        <v>Centrifuge</v>
      </c>
      <c r="EB2219" s="1698"/>
      <c r="EC2219" s="1699"/>
      <c r="ED2219" s="1699"/>
      <c r="EE2219" s="1699"/>
      <c r="EF2219" s="1700"/>
    </row>
    <row r="2220" spans="53:136">
      <c r="BA2220" s="114" t="str">
        <f>$BB$64</f>
        <v>Solvent extraction unit</v>
      </c>
      <c r="BB2220" s="436"/>
      <c r="BC2220" s="120"/>
      <c r="BD2220" s="455"/>
      <c r="BE2220" s="120"/>
      <c r="BF2220" s="440"/>
      <c r="CA2220" s="114" t="str">
        <f>$CB$64</f>
        <v>Dryer</v>
      </c>
      <c r="CB2220" s="436"/>
      <c r="CC2220" s="120"/>
      <c r="CD2220" s="455"/>
      <c r="CE2220" s="120"/>
      <c r="CF2220" s="440"/>
      <c r="DA2220" s="114" t="str">
        <f>$DB$64</f>
        <v>Select Equipment</v>
      </c>
      <c r="DB2220" s="436"/>
      <c r="DC2220" s="120"/>
      <c r="DD2220" s="455"/>
      <c r="DE2220" s="120"/>
      <c r="DF2220" s="440"/>
      <c r="EA2220" s="114" t="str">
        <f>$EB$66</f>
        <v>Dryer</v>
      </c>
      <c r="EB2220" s="436"/>
      <c r="EC2220" s="120"/>
      <c r="ED2220" s="455"/>
      <c r="EE2220" s="120"/>
      <c r="EF2220" s="440"/>
    </row>
    <row r="2221" spans="53:136">
      <c r="BA2221" s="114" t="str">
        <f>$BB$65</f>
        <v>Wheel loader</v>
      </c>
      <c r="BB2221" s="436"/>
      <c r="BC2221" s="120"/>
      <c r="BD2221" s="455"/>
      <c r="BE2221" s="120"/>
      <c r="BF2221" s="440"/>
      <c r="CA2221" s="114" t="str">
        <f>$CB$65</f>
        <v>Water treatment</v>
      </c>
      <c r="CB2221" s="436"/>
      <c r="CC2221" s="120"/>
      <c r="CD2221" s="455"/>
      <c r="CE2221" s="120"/>
      <c r="CF2221" s="440"/>
      <c r="DA2221" s="114" t="str">
        <f>$DB$65</f>
        <v>Select Equipment</v>
      </c>
      <c r="DB2221" s="436"/>
      <c r="DC2221" s="120"/>
      <c r="DD2221" s="455"/>
      <c r="DE2221" s="120"/>
      <c r="DF2221" s="440"/>
      <c r="EA2221" s="114" t="str">
        <f>$EB$67</f>
        <v>Water treatment</v>
      </c>
      <c r="EB2221" s="436"/>
      <c r="EC2221" s="120"/>
      <c r="ED2221" s="455"/>
      <c r="EE2221" s="120"/>
      <c r="EF2221" s="440"/>
    </row>
    <row r="2222" spans="53:136">
      <c r="BA2222" s="114" t="str">
        <f>$BB$66</f>
        <v>Water treatment</v>
      </c>
      <c r="BB2222" s="456"/>
      <c r="BC2222" s="457"/>
      <c r="BD2222" s="457"/>
      <c r="BE2222" s="457"/>
      <c r="BF2222" s="458"/>
      <c r="CA2222" s="114" t="str">
        <f>$CB$66</f>
        <v>Wheel loader</v>
      </c>
      <c r="CB2222" s="456"/>
      <c r="CC2222" s="457"/>
      <c r="CD2222" s="457"/>
      <c r="CE2222" s="457"/>
      <c r="CF2222" s="458"/>
      <c r="DA2222" s="114" t="str">
        <f>$DB$66</f>
        <v>Select Equipment</v>
      </c>
      <c r="DB2222" s="456"/>
      <c r="DC2222" s="457"/>
      <c r="DD2222" s="457"/>
      <c r="DE2222" s="457"/>
      <c r="DF2222" s="458"/>
      <c r="EA2222" s="114" t="str">
        <f>$EB$68</f>
        <v>Wheel loader</v>
      </c>
      <c r="EB2222" s="456"/>
      <c r="EC2222" s="457"/>
      <c r="ED2222" s="457"/>
      <c r="EE2222" s="457"/>
      <c r="EF2222" s="458"/>
    </row>
    <row r="2223" spans="53:136">
      <c r="BA2223" s="114" t="str">
        <f>$BB$67</f>
        <v>Select Equipment</v>
      </c>
      <c r="BB2223" s="449" t="s">
        <v>471</v>
      </c>
      <c r="BC2223" s="120"/>
      <c r="BD2223" s="454"/>
      <c r="BE2223" s="120"/>
      <c r="BF2223" s="440"/>
      <c r="CA2223" s="114" t="str">
        <f>$CB$67</f>
        <v>Select Equipment</v>
      </c>
      <c r="CB2223" s="449" t="s">
        <v>471</v>
      </c>
      <c r="CC2223" s="120"/>
      <c r="CD2223" s="454"/>
      <c r="CE2223" s="120"/>
      <c r="CF2223" s="440"/>
      <c r="DA2223" s="114" t="str">
        <f>$DB$67</f>
        <v>Select Equipment</v>
      </c>
      <c r="DB2223" s="449" t="s">
        <v>471</v>
      </c>
      <c r="DC2223" s="120"/>
      <c r="DD2223" s="454"/>
      <c r="DE2223" s="120"/>
      <c r="DF2223" s="440"/>
      <c r="EA2223" s="114" t="str">
        <f>$EB$69</f>
        <v>Select Equipment</v>
      </c>
      <c r="EB2223" s="449" t="s">
        <v>471</v>
      </c>
      <c r="EC2223" s="120"/>
      <c r="ED2223" s="454"/>
      <c r="EE2223" s="120"/>
      <c r="EF2223" s="440"/>
    </row>
    <row r="2224" spans="53:136">
      <c r="BA2224" s="114" t="str">
        <f>$BB$68</f>
        <v>Select Equipment</v>
      </c>
      <c r="BB2224" s="436" t="s">
        <v>577</v>
      </c>
      <c r="BC2224" s="225">
        <f>BC2213*IF(BC2211&gt;1,1,BC2211)</f>
        <v>0</v>
      </c>
      <c r="BD2224" s="446" t="s">
        <v>454</v>
      </c>
      <c r="BE2224" s="120"/>
      <c r="BF2224" s="440"/>
      <c r="CA2224" s="114" t="str">
        <f>$CB$68</f>
        <v>Select Equipment</v>
      </c>
      <c r="CB2224" s="436" t="s">
        <v>577</v>
      </c>
      <c r="CC2224" s="225">
        <f>CC2213*IF(CC2211&gt;1,1,CC2211)</f>
        <v>0</v>
      </c>
      <c r="CD2224" s="446" t="s">
        <v>454</v>
      </c>
      <c r="CE2224" s="120"/>
      <c r="CF2224" s="440"/>
      <c r="DA2224" s="114" t="str">
        <f>$DB$68</f>
        <v>Select Equipment</v>
      </c>
      <c r="DB2224" s="436" t="s">
        <v>577</v>
      </c>
      <c r="DC2224" s="225">
        <f>DC2213*IF(DC2211&gt;1,1,DC2211)</f>
        <v>0</v>
      </c>
      <c r="DD2224" s="446" t="s">
        <v>454</v>
      </c>
      <c r="DE2224" s="120"/>
      <c r="DF2224" s="440"/>
      <c r="EA2224" s="114" t="str">
        <f>$EB$70</f>
        <v>Select Equipment</v>
      </c>
      <c r="EB2224" s="436" t="s">
        <v>577</v>
      </c>
      <c r="EC2224" s="225">
        <f>EC2213*IF(EC2211&gt;1,1,EC2211)</f>
        <v>0</v>
      </c>
      <c r="ED2224" s="446" t="s">
        <v>454</v>
      </c>
      <c r="EE2224" s="120"/>
      <c r="EF2224" s="440"/>
    </row>
    <row r="2225" spans="53:136">
      <c r="BA2225" s="114" t="str">
        <f>$BB$69</f>
        <v>Select Equipment</v>
      </c>
      <c r="BB2225" s="436" t="s">
        <v>578</v>
      </c>
      <c r="BC2225" s="225"/>
      <c r="BD2225" s="446" t="s">
        <v>579</v>
      </c>
      <c r="BE2225" s="120"/>
      <c r="BF2225" s="440"/>
      <c r="CA2225" s="114" t="str">
        <f>$CB$69</f>
        <v>Select Equipment</v>
      </c>
      <c r="CB2225" s="436" t="s">
        <v>578</v>
      </c>
      <c r="CC2225" s="225"/>
      <c r="CD2225" s="446" t="s">
        <v>579</v>
      </c>
      <c r="CE2225" s="120"/>
      <c r="CF2225" s="440"/>
      <c r="DA2225" s="114" t="str">
        <f>$DB$69</f>
        <v>Select Equipment</v>
      </c>
      <c r="DB2225" s="436" t="s">
        <v>578</v>
      </c>
      <c r="DC2225" s="225"/>
      <c r="DD2225" s="446" t="s">
        <v>579</v>
      </c>
      <c r="DE2225" s="120"/>
      <c r="DF2225" s="440"/>
      <c r="EA2225" s="114" t="str">
        <f>$EB$71</f>
        <v>Select Equipment</v>
      </c>
      <c r="EB2225" s="436" t="s">
        <v>578</v>
      </c>
      <c r="EC2225" s="225"/>
      <c r="ED2225" s="446" t="s">
        <v>579</v>
      </c>
      <c r="EE2225" s="120"/>
      <c r="EF2225" s="440"/>
    </row>
    <row r="2226" spans="53:136">
      <c r="BA2226" s="114" t="str">
        <f>$BB$70</f>
        <v>Select Equipment</v>
      </c>
      <c r="BB2226" s="436"/>
      <c r="BC2226" s="120"/>
      <c r="BD2226" s="446"/>
      <c r="BE2226" s="120"/>
      <c r="BF2226" s="440"/>
      <c r="CA2226" s="114" t="str">
        <f>$CB$70</f>
        <v>Select Equipment</v>
      </c>
      <c r="CB2226" s="436"/>
      <c r="CC2226" s="120"/>
      <c r="CD2226" s="446"/>
      <c r="CE2226" s="120"/>
      <c r="CF2226" s="440"/>
      <c r="DA2226" s="114" t="str">
        <f>$DB$70</f>
        <v>Select Equipment</v>
      </c>
      <c r="DB2226" s="436"/>
      <c r="DC2226" s="120"/>
      <c r="DD2226" s="446"/>
      <c r="DE2226" s="120"/>
      <c r="DF2226" s="440"/>
      <c r="EA2226" s="114" t="str">
        <f>$EB$72</f>
        <v>Select Equipment</v>
      </c>
      <c r="EB2226" s="436"/>
      <c r="EC2226" s="120"/>
      <c r="ED2226" s="446"/>
      <c r="EE2226" s="120"/>
      <c r="EF2226" s="440"/>
    </row>
    <row r="2227" spans="53:136">
      <c r="BA2227" s="114" t="str">
        <f>$BB$71</f>
        <v>Select Equipment</v>
      </c>
      <c r="BB2227" s="436" t="s">
        <v>8</v>
      </c>
      <c r="BC2227" s="120"/>
      <c r="BD2227" s="459" t="s">
        <v>564</v>
      </c>
      <c r="BE2227" s="120"/>
      <c r="BF2227" s="440"/>
      <c r="CA2227" s="114" t="str">
        <f>$CB$71</f>
        <v>Select Equipment</v>
      </c>
      <c r="CB2227" s="436" t="s">
        <v>8</v>
      </c>
      <c r="CC2227" s="120"/>
      <c r="CD2227" s="459" t="s">
        <v>564</v>
      </c>
      <c r="CE2227" s="120"/>
      <c r="CF2227" s="440"/>
      <c r="DA2227" s="114" t="str">
        <f>$DB$71</f>
        <v>Select Equipment</v>
      </c>
      <c r="DB2227" s="436" t="s">
        <v>8</v>
      </c>
      <c r="DC2227" s="120"/>
      <c r="DD2227" s="459" t="s">
        <v>564</v>
      </c>
      <c r="DE2227" s="120"/>
      <c r="DF2227" s="440"/>
      <c r="EA2227" s="114" t="str">
        <f>$EB$73</f>
        <v>Select Equipment</v>
      </c>
      <c r="EB2227" s="436" t="s">
        <v>8</v>
      </c>
      <c r="EC2227" s="120"/>
      <c r="ED2227" s="459" t="s">
        <v>564</v>
      </c>
      <c r="EE2227" s="120"/>
      <c r="EF2227" s="440"/>
    </row>
    <row r="2228" spans="53:136">
      <c r="BA2228" s="114" t="str">
        <f>$BB$72</f>
        <v>Select Equipment</v>
      </c>
      <c r="BB2228" s="436"/>
      <c r="BC2228" s="120"/>
      <c r="BD2228" s="459"/>
      <c r="BE2228" s="120"/>
      <c r="BF2228" s="440"/>
      <c r="CA2228" s="114" t="str">
        <f>$CB$72</f>
        <v>Select Equipment</v>
      </c>
      <c r="CB2228" s="436"/>
      <c r="CC2228" s="120"/>
      <c r="CD2228" s="459"/>
      <c r="CE2228" s="120"/>
      <c r="CF2228" s="440"/>
      <c r="DA2228" s="114" t="str">
        <f>$DB$72</f>
        <v>Select Equipment</v>
      </c>
      <c r="DB2228" s="436"/>
      <c r="DC2228" s="120"/>
      <c r="DD2228" s="459"/>
      <c r="DE2228" s="120"/>
      <c r="DF2228" s="440"/>
      <c r="EA2228" s="114" t="str">
        <f>$EB$74</f>
        <v>Select Equipment</v>
      </c>
      <c r="EB2228" s="436"/>
      <c r="EC2228" s="120"/>
      <c r="ED2228" s="459"/>
      <c r="EE2228" s="120"/>
      <c r="EF2228" s="440"/>
    </row>
    <row r="2229" spans="53:136">
      <c r="BA2229" s="114" t="str">
        <f>$BB$73</f>
        <v>Select Equipment</v>
      </c>
      <c r="BB2229" s="436" t="s">
        <v>7</v>
      </c>
      <c r="BC2229" s="120"/>
      <c r="BD2229" s="459" t="s">
        <v>564</v>
      </c>
      <c r="BE2229" s="120"/>
      <c r="BF2229" s="440"/>
      <c r="CA2229" s="114" t="str">
        <f>$CB$73</f>
        <v>Select Equipment</v>
      </c>
      <c r="CB2229" s="436" t="s">
        <v>7</v>
      </c>
      <c r="CC2229" s="120"/>
      <c r="CD2229" s="459" t="s">
        <v>564</v>
      </c>
      <c r="CE2229" s="120"/>
      <c r="CF2229" s="440"/>
      <c r="DA2229" s="114" t="str">
        <f>$DB$73</f>
        <v>Select Equipment</v>
      </c>
      <c r="DB2229" s="436" t="s">
        <v>7</v>
      </c>
      <c r="DC2229" s="120"/>
      <c r="DD2229" s="459" t="s">
        <v>564</v>
      </c>
      <c r="DE2229" s="120"/>
      <c r="DF2229" s="440"/>
      <c r="EA2229" s="114" t="str">
        <f>$EB$75</f>
        <v>Select Equipment</v>
      </c>
      <c r="EB2229" s="436" t="s">
        <v>7</v>
      </c>
      <c r="EC2229" s="120"/>
      <c r="ED2229" s="459" t="s">
        <v>564</v>
      </c>
      <c r="EE2229" s="120"/>
      <c r="EF2229" s="440"/>
    </row>
    <row r="2230" spans="53:136">
      <c r="BA2230" s="114" t="str">
        <f>$BB$74</f>
        <v>Select Equipment</v>
      </c>
      <c r="BB2230" s="436"/>
      <c r="BC2230" s="120"/>
      <c r="BD2230" s="459"/>
      <c r="BE2230" s="120"/>
      <c r="BF2230" s="440"/>
      <c r="CA2230" s="114" t="str">
        <f>$CB$74</f>
        <v>Select Equipment</v>
      </c>
      <c r="CB2230" s="436"/>
      <c r="CC2230" s="120"/>
      <c r="CD2230" s="459"/>
      <c r="CE2230" s="120"/>
      <c r="CF2230" s="440"/>
      <c r="DA2230" s="114" t="str">
        <f>$DB$74</f>
        <v>Select Equipment</v>
      </c>
      <c r="DB2230" s="436"/>
      <c r="DC2230" s="120"/>
      <c r="DD2230" s="459"/>
      <c r="DE2230" s="120"/>
      <c r="DF2230" s="440"/>
      <c r="EA2230" s="114" t="str">
        <f>$EB$76</f>
        <v>Select Equipment</v>
      </c>
      <c r="EB2230" s="436"/>
      <c r="EC2230" s="120"/>
      <c r="ED2230" s="459"/>
      <c r="EE2230" s="120"/>
      <c r="EF2230" s="440"/>
    </row>
    <row r="2231" spans="53:136">
      <c r="BA2231" s="114" t="str">
        <f>$BB$75</f>
        <v>Select Equipment</v>
      </c>
      <c r="BB2231" s="436" t="s">
        <v>9</v>
      </c>
      <c r="BC2231" s="120"/>
      <c r="BD2231" s="459" t="s">
        <v>564</v>
      </c>
      <c r="BE2231" s="120"/>
      <c r="BF2231" s="440"/>
      <c r="CA2231" s="114" t="str">
        <f>$CB$75</f>
        <v>Select Equipment</v>
      </c>
      <c r="CB2231" s="436" t="s">
        <v>9</v>
      </c>
      <c r="CC2231" s="120"/>
      <c r="CD2231" s="459" t="s">
        <v>564</v>
      </c>
      <c r="CE2231" s="120"/>
      <c r="CF2231" s="440"/>
      <c r="DA2231" s="114" t="str">
        <f>$DB$75</f>
        <v>Select Equipment</v>
      </c>
      <c r="DB2231" s="436" t="s">
        <v>9</v>
      </c>
      <c r="DC2231" s="120"/>
      <c r="DD2231" s="459" t="s">
        <v>564</v>
      </c>
      <c r="DE2231" s="120"/>
      <c r="DF2231" s="440"/>
      <c r="EA2231" s="114" t="str">
        <f>$EB$77</f>
        <v>Select Equipment</v>
      </c>
      <c r="EB2231" s="436" t="s">
        <v>9</v>
      </c>
      <c r="EC2231" s="120"/>
      <c r="ED2231" s="459" t="s">
        <v>564</v>
      </c>
      <c r="EE2231" s="120"/>
      <c r="EF2231" s="440"/>
    </row>
    <row r="2232" spans="53:136">
      <c r="BA2232" s="114" t="str">
        <f>$BB$76</f>
        <v>Select Equipment</v>
      </c>
      <c r="BB2232" s="436"/>
      <c r="BC2232" s="120"/>
      <c r="BD2232" s="459"/>
      <c r="BE2232" s="120"/>
      <c r="BF2232" s="440"/>
      <c r="CA2232" s="114" t="str">
        <f>$CB$76</f>
        <v>Select Equipment</v>
      </c>
      <c r="CB2232" s="436"/>
      <c r="CC2232" s="120"/>
      <c r="CD2232" s="459"/>
      <c r="CE2232" s="120"/>
      <c r="CF2232" s="440"/>
      <c r="DA2232" s="114" t="str">
        <f>$DB$76</f>
        <v>Select Equipment</v>
      </c>
      <c r="DB2232" s="436"/>
      <c r="DC2232" s="120"/>
      <c r="DD2232" s="459"/>
      <c r="DE2232" s="120"/>
      <c r="DF2232" s="440"/>
      <c r="EA2232" s="114" t="str">
        <f>$EB$78</f>
        <v>Select Equipment</v>
      </c>
      <c r="EB2232" s="436"/>
      <c r="EC2232" s="120"/>
      <c r="ED2232" s="459"/>
      <c r="EE2232" s="120"/>
      <c r="EF2232" s="440"/>
    </row>
    <row r="2233" spans="53:136">
      <c r="BA2233" s="114" t="str">
        <f>$BB$77</f>
        <v>Select Equipment</v>
      </c>
      <c r="BB2233" s="436" t="s">
        <v>324</v>
      </c>
      <c r="BC2233" s="120"/>
      <c r="BD2233" s="459" t="s">
        <v>564</v>
      </c>
      <c r="BE2233" s="120"/>
      <c r="BF2233" s="440" t="s">
        <v>569</v>
      </c>
      <c r="CA2233" s="114" t="str">
        <f>$CB$77</f>
        <v>Select Equipment</v>
      </c>
      <c r="CB2233" s="436" t="s">
        <v>324</v>
      </c>
      <c r="CC2233" s="120"/>
      <c r="CD2233" s="459" t="s">
        <v>564</v>
      </c>
      <c r="CE2233" s="120"/>
      <c r="CF2233" s="440" t="s">
        <v>569</v>
      </c>
      <c r="DA2233" s="114" t="str">
        <f>$DB$77</f>
        <v>Select Equipment</v>
      </c>
      <c r="DB2233" s="436" t="s">
        <v>324</v>
      </c>
      <c r="DC2233" s="120"/>
      <c r="DD2233" s="459" t="s">
        <v>564</v>
      </c>
      <c r="DE2233" s="120"/>
      <c r="DF2233" s="440" t="s">
        <v>569</v>
      </c>
      <c r="EA2233" s="114" t="str">
        <f>$EB$79</f>
        <v>Select Equipment</v>
      </c>
      <c r="EB2233" s="436" t="s">
        <v>324</v>
      </c>
      <c r="EC2233" s="120"/>
      <c r="ED2233" s="459" t="s">
        <v>564</v>
      </c>
      <c r="EE2233" s="120"/>
      <c r="EF2233" s="440" t="s">
        <v>569</v>
      </c>
    </row>
    <row r="2234" spans="53:136">
      <c r="BA2234" s="114" t="str">
        <f>$BB$78</f>
        <v>Select Equipment</v>
      </c>
      <c r="BB2234" s="436"/>
      <c r="BC2234" s="120"/>
      <c r="BD2234" s="468"/>
      <c r="BE2234" s="469"/>
      <c r="BF2234" s="440"/>
      <c r="CA2234" s="114" t="str">
        <f>$CB$78</f>
        <v>Select Equipment</v>
      </c>
      <c r="CB2234" s="436"/>
      <c r="CC2234" s="120"/>
      <c r="CD2234" s="468"/>
      <c r="CE2234" s="469"/>
      <c r="CF2234" s="440"/>
      <c r="DA2234" s="114" t="str">
        <f>$DB$78</f>
        <v>Select Equipment</v>
      </c>
      <c r="DB2234" s="436"/>
      <c r="DC2234" s="120"/>
      <c r="DD2234" s="468"/>
      <c r="DE2234" s="469"/>
      <c r="DF2234" s="440"/>
      <c r="EA2234" s="114" t="str">
        <f>$EB$80</f>
        <v>Select Equipment</v>
      </c>
      <c r="EB2234" s="436"/>
      <c r="EC2234" s="120"/>
      <c r="ED2234" s="468"/>
      <c r="EE2234" s="469"/>
      <c r="EF2234" s="440"/>
    </row>
    <row r="2235" spans="53:136">
      <c r="BA2235" s="114" t="str">
        <f>$BB$79</f>
        <v>Select Equipment</v>
      </c>
      <c r="BB2235" s="436" t="s">
        <v>374</v>
      </c>
      <c r="BC2235" s="120"/>
      <c r="BD2235" s="459" t="s">
        <v>564</v>
      </c>
      <c r="BE2235" s="469"/>
      <c r="BF2235" s="440" t="s">
        <v>569</v>
      </c>
      <c r="CA2235" s="114" t="str">
        <f>$CB$79</f>
        <v>Select Equipment</v>
      </c>
      <c r="CB2235" s="436" t="s">
        <v>374</v>
      </c>
      <c r="CC2235" s="120"/>
      <c r="CD2235" s="459" t="s">
        <v>564</v>
      </c>
      <c r="CE2235" s="469"/>
      <c r="CF2235" s="440" t="s">
        <v>569</v>
      </c>
      <c r="DA2235" s="114" t="str">
        <f>$DB$79</f>
        <v>Select Equipment</v>
      </c>
      <c r="DB2235" s="436" t="s">
        <v>374</v>
      </c>
      <c r="DC2235" s="120"/>
      <c r="DD2235" s="459" t="s">
        <v>564</v>
      </c>
      <c r="DE2235" s="469"/>
      <c r="DF2235" s="440" t="s">
        <v>569</v>
      </c>
      <c r="EA2235" s="114" t="str">
        <f>$EB$81</f>
        <v>Select Equipment</v>
      </c>
      <c r="EB2235" s="436" t="s">
        <v>374</v>
      </c>
      <c r="EC2235" s="120"/>
      <c r="ED2235" s="459" t="s">
        <v>564</v>
      </c>
      <c r="EE2235" s="469"/>
      <c r="EF2235" s="440" t="s">
        <v>569</v>
      </c>
    </row>
    <row r="2236" spans="53:136">
      <c r="BA2236" s="114" t="str">
        <f>$BB$80</f>
        <v>Select Equipment</v>
      </c>
      <c r="BB2236" s="436"/>
      <c r="BC2236" s="120"/>
      <c r="BD2236" s="472"/>
      <c r="BE2236" s="473"/>
      <c r="BF2236" s="440"/>
      <c r="CA2236" s="114" t="str">
        <f>$CB$80</f>
        <v>Select Equipment</v>
      </c>
      <c r="CB2236" s="436"/>
      <c r="CC2236" s="120"/>
      <c r="CD2236" s="472"/>
      <c r="CE2236" s="473"/>
      <c r="CF2236" s="440"/>
      <c r="DA2236" s="114" t="str">
        <f>$DB$80</f>
        <v>Select Equipment</v>
      </c>
      <c r="DB2236" s="436"/>
      <c r="DC2236" s="120"/>
      <c r="DD2236" s="472"/>
      <c r="DE2236" s="473"/>
      <c r="DF2236" s="440"/>
      <c r="EA2236" s="114" t="str">
        <f>$EB$82</f>
        <v>Select Equipment</v>
      </c>
      <c r="EB2236" s="436"/>
      <c r="EC2236" s="120"/>
      <c r="ED2236" s="472"/>
      <c r="EE2236" s="473"/>
      <c r="EF2236" s="440"/>
    </row>
    <row r="2237" spans="53:136">
      <c r="BA2237" s="114" t="str">
        <f>$BB$81</f>
        <v>Select Equipment</v>
      </c>
      <c r="BB2237" s="436" t="s">
        <v>580</v>
      </c>
      <c r="BC2237" s="120"/>
      <c r="BD2237" s="459" t="s">
        <v>564</v>
      </c>
      <c r="BE2237" s="473"/>
      <c r="BF2237" s="440" t="s">
        <v>569</v>
      </c>
      <c r="CA2237" s="114" t="str">
        <f>$CB$81</f>
        <v>Select Equipment</v>
      </c>
      <c r="CB2237" s="436" t="s">
        <v>580</v>
      </c>
      <c r="CC2237" s="120"/>
      <c r="CD2237" s="459" t="s">
        <v>564</v>
      </c>
      <c r="CE2237" s="473"/>
      <c r="CF2237" s="440" t="s">
        <v>569</v>
      </c>
      <c r="DA2237" s="114" t="str">
        <f>$DB$81</f>
        <v>Select Equipment</v>
      </c>
      <c r="DB2237" s="436" t="s">
        <v>580</v>
      </c>
      <c r="DC2237" s="120"/>
      <c r="DD2237" s="459" t="s">
        <v>564</v>
      </c>
      <c r="DE2237" s="473"/>
      <c r="DF2237" s="440" t="s">
        <v>569</v>
      </c>
      <c r="EA2237" s="114" t="str">
        <f>$EB$83</f>
        <v>Select Equipment</v>
      </c>
      <c r="EB2237" s="436" t="s">
        <v>580</v>
      </c>
      <c r="EC2237" s="120"/>
      <c r="ED2237" s="459" t="s">
        <v>564</v>
      </c>
      <c r="EE2237" s="473"/>
      <c r="EF2237" s="440" t="s">
        <v>569</v>
      </c>
    </row>
    <row r="2238" spans="53:136">
      <c r="BA2238" s="114" t="str">
        <f>$BB$82</f>
        <v>Select Equipment</v>
      </c>
      <c r="BB2238" s="476"/>
      <c r="BC2238" s="477"/>
      <c r="BD2238" s="478"/>
      <c r="BE2238" s="479"/>
      <c r="BF2238" s="458"/>
      <c r="CA2238" s="114" t="str">
        <f>$CB$82</f>
        <v>Select Equipment</v>
      </c>
      <c r="CB2238" s="476"/>
      <c r="CC2238" s="477"/>
      <c r="CD2238" s="478"/>
      <c r="CE2238" s="479"/>
      <c r="CF2238" s="458"/>
      <c r="DA2238" s="114" t="str">
        <f>$DB$82</f>
        <v>Select Equipment</v>
      </c>
      <c r="DB2238" s="476"/>
      <c r="DC2238" s="477"/>
      <c r="DD2238" s="478"/>
      <c r="DE2238" s="479"/>
      <c r="DF2238" s="458"/>
      <c r="EA2238" s="114" t="str">
        <f>$EB$84</f>
        <v>Select Equipment</v>
      </c>
      <c r="EB2238" s="476"/>
      <c r="EC2238" s="477"/>
      <c r="ED2238" s="478"/>
      <c r="EE2238" s="479"/>
      <c r="EF2238" s="458"/>
    </row>
    <row r="2239" spans="53:136">
      <c r="BA2239" s="114" t="str">
        <f>$BB$83</f>
        <v>Select Equipment</v>
      </c>
      <c r="BB2239" s="449" t="s">
        <v>473</v>
      </c>
      <c r="BC2239" s="467" t="s">
        <v>508</v>
      </c>
      <c r="BD2239" s="480"/>
      <c r="BE2239" s="481" t="s">
        <v>308</v>
      </c>
      <c r="BF2239" s="440"/>
      <c r="CA2239" s="114" t="str">
        <f>$CB$83</f>
        <v>Select Equipment</v>
      </c>
      <c r="CB2239" s="449" t="s">
        <v>473</v>
      </c>
      <c r="CC2239" s="467" t="s">
        <v>508</v>
      </c>
      <c r="CD2239" s="480"/>
      <c r="CE2239" s="481" t="s">
        <v>308</v>
      </c>
      <c r="CF2239" s="440"/>
      <c r="DA2239" s="114" t="str">
        <f>$DB$83</f>
        <v>Select Equipment</v>
      </c>
      <c r="DB2239" s="449" t="s">
        <v>473</v>
      </c>
      <c r="DC2239" s="467" t="s">
        <v>508</v>
      </c>
      <c r="DD2239" s="480"/>
      <c r="DE2239" s="481" t="s">
        <v>308</v>
      </c>
      <c r="DF2239" s="440"/>
      <c r="EA2239" s="114" t="str">
        <f>$EB$85</f>
        <v>Select Equipment</v>
      </c>
      <c r="EB2239" s="449" t="s">
        <v>473</v>
      </c>
      <c r="EC2239" s="467" t="s">
        <v>508</v>
      </c>
      <c r="ED2239" s="480"/>
      <c r="EE2239" s="481" t="s">
        <v>308</v>
      </c>
      <c r="EF2239" s="440"/>
    </row>
    <row r="2240" spans="53:136">
      <c r="BB2240" s="436"/>
      <c r="BC2240" s="483"/>
      <c r="BD2240" s="480"/>
      <c r="BE2240" s="484"/>
      <c r="BF2240" s="440"/>
      <c r="CB2240" s="436"/>
      <c r="CC2240" s="483"/>
      <c r="CD2240" s="480"/>
      <c r="CE2240" s="484"/>
      <c r="CF2240" s="440"/>
      <c r="DB2240" s="436"/>
      <c r="DC2240" s="483"/>
      <c r="DD2240" s="480"/>
      <c r="DE2240" s="484"/>
      <c r="DF2240" s="440"/>
      <c r="EB2240" s="436"/>
      <c r="EC2240" s="483"/>
      <c r="ED2240" s="480"/>
      <c r="EE2240" s="484"/>
      <c r="EF2240" s="440"/>
    </row>
    <row r="2241" spans="54:136">
      <c r="BB2241" s="436"/>
      <c r="BC2241" s="120"/>
      <c r="BD2241" s="223"/>
      <c r="BE2241" s="467"/>
      <c r="BF2241" s="440"/>
      <c r="CB2241" s="436"/>
      <c r="CC2241" s="120"/>
      <c r="CD2241" s="223"/>
      <c r="CE2241" s="467"/>
      <c r="CF2241" s="440"/>
      <c r="DB2241" s="436"/>
      <c r="DC2241" s="120"/>
      <c r="DD2241" s="223"/>
      <c r="DE2241" s="467"/>
      <c r="DF2241" s="440"/>
      <c r="EB2241" s="436"/>
      <c r="EC2241" s="120"/>
      <c r="ED2241" s="223"/>
      <c r="EE2241" s="467"/>
      <c r="EF2241" s="440"/>
    </row>
    <row r="2242" spans="54:136">
      <c r="BB2242" s="436"/>
      <c r="BC2242" s="120"/>
      <c r="BD2242" s="466"/>
      <c r="BE2242" s="467"/>
      <c r="BF2242" s="440"/>
      <c r="CB2242" s="436"/>
      <c r="CC2242" s="120"/>
      <c r="CD2242" s="466"/>
      <c r="CE2242" s="467"/>
      <c r="CF2242" s="440"/>
      <c r="DB2242" s="436"/>
      <c r="DC2242" s="120"/>
      <c r="DD2242" s="466"/>
      <c r="DE2242" s="467"/>
      <c r="DF2242" s="440"/>
      <c r="EB2242" s="436"/>
      <c r="EC2242" s="120"/>
      <c r="ED2242" s="466"/>
      <c r="EE2242" s="467"/>
      <c r="EF2242" s="440"/>
    </row>
    <row r="2243" spans="54:136">
      <c r="BB2243" s="436"/>
      <c r="BC2243" s="120"/>
      <c r="BD2243" s="223"/>
      <c r="BE2243" s="467"/>
      <c r="BF2243" s="440"/>
      <c r="CB2243" s="436"/>
      <c r="CC2243" s="120"/>
      <c r="CD2243" s="223"/>
      <c r="CE2243" s="467"/>
      <c r="CF2243" s="440"/>
      <c r="DB2243" s="436"/>
      <c r="DC2243" s="120"/>
      <c r="DD2243" s="223"/>
      <c r="DE2243" s="467"/>
      <c r="DF2243" s="440"/>
      <c r="EB2243" s="436"/>
      <c r="EC2243" s="120"/>
      <c r="ED2243" s="223"/>
      <c r="EE2243" s="467"/>
      <c r="EF2243" s="440"/>
    </row>
    <row r="2244" spans="54:136">
      <c r="BB2244" s="436"/>
      <c r="BC2244" s="120"/>
      <c r="BD2244" s="223"/>
      <c r="BE2244" s="467"/>
      <c r="BF2244" s="440"/>
      <c r="CB2244" s="436"/>
      <c r="CC2244" s="120"/>
      <c r="CD2244" s="223"/>
      <c r="CE2244" s="467"/>
      <c r="CF2244" s="440"/>
      <c r="DB2244" s="436"/>
      <c r="DC2244" s="120"/>
      <c r="DD2244" s="223"/>
      <c r="DE2244" s="467"/>
      <c r="DF2244" s="440"/>
      <c r="EB2244" s="436"/>
      <c r="EC2244" s="120"/>
      <c r="ED2244" s="223"/>
      <c r="EE2244" s="467"/>
      <c r="EF2244" s="440"/>
    </row>
    <row r="2245" spans="54:136">
      <c r="BB2245" s="436"/>
      <c r="BC2245" s="120"/>
      <c r="BD2245" s="471"/>
      <c r="BE2245" s="467"/>
      <c r="BF2245" s="440"/>
      <c r="CB2245" s="436"/>
      <c r="CC2245" s="120"/>
      <c r="CD2245" s="471"/>
      <c r="CE2245" s="467"/>
      <c r="CF2245" s="440"/>
      <c r="DB2245" s="436"/>
      <c r="DC2245" s="120"/>
      <c r="DD2245" s="471"/>
      <c r="DE2245" s="467"/>
      <c r="DF2245" s="440"/>
      <c r="EB2245" s="436"/>
      <c r="EC2245" s="120"/>
      <c r="ED2245" s="471"/>
      <c r="EE2245" s="467"/>
      <c r="EF2245" s="440"/>
    </row>
    <row r="2246" spans="54:136">
      <c r="BB2246" s="436"/>
      <c r="BC2246" s="120"/>
      <c r="BD2246" s="223"/>
      <c r="BE2246" s="467"/>
      <c r="BF2246" s="440"/>
      <c r="CB2246" s="436"/>
      <c r="CC2246" s="120"/>
      <c r="CD2246" s="223"/>
      <c r="CE2246" s="467"/>
      <c r="CF2246" s="440"/>
      <c r="DB2246" s="436"/>
      <c r="DC2246" s="120"/>
      <c r="DD2246" s="223"/>
      <c r="DE2246" s="467"/>
      <c r="DF2246" s="440"/>
      <c r="EB2246" s="436"/>
      <c r="EC2246" s="120"/>
      <c r="ED2246" s="223"/>
      <c r="EE2246" s="467"/>
      <c r="EF2246" s="440"/>
    </row>
    <row r="2247" spans="54:136">
      <c r="BB2247" s="436"/>
      <c r="BC2247" s="120"/>
      <c r="BD2247" s="475"/>
      <c r="BE2247" s="467"/>
      <c r="BF2247" s="440"/>
      <c r="CB2247" s="436"/>
      <c r="CC2247" s="120"/>
      <c r="CD2247" s="475"/>
      <c r="CE2247" s="467"/>
      <c r="CF2247" s="440"/>
      <c r="DB2247" s="436"/>
      <c r="DC2247" s="120"/>
      <c r="DD2247" s="475"/>
      <c r="DE2247" s="467"/>
      <c r="DF2247" s="440"/>
      <c r="EB2247" s="436"/>
      <c r="EC2247" s="120"/>
      <c r="ED2247" s="475"/>
      <c r="EE2247" s="467"/>
      <c r="EF2247" s="440"/>
    </row>
    <row r="2248" spans="54:136">
      <c r="BB2248" s="436"/>
      <c r="BC2248" s="120"/>
      <c r="BD2248" s="223"/>
      <c r="BE2248" s="467"/>
      <c r="BF2248" s="440"/>
      <c r="CB2248" s="436"/>
      <c r="CC2248" s="120"/>
      <c r="CD2248" s="223"/>
      <c r="CE2248" s="467"/>
      <c r="CF2248" s="440"/>
      <c r="DB2248" s="436"/>
      <c r="DC2248" s="120"/>
      <c r="DD2248" s="223"/>
      <c r="DE2248" s="467"/>
      <c r="DF2248" s="440"/>
      <c r="EB2248" s="436"/>
      <c r="EC2248" s="120"/>
      <c r="ED2248" s="223"/>
      <c r="EE2248" s="467"/>
      <c r="EF2248" s="440"/>
    </row>
    <row r="2249" spans="54:136">
      <c r="BB2249" s="436"/>
      <c r="BC2249" s="120"/>
      <c r="BD2249" s="223"/>
      <c r="BE2249" s="467"/>
      <c r="BF2249" s="440"/>
      <c r="CB2249" s="436"/>
      <c r="CC2249" s="120"/>
      <c r="CD2249" s="223"/>
      <c r="CE2249" s="467"/>
      <c r="CF2249" s="440"/>
      <c r="DB2249" s="436"/>
      <c r="DC2249" s="120"/>
      <c r="DD2249" s="223"/>
      <c r="DE2249" s="467"/>
      <c r="DF2249" s="440"/>
      <c r="EB2249" s="436"/>
      <c r="EC2249" s="120"/>
      <c r="ED2249" s="223"/>
      <c r="EE2249" s="467"/>
      <c r="EF2249" s="440"/>
    </row>
    <row r="2250" spans="54:136">
      <c r="BB2250" s="436"/>
      <c r="BC2250" s="120"/>
      <c r="BD2250" s="223"/>
      <c r="BE2250" s="467"/>
      <c r="BF2250" s="440"/>
      <c r="CB2250" s="436"/>
      <c r="CC2250" s="120"/>
      <c r="CD2250" s="223"/>
      <c r="CE2250" s="467"/>
      <c r="CF2250" s="440"/>
      <c r="DB2250" s="436"/>
      <c r="DC2250" s="120"/>
      <c r="DD2250" s="223"/>
      <c r="DE2250" s="467"/>
      <c r="DF2250" s="440"/>
      <c r="EB2250" s="436"/>
      <c r="EC2250" s="120"/>
      <c r="ED2250" s="223"/>
      <c r="EE2250" s="467"/>
      <c r="EF2250" s="440"/>
    </row>
    <row r="2251" spans="54:136">
      <c r="BB2251" s="436"/>
      <c r="BC2251" s="120"/>
      <c r="BD2251" s="223"/>
      <c r="BE2251" s="467"/>
      <c r="BF2251" s="440"/>
      <c r="CB2251" s="436"/>
      <c r="CC2251" s="120"/>
      <c r="CD2251" s="223"/>
      <c r="CE2251" s="467"/>
      <c r="CF2251" s="440"/>
      <c r="DB2251" s="436"/>
      <c r="DC2251" s="120"/>
      <c r="DD2251" s="223"/>
      <c r="DE2251" s="467"/>
      <c r="DF2251" s="440"/>
      <c r="EB2251" s="436"/>
      <c r="EC2251" s="120"/>
      <c r="ED2251" s="223"/>
      <c r="EE2251" s="467"/>
      <c r="EF2251" s="440"/>
    </row>
    <row r="2252" spans="54:136">
      <c r="BB2252" s="436"/>
      <c r="BC2252" s="120"/>
      <c r="BD2252" s="120"/>
      <c r="BE2252" s="467"/>
      <c r="BF2252" s="440"/>
      <c r="CB2252" s="436"/>
      <c r="CC2252" s="120"/>
      <c r="CD2252" s="120"/>
      <c r="CE2252" s="467"/>
      <c r="CF2252" s="440"/>
      <c r="DB2252" s="436"/>
      <c r="DC2252" s="120"/>
      <c r="DD2252" s="120"/>
      <c r="DE2252" s="467"/>
      <c r="DF2252" s="440"/>
      <c r="EB2252" s="436"/>
      <c r="EC2252" s="120"/>
      <c r="ED2252" s="120"/>
      <c r="EE2252" s="467"/>
      <c r="EF2252" s="440"/>
    </row>
    <row r="2253" spans="54:136">
      <c r="BB2253" s="456"/>
      <c r="BC2253" s="457"/>
      <c r="BD2253" s="457"/>
      <c r="BE2253" s="477"/>
      <c r="BF2253" s="458"/>
      <c r="CB2253" s="456"/>
      <c r="CC2253" s="457"/>
      <c r="CD2253" s="457"/>
      <c r="CE2253" s="477"/>
      <c r="CF2253" s="458"/>
      <c r="DB2253" s="456"/>
      <c r="DC2253" s="457"/>
      <c r="DD2253" s="457"/>
      <c r="DE2253" s="477"/>
      <c r="DF2253" s="458"/>
      <c r="EB2253" s="456"/>
      <c r="EC2253" s="457"/>
      <c r="ED2253" s="457"/>
      <c r="EE2253" s="477"/>
      <c r="EF2253" s="458"/>
    </row>
    <row r="2254" spans="54:136">
      <c r="BB2254" s="449" t="s">
        <v>474</v>
      </c>
      <c r="BC2254" s="120"/>
      <c r="BD2254" s="120" t="s">
        <v>1</v>
      </c>
      <c r="BE2254" s="310" t="s">
        <v>307</v>
      </c>
      <c r="BF2254" s="440"/>
      <c r="CB2254" s="449" t="s">
        <v>474</v>
      </c>
      <c r="CC2254" s="120"/>
      <c r="CD2254" s="120" t="s">
        <v>1</v>
      </c>
      <c r="CE2254" s="310" t="s">
        <v>307</v>
      </c>
      <c r="CF2254" s="440"/>
      <c r="DB2254" s="449" t="s">
        <v>474</v>
      </c>
      <c r="DC2254" s="120"/>
      <c r="DD2254" s="120" t="s">
        <v>1</v>
      </c>
      <c r="DE2254" s="310" t="s">
        <v>307</v>
      </c>
      <c r="DF2254" s="440"/>
      <c r="EB2254" s="449" t="s">
        <v>474</v>
      </c>
      <c r="EC2254" s="120"/>
      <c r="ED2254" s="120" t="s">
        <v>1</v>
      </c>
      <c r="EE2254" s="310" t="s">
        <v>307</v>
      </c>
      <c r="EF2254" s="440"/>
    </row>
    <row r="2255" spans="54:136">
      <c r="BB2255" s="436"/>
      <c r="BC2255" s="223"/>
      <c r="BD2255" s="480"/>
      <c r="BE2255" s="484"/>
      <c r="BF2255" s="440"/>
      <c r="CB2255" s="436"/>
      <c r="CC2255" s="223"/>
      <c r="CD2255" s="480"/>
      <c r="CE2255" s="484"/>
      <c r="CF2255" s="440"/>
      <c r="DB2255" s="436"/>
      <c r="DC2255" s="223"/>
      <c r="DD2255" s="480"/>
      <c r="DE2255" s="484"/>
      <c r="DF2255" s="440"/>
      <c r="EB2255" s="436"/>
      <c r="EC2255" s="223"/>
      <c r="ED2255" s="480"/>
      <c r="EE2255" s="484"/>
      <c r="EF2255" s="440"/>
    </row>
    <row r="2256" spans="54:136">
      <c r="BB2256" s="436"/>
      <c r="BC2256" s="120"/>
      <c r="BD2256" s="120"/>
      <c r="BE2256" s="467"/>
      <c r="BF2256" s="440"/>
      <c r="CB2256" s="436"/>
      <c r="CC2256" s="120"/>
      <c r="CD2256" s="120"/>
      <c r="CE2256" s="467"/>
      <c r="CF2256" s="440"/>
      <c r="DB2256" s="436"/>
      <c r="DC2256" s="120"/>
      <c r="DD2256" s="120"/>
      <c r="DE2256" s="467"/>
      <c r="DF2256" s="440"/>
      <c r="EB2256" s="436"/>
      <c r="EC2256" s="120"/>
      <c r="ED2256" s="120"/>
      <c r="EE2256" s="467"/>
      <c r="EF2256" s="440"/>
    </row>
    <row r="2257" spans="54:136">
      <c r="BB2257" s="436"/>
      <c r="BC2257" s="120"/>
      <c r="BD2257" s="120"/>
      <c r="BE2257" s="467"/>
      <c r="BF2257" s="440"/>
      <c r="CB2257" s="436"/>
      <c r="CC2257" s="120"/>
      <c r="CD2257" s="120"/>
      <c r="CE2257" s="467"/>
      <c r="CF2257" s="440"/>
      <c r="DB2257" s="436"/>
      <c r="DC2257" s="120"/>
      <c r="DD2257" s="120"/>
      <c r="DE2257" s="467"/>
      <c r="DF2257" s="440"/>
      <c r="EB2257" s="436"/>
      <c r="EC2257" s="120"/>
      <c r="ED2257" s="120"/>
      <c r="EE2257" s="467"/>
      <c r="EF2257" s="440"/>
    </row>
    <row r="2258" spans="54:136">
      <c r="BB2258" s="436"/>
      <c r="BC2258" s="120"/>
      <c r="BD2258" s="120"/>
      <c r="BE2258" s="467"/>
      <c r="BF2258" s="440"/>
      <c r="CB2258" s="436"/>
      <c r="CC2258" s="120"/>
      <c r="CD2258" s="120"/>
      <c r="CE2258" s="467"/>
      <c r="CF2258" s="440"/>
      <c r="DB2258" s="436"/>
      <c r="DC2258" s="120"/>
      <c r="DD2258" s="120"/>
      <c r="DE2258" s="467"/>
      <c r="DF2258" s="440"/>
      <c r="EB2258" s="436"/>
      <c r="EC2258" s="120"/>
      <c r="ED2258" s="120"/>
      <c r="EE2258" s="467"/>
      <c r="EF2258" s="440"/>
    </row>
    <row r="2259" spans="54:136">
      <c r="BB2259" s="436"/>
      <c r="BC2259" s="120"/>
      <c r="BD2259" s="120"/>
      <c r="BE2259" s="467"/>
      <c r="BF2259" s="440"/>
      <c r="CB2259" s="436"/>
      <c r="CC2259" s="120"/>
      <c r="CD2259" s="120"/>
      <c r="CE2259" s="467"/>
      <c r="CF2259" s="440"/>
      <c r="DB2259" s="436"/>
      <c r="DC2259" s="120"/>
      <c r="DD2259" s="120"/>
      <c r="DE2259" s="467"/>
      <c r="DF2259" s="440"/>
      <c r="EB2259" s="436"/>
      <c r="EC2259" s="120"/>
      <c r="ED2259" s="120"/>
      <c r="EE2259" s="467"/>
      <c r="EF2259" s="440"/>
    </row>
    <row r="2260" spans="54:136">
      <c r="BB2260" s="436"/>
      <c r="BC2260" s="120"/>
      <c r="BD2260" s="120"/>
      <c r="BE2260" s="467"/>
      <c r="BF2260" s="440"/>
      <c r="CB2260" s="436"/>
      <c r="CC2260" s="120"/>
      <c r="CD2260" s="120"/>
      <c r="CE2260" s="467"/>
      <c r="CF2260" s="440"/>
      <c r="DB2260" s="436"/>
      <c r="DC2260" s="120"/>
      <c r="DD2260" s="120"/>
      <c r="DE2260" s="467"/>
      <c r="DF2260" s="440"/>
      <c r="EB2260" s="436"/>
      <c r="EC2260" s="120"/>
      <c r="ED2260" s="120"/>
      <c r="EE2260" s="467"/>
      <c r="EF2260" s="440"/>
    </row>
    <row r="2261" spans="54:136">
      <c r="BB2261" s="436"/>
      <c r="BC2261" s="120"/>
      <c r="BD2261" s="120"/>
      <c r="BE2261" s="467"/>
      <c r="BF2261" s="440"/>
      <c r="CB2261" s="436"/>
      <c r="CC2261" s="120"/>
      <c r="CD2261" s="120"/>
      <c r="CE2261" s="467"/>
      <c r="CF2261" s="440"/>
      <c r="DB2261" s="436"/>
      <c r="DC2261" s="120"/>
      <c r="DD2261" s="120"/>
      <c r="DE2261" s="467"/>
      <c r="DF2261" s="440"/>
      <c r="EB2261" s="436"/>
      <c r="EC2261" s="120"/>
      <c r="ED2261" s="120"/>
      <c r="EE2261" s="467"/>
      <c r="EF2261" s="440"/>
    </row>
    <row r="2262" spans="54:136">
      <c r="BB2262" s="436"/>
      <c r="BC2262" s="120"/>
      <c r="BD2262" s="120"/>
      <c r="BE2262" s="467"/>
      <c r="BF2262" s="440"/>
      <c r="CB2262" s="436"/>
      <c r="CC2262" s="120"/>
      <c r="CD2262" s="120"/>
      <c r="CE2262" s="467"/>
      <c r="CF2262" s="440"/>
      <c r="DB2262" s="436"/>
      <c r="DC2262" s="120"/>
      <c r="DD2262" s="120"/>
      <c r="DE2262" s="467"/>
      <c r="DF2262" s="440"/>
      <c r="EB2262" s="436"/>
      <c r="EC2262" s="120"/>
      <c r="ED2262" s="120"/>
      <c r="EE2262" s="467"/>
      <c r="EF2262" s="440"/>
    </row>
    <row r="2263" spans="54:136">
      <c r="BB2263" s="436"/>
      <c r="BC2263" s="120"/>
      <c r="BD2263" s="120"/>
      <c r="BE2263" s="467"/>
      <c r="BF2263" s="440"/>
      <c r="CB2263" s="436"/>
      <c r="CC2263" s="120"/>
      <c r="CD2263" s="120"/>
      <c r="CE2263" s="467"/>
      <c r="CF2263" s="440"/>
      <c r="DB2263" s="436"/>
      <c r="DC2263" s="120"/>
      <c r="DD2263" s="120"/>
      <c r="DE2263" s="467"/>
      <c r="DF2263" s="440"/>
      <c r="EB2263" s="436"/>
      <c r="EC2263" s="120"/>
      <c r="ED2263" s="120"/>
      <c r="EE2263" s="467"/>
      <c r="EF2263" s="440"/>
    </row>
    <row r="2264" spans="54:136">
      <c r="BB2264" s="436"/>
      <c r="BC2264" s="120"/>
      <c r="BD2264" s="120"/>
      <c r="BE2264" s="467"/>
      <c r="BF2264" s="440"/>
      <c r="CB2264" s="436"/>
      <c r="CC2264" s="120"/>
      <c r="CD2264" s="120"/>
      <c r="CE2264" s="467"/>
      <c r="CF2264" s="440"/>
      <c r="DB2264" s="436"/>
      <c r="DC2264" s="120"/>
      <c r="DD2264" s="120"/>
      <c r="DE2264" s="467"/>
      <c r="DF2264" s="440"/>
      <c r="EB2264" s="436"/>
      <c r="EC2264" s="120"/>
      <c r="ED2264" s="120"/>
      <c r="EE2264" s="467"/>
      <c r="EF2264" s="440"/>
    </row>
    <row r="2265" spans="54:136">
      <c r="BB2265" s="436"/>
      <c r="BC2265" s="120"/>
      <c r="BD2265" s="120"/>
      <c r="BE2265" s="467"/>
      <c r="BF2265" s="440"/>
      <c r="CB2265" s="436"/>
      <c r="CC2265" s="120"/>
      <c r="CD2265" s="120"/>
      <c r="CE2265" s="467"/>
      <c r="CF2265" s="440"/>
      <c r="DB2265" s="436"/>
      <c r="DC2265" s="120"/>
      <c r="DD2265" s="120"/>
      <c r="DE2265" s="467"/>
      <c r="DF2265" s="440"/>
      <c r="EB2265" s="436"/>
      <c r="EC2265" s="120"/>
      <c r="ED2265" s="120"/>
      <c r="EE2265" s="467"/>
      <c r="EF2265" s="440"/>
    </row>
    <row r="2266" spans="54:136">
      <c r="BB2266" s="436"/>
      <c r="BC2266" s="120"/>
      <c r="BD2266" s="120"/>
      <c r="BE2266" s="467"/>
      <c r="BF2266" s="440"/>
      <c r="CB2266" s="436"/>
      <c r="CC2266" s="120"/>
      <c r="CD2266" s="120"/>
      <c r="CE2266" s="467"/>
      <c r="CF2266" s="440"/>
      <c r="DB2266" s="436"/>
      <c r="DC2266" s="120"/>
      <c r="DD2266" s="120"/>
      <c r="DE2266" s="467"/>
      <c r="DF2266" s="440"/>
      <c r="EB2266" s="436"/>
      <c r="EC2266" s="120"/>
      <c r="ED2266" s="120"/>
      <c r="EE2266" s="467"/>
      <c r="EF2266" s="440"/>
    </row>
    <row r="2267" spans="54:136">
      <c r="BB2267" s="456"/>
      <c r="BC2267" s="457"/>
      <c r="BD2267" s="457"/>
      <c r="BE2267" s="477"/>
      <c r="BF2267" s="458"/>
      <c r="CB2267" s="456"/>
      <c r="CC2267" s="457"/>
      <c r="CD2267" s="457"/>
      <c r="CE2267" s="477"/>
      <c r="CF2267" s="458"/>
      <c r="DB2267" s="456"/>
      <c r="DC2267" s="457"/>
      <c r="DD2267" s="457"/>
      <c r="DE2267" s="477"/>
      <c r="DF2267" s="458"/>
      <c r="EB2267" s="456"/>
      <c r="EC2267" s="457"/>
      <c r="ED2267" s="457"/>
      <c r="EE2267" s="477"/>
      <c r="EF2267" s="458"/>
    </row>
    <row r="2268" spans="54:136">
      <c r="BB2268" s="456"/>
      <c r="BC2268" s="457"/>
      <c r="BD2268" s="457"/>
      <c r="BE2268" s="457"/>
      <c r="BF2268" s="458"/>
      <c r="CB2268" s="456"/>
      <c r="CC2268" s="457"/>
      <c r="CD2268" s="457"/>
      <c r="CE2268" s="457"/>
      <c r="CF2268" s="458"/>
      <c r="DB2268" s="456"/>
      <c r="DC2268" s="457"/>
      <c r="DD2268" s="457"/>
      <c r="DE2268" s="457"/>
      <c r="DF2268" s="458"/>
      <c r="EB2268" s="456"/>
      <c r="EC2268" s="457"/>
      <c r="ED2268" s="457"/>
      <c r="EE2268" s="457"/>
      <c r="EF2268" s="458"/>
    </row>
    <row r="2269" spans="54:136">
      <c r="BB2269" s="449" t="s">
        <v>475</v>
      </c>
      <c r="BC2269" s="120"/>
      <c r="BD2269" s="120"/>
      <c r="BE2269" s="120"/>
      <c r="BF2269" s="440"/>
      <c r="CB2269" s="449" t="s">
        <v>475</v>
      </c>
      <c r="CC2269" s="120"/>
      <c r="CD2269" s="120"/>
      <c r="CE2269" s="120"/>
      <c r="CF2269" s="440"/>
      <c r="DB2269" s="449" t="s">
        <v>475</v>
      </c>
      <c r="DC2269" s="120"/>
      <c r="DD2269" s="120"/>
      <c r="DE2269" s="120"/>
      <c r="DF2269" s="440"/>
      <c r="EB2269" s="449" t="s">
        <v>475</v>
      </c>
      <c r="EC2269" s="120"/>
      <c r="ED2269" s="120"/>
      <c r="EE2269" s="120"/>
      <c r="EF2269" s="440"/>
    </row>
    <row r="2270" spans="54:136">
      <c r="BB2270" s="436" t="s">
        <v>509</v>
      </c>
      <c r="BC2270" s="120"/>
      <c r="BD2270" s="120"/>
      <c r="BE2270" s="120"/>
      <c r="BF2270" s="440"/>
      <c r="CB2270" s="436" t="s">
        <v>509</v>
      </c>
      <c r="CC2270" s="120"/>
      <c r="CD2270" s="120"/>
      <c r="CE2270" s="120"/>
      <c r="CF2270" s="440"/>
      <c r="DB2270" s="436" t="s">
        <v>509</v>
      </c>
      <c r="DC2270" s="120"/>
      <c r="DD2270" s="120"/>
      <c r="DE2270" s="120"/>
      <c r="DF2270" s="440"/>
      <c r="EB2270" s="436" t="s">
        <v>509</v>
      </c>
      <c r="EC2270" s="120"/>
      <c r="ED2270" s="120"/>
      <c r="EE2270" s="120"/>
      <c r="EF2270" s="440"/>
    </row>
    <row r="2271" spans="54:136">
      <c r="BB2271" s="436" t="s">
        <v>510</v>
      </c>
      <c r="BC2271" s="120"/>
      <c r="BD2271" s="120"/>
      <c r="BE2271" s="120"/>
      <c r="BF2271" s="440"/>
      <c r="CB2271" s="436" t="s">
        <v>510</v>
      </c>
      <c r="CC2271" s="120"/>
      <c r="CD2271" s="120"/>
      <c r="CE2271" s="120"/>
      <c r="CF2271" s="440"/>
      <c r="DB2271" s="436" t="s">
        <v>510</v>
      </c>
      <c r="DC2271" s="120"/>
      <c r="DD2271" s="120"/>
      <c r="DE2271" s="120"/>
      <c r="DF2271" s="440"/>
      <c r="EB2271" s="436" t="s">
        <v>510</v>
      </c>
      <c r="EC2271" s="120"/>
      <c r="ED2271" s="120"/>
      <c r="EE2271" s="120"/>
      <c r="EF2271" s="440"/>
    </row>
    <row r="2272" spans="54:136">
      <c r="BB2272" s="436"/>
      <c r="BC2272" s="120"/>
      <c r="BD2272" s="120"/>
      <c r="BE2272" s="120"/>
      <c r="BF2272" s="440"/>
      <c r="CB2272" s="436"/>
      <c r="CC2272" s="120"/>
      <c r="CD2272" s="120"/>
      <c r="CE2272" s="120"/>
      <c r="CF2272" s="440"/>
      <c r="DB2272" s="436"/>
      <c r="DC2272" s="120"/>
      <c r="DD2272" s="120"/>
      <c r="DE2272" s="120"/>
      <c r="DF2272" s="440"/>
      <c r="EB2272" s="436"/>
      <c r="EC2272" s="120"/>
      <c r="ED2272" s="120"/>
      <c r="EE2272" s="120"/>
      <c r="EF2272" s="440"/>
    </row>
    <row r="2273" spans="54:136">
      <c r="BB2273" s="436"/>
      <c r="BC2273" s="120"/>
      <c r="BD2273" s="120"/>
      <c r="BE2273" s="120"/>
      <c r="BF2273" s="440"/>
      <c r="CB2273" s="436"/>
      <c r="CC2273" s="120"/>
      <c r="CD2273" s="120"/>
      <c r="CE2273" s="120"/>
      <c r="CF2273" s="440"/>
      <c r="DB2273" s="436"/>
      <c r="DC2273" s="120"/>
      <c r="DD2273" s="120"/>
      <c r="DE2273" s="120"/>
      <c r="DF2273" s="440"/>
      <c r="EB2273" s="436"/>
      <c r="EC2273" s="120"/>
      <c r="ED2273" s="120"/>
      <c r="EE2273" s="120"/>
      <c r="EF2273" s="440"/>
    </row>
    <row r="2274" spans="54:136">
      <c r="BB2274" s="436"/>
      <c r="BC2274" s="120"/>
      <c r="BD2274" s="120"/>
      <c r="BE2274" s="120"/>
      <c r="BF2274" s="440"/>
      <c r="CB2274" s="436"/>
      <c r="CC2274" s="120"/>
      <c r="CD2274" s="120"/>
      <c r="CE2274" s="120"/>
      <c r="CF2274" s="440"/>
      <c r="DB2274" s="436"/>
      <c r="DC2274" s="120"/>
      <c r="DD2274" s="120"/>
      <c r="DE2274" s="120"/>
      <c r="DF2274" s="440"/>
      <c r="EB2274" s="436"/>
      <c r="EC2274" s="120"/>
      <c r="ED2274" s="120"/>
      <c r="EE2274" s="120"/>
      <c r="EF2274" s="440"/>
    </row>
    <row r="2275" spans="54:136">
      <c r="BB2275" s="436"/>
      <c r="BC2275" s="120"/>
      <c r="BD2275" s="120"/>
      <c r="BE2275" s="120"/>
      <c r="BF2275" s="440"/>
      <c r="CB2275" s="436"/>
      <c r="CC2275" s="120"/>
      <c r="CD2275" s="120"/>
      <c r="CE2275" s="120"/>
      <c r="CF2275" s="440"/>
      <c r="DB2275" s="436"/>
      <c r="DC2275" s="120"/>
      <c r="DD2275" s="120"/>
      <c r="DE2275" s="120"/>
      <c r="DF2275" s="440"/>
      <c r="EB2275" s="436"/>
      <c r="EC2275" s="120"/>
      <c r="ED2275" s="120"/>
      <c r="EE2275" s="120"/>
      <c r="EF2275" s="440"/>
    </row>
    <row r="2276" spans="54:136">
      <c r="BB2276" s="436" t="s">
        <v>511</v>
      </c>
      <c r="BC2276" s="120">
        <v>0</v>
      </c>
      <c r="BD2276" s="120" t="s">
        <v>512</v>
      </c>
      <c r="BE2276" s="120"/>
      <c r="BF2276" s="440"/>
      <c r="CB2276" s="436" t="s">
        <v>511</v>
      </c>
      <c r="CC2276" s="120">
        <v>0</v>
      </c>
      <c r="CD2276" s="120" t="s">
        <v>512</v>
      </c>
      <c r="CE2276" s="120"/>
      <c r="CF2276" s="440"/>
      <c r="DB2276" s="436" t="s">
        <v>511</v>
      </c>
      <c r="DC2276" s="120">
        <v>0</v>
      </c>
      <c r="DD2276" s="120" t="s">
        <v>512</v>
      </c>
      <c r="DE2276" s="120"/>
      <c r="DF2276" s="440"/>
      <c r="EB2276" s="436" t="s">
        <v>511</v>
      </c>
      <c r="EC2276" s="120">
        <v>0</v>
      </c>
      <c r="ED2276" s="120" t="s">
        <v>512</v>
      </c>
      <c r="EE2276" s="120"/>
      <c r="EF2276" s="440"/>
    </row>
    <row r="2277" spans="54:136">
      <c r="BB2277" s="436" t="s">
        <v>513</v>
      </c>
      <c r="BC2277" s="120">
        <v>0</v>
      </c>
      <c r="BD2277" s="120" t="s">
        <v>512</v>
      </c>
      <c r="BE2277" s="120"/>
      <c r="BF2277" s="440"/>
      <c r="CB2277" s="436" t="s">
        <v>513</v>
      </c>
      <c r="CC2277" s="120">
        <v>0</v>
      </c>
      <c r="CD2277" s="120" t="s">
        <v>512</v>
      </c>
      <c r="CE2277" s="120"/>
      <c r="CF2277" s="440"/>
      <c r="DB2277" s="436" t="s">
        <v>513</v>
      </c>
      <c r="DC2277" s="120">
        <v>0</v>
      </c>
      <c r="DD2277" s="120" t="s">
        <v>512</v>
      </c>
      <c r="DE2277" s="120"/>
      <c r="DF2277" s="440"/>
      <c r="EB2277" s="436" t="s">
        <v>513</v>
      </c>
      <c r="EC2277" s="120">
        <v>0</v>
      </c>
      <c r="ED2277" s="120" t="s">
        <v>512</v>
      </c>
      <c r="EE2277" s="120"/>
      <c r="EF2277" s="440"/>
    </row>
    <row r="2278" spans="54:136">
      <c r="BB2278" s="456"/>
      <c r="BC2278" s="457"/>
      <c r="BD2278" s="457"/>
      <c r="BE2278" s="457"/>
      <c r="BF2278" s="458"/>
      <c r="CB2278" s="456"/>
      <c r="CC2278" s="457"/>
      <c r="CD2278" s="457"/>
      <c r="CE2278" s="457"/>
      <c r="CF2278" s="458"/>
      <c r="DB2278" s="456"/>
      <c r="DC2278" s="457"/>
      <c r="DD2278" s="457"/>
      <c r="DE2278" s="457"/>
      <c r="DF2278" s="458"/>
      <c r="EB2278" s="456"/>
      <c r="EC2278" s="457"/>
      <c r="ED2278" s="457"/>
      <c r="EE2278" s="457"/>
      <c r="EF2278" s="458"/>
    </row>
    <row r="2279" spans="54:136">
      <c r="BB2279" s="449" t="s">
        <v>461</v>
      </c>
      <c r="BC2279" s="120"/>
      <c r="BD2279" s="120"/>
      <c r="BE2279" s="120"/>
      <c r="BF2279" s="440"/>
      <c r="CB2279" s="449" t="s">
        <v>461</v>
      </c>
      <c r="CC2279" s="120"/>
      <c r="CD2279" s="120"/>
      <c r="CE2279" s="120"/>
      <c r="CF2279" s="440"/>
      <c r="DB2279" s="449" t="s">
        <v>461</v>
      </c>
      <c r="DC2279" s="120"/>
      <c r="DD2279" s="120"/>
      <c r="DE2279" s="120"/>
      <c r="DF2279" s="440"/>
      <c r="EB2279" s="449" t="s">
        <v>461</v>
      </c>
      <c r="EC2279" s="120"/>
      <c r="ED2279" s="120"/>
      <c r="EE2279" s="120"/>
      <c r="EF2279" s="440"/>
    </row>
    <row r="2280" spans="54:136">
      <c r="BB2280" s="436" t="s">
        <v>514</v>
      </c>
      <c r="BC2280" s="120">
        <f>VLOOKUP(BB2208,'Unit Ops'!$B$140:$K$209,10,FALSE)</f>
        <v>0</v>
      </c>
      <c r="BD2280" s="120" t="s">
        <v>515</v>
      </c>
      <c r="BE2280" s="120"/>
      <c r="BF2280" s="440"/>
      <c r="CB2280" s="436" t="s">
        <v>514</v>
      </c>
      <c r="CC2280" s="120">
        <f>VLOOKUP(CB2208,'Unit Ops'!$B$140:$K$209,10,FALSE)</f>
        <v>0</v>
      </c>
      <c r="CD2280" s="120" t="s">
        <v>515</v>
      </c>
      <c r="CE2280" s="120"/>
      <c r="CF2280" s="440"/>
      <c r="DB2280" s="436" t="s">
        <v>514</v>
      </c>
      <c r="DC2280" s="120">
        <f>VLOOKUP(DB2208,'Unit Ops'!$B$140:$K$209,10,FALSE)</f>
        <v>0</v>
      </c>
      <c r="DD2280" s="120" t="s">
        <v>515</v>
      </c>
      <c r="DE2280" s="120"/>
      <c r="DF2280" s="440"/>
      <c r="EB2280" s="436" t="s">
        <v>514</v>
      </c>
      <c r="EC2280" s="120">
        <f>VLOOKUP(EB2208,'Unit Ops'!$B$140:$K$209,10,FALSE)</f>
        <v>0</v>
      </c>
      <c r="ED2280" s="120" t="s">
        <v>515</v>
      </c>
      <c r="EE2280" s="120"/>
      <c r="EF2280" s="440"/>
    </row>
    <row r="2281" spans="54:136">
      <c r="BB2281" s="436" t="s">
        <v>516</v>
      </c>
      <c r="BC2281" s="120">
        <v>0</v>
      </c>
      <c r="BD2281" s="120" t="s">
        <v>515</v>
      </c>
      <c r="BE2281" s="120"/>
      <c r="BF2281" s="440"/>
      <c r="CB2281" s="436" t="s">
        <v>516</v>
      </c>
      <c r="CC2281" s="120">
        <v>0</v>
      </c>
      <c r="CD2281" s="120" t="s">
        <v>515</v>
      </c>
      <c r="CE2281" s="120"/>
      <c r="CF2281" s="440"/>
      <c r="DB2281" s="436" t="s">
        <v>516</v>
      </c>
      <c r="DC2281" s="120">
        <v>0</v>
      </c>
      <c r="DD2281" s="120" t="s">
        <v>515</v>
      </c>
      <c r="DE2281" s="120"/>
      <c r="DF2281" s="440"/>
      <c r="EB2281" s="436" t="s">
        <v>516</v>
      </c>
      <c r="EC2281" s="120">
        <v>0</v>
      </c>
      <c r="ED2281" s="120" t="s">
        <v>515</v>
      </c>
      <c r="EE2281" s="120"/>
      <c r="EF2281" s="440"/>
    </row>
    <row r="2282" spans="54:136">
      <c r="BB2282" s="436"/>
      <c r="BC2282" s="120"/>
      <c r="BD2282" s="120"/>
      <c r="BE2282" s="120"/>
      <c r="BF2282" s="440"/>
      <c r="CB2282" s="436"/>
      <c r="CC2282" s="120"/>
      <c r="CD2282" s="120"/>
      <c r="CE2282" s="120"/>
      <c r="CF2282" s="440"/>
      <c r="DB2282" s="436"/>
      <c r="DC2282" s="120"/>
      <c r="DD2282" s="120"/>
      <c r="DE2282" s="120"/>
      <c r="DF2282" s="440"/>
      <c r="EB2282" s="436"/>
      <c r="EC2282" s="120"/>
      <c r="ED2282" s="120"/>
      <c r="EE2282" s="120"/>
      <c r="EF2282" s="440"/>
    </row>
    <row r="2283" spans="54:136">
      <c r="BB2283" s="436"/>
      <c r="BC2283" s="120"/>
      <c r="BD2283" s="120"/>
      <c r="BE2283" s="120"/>
      <c r="BF2283" s="440"/>
      <c r="CB2283" s="436"/>
      <c r="CC2283" s="120"/>
      <c r="CD2283" s="120"/>
      <c r="CE2283" s="120"/>
      <c r="CF2283" s="440"/>
      <c r="DB2283" s="436"/>
      <c r="DC2283" s="120"/>
      <c r="DD2283" s="120"/>
      <c r="DE2283" s="120"/>
      <c r="DF2283" s="440"/>
      <c r="EB2283" s="436"/>
      <c r="EC2283" s="120"/>
      <c r="ED2283" s="120"/>
      <c r="EE2283" s="120"/>
      <c r="EF2283" s="440"/>
    </row>
    <row r="2284" spans="54:136">
      <c r="BB2284" s="436"/>
      <c r="BC2284" s="120"/>
      <c r="BD2284" s="120"/>
      <c r="BE2284" s="120"/>
      <c r="BF2284" s="440"/>
      <c r="CB2284" s="436"/>
      <c r="CC2284" s="120"/>
      <c r="CD2284" s="120"/>
      <c r="CE2284" s="120"/>
      <c r="CF2284" s="440"/>
      <c r="DB2284" s="436"/>
      <c r="DC2284" s="120"/>
      <c r="DD2284" s="120"/>
      <c r="DE2284" s="120"/>
      <c r="DF2284" s="440"/>
      <c r="EB2284" s="436"/>
      <c r="EC2284" s="120"/>
      <c r="ED2284" s="120"/>
      <c r="EE2284" s="120"/>
      <c r="EF2284" s="440"/>
    </row>
    <row r="2285" spans="54:136">
      <c r="BB2285" s="436"/>
      <c r="BC2285" s="120"/>
      <c r="BD2285" s="120"/>
      <c r="BE2285" s="120"/>
      <c r="BF2285" s="440"/>
      <c r="CB2285" s="436"/>
      <c r="CC2285" s="120"/>
      <c r="CD2285" s="120"/>
      <c r="CE2285" s="120"/>
      <c r="CF2285" s="440"/>
      <c r="DB2285" s="436"/>
      <c r="DC2285" s="120"/>
      <c r="DD2285" s="120"/>
      <c r="DE2285" s="120"/>
      <c r="DF2285" s="440"/>
      <c r="EB2285" s="436"/>
      <c r="EC2285" s="120"/>
      <c r="ED2285" s="120"/>
      <c r="EE2285" s="120"/>
      <c r="EF2285" s="440"/>
    </row>
    <row r="2286" spans="54:136">
      <c r="BB2286" s="436"/>
      <c r="BC2286" s="120"/>
      <c r="BD2286" s="120"/>
      <c r="BE2286" s="120"/>
      <c r="BF2286" s="440"/>
      <c r="CB2286" s="436"/>
      <c r="CC2286" s="120"/>
      <c r="CD2286" s="120"/>
      <c r="CE2286" s="120"/>
      <c r="CF2286" s="440"/>
      <c r="DB2286" s="436"/>
      <c r="DC2286" s="120"/>
      <c r="DD2286" s="120"/>
      <c r="DE2286" s="120"/>
      <c r="DF2286" s="440"/>
      <c r="EB2286" s="436"/>
      <c r="EC2286" s="120"/>
      <c r="ED2286" s="120"/>
      <c r="EE2286" s="120"/>
      <c r="EF2286" s="440"/>
    </row>
    <row r="2287" spans="54:136">
      <c r="BB2287" s="436" t="s">
        <v>464</v>
      </c>
      <c r="BC2287" s="120"/>
      <c r="BD2287" s="120"/>
      <c r="BE2287" s="120"/>
      <c r="BF2287" s="440"/>
      <c r="CB2287" s="436" t="s">
        <v>464</v>
      </c>
      <c r="CC2287" s="120"/>
      <c r="CD2287" s="120"/>
      <c r="CE2287" s="120"/>
      <c r="CF2287" s="440"/>
      <c r="DB2287" s="436" t="s">
        <v>464</v>
      </c>
      <c r="DC2287" s="120"/>
      <c r="DD2287" s="120"/>
      <c r="DE2287" s="120"/>
      <c r="DF2287" s="440"/>
      <c r="EB2287" s="436" t="s">
        <v>464</v>
      </c>
      <c r="EC2287" s="120"/>
      <c r="ED2287" s="120"/>
      <c r="EE2287" s="120"/>
      <c r="EF2287" s="440"/>
    </row>
    <row r="2288" spans="54:136">
      <c r="BB2288" s="456"/>
      <c r="BC2288" s="457"/>
      <c r="BD2288" s="457"/>
      <c r="BE2288" s="457"/>
      <c r="BF2288" s="458"/>
      <c r="CB2288" s="456"/>
      <c r="CC2288" s="457"/>
      <c r="CD2288" s="457"/>
      <c r="CE2288" s="457"/>
      <c r="CF2288" s="458"/>
      <c r="DB2288" s="456"/>
      <c r="DC2288" s="457"/>
      <c r="DD2288" s="457"/>
      <c r="DE2288" s="457"/>
      <c r="DF2288" s="458"/>
      <c r="EB2288" s="456"/>
      <c r="EC2288" s="457"/>
      <c r="ED2288" s="457"/>
      <c r="EE2288" s="457"/>
      <c r="EF2288" s="458"/>
    </row>
    <row r="2289" spans="54:136">
      <c r="BB2289" s="449" t="s">
        <v>472</v>
      </c>
      <c r="BC2289" s="467" t="s">
        <v>517</v>
      </c>
      <c r="BD2289" s="120" t="s">
        <v>518</v>
      </c>
      <c r="BE2289" s="467" t="s">
        <v>519</v>
      </c>
      <c r="BF2289" s="440" t="s">
        <v>518</v>
      </c>
      <c r="CB2289" s="449" t="s">
        <v>472</v>
      </c>
      <c r="CC2289" s="467" t="s">
        <v>517</v>
      </c>
      <c r="CD2289" s="120" t="s">
        <v>518</v>
      </c>
      <c r="CE2289" s="467" t="s">
        <v>519</v>
      </c>
      <c r="CF2289" s="440" t="s">
        <v>518</v>
      </c>
      <c r="DB2289" s="449" t="s">
        <v>472</v>
      </c>
      <c r="DC2289" s="467" t="s">
        <v>517</v>
      </c>
      <c r="DD2289" s="120" t="s">
        <v>518</v>
      </c>
      <c r="DE2289" s="467" t="s">
        <v>519</v>
      </c>
      <c r="DF2289" s="440" t="s">
        <v>518</v>
      </c>
      <c r="EB2289" s="449" t="s">
        <v>472</v>
      </c>
      <c r="EC2289" s="467" t="s">
        <v>517</v>
      </c>
      <c r="ED2289" s="120" t="s">
        <v>518</v>
      </c>
      <c r="EE2289" s="467" t="s">
        <v>519</v>
      </c>
      <c r="EF2289" s="440" t="s">
        <v>518</v>
      </c>
    </row>
    <row r="2290" spans="54:136">
      <c r="BB2290" s="436" t="s">
        <v>520</v>
      </c>
      <c r="BC2290" s="120"/>
      <c r="BD2290" s="120"/>
      <c r="BE2290" s="472">
        <f>((VLOOKUP(BB2208,'Unit Ops'!$B$140:$J$209,3,FALSE)*BC2210^VLOOKUP(BB2208,'Unit Ops'!$B$140:$J$209,4,FALSE)+VLOOKUP(BB2208,'Unit Ops'!$B$140:$J$209,5,FALSE))*VLOOKUP(BB2208,'Unit Ops'!$B$140:$J$209,6,FALSE))*IF(VLOOKUP(BB2208,'Unit Ops'!$B$140:$L$209,11,FALSE)=1,1,2)</f>
        <v>0</v>
      </c>
      <c r="BF2290" s="490">
        <f>$C$7</f>
        <v>2022</v>
      </c>
      <c r="CB2290" s="436" t="s">
        <v>520</v>
      </c>
      <c r="CC2290" s="120"/>
      <c r="CD2290" s="120"/>
      <c r="CE2290" s="472">
        <f>((VLOOKUP(CB2208,'Unit Ops'!$B$140:$J$209,3,FALSE)*CC2210^VLOOKUP(CB2208,'Unit Ops'!$B$140:$J$209,4,FALSE)+VLOOKUP(CB2208,'Unit Ops'!$B$140:$J$209,5,FALSE))*VLOOKUP(CB2208,'Unit Ops'!$B$140:$J$209,6,FALSE))*IF(VLOOKUP(CB2208,'Unit Ops'!$B$140:$L$209,11,FALSE)=1,1,2)</f>
        <v>0</v>
      </c>
      <c r="CF2290" s="490">
        <f>$C$7</f>
        <v>2022</v>
      </c>
      <c r="DB2290" s="436" t="s">
        <v>520</v>
      </c>
      <c r="DC2290" s="120"/>
      <c r="DD2290" s="120"/>
      <c r="DE2290" s="472">
        <f>((VLOOKUP(DB2208,'Unit Ops'!$B$140:$J$209,3,FALSE)*DC2210^VLOOKUP(DB2208,'Unit Ops'!$B$140:$J$209,4,FALSE)+VLOOKUP(DB2208,'Unit Ops'!$B$140:$J$209,5,FALSE))*VLOOKUP(DB2208,'Unit Ops'!$B$140:$J$209,6,FALSE))*IF(VLOOKUP(DB2208,'Unit Ops'!$B$140:$L$209,11,FALSE)=1,1,2)</f>
        <v>0</v>
      </c>
      <c r="DF2290" s="490">
        <f>$C$7</f>
        <v>2022</v>
      </c>
      <c r="EB2290" s="436" t="s">
        <v>520</v>
      </c>
      <c r="EC2290" s="120"/>
      <c r="ED2290" s="120"/>
      <c r="EE2290" s="472">
        <f>((VLOOKUP(EB2208,'Unit Ops'!$B$140:$J$209,3,FALSE)*EC2210^VLOOKUP(EB2208,'Unit Ops'!$B$140:$J$209,4,FALSE)+VLOOKUP(EB2208,'Unit Ops'!$B$140:$J$209,5,FALSE))*VLOOKUP(EB2208,'Unit Ops'!$B$140:$J$209,6,FALSE))*IF(VLOOKUP(EB2208,'Unit Ops'!$B$140:$L$209,11,FALSE)=1,1,2)</f>
        <v>0</v>
      </c>
      <c r="EF2290" s="490">
        <f>$C$7</f>
        <v>2022</v>
      </c>
    </row>
    <row r="2291" spans="54:136">
      <c r="BB2291" s="436"/>
      <c r="BC2291" s="120"/>
      <c r="BD2291" s="120"/>
      <c r="BE2291" s="120"/>
      <c r="BF2291" s="440"/>
      <c r="CB2291" s="436"/>
      <c r="CC2291" s="120"/>
      <c r="CD2291" s="120"/>
      <c r="CE2291" s="120"/>
      <c r="CF2291" s="440"/>
      <c r="DB2291" s="436"/>
      <c r="DC2291" s="120"/>
      <c r="DD2291" s="120"/>
      <c r="DE2291" s="120"/>
      <c r="DF2291" s="440"/>
      <c r="EB2291" s="436"/>
      <c r="EC2291" s="120"/>
      <c r="ED2291" s="120"/>
      <c r="EE2291" s="120"/>
      <c r="EF2291" s="440"/>
    </row>
    <row r="2292" spans="54:136">
      <c r="BB2292" s="436"/>
      <c r="BC2292" s="120"/>
      <c r="BD2292" s="120"/>
      <c r="BE2292" s="120"/>
      <c r="BF2292" s="440"/>
      <c r="CB2292" s="436"/>
      <c r="CC2292" s="120"/>
      <c r="CD2292" s="120"/>
      <c r="CE2292" s="120"/>
      <c r="CF2292" s="440"/>
      <c r="DB2292" s="436"/>
      <c r="DC2292" s="120"/>
      <c r="DD2292" s="120"/>
      <c r="DE2292" s="120"/>
      <c r="DF2292" s="440"/>
      <c r="EB2292" s="436"/>
      <c r="EC2292" s="120"/>
      <c r="ED2292" s="120"/>
      <c r="EE2292" s="120"/>
      <c r="EF2292" s="440"/>
    </row>
    <row r="2293" spans="54:136">
      <c r="BB2293" s="436"/>
      <c r="BC2293" s="120"/>
      <c r="BD2293" s="120"/>
      <c r="BE2293" s="120"/>
      <c r="BF2293" s="440"/>
      <c r="CB2293" s="436"/>
      <c r="CC2293" s="120"/>
      <c r="CD2293" s="120"/>
      <c r="CE2293" s="120"/>
      <c r="CF2293" s="440"/>
      <c r="DB2293" s="436"/>
      <c r="DC2293" s="120"/>
      <c r="DD2293" s="120"/>
      <c r="DE2293" s="120"/>
      <c r="DF2293" s="440"/>
      <c r="EB2293" s="436"/>
      <c r="EC2293" s="120"/>
      <c r="ED2293" s="120"/>
      <c r="EE2293" s="120"/>
      <c r="EF2293" s="440"/>
    </row>
    <row r="2294" spans="54:136">
      <c r="BB2294" s="436"/>
      <c r="BC2294" s="120"/>
      <c r="BD2294" s="120"/>
      <c r="BE2294" s="120"/>
      <c r="BF2294" s="440"/>
      <c r="CB2294" s="436"/>
      <c r="CC2294" s="120"/>
      <c r="CD2294" s="120"/>
      <c r="CE2294" s="120"/>
      <c r="CF2294" s="440"/>
      <c r="DB2294" s="436"/>
      <c r="DC2294" s="120"/>
      <c r="DD2294" s="120"/>
      <c r="DE2294" s="120"/>
      <c r="DF2294" s="440"/>
      <c r="EB2294" s="436"/>
      <c r="EC2294" s="120"/>
      <c r="ED2294" s="120"/>
      <c r="EE2294" s="120"/>
      <c r="EF2294" s="440"/>
    </row>
    <row r="2295" spans="54:136">
      <c r="BB2295" s="436"/>
      <c r="BC2295" s="120"/>
      <c r="BD2295" s="120"/>
      <c r="BE2295" s="120"/>
      <c r="BF2295" s="440"/>
      <c r="CB2295" s="436"/>
      <c r="CC2295" s="120"/>
      <c r="CD2295" s="120"/>
      <c r="CE2295" s="120"/>
      <c r="CF2295" s="440"/>
      <c r="DB2295" s="436"/>
      <c r="DC2295" s="120"/>
      <c r="DD2295" s="120"/>
      <c r="DE2295" s="120"/>
      <c r="DF2295" s="440"/>
      <c r="EB2295" s="436"/>
      <c r="EC2295" s="120"/>
      <c r="ED2295" s="120"/>
      <c r="EE2295" s="120"/>
      <c r="EF2295" s="440"/>
    </row>
    <row r="2296" spans="54:136">
      <c r="BB2296" s="436"/>
      <c r="BC2296" s="120"/>
      <c r="BD2296" s="120"/>
      <c r="BE2296" s="120"/>
      <c r="BF2296" s="440"/>
      <c r="CB2296" s="436"/>
      <c r="CC2296" s="120"/>
      <c r="CD2296" s="120"/>
      <c r="CE2296" s="120"/>
      <c r="CF2296" s="440"/>
      <c r="DB2296" s="436"/>
      <c r="DC2296" s="120"/>
      <c r="DD2296" s="120"/>
      <c r="DE2296" s="120"/>
      <c r="DF2296" s="440"/>
      <c r="EB2296" s="436"/>
      <c r="EC2296" s="120"/>
      <c r="ED2296" s="120"/>
      <c r="EE2296" s="120"/>
      <c r="EF2296" s="440"/>
    </row>
    <row r="2297" spans="54:136">
      <c r="BB2297" s="436"/>
      <c r="BC2297" s="120"/>
      <c r="BD2297" s="120"/>
      <c r="BE2297" s="120"/>
      <c r="BF2297" s="440"/>
      <c r="CB2297" s="436"/>
      <c r="CC2297" s="120"/>
      <c r="CD2297" s="120"/>
      <c r="CE2297" s="120"/>
      <c r="CF2297" s="440"/>
      <c r="DB2297" s="436"/>
      <c r="DC2297" s="120"/>
      <c r="DD2297" s="120"/>
      <c r="DE2297" s="120"/>
      <c r="DF2297" s="440"/>
      <c r="EB2297" s="436"/>
      <c r="EC2297" s="120"/>
      <c r="ED2297" s="120"/>
      <c r="EE2297" s="120"/>
      <c r="EF2297" s="440"/>
    </row>
    <row r="2298" spans="54:136">
      <c r="BB2298" s="436"/>
      <c r="BC2298" s="120"/>
      <c r="BD2298" s="120"/>
      <c r="BE2298" s="120"/>
      <c r="BF2298" s="440"/>
      <c r="CB2298" s="436"/>
      <c r="CC2298" s="120"/>
      <c r="CD2298" s="120"/>
      <c r="CE2298" s="120"/>
      <c r="CF2298" s="440"/>
      <c r="DB2298" s="436"/>
      <c r="DC2298" s="120"/>
      <c r="DD2298" s="120"/>
      <c r="DE2298" s="120"/>
      <c r="DF2298" s="440"/>
      <c r="EB2298" s="436"/>
      <c r="EC2298" s="120"/>
      <c r="ED2298" s="120"/>
      <c r="EE2298" s="120"/>
      <c r="EF2298" s="440"/>
    </row>
    <row r="2299" spans="54:136">
      <c r="BB2299" s="436"/>
      <c r="BC2299" s="120"/>
      <c r="BD2299" s="120"/>
      <c r="BE2299" s="120"/>
      <c r="BF2299" s="440"/>
      <c r="CB2299" s="436"/>
      <c r="CC2299" s="120"/>
      <c r="CD2299" s="120"/>
      <c r="CE2299" s="120"/>
      <c r="CF2299" s="440"/>
      <c r="DB2299" s="436"/>
      <c r="DC2299" s="120"/>
      <c r="DD2299" s="120"/>
      <c r="DE2299" s="120"/>
      <c r="DF2299" s="440"/>
      <c r="EB2299" s="436"/>
      <c r="EC2299" s="120"/>
      <c r="ED2299" s="120"/>
      <c r="EE2299" s="120"/>
      <c r="EF2299" s="440"/>
    </row>
    <row r="2300" spans="54:136">
      <c r="BB2300" s="436"/>
      <c r="BC2300" s="120"/>
      <c r="BD2300" s="120"/>
      <c r="BE2300" s="120"/>
      <c r="BF2300" s="440"/>
      <c r="CB2300" s="436"/>
      <c r="CC2300" s="120"/>
      <c r="CD2300" s="120"/>
      <c r="CE2300" s="120"/>
      <c r="CF2300" s="440"/>
      <c r="DB2300" s="436"/>
      <c r="DC2300" s="120"/>
      <c r="DD2300" s="120"/>
      <c r="DE2300" s="120"/>
      <c r="DF2300" s="440"/>
      <c r="EB2300" s="436"/>
      <c r="EC2300" s="120"/>
      <c r="ED2300" s="120"/>
      <c r="EE2300" s="120"/>
      <c r="EF2300" s="440"/>
    </row>
    <row r="2301" spans="54:136">
      <c r="BB2301" s="436"/>
      <c r="BC2301" s="120"/>
      <c r="BD2301" s="120"/>
      <c r="BE2301" s="120"/>
      <c r="BF2301" s="440"/>
      <c r="CB2301" s="436"/>
      <c r="CC2301" s="120"/>
      <c r="CD2301" s="120"/>
      <c r="CE2301" s="120"/>
      <c r="CF2301" s="440"/>
      <c r="DB2301" s="436"/>
      <c r="DC2301" s="120"/>
      <c r="DD2301" s="120"/>
      <c r="DE2301" s="120"/>
      <c r="DF2301" s="440"/>
      <c r="EB2301" s="436"/>
      <c r="EC2301" s="120"/>
      <c r="ED2301" s="120"/>
      <c r="EE2301" s="120"/>
      <c r="EF2301" s="440"/>
    </row>
    <row r="2302" spans="54:136">
      <c r="BB2302" s="436"/>
      <c r="BC2302" s="120"/>
      <c r="BD2302" s="120"/>
      <c r="BE2302" s="120"/>
      <c r="BF2302" s="440"/>
      <c r="CB2302" s="436"/>
      <c r="CC2302" s="120"/>
      <c r="CD2302" s="120"/>
      <c r="CE2302" s="120"/>
      <c r="CF2302" s="440"/>
      <c r="DB2302" s="436"/>
      <c r="DC2302" s="120"/>
      <c r="DD2302" s="120"/>
      <c r="DE2302" s="120"/>
      <c r="DF2302" s="440"/>
      <c r="EB2302" s="436"/>
      <c r="EC2302" s="120"/>
      <c r="ED2302" s="120"/>
      <c r="EE2302" s="120"/>
      <c r="EF2302" s="440"/>
    </row>
    <row r="2303" spans="54:136">
      <c r="BB2303" s="436"/>
      <c r="BC2303" s="120"/>
      <c r="BD2303" s="120"/>
      <c r="BE2303" s="120"/>
      <c r="BF2303" s="440"/>
      <c r="CB2303" s="436"/>
      <c r="CC2303" s="120"/>
      <c r="CD2303" s="120"/>
      <c r="CE2303" s="120"/>
      <c r="CF2303" s="440"/>
      <c r="DB2303" s="436"/>
      <c r="DC2303" s="120"/>
      <c r="DD2303" s="120"/>
      <c r="DE2303" s="120"/>
      <c r="DF2303" s="440"/>
      <c r="EB2303" s="436"/>
      <c r="EC2303" s="120"/>
      <c r="ED2303" s="120"/>
      <c r="EE2303" s="120"/>
      <c r="EF2303" s="440"/>
    </row>
    <row r="2304" spans="54:136" ht="14.5" thickBot="1">
      <c r="BB2304" s="492"/>
      <c r="BC2304" s="493"/>
      <c r="BD2304" s="493"/>
      <c r="BE2304" s="493"/>
      <c r="BF2304" s="453"/>
      <c r="CB2304" s="492"/>
      <c r="CC2304" s="493"/>
      <c r="CD2304" s="493"/>
      <c r="CE2304" s="493"/>
      <c r="CF2304" s="453"/>
      <c r="DB2304" s="492"/>
      <c r="DC2304" s="493"/>
      <c r="DD2304" s="493"/>
      <c r="DE2304" s="493"/>
      <c r="DF2304" s="453"/>
      <c r="EB2304" s="492"/>
      <c r="EC2304" s="493"/>
      <c r="ED2304" s="493"/>
      <c r="EE2304" s="493"/>
      <c r="EF2304" s="453"/>
    </row>
    <row r="2307" spans="53:136" ht="14.5" thickBot="1"/>
    <row r="2308" spans="53:136">
      <c r="BA2308" s="114" t="s">
        <v>478</v>
      </c>
      <c r="BB2308" s="431" t="str">
        <f>BB72</f>
        <v>Select Equipment</v>
      </c>
      <c r="BC2308" s="432"/>
      <c r="BD2308" s="433"/>
      <c r="BE2308" s="434"/>
      <c r="BF2308" s="435"/>
      <c r="CA2308" s="114" t="s">
        <v>478</v>
      </c>
      <c r="CB2308" s="431" t="str">
        <f>CB72</f>
        <v>Select Equipment</v>
      </c>
      <c r="CC2308" s="432"/>
      <c r="CD2308" s="433"/>
      <c r="CE2308" s="434"/>
      <c r="CF2308" s="435"/>
      <c r="DA2308" s="114" t="s">
        <v>478</v>
      </c>
      <c r="DB2308" s="431" t="str">
        <f>DB72</f>
        <v>Select Equipment</v>
      </c>
      <c r="DC2308" s="432"/>
      <c r="DD2308" s="433"/>
      <c r="DE2308" s="434"/>
      <c r="DF2308" s="435"/>
      <c r="EA2308" s="114" t="s">
        <v>478</v>
      </c>
      <c r="EB2308" s="431" t="str">
        <f>EB74</f>
        <v>Select Equipment</v>
      </c>
      <c r="EC2308" s="432"/>
      <c r="ED2308" s="433"/>
      <c r="EE2308" s="434"/>
      <c r="EF2308" s="435"/>
    </row>
    <row r="2309" spans="53:136">
      <c r="BA2309" s="114" t="s">
        <v>5</v>
      </c>
      <c r="BB2309" s="436" t="s">
        <v>1</v>
      </c>
      <c r="BC2309" s="437">
        <f>BC$25/BC$22/BC$21*VLOOKUP(BB2308,'Unit Ops'!$B$140:$J$209,2,FALSE)</f>
        <v>0.92592592592592593</v>
      </c>
      <c r="BD2309" s="438" t="s">
        <v>586</v>
      </c>
      <c r="BE2309" s="1027">
        <f>BC2309*BC$310*BC$311</f>
        <v>10000</v>
      </c>
      <c r="BF2309" s="439" t="s">
        <v>585</v>
      </c>
      <c r="CA2309" s="114" t="s">
        <v>5</v>
      </c>
      <c r="CB2309" s="436" t="s">
        <v>1</v>
      </c>
      <c r="CC2309" s="437">
        <f>CC$25/CC$22/CC$21*VLOOKUP(CB2308,'Unit Ops'!$B$140:$J$209,2,FALSE)</f>
        <v>0.91324200913242004</v>
      </c>
      <c r="CD2309" s="438" t="s">
        <v>586</v>
      </c>
      <c r="CE2309" s="1027">
        <f>CC2309*CC$310*CC$311</f>
        <v>10000</v>
      </c>
      <c r="CF2309" s="439" t="s">
        <v>585</v>
      </c>
      <c r="DA2309" s="114" t="s">
        <v>5</v>
      </c>
      <c r="DB2309" s="436" t="s">
        <v>1</v>
      </c>
      <c r="DC2309" s="437">
        <f>DC$25/DC$22/DC$21*VLOOKUP(DB2308,'Unit Ops'!$B$140:$J$209,2,FALSE)</f>
        <v>0.92592592592592593</v>
      </c>
      <c r="DD2309" s="438" t="s">
        <v>586</v>
      </c>
      <c r="DE2309" s="1027">
        <f>DC2309*DC$310*DC$311</f>
        <v>10000</v>
      </c>
      <c r="DF2309" s="439" t="s">
        <v>585</v>
      </c>
      <c r="EA2309" s="114" t="s">
        <v>5</v>
      </c>
      <c r="EB2309" s="436" t="s">
        <v>1</v>
      </c>
      <c r="EC2309" s="437">
        <f>EC$26/EC$23/EC$22*VLOOKUP(EB2308,'Unit Ops'!$B$140:$J$209,2,FALSE)</f>
        <v>1.3020833333333333</v>
      </c>
      <c r="ED2309" s="438" t="s">
        <v>586</v>
      </c>
      <c r="EE2309" s="1027">
        <f>EC2309*EC$310*EC$311</f>
        <v>10000</v>
      </c>
      <c r="EF2309" s="439" t="s">
        <v>585</v>
      </c>
    </row>
    <row r="2310" spans="53:136">
      <c r="BA2310" s="114" t="str">
        <f>$BB$54</f>
        <v>Hopper</v>
      </c>
      <c r="BB2310" s="436" t="s">
        <v>505</v>
      </c>
      <c r="BC2310" s="437">
        <f>ROUNDUP(BC2309*IF(VLOOKUP(BB2308,'Unit Ops'!$B$140:$L$209,11,FALSE)=1,1.5,0.75),1)</f>
        <v>0.7</v>
      </c>
      <c r="BD2310" s="438" t="s">
        <v>586</v>
      </c>
      <c r="BE2310" s="120">
        <f>BC2310*BC$310*BC$311</f>
        <v>7560</v>
      </c>
      <c r="BF2310" s="439" t="s">
        <v>585</v>
      </c>
      <c r="CA2310" s="114" t="str">
        <f>$CB$54</f>
        <v>Conveyor</v>
      </c>
      <c r="CB2310" s="436" t="s">
        <v>505</v>
      </c>
      <c r="CC2310" s="437">
        <f>ROUNDUP(CC2309*IF(VLOOKUP(CB2308,'Unit Ops'!$B$140:$L$209,11,FALSE)=1,1.5,0.75),1)</f>
        <v>0.7</v>
      </c>
      <c r="CD2310" s="438" t="s">
        <v>586</v>
      </c>
      <c r="CE2310" s="120">
        <f>CC2310*CC$310*CC$311</f>
        <v>7665</v>
      </c>
      <c r="CF2310" s="439" t="s">
        <v>585</v>
      </c>
      <c r="DA2310" s="114" t="str">
        <f>$DB$54</f>
        <v>Conveyor</v>
      </c>
      <c r="DB2310" s="436" t="s">
        <v>505</v>
      </c>
      <c r="DC2310" s="437">
        <f>ROUNDUP(DC2309*IF(VLOOKUP(DB2308,'Unit Ops'!$B$140:$L$209,11,FALSE)=1,1.5,0.75),1)</f>
        <v>0.7</v>
      </c>
      <c r="DD2310" s="438" t="s">
        <v>586</v>
      </c>
      <c r="DE2310" s="120">
        <f>DC2310*DC$310*DC$311</f>
        <v>7560</v>
      </c>
      <c r="DF2310" s="439" t="s">
        <v>585</v>
      </c>
      <c r="EA2310" s="114" t="str">
        <f>$EB$56</f>
        <v>Conveyor</v>
      </c>
      <c r="EB2310" s="436" t="s">
        <v>505</v>
      </c>
      <c r="EC2310" s="437">
        <f>ROUNDUP(EC2309*IF(VLOOKUP(EB2308,'Unit Ops'!$B$140:$L$209,11,FALSE)=1,1.5,0.75),1)</f>
        <v>1</v>
      </c>
      <c r="ED2310" s="438" t="s">
        <v>586</v>
      </c>
      <c r="EE2310" s="120">
        <f>EC2310*EC$310*EC$311</f>
        <v>7680</v>
      </c>
      <c r="EF2310" s="439" t="s">
        <v>585</v>
      </c>
    </row>
    <row r="2311" spans="53:136">
      <c r="BA2311" s="114" t="str">
        <f>$BB$55</f>
        <v>Conveyor</v>
      </c>
      <c r="BB2311" s="441" t="s">
        <v>521</v>
      </c>
      <c r="BC2311" s="442">
        <f>BC2309/BC2310</f>
        <v>1.3227513227513228</v>
      </c>
      <c r="BD2311" s="438"/>
      <c r="BE2311" s="443"/>
      <c r="BF2311" s="440"/>
      <c r="CA2311" s="114" t="str">
        <f>$CB$55</f>
        <v>Leaching tank</v>
      </c>
      <c r="CB2311" s="441" t="s">
        <v>521</v>
      </c>
      <c r="CC2311" s="442">
        <f>CC2309/CC2310</f>
        <v>1.3046314416177429</v>
      </c>
      <c r="CD2311" s="438"/>
      <c r="CE2311" s="443"/>
      <c r="CF2311" s="440"/>
      <c r="DA2311" s="114" t="str">
        <f>$DB$55</f>
        <v>Froth flotation cell</v>
      </c>
      <c r="DB2311" s="441" t="s">
        <v>521</v>
      </c>
      <c r="DC2311" s="442">
        <f>DC2309/DC2310</f>
        <v>1.3227513227513228</v>
      </c>
      <c r="DD2311" s="438"/>
      <c r="DE2311" s="443"/>
      <c r="DF2311" s="440"/>
      <c r="EA2311" s="114" t="str">
        <f>$EB$57</f>
        <v>Leaching tank</v>
      </c>
      <c r="EB2311" s="441" t="s">
        <v>521</v>
      </c>
      <c r="EC2311" s="442">
        <f>EC2309/EC2310</f>
        <v>1.3020833333333333</v>
      </c>
      <c r="ED2311" s="438"/>
      <c r="EE2311" s="443"/>
      <c r="EF2311" s="440"/>
    </row>
    <row r="2312" spans="53:136">
      <c r="BA2312" s="114" t="str">
        <f>$BB$56</f>
        <v>Smelter</v>
      </c>
      <c r="BB2312" s="441" t="s">
        <v>506</v>
      </c>
      <c r="BC2312" s="445"/>
      <c r="BD2312" s="438" t="s">
        <v>454</v>
      </c>
      <c r="BE2312" s="443"/>
      <c r="BF2312" s="440"/>
      <c r="CA2312" s="114" t="str">
        <f>$CB$56</f>
        <v>Mixing tank</v>
      </c>
      <c r="CB2312" s="441" t="s">
        <v>506</v>
      </c>
      <c r="CC2312" s="445"/>
      <c r="CD2312" s="438" t="s">
        <v>454</v>
      </c>
      <c r="CE2312" s="443"/>
      <c r="CF2312" s="440"/>
      <c r="DA2312" s="114" t="str">
        <f>$DB$56</f>
        <v>Filter press</v>
      </c>
      <c r="DB2312" s="441" t="s">
        <v>506</v>
      </c>
      <c r="DC2312" s="445"/>
      <c r="DD2312" s="438" t="s">
        <v>454</v>
      </c>
      <c r="DE2312" s="443"/>
      <c r="DF2312" s="440"/>
      <c r="EA2312" s="114" t="str">
        <f>$EB$58</f>
        <v>Mixing tank</v>
      </c>
      <c r="EB2312" s="441" t="s">
        <v>506</v>
      </c>
      <c r="EC2312" s="445"/>
      <c r="ED2312" s="438" t="s">
        <v>454</v>
      </c>
      <c r="EE2312" s="443"/>
      <c r="EF2312" s="440"/>
    </row>
    <row r="2313" spans="53:136">
      <c r="BA2313" s="114" t="str">
        <f>$BB$57</f>
        <v>Gas treatment</v>
      </c>
      <c r="BB2313" s="436" t="s">
        <v>507</v>
      </c>
      <c r="BC2313" s="225">
        <f>(VLOOKUP(BB2308,'Unit Ops'!$B$140:$J$209,7,FALSE)*BC2310^VLOOKUP(BB2308,'Unit Ops'!$B$140:$J$209,8,FALSE)+VLOOKUP(BB2308,'Unit Ops'!$B$140:$J$209,9,FALSE))*IF(VLOOKUP(BB2308,'Unit Ops'!$B$140:$L$209,11,FALSE)=1,1,2)</f>
        <v>0</v>
      </c>
      <c r="BD2313" s="446" t="s">
        <v>454</v>
      </c>
      <c r="BE2313" s="443"/>
      <c r="BF2313" s="440"/>
      <c r="CA2313" s="114" t="str">
        <f>$CB$57</f>
        <v>Filter press</v>
      </c>
      <c r="CB2313" s="436" t="s">
        <v>507</v>
      </c>
      <c r="CC2313" s="225">
        <f>(VLOOKUP(CB2308,'Unit Ops'!$B$140:$J$209,7,FALSE)*CC2310^VLOOKUP(CB2308,'Unit Ops'!$B$140:$J$209,8,FALSE)+VLOOKUP(CB2308,'Unit Ops'!$B$140:$J$209,9,FALSE))*IF(VLOOKUP(CB2308,'Unit Ops'!$B$140:$L$209,11,FALSE)=1,1,2)</f>
        <v>0</v>
      </c>
      <c r="CD2313" s="446" t="s">
        <v>454</v>
      </c>
      <c r="CE2313" s="443"/>
      <c r="CF2313" s="440"/>
      <c r="DA2313" s="114" t="str">
        <f>$DB$57</f>
        <v>Froth flotation cell</v>
      </c>
      <c r="DB2313" s="436" t="s">
        <v>507</v>
      </c>
      <c r="DC2313" s="225">
        <f>(VLOOKUP(DB2308,'Unit Ops'!$B$140:$J$209,7,FALSE)*DC2310^VLOOKUP(DB2308,'Unit Ops'!$B$140:$J$209,8,FALSE)+VLOOKUP(DB2308,'Unit Ops'!$B$140:$J$209,9,FALSE))*IF(VLOOKUP(DB2308,'Unit Ops'!$B$140:$L$209,11,FALSE)=1,1,2)</f>
        <v>0</v>
      </c>
      <c r="DD2313" s="446" t="s">
        <v>454</v>
      </c>
      <c r="DE2313" s="443"/>
      <c r="DF2313" s="440"/>
      <c r="EA2313" s="114" t="str">
        <f>$EB$59</f>
        <v>Filter press</v>
      </c>
      <c r="EB2313" s="436" t="s">
        <v>507</v>
      </c>
      <c r="EC2313" s="225">
        <f>(VLOOKUP(EB2308,'Unit Ops'!$B$140:$J$209,7,FALSE)*EC2310^VLOOKUP(EB2308,'Unit Ops'!$B$140:$J$209,8,FALSE)+VLOOKUP(EB2308,'Unit Ops'!$B$140:$J$209,9,FALSE))*IF(VLOOKUP(EB2308,'Unit Ops'!$B$140:$L$209,11,FALSE)=1,1,2)</f>
        <v>0</v>
      </c>
      <c r="ED2313" s="446" t="s">
        <v>454</v>
      </c>
      <c r="EE2313" s="443"/>
      <c r="EF2313" s="440"/>
    </row>
    <row r="2314" spans="53:136">
      <c r="BA2314" s="114" t="str">
        <f>$BB$58</f>
        <v>Conveyor</v>
      </c>
      <c r="BB2314" s="441"/>
      <c r="BC2314" s="445"/>
      <c r="BD2314" s="447"/>
      <c r="BE2314" s="443"/>
      <c r="BF2314" s="440"/>
      <c r="CA2314" s="114" t="str">
        <f>$CB$58</f>
        <v>Solvent extraction unit</v>
      </c>
      <c r="CB2314" s="441"/>
      <c r="CC2314" s="445"/>
      <c r="CD2314" s="447"/>
      <c r="CE2314" s="443"/>
      <c r="CF2314" s="440"/>
      <c r="DA2314" s="114" t="str">
        <f>$DB$58</f>
        <v>Filter press</v>
      </c>
      <c r="DB2314" s="441"/>
      <c r="DC2314" s="445"/>
      <c r="DD2314" s="447"/>
      <c r="DE2314" s="443"/>
      <c r="DF2314" s="440"/>
      <c r="EA2314" s="114" t="str">
        <f>$EB$60</f>
        <v>Solvent extraction unit</v>
      </c>
      <c r="EB2314" s="441"/>
      <c r="EC2314" s="445"/>
      <c r="ED2314" s="447"/>
      <c r="EE2314" s="443"/>
      <c r="EF2314" s="440"/>
    </row>
    <row r="2315" spans="53:136">
      <c r="BA2315" s="114" t="str">
        <f>$BB$59</f>
        <v>Granulator</v>
      </c>
      <c r="BB2315" s="441"/>
      <c r="BC2315" s="445"/>
      <c r="BD2315" s="447"/>
      <c r="BE2315" s="443"/>
      <c r="BF2315" s="440"/>
      <c r="CA2315" s="114" t="str">
        <f>$CB$59</f>
        <v>Solvent extraction unit</v>
      </c>
      <c r="CB2315" s="441"/>
      <c r="CC2315" s="445"/>
      <c r="CD2315" s="447"/>
      <c r="CE2315" s="443"/>
      <c r="CF2315" s="440"/>
      <c r="DA2315" s="114" t="str">
        <f>$DB$59</f>
        <v>Dryer</v>
      </c>
      <c r="DB2315" s="441"/>
      <c r="DC2315" s="445"/>
      <c r="DD2315" s="447"/>
      <c r="DE2315" s="443"/>
      <c r="DF2315" s="440"/>
      <c r="EA2315" s="114" t="str">
        <f>$EB$61</f>
        <v>Solvent extraction unit</v>
      </c>
      <c r="EB2315" s="441"/>
      <c r="EC2315" s="445"/>
      <c r="ED2315" s="447"/>
      <c r="EE2315" s="443"/>
      <c r="EF2315" s="440"/>
    </row>
    <row r="2316" spans="53:136">
      <c r="BA2316" s="114" t="str">
        <f>$BB$60</f>
        <v>Leaching tank</v>
      </c>
      <c r="BB2316" s="449"/>
      <c r="BC2316" s="445"/>
      <c r="BD2316" s="447"/>
      <c r="BE2316" s="443"/>
      <c r="BF2316" s="440"/>
      <c r="CA2316" s="114" t="str">
        <f>$CB$60</f>
        <v>Solvent extraction unit</v>
      </c>
      <c r="CB2316" s="449"/>
      <c r="CC2316" s="445"/>
      <c r="CD2316" s="447"/>
      <c r="CE2316" s="443"/>
      <c r="CF2316" s="440"/>
      <c r="DA2316" s="114" t="str">
        <f>$DB$60</f>
        <v>Ball mill</v>
      </c>
      <c r="DB2316" s="449"/>
      <c r="DC2316" s="445"/>
      <c r="DD2316" s="447"/>
      <c r="DE2316" s="443"/>
      <c r="DF2316" s="440"/>
      <c r="EA2316" s="114" t="str">
        <f>$EB$62</f>
        <v>Solvent extraction unit</v>
      </c>
      <c r="EB2316" s="449"/>
      <c r="EC2316" s="445"/>
      <c r="ED2316" s="447"/>
      <c r="EE2316" s="443"/>
      <c r="EF2316" s="440"/>
    </row>
    <row r="2317" spans="53:136" ht="14.5" thickBot="1">
      <c r="BA2317" s="114" t="str">
        <f>$BB$61</f>
        <v>Solvent extraction unit</v>
      </c>
      <c r="BB2317" s="450"/>
      <c r="BC2317" s="451"/>
      <c r="BD2317" s="451"/>
      <c r="BE2317" s="452"/>
      <c r="BF2317" s="453"/>
      <c r="CA2317" s="114" t="str">
        <f>$CB$61</f>
        <v>Evaporator</v>
      </c>
      <c r="CB2317" s="450"/>
      <c r="CC2317" s="451"/>
      <c r="CD2317" s="451"/>
      <c r="CE2317" s="452"/>
      <c r="CF2317" s="453"/>
      <c r="DA2317" s="114" t="str">
        <f>$DB$61</f>
        <v>Furnace+saggar handling system</v>
      </c>
      <c r="DB2317" s="450"/>
      <c r="DC2317" s="451"/>
      <c r="DD2317" s="451"/>
      <c r="DE2317" s="452"/>
      <c r="DF2317" s="453"/>
      <c r="EA2317" s="114" t="str">
        <f>$EB$63</f>
        <v>Evaporator</v>
      </c>
      <c r="EB2317" s="450"/>
      <c r="EC2317" s="451"/>
      <c r="ED2317" s="451"/>
      <c r="EE2317" s="452"/>
      <c r="EF2317" s="453"/>
    </row>
    <row r="2318" spans="53:136">
      <c r="BA2318" s="114" t="str">
        <f>$BB$62</f>
        <v>Electrowinning cell</v>
      </c>
      <c r="BB2318" s="449" t="s">
        <v>470</v>
      </c>
      <c r="BC2318" s="120"/>
      <c r="BD2318" s="454"/>
      <c r="BE2318" s="120"/>
      <c r="BF2318" s="440"/>
      <c r="CA2318" s="114" t="str">
        <f>$CB$62</f>
        <v>Precipitation tank</v>
      </c>
      <c r="CB2318" s="449" t="s">
        <v>470</v>
      </c>
      <c r="CC2318" s="120"/>
      <c r="CD2318" s="454"/>
      <c r="CE2318" s="120"/>
      <c r="CF2318" s="440"/>
      <c r="DA2318" s="114" t="str">
        <f>$DB$62</f>
        <v>Water treatment</v>
      </c>
      <c r="DB2318" s="449" t="s">
        <v>470</v>
      </c>
      <c r="DC2318" s="120"/>
      <c r="DD2318" s="454"/>
      <c r="DE2318" s="120"/>
      <c r="DF2318" s="440"/>
      <c r="EA2318" s="114" t="str">
        <f>$EB$64</f>
        <v>Precipitation tank</v>
      </c>
      <c r="EB2318" s="449" t="s">
        <v>470</v>
      </c>
      <c r="EC2318" s="120"/>
      <c r="ED2318" s="454"/>
      <c r="EE2318" s="120"/>
      <c r="EF2318" s="440"/>
    </row>
    <row r="2319" spans="53:136" ht="14.5" customHeight="1">
      <c r="BA2319" s="114" t="str">
        <f>$BB$63</f>
        <v>Solvent extraction unit</v>
      </c>
      <c r="BB2319" s="1698"/>
      <c r="BC2319" s="1699"/>
      <c r="BD2319" s="1699"/>
      <c r="BE2319" s="1699"/>
      <c r="BF2319" s="1700"/>
      <c r="CA2319" s="114" t="str">
        <f>$CB$63</f>
        <v>Centrifuge</v>
      </c>
      <c r="CB2319" s="1698"/>
      <c r="CC2319" s="1699"/>
      <c r="CD2319" s="1699"/>
      <c r="CE2319" s="1699"/>
      <c r="CF2319" s="1700"/>
      <c r="DA2319" s="114" t="str">
        <f>$DB$63</f>
        <v>Wheel loader</v>
      </c>
      <c r="DB2319" s="1698"/>
      <c r="DC2319" s="1699"/>
      <c r="DD2319" s="1699"/>
      <c r="DE2319" s="1699"/>
      <c r="DF2319" s="1700"/>
      <c r="EA2319" s="114" t="str">
        <f>$EB$65</f>
        <v>Centrifuge</v>
      </c>
      <c r="EB2319" s="1698"/>
      <c r="EC2319" s="1699"/>
      <c r="ED2319" s="1699"/>
      <c r="EE2319" s="1699"/>
      <c r="EF2319" s="1700"/>
    </row>
    <row r="2320" spans="53:136">
      <c r="BA2320" s="114" t="str">
        <f>$BB$64</f>
        <v>Solvent extraction unit</v>
      </c>
      <c r="BB2320" s="436"/>
      <c r="BC2320" s="120"/>
      <c r="BD2320" s="455"/>
      <c r="BE2320" s="120"/>
      <c r="BF2320" s="440"/>
      <c r="CA2320" s="114" t="str">
        <f>$CB$64</f>
        <v>Dryer</v>
      </c>
      <c r="CB2320" s="436"/>
      <c r="CC2320" s="120"/>
      <c r="CD2320" s="455"/>
      <c r="CE2320" s="120"/>
      <c r="CF2320" s="440"/>
      <c r="DA2320" s="114" t="str">
        <f>$DB$64</f>
        <v>Select Equipment</v>
      </c>
      <c r="DB2320" s="436"/>
      <c r="DC2320" s="120"/>
      <c r="DD2320" s="455"/>
      <c r="DE2320" s="120"/>
      <c r="DF2320" s="440"/>
      <c r="EA2320" s="114" t="str">
        <f>$EB$66</f>
        <v>Dryer</v>
      </c>
      <c r="EB2320" s="436"/>
      <c r="EC2320" s="120"/>
      <c r="ED2320" s="455"/>
      <c r="EE2320" s="120"/>
      <c r="EF2320" s="440"/>
    </row>
    <row r="2321" spans="53:136">
      <c r="BA2321" s="114" t="str">
        <f>$BB$65</f>
        <v>Wheel loader</v>
      </c>
      <c r="BB2321" s="436"/>
      <c r="BC2321" s="120"/>
      <c r="BD2321" s="455"/>
      <c r="BE2321" s="120"/>
      <c r="BF2321" s="440"/>
      <c r="CA2321" s="114" t="str">
        <f>$CB$65</f>
        <v>Water treatment</v>
      </c>
      <c r="CB2321" s="436"/>
      <c r="CC2321" s="120"/>
      <c r="CD2321" s="455"/>
      <c r="CE2321" s="120"/>
      <c r="CF2321" s="440"/>
      <c r="DA2321" s="114" t="str">
        <f>$DB$65</f>
        <v>Select Equipment</v>
      </c>
      <c r="DB2321" s="436"/>
      <c r="DC2321" s="120"/>
      <c r="DD2321" s="455"/>
      <c r="DE2321" s="120"/>
      <c r="DF2321" s="440"/>
      <c r="EA2321" s="114" t="str">
        <f>$EB$67</f>
        <v>Water treatment</v>
      </c>
      <c r="EB2321" s="436"/>
      <c r="EC2321" s="120"/>
      <c r="ED2321" s="455"/>
      <c r="EE2321" s="120"/>
      <c r="EF2321" s="440"/>
    </row>
    <row r="2322" spans="53:136">
      <c r="BA2322" s="114" t="str">
        <f>$BB$66</f>
        <v>Water treatment</v>
      </c>
      <c r="BB2322" s="456"/>
      <c r="BC2322" s="457"/>
      <c r="BD2322" s="457"/>
      <c r="BE2322" s="457"/>
      <c r="BF2322" s="458"/>
      <c r="CA2322" s="114" t="str">
        <f>$CB$66</f>
        <v>Wheel loader</v>
      </c>
      <c r="CB2322" s="456"/>
      <c r="CC2322" s="457"/>
      <c r="CD2322" s="457"/>
      <c r="CE2322" s="457"/>
      <c r="CF2322" s="458"/>
      <c r="DA2322" s="114" t="str">
        <f>$DB$66</f>
        <v>Select Equipment</v>
      </c>
      <c r="DB2322" s="456"/>
      <c r="DC2322" s="457"/>
      <c r="DD2322" s="457"/>
      <c r="DE2322" s="457"/>
      <c r="DF2322" s="458"/>
      <c r="EA2322" s="114" t="str">
        <f>$EB$68</f>
        <v>Wheel loader</v>
      </c>
      <c r="EB2322" s="456"/>
      <c r="EC2322" s="457"/>
      <c r="ED2322" s="457"/>
      <c r="EE2322" s="457"/>
      <c r="EF2322" s="458"/>
    </row>
    <row r="2323" spans="53:136">
      <c r="BA2323" s="114" t="str">
        <f>$BB$67</f>
        <v>Select Equipment</v>
      </c>
      <c r="BB2323" s="449" t="s">
        <v>471</v>
      </c>
      <c r="BC2323" s="120"/>
      <c r="BD2323" s="454"/>
      <c r="BE2323" s="120"/>
      <c r="BF2323" s="440"/>
      <c r="CA2323" s="114" t="str">
        <f>$CB$67</f>
        <v>Select Equipment</v>
      </c>
      <c r="CB2323" s="449" t="s">
        <v>471</v>
      </c>
      <c r="CC2323" s="120"/>
      <c r="CD2323" s="454"/>
      <c r="CE2323" s="120"/>
      <c r="CF2323" s="440"/>
      <c r="DA2323" s="114" t="str">
        <f>$DB$67</f>
        <v>Select Equipment</v>
      </c>
      <c r="DB2323" s="449" t="s">
        <v>471</v>
      </c>
      <c r="DC2323" s="120"/>
      <c r="DD2323" s="454"/>
      <c r="DE2323" s="120"/>
      <c r="DF2323" s="440"/>
      <c r="EA2323" s="114" t="str">
        <f>$EB$69</f>
        <v>Select Equipment</v>
      </c>
      <c r="EB2323" s="449" t="s">
        <v>471</v>
      </c>
      <c r="EC2323" s="120"/>
      <c r="ED2323" s="454"/>
      <c r="EE2323" s="120"/>
      <c r="EF2323" s="440"/>
    </row>
    <row r="2324" spans="53:136">
      <c r="BA2324" s="114" t="str">
        <f>$BB$68</f>
        <v>Select Equipment</v>
      </c>
      <c r="BB2324" s="436" t="s">
        <v>577</v>
      </c>
      <c r="BC2324" s="225">
        <f>BC2313*IF(BC2311&gt;1,1,BC2311)</f>
        <v>0</v>
      </c>
      <c r="BD2324" s="446" t="s">
        <v>454</v>
      </c>
      <c r="BE2324" s="120"/>
      <c r="BF2324" s="440"/>
      <c r="CA2324" s="114" t="str">
        <f>$CB$68</f>
        <v>Select Equipment</v>
      </c>
      <c r="CB2324" s="436" t="s">
        <v>577</v>
      </c>
      <c r="CC2324" s="225">
        <f>CC2313*IF(CC2311&gt;1,1,CC2311)</f>
        <v>0</v>
      </c>
      <c r="CD2324" s="446" t="s">
        <v>454</v>
      </c>
      <c r="CE2324" s="120"/>
      <c r="CF2324" s="440"/>
      <c r="DA2324" s="114" t="str">
        <f>$DB$68</f>
        <v>Select Equipment</v>
      </c>
      <c r="DB2324" s="436" t="s">
        <v>577</v>
      </c>
      <c r="DC2324" s="225">
        <f>DC2313*IF(DC2311&gt;1,1,DC2311)</f>
        <v>0</v>
      </c>
      <c r="DD2324" s="446" t="s">
        <v>454</v>
      </c>
      <c r="DE2324" s="120"/>
      <c r="DF2324" s="440"/>
      <c r="EA2324" s="114" t="str">
        <f>$EB$70</f>
        <v>Select Equipment</v>
      </c>
      <c r="EB2324" s="436" t="s">
        <v>577</v>
      </c>
      <c r="EC2324" s="225">
        <f>EC2313*IF(EC2311&gt;1,1,EC2311)</f>
        <v>0</v>
      </c>
      <c r="ED2324" s="446" t="s">
        <v>454</v>
      </c>
      <c r="EE2324" s="120"/>
      <c r="EF2324" s="440"/>
    </row>
    <row r="2325" spans="53:136">
      <c r="BA2325" s="114" t="str">
        <f>$BB$69</f>
        <v>Select Equipment</v>
      </c>
      <c r="BB2325" s="436" t="s">
        <v>578</v>
      </c>
      <c r="BC2325" s="225"/>
      <c r="BD2325" s="446" t="s">
        <v>579</v>
      </c>
      <c r="BE2325" s="120"/>
      <c r="BF2325" s="440"/>
      <c r="CA2325" s="114" t="str">
        <f>$CB$69</f>
        <v>Select Equipment</v>
      </c>
      <c r="CB2325" s="436" t="s">
        <v>578</v>
      </c>
      <c r="CC2325" s="225"/>
      <c r="CD2325" s="446" t="s">
        <v>579</v>
      </c>
      <c r="CE2325" s="120"/>
      <c r="CF2325" s="440"/>
      <c r="DA2325" s="114" t="str">
        <f>$DB$69</f>
        <v>Select Equipment</v>
      </c>
      <c r="DB2325" s="436" t="s">
        <v>578</v>
      </c>
      <c r="DC2325" s="225"/>
      <c r="DD2325" s="446" t="s">
        <v>579</v>
      </c>
      <c r="DE2325" s="120"/>
      <c r="DF2325" s="440"/>
      <c r="EA2325" s="114" t="str">
        <f>$EB$71</f>
        <v>Select Equipment</v>
      </c>
      <c r="EB2325" s="436" t="s">
        <v>578</v>
      </c>
      <c r="EC2325" s="225"/>
      <c r="ED2325" s="446" t="s">
        <v>579</v>
      </c>
      <c r="EE2325" s="120"/>
      <c r="EF2325" s="440"/>
    </row>
    <row r="2326" spans="53:136">
      <c r="BA2326" s="114" t="str">
        <f>$BB$70</f>
        <v>Select Equipment</v>
      </c>
      <c r="BB2326" s="436"/>
      <c r="BC2326" s="120"/>
      <c r="BD2326" s="446"/>
      <c r="BE2326" s="120"/>
      <c r="BF2326" s="440"/>
      <c r="CA2326" s="114" t="str">
        <f>$CB$70</f>
        <v>Select Equipment</v>
      </c>
      <c r="CB2326" s="436"/>
      <c r="CC2326" s="120"/>
      <c r="CD2326" s="446"/>
      <c r="CE2326" s="120"/>
      <c r="CF2326" s="440"/>
      <c r="DA2326" s="114" t="str">
        <f>$DB$70</f>
        <v>Select Equipment</v>
      </c>
      <c r="DB2326" s="436"/>
      <c r="DC2326" s="120"/>
      <c r="DD2326" s="446"/>
      <c r="DE2326" s="120"/>
      <c r="DF2326" s="440"/>
      <c r="EA2326" s="114" t="str">
        <f>$EB$72</f>
        <v>Select Equipment</v>
      </c>
      <c r="EB2326" s="436"/>
      <c r="EC2326" s="120"/>
      <c r="ED2326" s="446"/>
      <c r="EE2326" s="120"/>
      <c r="EF2326" s="440"/>
    </row>
    <row r="2327" spans="53:136">
      <c r="BA2327" s="114" t="str">
        <f>$BB$71</f>
        <v>Select Equipment</v>
      </c>
      <c r="BB2327" s="436" t="s">
        <v>8</v>
      </c>
      <c r="BC2327" s="120"/>
      <c r="BD2327" s="459" t="s">
        <v>564</v>
      </c>
      <c r="BE2327" s="120"/>
      <c r="BF2327" s="440"/>
      <c r="CA2327" s="114" t="str">
        <f>$CB$71</f>
        <v>Select Equipment</v>
      </c>
      <c r="CB2327" s="436" t="s">
        <v>8</v>
      </c>
      <c r="CC2327" s="120"/>
      <c r="CD2327" s="459" t="s">
        <v>564</v>
      </c>
      <c r="CE2327" s="120"/>
      <c r="CF2327" s="440"/>
      <c r="DA2327" s="114" t="str">
        <f>$DB$71</f>
        <v>Select Equipment</v>
      </c>
      <c r="DB2327" s="436" t="s">
        <v>8</v>
      </c>
      <c r="DC2327" s="120"/>
      <c r="DD2327" s="459" t="s">
        <v>564</v>
      </c>
      <c r="DE2327" s="120"/>
      <c r="DF2327" s="440"/>
      <c r="EA2327" s="114" t="str">
        <f>$EB$73</f>
        <v>Select Equipment</v>
      </c>
      <c r="EB2327" s="436" t="s">
        <v>8</v>
      </c>
      <c r="EC2327" s="120"/>
      <c r="ED2327" s="459" t="s">
        <v>564</v>
      </c>
      <c r="EE2327" s="120"/>
      <c r="EF2327" s="440"/>
    </row>
    <row r="2328" spans="53:136">
      <c r="BA2328" s="114" t="str">
        <f>$BB$72</f>
        <v>Select Equipment</v>
      </c>
      <c r="BB2328" s="436"/>
      <c r="BC2328" s="120"/>
      <c r="BD2328" s="459"/>
      <c r="BE2328" s="120"/>
      <c r="BF2328" s="440"/>
      <c r="CA2328" s="114" t="str">
        <f>$CB$72</f>
        <v>Select Equipment</v>
      </c>
      <c r="CB2328" s="436"/>
      <c r="CC2328" s="120"/>
      <c r="CD2328" s="459"/>
      <c r="CE2328" s="120"/>
      <c r="CF2328" s="440"/>
      <c r="DA2328" s="114" t="str">
        <f>$DB$72</f>
        <v>Select Equipment</v>
      </c>
      <c r="DB2328" s="436"/>
      <c r="DC2328" s="120"/>
      <c r="DD2328" s="459"/>
      <c r="DE2328" s="120"/>
      <c r="DF2328" s="440"/>
      <c r="EA2328" s="114" t="str">
        <f>$EB$74</f>
        <v>Select Equipment</v>
      </c>
      <c r="EB2328" s="436"/>
      <c r="EC2328" s="120"/>
      <c r="ED2328" s="459"/>
      <c r="EE2328" s="120"/>
      <c r="EF2328" s="440"/>
    </row>
    <row r="2329" spans="53:136">
      <c r="BA2329" s="114" t="str">
        <f>$BB$73</f>
        <v>Select Equipment</v>
      </c>
      <c r="BB2329" s="436" t="s">
        <v>7</v>
      </c>
      <c r="BC2329" s="120"/>
      <c r="BD2329" s="459" t="s">
        <v>564</v>
      </c>
      <c r="BE2329" s="120"/>
      <c r="BF2329" s="440"/>
      <c r="CA2329" s="114" t="str">
        <f>$CB$73</f>
        <v>Select Equipment</v>
      </c>
      <c r="CB2329" s="436" t="s">
        <v>7</v>
      </c>
      <c r="CC2329" s="120"/>
      <c r="CD2329" s="459" t="s">
        <v>564</v>
      </c>
      <c r="CE2329" s="120"/>
      <c r="CF2329" s="440"/>
      <c r="DA2329" s="114" t="str">
        <f>$DB$73</f>
        <v>Select Equipment</v>
      </c>
      <c r="DB2329" s="436" t="s">
        <v>7</v>
      </c>
      <c r="DC2329" s="120"/>
      <c r="DD2329" s="459" t="s">
        <v>564</v>
      </c>
      <c r="DE2329" s="120"/>
      <c r="DF2329" s="440"/>
      <c r="EA2329" s="114" t="str">
        <f>$EB$75</f>
        <v>Select Equipment</v>
      </c>
      <c r="EB2329" s="436" t="s">
        <v>7</v>
      </c>
      <c r="EC2329" s="120"/>
      <c r="ED2329" s="459" t="s">
        <v>564</v>
      </c>
      <c r="EE2329" s="120"/>
      <c r="EF2329" s="440"/>
    </row>
    <row r="2330" spans="53:136">
      <c r="BA2330" s="114" t="str">
        <f>$BB$74</f>
        <v>Select Equipment</v>
      </c>
      <c r="BB2330" s="436"/>
      <c r="BC2330" s="120"/>
      <c r="BD2330" s="459"/>
      <c r="BE2330" s="120"/>
      <c r="BF2330" s="440"/>
      <c r="CA2330" s="114" t="str">
        <f>$CB$74</f>
        <v>Select Equipment</v>
      </c>
      <c r="CB2330" s="436"/>
      <c r="CC2330" s="120"/>
      <c r="CD2330" s="459"/>
      <c r="CE2330" s="120"/>
      <c r="CF2330" s="440"/>
      <c r="DA2330" s="114" t="str">
        <f>$DB$74</f>
        <v>Select Equipment</v>
      </c>
      <c r="DB2330" s="436"/>
      <c r="DC2330" s="120"/>
      <c r="DD2330" s="459"/>
      <c r="DE2330" s="120"/>
      <c r="DF2330" s="440"/>
      <c r="EA2330" s="114" t="str">
        <f>$EB$76</f>
        <v>Select Equipment</v>
      </c>
      <c r="EB2330" s="436"/>
      <c r="EC2330" s="120"/>
      <c r="ED2330" s="459"/>
      <c r="EE2330" s="120"/>
      <c r="EF2330" s="440"/>
    </row>
    <row r="2331" spans="53:136">
      <c r="BA2331" s="114" t="str">
        <f>$BB$75</f>
        <v>Select Equipment</v>
      </c>
      <c r="BB2331" s="436" t="s">
        <v>9</v>
      </c>
      <c r="BC2331" s="120"/>
      <c r="BD2331" s="459" t="s">
        <v>564</v>
      </c>
      <c r="BE2331" s="120"/>
      <c r="BF2331" s="440"/>
      <c r="CA2331" s="114" t="str">
        <f>$CB$75</f>
        <v>Select Equipment</v>
      </c>
      <c r="CB2331" s="436" t="s">
        <v>9</v>
      </c>
      <c r="CC2331" s="120"/>
      <c r="CD2331" s="459" t="s">
        <v>564</v>
      </c>
      <c r="CE2331" s="120"/>
      <c r="CF2331" s="440"/>
      <c r="DA2331" s="114" t="str">
        <f>$DB$75</f>
        <v>Select Equipment</v>
      </c>
      <c r="DB2331" s="436" t="s">
        <v>9</v>
      </c>
      <c r="DC2331" s="120"/>
      <c r="DD2331" s="459" t="s">
        <v>564</v>
      </c>
      <c r="DE2331" s="120"/>
      <c r="DF2331" s="440"/>
      <c r="EA2331" s="114" t="str">
        <f>$EB$77</f>
        <v>Select Equipment</v>
      </c>
      <c r="EB2331" s="436" t="s">
        <v>9</v>
      </c>
      <c r="EC2331" s="120"/>
      <c r="ED2331" s="459" t="s">
        <v>564</v>
      </c>
      <c r="EE2331" s="120"/>
      <c r="EF2331" s="440"/>
    </row>
    <row r="2332" spans="53:136">
      <c r="BA2332" s="114" t="str">
        <f>$BB$76</f>
        <v>Select Equipment</v>
      </c>
      <c r="BB2332" s="436"/>
      <c r="BC2332" s="120"/>
      <c r="BD2332" s="459"/>
      <c r="BE2332" s="120"/>
      <c r="BF2332" s="440"/>
      <c r="CA2332" s="114" t="str">
        <f>$CB$76</f>
        <v>Select Equipment</v>
      </c>
      <c r="CB2332" s="436"/>
      <c r="CC2332" s="120"/>
      <c r="CD2332" s="459"/>
      <c r="CE2332" s="120"/>
      <c r="CF2332" s="440"/>
      <c r="DA2332" s="114" t="str">
        <f>$DB$76</f>
        <v>Select Equipment</v>
      </c>
      <c r="DB2332" s="436"/>
      <c r="DC2332" s="120"/>
      <c r="DD2332" s="459"/>
      <c r="DE2332" s="120"/>
      <c r="DF2332" s="440"/>
      <c r="EA2332" s="114" t="str">
        <f>$EB$78</f>
        <v>Select Equipment</v>
      </c>
      <c r="EB2332" s="436"/>
      <c r="EC2332" s="120"/>
      <c r="ED2332" s="459"/>
      <c r="EE2332" s="120"/>
      <c r="EF2332" s="440"/>
    </row>
    <row r="2333" spans="53:136">
      <c r="BA2333" s="114" t="str">
        <f>$BB$77</f>
        <v>Select Equipment</v>
      </c>
      <c r="BB2333" s="436" t="s">
        <v>324</v>
      </c>
      <c r="BC2333" s="120"/>
      <c r="BD2333" s="459" t="s">
        <v>564</v>
      </c>
      <c r="BE2333" s="120"/>
      <c r="BF2333" s="440" t="s">
        <v>569</v>
      </c>
      <c r="CA2333" s="114" t="str">
        <f>$CB$77</f>
        <v>Select Equipment</v>
      </c>
      <c r="CB2333" s="436" t="s">
        <v>324</v>
      </c>
      <c r="CC2333" s="120"/>
      <c r="CD2333" s="459" t="s">
        <v>564</v>
      </c>
      <c r="CE2333" s="120"/>
      <c r="CF2333" s="440" t="s">
        <v>569</v>
      </c>
      <c r="DA2333" s="114" t="str">
        <f>$DB$77</f>
        <v>Select Equipment</v>
      </c>
      <c r="DB2333" s="436" t="s">
        <v>324</v>
      </c>
      <c r="DC2333" s="120"/>
      <c r="DD2333" s="459" t="s">
        <v>564</v>
      </c>
      <c r="DE2333" s="120"/>
      <c r="DF2333" s="440" t="s">
        <v>569</v>
      </c>
      <c r="EA2333" s="114" t="str">
        <f>$EB$79</f>
        <v>Select Equipment</v>
      </c>
      <c r="EB2333" s="436" t="s">
        <v>324</v>
      </c>
      <c r="EC2333" s="120"/>
      <c r="ED2333" s="459" t="s">
        <v>564</v>
      </c>
      <c r="EE2333" s="120"/>
      <c r="EF2333" s="440" t="s">
        <v>569</v>
      </c>
    </row>
    <row r="2334" spans="53:136">
      <c r="BA2334" s="114" t="str">
        <f>$BB$78</f>
        <v>Select Equipment</v>
      </c>
      <c r="BB2334" s="436"/>
      <c r="BC2334" s="120"/>
      <c r="BD2334" s="468"/>
      <c r="BE2334" s="469"/>
      <c r="BF2334" s="440"/>
      <c r="CA2334" s="114" t="str">
        <f>$CB$78</f>
        <v>Select Equipment</v>
      </c>
      <c r="CB2334" s="436"/>
      <c r="CC2334" s="120"/>
      <c r="CD2334" s="468"/>
      <c r="CE2334" s="469"/>
      <c r="CF2334" s="440"/>
      <c r="DA2334" s="114" t="str">
        <f>$DB$78</f>
        <v>Select Equipment</v>
      </c>
      <c r="DB2334" s="436"/>
      <c r="DC2334" s="120"/>
      <c r="DD2334" s="468"/>
      <c r="DE2334" s="469"/>
      <c r="DF2334" s="440"/>
      <c r="EA2334" s="114" t="str">
        <f>$EB$80</f>
        <v>Select Equipment</v>
      </c>
      <c r="EB2334" s="436"/>
      <c r="EC2334" s="120"/>
      <c r="ED2334" s="468"/>
      <c r="EE2334" s="469"/>
      <c r="EF2334" s="440"/>
    </row>
    <row r="2335" spans="53:136">
      <c r="BA2335" s="114" t="str">
        <f>$BB$79</f>
        <v>Select Equipment</v>
      </c>
      <c r="BB2335" s="436" t="s">
        <v>374</v>
      </c>
      <c r="BC2335" s="120"/>
      <c r="BD2335" s="459" t="s">
        <v>564</v>
      </c>
      <c r="BE2335" s="469"/>
      <c r="BF2335" s="440" t="s">
        <v>569</v>
      </c>
      <c r="CA2335" s="114" t="str">
        <f>$CB$79</f>
        <v>Select Equipment</v>
      </c>
      <c r="CB2335" s="436" t="s">
        <v>374</v>
      </c>
      <c r="CC2335" s="120"/>
      <c r="CD2335" s="459" t="s">
        <v>564</v>
      </c>
      <c r="CE2335" s="469"/>
      <c r="CF2335" s="440" t="s">
        <v>569</v>
      </c>
      <c r="DA2335" s="114" t="str">
        <f>$DB$79</f>
        <v>Select Equipment</v>
      </c>
      <c r="DB2335" s="436" t="s">
        <v>374</v>
      </c>
      <c r="DC2335" s="120"/>
      <c r="DD2335" s="459" t="s">
        <v>564</v>
      </c>
      <c r="DE2335" s="469"/>
      <c r="DF2335" s="440" t="s">
        <v>569</v>
      </c>
      <c r="EA2335" s="114" t="str">
        <f>$EB$81</f>
        <v>Select Equipment</v>
      </c>
      <c r="EB2335" s="436" t="s">
        <v>374</v>
      </c>
      <c r="EC2335" s="120"/>
      <c r="ED2335" s="459" t="s">
        <v>564</v>
      </c>
      <c r="EE2335" s="469"/>
      <c r="EF2335" s="440" t="s">
        <v>569</v>
      </c>
    </row>
    <row r="2336" spans="53:136">
      <c r="BA2336" s="114" t="str">
        <f>$BB$80</f>
        <v>Select Equipment</v>
      </c>
      <c r="BB2336" s="436"/>
      <c r="BC2336" s="120"/>
      <c r="BD2336" s="472"/>
      <c r="BE2336" s="473"/>
      <c r="BF2336" s="440"/>
      <c r="CA2336" s="114" t="str">
        <f>$CB$80</f>
        <v>Select Equipment</v>
      </c>
      <c r="CB2336" s="436"/>
      <c r="CC2336" s="120"/>
      <c r="CD2336" s="472"/>
      <c r="CE2336" s="473"/>
      <c r="CF2336" s="440"/>
      <c r="DA2336" s="114" t="str">
        <f>$DB$80</f>
        <v>Select Equipment</v>
      </c>
      <c r="DB2336" s="436"/>
      <c r="DC2336" s="120"/>
      <c r="DD2336" s="472"/>
      <c r="DE2336" s="473"/>
      <c r="DF2336" s="440"/>
      <c r="EA2336" s="114" t="str">
        <f>$EB$82</f>
        <v>Select Equipment</v>
      </c>
      <c r="EB2336" s="436"/>
      <c r="EC2336" s="120"/>
      <c r="ED2336" s="472"/>
      <c r="EE2336" s="473"/>
      <c r="EF2336" s="440"/>
    </row>
    <row r="2337" spans="53:136">
      <c r="BA2337" s="114" t="str">
        <f>$BB$81</f>
        <v>Select Equipment</v>
      </c>
      <c r="BB2337" s="436" t="s">
        <v>580</v>
      </c>
      <c r="BC2337" s="120"/>
      <c r="BD2337" s="459" t="s">
        <v>564</v>
      </c>
      <c r="BE2337" s="473"/>
      <c r="BF2337" s="440" t="s">
        <v>569</v>
      </c>
      <c r="CA2337" s="114" t="str">
        <f>$CB$81</f>
        <v>Select Equipment</v>
      </c>
      <c r="CB2337" s="436" t="s">
        <v>580</v>
      </c>
      <c r="CC2337" s="120"/>
      <c r="CD2337" s="459" t="s">
        <v>564</v>
      </c>
      <c r="CE2337" s="473"/>
      <c r="CF2337" s="440" t="s">
        <v>569</v>
      </c>
      <c r="DA2337" s="114" t="str">
        <f>$DB$81</f>
        <v>Select Equipment</v>
      </c>
      <c r="DB2337" s="436" t="s">
        <v>580</v>
      </c>
      <c r="DC2337" s="120"/>
      <c r="DD2337" s="459" t="s">
        <v>564</v>
      </c>
      <c r="DE2337" s="473"/>
      <c r="DF2337" s="440" t="s">
        <v>569</v>
      </c>
      <c r="EA2337" s="114" t="str">
        <f>$EB$83</f>
        <v>Select Equipment</v>
      </c>
      <c r="EB2337" s="436" t="s">
        <v>580</v>
      </c>
      <c r="EC2337" s="120"/>
      <c r="ED2337" s="459" t="s">
        <v>564</v>
      </c>
      <c r="EE2337" s="473"/>
      <c r="EF2337" s="440" t="s">
        <v>569</v>
      </c>
    </row>
    <row r="2338" spans="53:136">
      <c r="BA2338" s="114" t="str">
        <f>$BB$82</f>
        <v>Select Equipment</v>
      </c>
      <c r="BB2338" s="476"/>
      <c r="BC2338" s="477"/>
      <c r="BD2338" s="478"/>
      <c r="BE2338" s="479"/>
      <c r="BF2338" s="458"/>
      <c r="CA2338" s="114" t="str">
        <f>$CB$82</f>
        <v>Select Equipment</v>
      </c>
      <c r="CB2338" s="476"/>
      <c r="CC2338" s="477"/>
      <c r="CD2338" s="478"/>
      <c r="CE2338" s="479"/>
      <c r="CF2338" s="458"/>
      <c r="DA2338" s="114" t="str">
        <f>$DB$82</f>
        <v>Select Equipment</v>
      </c>
      <c r="DB2338" s="476"/>
      <c r="DC2338" s="477"/>
      <c r="DD2338" s="478"/>
      <c r="DE2338" s="479"/>
      <c r="DF2338" s="458"/>
      <c r="EA2338" s="114" t="str">
        <f>$EB$84</f>
        <v>Select Equipment</v>
      </c>
      <c r="EB2338" s="476"/>
      <c r="EC2338" s="477"/>
      <c r="ED2338" s="478"/>
      <c r="EE2338" s="479"/>
      <c r="EF2338" s="458"/>
    </row>
    <row r="2339" spans="53:136">
      <c r="BA2339" s="114" t="str">
        <f>$BB$83</f>
        <v>Select Equipment</v>
      </c>
      <c r="BB2339" s="449" t="s">
        <v>473</v>
      </c>
      <c r="BC2339" s="467" t="s">
        <v>508</v>
      </c>
      <c r="BD2339" s="480"/>
      <c r="BE2339" s="481" t="s">
        <v>308</v>
      </c>
      <c r="BF2339" s="440"/>
      <c r="CA2339" s="114" t="str">
        <f>$CB$83</f>
        <v>Select Equipment</v>
      </c>
      <c r="CB2339" s="449" t="s">
        <v>473</v>
      </c>
      <c r="CC2339" s="467" t="s">
        <v>508</v>
      </c>
      <c r="CD2339" s="480"/>
      <c r="CE2339" s="481" t="s">
        <v>308</v>
      </c>
      <c r="CF2339" s="440"/>
      <c r="DA2339" s="114" t="str">
        <f>$DB$83</f>
        <v>Select Equipment</v>
      </c>
      <c r="DB2339" s="449" t="s">
        <v>473</v>
      </c>
      <c r="DC2339" s="467" t="s">
        <v>508</v>
      </c>
      <c r="DD2339" s="480"/>
      <c r="DE2339" s="481" t="s">
        <v>308</v>
      </c>
      <c r="DF2339" s="440"/>
      <c r="EA2339" s="114" t="str">
        <f>$EB$85</f>
        <v>Select Equipment</v>
      </c>
      <c r="EB2339" s="449" t="s">
        <v>473</v>
      </c>
      <c r="EC2339" s="467" t="s">
        <v>508</v>
      </c>
      <c r="ED2339" s="480"/>
      <c r="EE2339" s="481" t="s">
        <v>308</v>
      </c>
      <c r="EF2339" s="440"/>
    </row>
    <row r="2340" spans="53:136">
      <c r="BB2340" s="436"/>
      <c r="BC2340" s="483"/>
      <c r="BD2340" s="480"/>
      <c r="BE2340" s="484"/>
      <c r="BF2340" s="440"/>
      <c r="CB2340" s="436"/>
      <c r="CC2340" s="483"/>
      <c r="CD2340" s="480"/>
      <c r="CE2340" s="484"/>
      <c r="CF2340" s="440"/>
      <c r="DB2340" s="436"/>
      <c r="DC2340" s="483"/>
      <c r="DD2340" s="480"/>
      <c r="DE2340" s="484"/>
      <c r="DF2340" s="440"/>
      <c r="EB2340" s="436"/>
      <c r="EC2340" s="483"/>
      <c r="ED2340" s="480"/>
      <c r="EE2340" s="484"/>
      <c r="EF2340" s="440"/>
    </row>
    <row r="2341" spans="53:136">
      <c r="BB2341" s="436"/>
      <c r="BC2341" s="120"/>
      <c r="BD2341" s="223"/>
      <c r="BE2341" s="467"/>
      <c r="BF2341" s="440"/>
      <c r="CB2341" s="436"/>
      <c r="CC2341" s="120"/>
      <c r="CD2341" s="223"/>
      <c r="CE2341" s="467"/>
      <c r="CF2341" s="440"/>
      <c r="DB2341" s="436"/>
      <c r="DC2341" s="120"/>
      <c r="DD2341" s="223"/>
      <c r="DE2341" s="467"/>
      <c r="DF2341" s="440"/>
      <c r="EB2341" s="436"/>
      <c r="EC2341" s="120"/>
      <c r="ED2341" s="223"/>
      <c r="EE2341" s="467"/>
      <c r="EF2341" s="440"/>
    </row>
    <row r="2342" spans="53:136">
      <c r="BB2342" s="436"/>
      <c r="BC2342" s="120"/>
      <c r="BD2342" s="466"/>
      <c r="BE2342" s="467"/>
      <c r="BF2342" s="440"/>
      <c r="CB2342" s="436"/>
      <c r="CC2342" s="120"/>
      <c r="CD2342" s="466"/>
      <c r="CE2342" s="467"/>
      <c r="CF2342" s="440"/>
      <c r="DB2342" s="436"/>
      <c r="DC2342" s="120"/>
      <c r="DD2342" s="466"/>
      <c r="DE2342" s="467"/>
      <c r="DF2342" s="440"/>
      <c r="EB2342" s="436"/>
      <c r="EC2342" s="120"/>
      <c r="ED2342" s="466"/>
      <c r="EE2342" s="467"/>
      <c r="EF2342" s="440"/>
    </row>
    <row r="2343" spans="53:136">
      <c r="BB2343" s="436"/>
      <c r="BC2343" s="120"/>
      <c r="BD2343" s="223"/>
      <c r="BE2343" s="467"/>
      <c r="BF2343" s="440"/>
      <c r="CB2343" s="436"/>
      <c r="CC2343" s="120"/>
      <c r="CD2343" s="223"/>
      <c r="CE2343" s="467"/>
      <c r="CF2343" s="440"/>
      <c r="DB2343" s="436"/>
      <c r="DC2343" s="120"/>
      <c r="DD2343" s="223"/>
      <c r="DE2343" s="467"/>
      <c r="DF2343" s="440"/>
      <c r="EB2343" s="436"/>
      <c r="EC2343" s="120"/>
      <c r="ED2343" s="223"/>
      <c r="EE2343" s="467"/>
      <c r="EF2343" s="440"/>
    </row>
    <row r="2344" spans="53:136">
      <c r="BB2344" s="436"/>
      <c r="BC2344" s="120"/>
      <c r="BD2344" s="223"/>
      <c r="BE2344" s="467"/>
      <c r="BF2344" s="440"/>
      <c r="CB2344" s="436"/>
      <c r="CC2344" s="120"/>
      <c r="CD2344" s="223"/>
      <c r="CE2344" s="467"/>
      <c r="CF2344" s="440"/>
      <c r="DB2344" s="436"/>
      <c r="DC2344" s="120"/>
      <c r="DD2344" s="223"/>
      <c r="DE2344" s="467"/>
      <c r="DF2344" s="440"/>
      <c r="EB2344" s="436"/>
      <c r="EC2344" s="120"/>
      <c r="ED2344" s="223"/>
      <c r="EE2344" s="467"/>
      <c r="EF2344" s="440"/>
    </row>
    <row r="2345" spans="53:136">
      <c r="BB2345" s="436"/>
      <c r="BC2345" s="120"/>
      <c r="BD2345" s="471"/>
      <c r="BE2345" s="467"/>
      <c r="BF2345" s="440"/>
      <c r="CB2345" s="436"/>
      <c r="CC2345" s="120"/>
      <c r="CD2345" s="471"/>
      <c r="CE2345" s="467"/>
      <c r="CF2345" s="440"/>
      <c r="DB2345" s="436"/>
      <c r="DC2345" s="120"/>
      <c r="DD2345" s="471"/>
      <c r="DE2345" s="467"/>
      <c r="DF2345" s="440"/>
      <c r="EB2345" s="436"/>
      <c r="EC2345" s="120"/>
      <c r="ED2345" s="471"/>
      <c r="EE2345" s="467"/>
      <c r="EF2345" s="440"/>
    </row>
    <row r="2346" spans="53:136">
      <c r="BB2346" s="436"/>
      <c r="BC2346" s="120"/>
      <c r="BD2346" s="223"/>
      <c r="BE2346" s="467"/>
      <c r="BF2346" s="440"/>
      <c r="CB2346" s="436"/>
      <c r="CC2346" s="120"/>
      <c r="CD2346" s="223"/>
      <c r="CE2346" s="467"/>
      <c r="CF2346" s="440"/>
      <c r="DB2346" s="436"/>
      <c r="DC2346" s="120"/>
      <c r="DD2346" s="223"/>
      <c r="DE2346" s="467"/>
      <c r="DF2346" s="440"/>
      <c r="EB2346" s="436"/>
      <c r="EC2346" s="120"/>
      <c r="ED2346" s="223"/>
      <c r="EE2346" s="467"/>
      <c r="EF2346" s="440"/>
    </row>
    <row r="2347" spans="53:136">
      <c r="BB2347" s="436"/>
      <c r="BC2347" s="120"/>
      <c r="BD2347" s="475"/>
      <c r="BE2347" s="467"/>
      <c r="BF2347" s="440"/>
      <c r="CB2347" s="436"/>
      <c r="CC2347" s="120"/>
      <c r="CD2347" s="475"/>
      <c r="CE2347" s="467"/>
      <c r="CF2347" s="440"/>
      <c r="DB2347" s="436"/>
      <c r="DC2347" s="120"/>
      <c r="DD2347" s="475"/>
      <c r="DE2347" s="467"/>
      <c r="DF2347" s="440"/>
      <c r="EB2347" s="436"/>
      <c r="EC2347" s="120"/>
      <c r="ED2347" s="475"/>
      <c r="EE2347" s="467"/>
      <c r="EF2347" s="440"/>
    </row>
    <row r="2348" spans="53:136">
      <c r="BB2348" s="436"/>
      <c r="BC2348" s="120"/>
      <c r="BD2348" s="223"/>
      <c r="BE2348" s="467"/>
      <c r="BF2348" s="440"/>
      <c r="CB2348" s="436"/>
      <c r="CC2348" s="120"/>
      <c r="CD2348" s="223"/>
      <c r="CE2348" s="467"/>
      <c r="CF2348" s="440"/>
      <c r="DB2348" s="436"/>
      <c r="DC2348" s="120"/>
      <c r="DD2348" s="223"/>
      <c r="DE2348" s="467"/>
      <c r="DF2348" s="440"/>
      <c r="EB2348" s="436"/>
      <c r="EC2348" s="120"/>
      <c r="ED2348" s="223"/>
      <c r="EE2348" s="467"/>
      <c r="EF2348" s="440"/>
    </row>
    <row r="2349" spans="53:136">
      <c r="BB2349" s="436"/>
      <c r="BC2349" s="120"/>
      <c r="BD2349" s="223"/>
      <c r="BE2349" s="467"/>
      <c r="BF2349" s="440"/>
      <c r="CB2349" s="436"/>
      <c r="CC2349" s="120"/>
      <c r="CD2349" s="223"/>
      <c r="CE2349" s="467"/>
      <c r="CF2349" s="440"/>
      <c r="DB2349" s="436"/>
      <c r="DC2349" s="120"/>
      <c r="DD2349" s="223"/>
      <c r="DE2349" s="467"/>
      <c r="DF2349" s="440"/>
      <c r="EB2349" s="436"/>
      <c r="EC2349" s="120"/>
      <c r="ED2349" s="223"/>
      <c r="EE2349" s="467"/>
      <c r="EF2349" s="440"/>
    </row>
    <row r="2350" spans="53:136">
      <c r="BB2350" s="436"/>
      <c r="BC2350" s="120"/>
      <c r="BD2350" s="223"/>
      <c r="BE2350" s="467"/>
      <c r="BF2350" s="440"/>
      <c r="CB2350" s="436"/>
      <c r="CC2350" s="120"/>
      <c r="CD2350" s="223"/>
      <c r="CE2350" s="467"/>
      <c r="CF2350" s="440"/>
      <c r="DB2350" s="436"/>
      <c r="DC2350" s="120"/>
      <c r="DD2350" s="223"/>
      <c r="DE2350" s="467"/>
      <c r="DF2350" s="440"/>
      <c r="EB2350" s="436"/>
      <c r="EC2350" s="120"/>
      <c r="ED2350" s="223"/>
      <c r="EE2350" s="467"/>
      <c r="EF2350" s="440"/>
    </row>
    <row r="2351" spans="53:136">
      <c r="BB2351" s="436"/>
      <c r="BC2351" s="120"/>
      <c r="BD2351" s="223"/>
      <c r="BE2351" s="467"/>
      <c r="BF2351" s="440"/>
      <c r="CB2351" s="436"/>
      <c r="CC2351" s="120"/>
      <c r="CD2351" s="223"/>
      <c r="CE2351" s="467"/>
      <c r="CF2351" s="440"/>
      <c r="DB2351" s="436"/>
      <c r="DC2351" s="120"/>
      <c r="DD2351" s="223"/>
      <c r="DE2351" s="467"/>
      <c r="DF2351" s="440"/>
      <c r="EB2351" s="436"/>
      <c r="EC2351" s="120"/>
      <c r="ED2351" s="223"/>
      <c r="EE2351" s="467"/>
      <c r="EF2351" s="440"/>
    </row>
    <row r="2352" spans="53:136">
      <c r="BB2352" s="436"/>
      <c r="BC2352" s="120"/>
      <c r="BD2352" s="120"/>
      <c r="BE2352" s="467"/>
      <c r="BF2352" s="440"/>
      <c r="CB2352" s="436"/>
      <c r="CC2352" s="120"/>
      <c r="CD2352" s="120"/>
      <c r="CE2352" s="467"/>
      <c r="CF2352" s="440"/>
      <c r="DB2352" s="436"/>
      <c r="DC2352" s="120"/>
      <c r="DD2352" s="120"/>
      <c r="DE2352" s="467"/>
      <c r="DF2352" s="440"/>
      <c r="EB2352" s="436"/>
      <c r="EC2352" s="120"/>
      <c r="ED2352" s="120"/>
      <c r="EE2352" s="467"/>
      <c r="EF2352" s="440"/>
    </row>
    <row r="2353" spans="54:136">
      <c r="BB2353" s="456"/>
      <c r="BC2353" s="457"/>
      <c r="BD2353" s="457"/>
      <c r="BE2353" s="477"/>
      <c r="BF2353" s="458"/>
      <c r="CB2353" s="456"/>
      <c r="CC2353" s="457"/>
      <c r="CD2353" s="457"/>
      <c r="CE2353" s="477"/>
      <c r="CF2353" s="458"/>
      <c r="DB2353" s="456"/>
      <c r="DC2353" s="457"/>
      <c r="DD2353" s="457"/>
      <c r="DE2353" s="477"/>
      <c r="DF2353" s="458"/>
      <c r="EB2353" s="456"/>
      <c r="EC2353" s="457"/>
      <c r="ED2353" s="457"/>
      <c r="EE2353" s="477"/>
      <c r="EF2353" s="458"/>
    </row>
    <row r="2354" spans="54:136">
      <c r="BB2354" s="449" t="s">
        <v>474</v>
      </c>
      <c r="BC2354" s="120"/>
      <c r="BD2354" s="120" t="s">
        <v>1</v>
      </c>
      <c r="BE2354" s="310" t="s">
        <v>307</v>
      </c>
      <c r="BF2354" s="440"/>
      <c r="CB2354" s="449" t="s">
        <v>474</v>
      </c>
      <c r="CC2354" s="120"/>
      <c r="CD2354" s="120" t="s">
        <v>1</v>
      </c>
      <c r="CE2354" s="310" t="s">
        <v>307</v>
      </c>
      <c r="CF2354" s="440"/>
      <c r="DB2354" s="449" t="s">
        <v>474</v>
      </c>
      <c r="DC2354" s="120"/>
      <c r="DD2354" s="120" t="s">
        <v>1</v>
      </c>
      <c r="DE2354" s="310" t="s">
        <v>307</v>
      </c>
      <c r="DF2354" s="440"/>
      <c r="EB2354" s="449" t="s">
        <v>474</v>
      </c>
      <c r="EC2354" s="120"/>
      <c r="ED2354" s="120" t="s">
        <v>1</v>
      </c>
      <c r="EE2354" s="310" t="s">
        <v>307</v>
      </c>
      <c r="EF2354" s="440"/>
    </row>
    <row r="2355" spans="54:136">
      <c r="BB2355" s="436"/>
      <c r="BC2355" s="223"/>
      <c r="BD2355" s="480"/>
      <c r="BE2355" s="484"/>
      <c r="BF2355" s="440"/>
      <c r="CB2355" s="436"/>
      <c r="CC2355" s="223"/>
      <c r="CD2355" s="480"/>
      <c r="CE2355" s="484"/>
      <c r="CF2355" s="440"/>
      <c r="DB2355" s="436"/>
      <c r="DC2355" s="223"/>
      <c r="DD2355" s="480"/>
      <c r="DE2355" s="484"/>
      <c r="DF2355" s="440"/>
      <c r="EB2355" s="436"/>
      <c r="EC2355" s="223"/>
      <c r="ED2355" s="480"/>
      <c r="EE2355" s="484"/>
      <c r="EF2355" s="440"/>
    </row>
    <row r="2356" spans="54:136">
      <c r="BB2356" s="436"/>
      <c r="BC2356" s="120"/>
      <c r="BD2356" s="120"/>
      <c r="BE2356" s="467"/>
      <c r="BF2356" s="440"/>
      <c r="CB2356" s="436"/>
      <c r="CC2356" s="120"/>
      <c r="CD2356" s="120"/>
      <c r="CE2356" s="467"/>
      <c r="CF2356" s="440"/>
      <c r="DB2356" s="436"/>
      <c r="DC2356" s="120"/>
      <c r="DD2356" s="120"/>
      <c r="DE2356" s="467"/>
      <c r="DF2356" s="440"/>
      <c r="EB2356" s="436"/>
      <c r="EC2356" s="120"/>
      <c r="ED2356" s="120"/>
      <c r="EE2356" s="467"/>
      <c r="EF2356" s="440"/>
    </row>
    <row r="2357" spans="54:136">
      <c r="BB2357" s="436"/>
      <c r="BC2357" s="120"/>
      <c r="BD2357" s="120"/>
      <c r="BE2357" s="467"/>
      <c r="BF2357" s="440"/>
      <c r="CB2357" s="436"/>
      <c r="CC2357" s="120"/>
      <c r="CD2357" s="120"/>
      <c r="CE2357" s="467"/>
      <c r="CF2357" s="440"/>
      <c r="DB2357" s="436"/>
      <c r="DC2357" s="120"/>
      <c r="DD2357" s="120"/>
      <c r="DE2357" s="467"/>
      <c r="DF2357" s="440"/>
      <c r="EB2357" s="436"/>
      <c r="EC2357" s="120"/>
      <c r="ED2357" s="120"/>
      <c r="EE2357" s="467"/>
      <c r="EF2357" s="440"/>
    </row>
    <row r="2358" spans="54:136">
      <c r="BB2358" s="436"/>
      <c r="BC2358" s="120"/>
      <c r="BD2358" s="120"/>
      <c r="BE2358" s="467"/>
      <c r="BF2358" s="440"/>
      <c r="CB2358" s="436"/>
      <c r="CC2358" s="120"/>
      <c r="CD2358" s="120"/>
      <c r="CE2358" s="467"/>
      <c r="CF2358" s="440"/>
      <c r="DB2358" s="436"/>
      <c r="DC2358" s="120"/>
      <c r="DD2358" s="120"/>
      <c r="DE2358" s="467"/>
      <c r="DF2358" s="440"/>
      <c r="EB2358" s="436"/>
      <c r="EC2358" s="120"/>
      <c r="ED2358" s="120"/>
      <c r="EE2358" s="467"/>
      <c r="EF2358" s="440"/>
    </row>
    <row r="2359" spans="54:136">
      <c r="BB2359" s="436"/>
      <c r="BC2359" s="120"/>
      <c r="BD2359" s="120"/>
      <c r="BE2359" s="467"/>
      <c r="BF2359" s="440"/>
      <c r="CB2359" s="436"/>
      <c r="CC2359" s="120"/>
      <c r="CD2359" s="120"/>
      <c r="CE2359" s="467"/>
      <c r="CF2359" s="440"/>
      <c r="DB2359" s="436"/>
      <c r="DC2359" s="120"/>
      <c r="DD2359" s="120"/>
      <c r="DE2359" s="467"/>
      <c r="DF2359" s="440"/>
      <c r="EB2359" s="436"/>
      <c r="EC2359" s="120"/>
      <c r="ED2359" s="120"/>
      <c r="EE2359" s="467"/>
      <c r="EF2359" s="440"/>
    </row>
    <row r="2360" spans="54:136">
      <c r="BB2360" s="436"/>
      <c r="BC2360" s="120"/>
      <c r="BD2360" s="120"/>
      <c r="BE2360" s="467"/>
      <c r="BF2360" s="440"/>
      <c r="CB2360" s="436"/>
      <c r="CC2360" s="120"/>
      <c r="CD2360" s="120"/>
      <c r="CE2360" s="467"/>
      <c r="CF2360" s="440"/>
      <c r="DB2360" s="436"/>
      <c r="DC2360" s="120"/>
      <c r="DD2360" s="120"/>
      <c r="DE2360" s="467"/>
      <c r="DF2360" s="440"/>
      <c r="EB2360" s="436"/>
      <c r="EC2360" s="120"/>
      <c r="ED2360" s="120"/>
      <c r="EE2360" s="467"/>
      <c r="EF2360" s="440"/>
    </row>
    <row r="2361" spans="54:136">
      <c r="BB2361" s="436"/>
      <c r="BC2361" s="120"/>
      <c r="BD2361" s="120"/>
      <c r="BE2361" s="467"/>
      <c r="BF2361" s="440"/>
      <c r="CB2361" s="436"/>
      <c r="CC2361" s="120"/>
      <c r="CD2361" s="120"/>
      <c r="CE2361" s="467"/>
      <c r="CF2361" s="440"/>
      <c r="DB2361" s="436"/>
      <c r="DC2361" s="120"/>
      <c r="DD2361" s="120"/>
      <c r="DE2361" s="467"/>
      <c r="DF2361" s="440"/>
      <c r="EB2361" s="436"/>
      <c r="EC2361" s="120"/>
      <c r="ED2361" s="120"/>
      <c r="EE2361" s="467"/>
      <c r="EF2361" s="440"/>
    </row>
    <row r="2362" spans="54:136">
      <c r="BB2362" s="436"/>
      <c r="BC2362" s="120"/>
      <c r="BD2362" s="120"/>
      <c r="BE2362" s="467"/>
      <c r="BF2362" s="440"/>
      <c r="CB2362" s="436"/>
      <c r="CC2362" s="120"/>
      <c r="CD2362" s="120"/>
      <c r="CE2362" s="467"/>
      <c r="CF2362" s="440"/>
      <c r="DB2362" s="436"/>
      <c r="DC2362" s="120"/>
      <c r="DD2362" s="120"/>
      <c r="DE2362" s="467"/>
      <c r="DF2362" s="440"/>
      <c r="EB2362" s="436"/>
      <c r="EC2362" s="120"/>
      <c r="ED2362" s="120"/>
      <c r="EE2362" s="467"/>
      <c r="EF2362" s="440"/>
    </row>
    <row r="2363" spans="54:136">
      <c r="BB2363" s="436"/>
      <c r="BC2363" s="120"/>
      <c r="BD2363" s="120"/>
      <c r="BE2363" s="467"/>
      <c r="BF2363" s="440"/>
      <c r="CB2363" s="436"/>
      <c r="CC2363" s="120"/>
      <c r="CD2363" s="120"/>
      <c r="CE2363" s="467"/>
      <c r="CF2363" s="440"/>
      <c r="DB2363" s="436"/>
      <c r="DC2363" s="120"/>
      <c r="DD2363" s="120"/>
      <c r="DE2363" s="467"/>
      <c r="DF2363" s="440"/>
      <c r="EB2363" s="436"/>
      <c r="EC2363" s="120"/>
      <c r="ED2363" s="120"/>
      <c r="EE2363" s="467"/>
      <c r="EF2363" s="440"/>
    </row>
    <row r="2364" spans="54:136">
      <c r="BB2364" s="436"/>
      <c r="BC2364" s="120"/>
      <c r="BD2364" s="120"/>
      <c r="BE2364" s="467"/>
      <c r="BF2364" s="440"/>
      <c r="CB2364" s="436"/>
      <c r="CC2364" s="120"/>
      <c r="CD2364" s="120"/>
      <c r="CE2364" s="467"/>
      <c r="CF2364" s="440"/>
      <c r="DB2364" s="436"/>
      <c r="DC2364" s="120"/>
      <c r="DD2364" s="120"/>
      <c r="DE2364" s="467"/>
      <c r="DF2364" s="440"/>
      <c r="EB2364" s="436"/>
      <c r="EC2364" s="120"/>
      <c r="ED2364" s="120"/>
      <c r="EE2364" s="467"/>
      <c r="EF2364" s="440"/>
    </row>
    <row r="2365" spans="54:136">
      <c r="BB2365" s="436"/>
      <c r="BC2365" s="120"/>
      <c r="BD2365" s="120"/>
      <c r="BE2365" s="467"/>
      <c r="BF2365" s="440"/>
      <c r="CB2365" s="436"/>
      <c r="CC2365" s="120"/>
      <c r="CD2365" s="120"/>
      <c r="CE2365" s="467"/>
      <c r="CF2365" s="440"/>
      <c r="DB2365" s="436"/>
      <c r="DC2365" s="120"/>
      <c r="DD2365" s="120"/>
      <c r="DE2365" s="467"/>
      <c r="DF2365" s="440"/>
      <c r="EB2365" s="436"/>
      <c r="EC2365" s="120"/>
      <c r="ED2365" s="120"/>
      <c r="EE2365" s="467"/>
      <c r="EF2365" s="440"/>
    </row>
    <row r="2366" spans="54:136">
      <c r="BB2366" s="436"/>
      <c r="BC2366" s="120"/>
      <c r="BD2366" s="120"/>
      <c r="BE2366" s="467"/>
      <c r="BF2366" s="440"/>
      <c r="CB2366" s="436"/>
      <c r="CC2366" s="120"/>
      <c r="CD2366" s="120"/>
      <c r="CE2366" s="467"/>
      <c r="CF2366" s="440"/>
      <c r="DB2366" s="436"/>
      <c r="DC2366" s="120"/>
      <c r="DD2366" s="120"/>
      <c r="DE2366" s="467"/>
      <c r="DF2366" s="440"/>
      <c r="EB2366" s="436"/>
      <c r="EC2366" s="120"/>
      <c r="ED2366" s="120"/>
      <c r="EE2366" s="467"/>
      <c r="EF2366" s="440"/>
    </row>
    <row r="2367" spans="54:136">
      <c r="BB2367" s="456"/>
      <c r="BC2367" s="457"/>
      <c r="BD2367" s="457"/>
      <c r="BE2367" s="477"/>
      <c r="BF2367" s="458"/>
      <c r="CB2367" s="456"/>
      <c r="CC2367" s="457"/>
      <c r="CD2367" s="457"/>
      <c r="CE2367" s="477"/>
      <c r="CF2367" s="458"/>
      <c r="DB2367" s="456"/>
      <c r="DC2367" s="457"/>
      <c r="DD2367" s="457"/>
      <c r="DE2367" s="477"/>
      <c r="DF2367" s="458"/>
      <c r="EB2367" s="456"/>
      <c r="EC2367" s="457"/>
      <c r="ED2367" s="457"/>
      <c r="EE2367" s="477"/>
      <c r="EF2367" s="458"/>
    </row>
    <row r="2368" spans="54:136">
      <c r="BB2368" s="456"/>
      <c r="BC2368" s="457"/>
      <c r="BD2368" s="457"/>
      <c r="BE2368" s="457"/>
      <c r="BF2368" s="458"/>
      <c r="CB2368" s="456"/>
      <c r="CC2368" s="457"/>
      <c r="CD2368" s="457"/>
      <c r="CE2368" s="457"/>
      <c r="CF2368" s="458"/>
      <c r="DB2368" s="456"/>
      <c r="DC2368" s="457"/>
      <c r="DD2368" s="457"/>
      <c r="DE2368" s="457"/>
      <c r="DF2368" s="458"/>
      <c r="EB2368" s="456"/>
      <c r="EC2368" s="457"/>
      <c r="ED2368" s="457"/>
      <c r="EE2368" s="457"/>
      <c r="EF2368" s="458"/>
    </row>
    <row r="2369" spans="54:136">
      <c r="BB2369" s="449" t="s">
        <v>475</v>
      </c>
      <c r="BC2369" s="120"/>
      <c r="BD2369" s="120"/>
      <c r="BE2369" s="120"/>
      <c r="BF2369" s="440"/>
      <c r="CB2369" s="449" t="s">
        <v>475</v>
      </c>
      <c r="CC2369" s="120"/>
      <c r="CD2369" s="120"/>
      <c r="CE2369" s="120"/>
      <c r="CF2369" s="440"/>
      <c r="DB2369" s="449" t="s">
        <v>475</v>
      </c>
      <c r="DC2369" s="120"/>
      <c r="DD2369" s="120"/>
      <c r="DE2369" s="120"/>
      <c r="DF2369" s="440"/>
      <c r="EB2369" s="449" t="s">
        <v>475</v>
      </c>
      <c r="EC2369" s="120"/>
      <c r="ED2369" s="120"/>
      <c r="EE2369" s="120"/>
      <c r="EF2369" s="440"/>
    </row>
    <row r="2370" spans="54:136">
      <c r="BB2370" s="436" t="s">
        <v>509</v>
      </c>
      <c r="BC2370" s="120"/>
      <c r="BD2370" s="120"/>
      <c r="BE2370" s="120"/>
      <c r="BF2370" s="440"/>
      <c r="CB2370" s="436" t="s">
        <v>509</v>
      </c>
      <c r="CC2370" s="120"/>
      <c r="CD2370" s="120"/>
      <c r="CE2370" s="120"/>
      <c r="CF2370" s="440"/>
      <c r="DB2370" s="436" t="s">
        <v>509</v>
      </c>
      <c r="DC2370" s="120"/>
      <c r="DD2370" s="120"/>
      <c r="DE2370" s="120"/>
      <c r="DF2370" s="440"/>
      <c r="EB2370" s="436" t="s">
        <v>509</v>
      </c>
      <c r="EC2370" s="120"/>
      <c r="ED2370" s="120"/>
      <c r="EE2370" s="120"/>
      <c r="EF2370" s="440"/>
    </row>
    <row r="2371" spans="54:136">
      <c r="BB2371" s="436" t="s">
        <v>510</v>
      </c>
      <c r="BC2371" s="120"/>
      <c r="BD2371" s="120"/>
      <c r="BE2371" s="120"/>
      <c r="BF2371" s="440"/>
      <c r="CB2371" s="436" t="s">
        <v>510</v>
      </c>
      <c r="CC2371" s="120"/>
      <c r="CD2371" s="120"/>
      <c r="CE2371" s="120"/>
      <c r="CF2371" s="440"/>
      <c r="DB2371" s="436" t="s">
        <v>510</v>
      </c>
      <c r="DC2371" s="120"/>
      <c r="DD2371" s="120"/>
      <c r="DE2371" s="120"/>
      <c r="DF2371" s="440"/>
      <c r="EB2371" s="436" t="s">
        <v>510</v>
      </c>
      <c r="EC2371" s="120"/>
      <c r="ED2371" s="120"/>
      <c r="EE2371" s="120"/>
      <c r="EF2371" s="440"/>
    </row>
    <row r="2372" spans="54:136">
      <c r="BB2372" s="436"/>
      <c r="BC2372" s="120"/>
      <c r="BD2372" s="120"/>
      <c r="BE2372" s="120"/>
      <c r="BF2372" s="440"/>
      <c r="CB2372" s="436"/>
      <c r="CC2372" s="120"/>
      <c r="CD2372" s="120"/>
      <c r="CE2372" s="120"/>
      <c r="CF2372" s="440"/>
      <c r="DB2372" s="436"/>
      <c r="DC2372" s="120"/>
      <c r="DD2372" s="120"/>
      <c r="DE2372" s="120"/>
      <c r="DF2372" s="440"/>
      <c r="EB2372" s="436"/>
      <c r="EC2372" s="120"/>
      <c r="ED2372" s="120"/>
      <c r="EE2372" s="120"/>
      <c r="EF2372" s="440"/>
    </row>
    <row r="2373" spans="54:136">
      <c r="BB2373" s="436"/>
      <c r="BC2373" s="120"/>
      <c r="BD2373" s="120"/>
      <c r="BE2373" s="120"/>
      <c r="BF2373" s="440"/>
      <c r="CB2373" s="436"/>
      <c r="CC2373" s="120"/>
      <c r="CD2373" s="120"/>
      <c r="CE2373" s="120"/>
      <c r="CF2373" s="440"/>
      <c r="DB2373" s="436"/>
      <c r="DC2373" s="120"/>
      <c r="DD2373" s="120"/>
      <c r="DE2373" s="120"/>
      <c r="DF2373" s="440"/>
      <c r="EB2373" s="436"/>
      <c r="EC2373" s="120"/>
      <c r="ED2373" s="120"/>
      <c r="EE2373" s="120"/>
      <c r="EF2373" s="440"/>
    </row>
    <row r="2374" spans="54:136">
      <c r="BB2374" s="436"/>
      <c r="BC2374" s="120"/>
      <c r="BD2374" s="120"/>
      <c r="BE2374" s="120"/>
      <c r="BF2374" s="440"/>
      <c r="CB2374" s="436"/>
      <c r="CC2374" s="120"/>
      <c r="CD2374" s="120"/>
      <c r="CE2374" s="120"/>
      <c r="CF2374" s="440"/>
      <c r="DB2374" s="436"/>
      <c r="DC2374" s="120"/>
      <c r="DD2374" s="120"/>
      <c r="DE2374" s="120"/>
      <c r="DF2374" s="440"/>
      <c r="EB2374" s="436"/>
      <c r="EC2374" s="120"/>
      <c r="ED2374" s="120"/>
      <c r="EE2374" s="120"/>
      <c r="EF2374" s="440"/>
    </row>
    <row r="2375" spans="54:136">
      <c r="BB2375" s="436"/>
      <c r="BC2375" s="120"/>
      <c r="BD2375" s="120"/>
      <c r="BE2375" s="120"/>
      <c r="BF2375" s="440"/>
      <c r="CB2375" s="436"/>
      <c r="CC2375" s="120"/>
      <c r="CD2375" s="120"/>
      <c r="CE2375" s="120"/>
      <c r="CF2375" s="440"/>
      <c r="DB2375" s="436"/>
      <c r="DC2375" s="120"/>
      <c r="DD2375" s="120"/>
      <c r="DE2375" s="120"/>
      <c r="DF2375" s="440"/>
      <c r="EB2375" s="436"/>
      <c r="EC2375" s="120"/>
      <c r="ED2375" s="120"/>
      <c r="EE2375" s="120"/>
      <c r="EF2375" s="440"/>
    </row>
    <row r="2376" spans="54:136">
      <c r="BB2376" s="436" t="s">
        <v>511</v>
      </c>
      <c r="BC2376" s="120">
        <v>0</v>
      </c>
      <c r="BD2376" s="120" t="s">
        <v>512</v>
      </c>
      <c r="BE2376" s="120"/>
      <c r="BF2376" s="440"/>
      <c r="CB2376" s="436" t="s">
        <v>511</v>
      </c>
      <c r="CC2376" s="120">
        <v>0</v>
      </c>
      <c r="CD2376" s="120" t="s">
        <v>512</v>
      </c>
      <c r="CE2376" s="120"/>
      <c r="CF2376" s="440"/>
      <c r="DB2376" s="436" t="s">
        <v>511</v>
      </c>
      <c r="DC2376" s="120">
        <v>0</v>
      </c>
      <c r="DD2376" s="120" t="s">
        <v>512</v>
      </c>
      <c r="DE2376" s="120"/>
      <c r="DF2376" s="440"/>
      <c r="EB2376" s="436" t="s">
        <v>511</v>
      </c>
      <c r="EC2376" s="120">
        <v>0</v>
      </c>
      <c r="ED2376" s="120" t="s">
        <v>512</v>
      </c>
      <c r="EE2376" s="120"/>
      <c r="EF2376" s="440"/>
    </row>
    <row r="2377" spans="54:136">
      <c r="BB2377" s="436" t="s">
        <v>513</v>
      </c>
      <c r="BC2377" s="120">
        <v>0</v>
      </c>
      <c r="BD2377" s="120" t="s">
        <v>512</v>
      </c>
      <c r="BE2377" s="120"/>
      <c r="BF2377" s="440"/>
      <c r="CB2377" s="436" t="s">
        <v>513</v>
      </c>
      <c r="CC2377" s="120">
        <v>0</v>
      </c>
      <c r="CD2377" s="120" t="s">
        <v>512</v>
      </c>
      <c r="CE2377" s="120"/>
      <c r="CF2377" s="440"/>
      <c r="DB2377" s="436" t="s">
        <v>513</v>
      </c>
      <c r="DC2377" s="120">
        <v>0</v>
      </c>
      <c r="DD2377" s="120" t="s">
        <v>512</v>
      </c>
      <c r="DE2377" s="120"/>
      <c r="DF2377" s="440"/>
      <c r="EB2377" s="436" t="s">
        <v>513</v>
      </c>
      <c r="EC2377" s="120">
        <v>0</v>
      </c>
      <c r="ED2377" s="120" t="s">
        <v>512</v>
      </c>
      <c r="EE2377" s="120"/>
      <c r="EF2377" s="440"/>
    </row>
    <row r="2378" spans="54:136">
      <c r="BB2378" s="456"/>
      <c r="BC2378" s="457"/>
      <c r="BD2378" s="457"/>
      <c r="BE2378" s="457"/>
      <c r="BF2378" s="458"/>
      <c r="CB2378" s="456"/>
      <c r="CC2378" s="457"/>
      <c r="CD2378" s="457"/>
      <c r="CE2378" s="457"/>
      <c r="CF2378" s="458"/>
      <c r="DB2378" s="456"/>
      <c r="DC2378" s="457"/>
      <c r="DD2378" s="457"/>
      <c r="DE2378" s="457"/>
      <c r="DF2378" s="458"/>
      <c r="EB2378" s="456"/>
      <c r="EC2378" s="457"/>
      <c r="ED2378" s="457"/>
      <c r="EE2378" s="457"/>
      <c r="EF2378" s="458"/>
    </row>
    <row r="2379" spans="54:136">
      <c r="BB2379" s="449" t="s">
        <v>461</v>
      </c>
      <c r="BC2379" s="120"/>
      <c r="BD2379" s="120"/>
      <c r="BE2379" s="120"/>
      <c r="BF2379" s="440"/>
      <c r="CB2379" s="449" t="s">
        <v>461</v>
      </c>
      <c r="CC2379" s="120"/>
      <c r="CD2379" s="120"/>
      <c r="CE2379" s="120"/>
      <c r="CF2379" s="440"/>
      <c r="DB2379" s="449" t="s">
        <v>461</v>
      </c>
      <c r="DC2379" s="120"/>
      <c r="DD2379" s="120"/>
      <c r="DE2379" s="120"/>
      <c r="DF2379" s="440"/>
      <c r="EB2379" s="449" t="s">
        <v>461</v>
      </c>
      <c r="EC2379" s="120"/>
      <c r="ED2379" s="120"/>
      <c r="EE2379" s="120"/>
      <c r="EF2379" s="440"/>
    </row>
    <row r="2380" spans="54:136">
      <c r="BB2380" s="436" t="s">
        <v>514</v>
      </c>
      <c r="BC2380" s="120">
        <f>VLOOKUP(BB2308,'Unit Ops'!$B$140:$K$209,10,FALSE)</f>
        <v>0</v>
      </c>
      <c r="BD2380" s="120" t="s">
        <v>515</v>
      </c>
      <c r="BE2380" s="120"/>
      <c r="BF2380" s="440"/>
      <c r="CB2380" s="436" t="s">
        <v>514</v>
      </c>
      <c r="CC2380" s="120">
        <f>VLOOKUP(CB2308,'Unit Ops'!$B$140:$K$209,10,FALSE)</f>
        <v>0</v>
      </c>
      <c r="CD2380" s="120" t="s">
        <v>515</v>
      </c>
      <c r="CE2380" s="120"/>
      <c r="CF2380" s="440"/>
      <c r="DB2380" s="436" t="s">
        <v>514</v>
      </c>
      <c r="DC2380" s="120">
        <f>VLOOKUP(DB2308,'Unit Ops'!$B$140:$K$209,10,FALSE)</f>
        <v>0</v>
      </c>
      <c r="DD2380" s="120" t="s">
        <v>515</v>
      </c>
      <c r="DE2380" s="120"/>
      <c r="DF2380" s="440"/>
      <c r="EB2380" s="436" t="s">
        <v>514</v>
      </c>
      <c r="EC2380" s="120">
        <f>VLOOKUP(EB2308,'Unit Ops'!$B$140:$K$209,10,FALSE)</f>
        <v>0</v>
      </c>
      <c r="ED2380" s="120" t="s">
        <v>515</v>
      </c>
      <c r="EE2380" s="120"/>
      <c r="EF2380" s="440"/>
    </row>
    <row r="2381" spans="54:136">
      <c r="BB2381" s="436" t="s">
        <v>516</v>
      </c>
      <c r="BC2381" s="120">
        <v>0</v>
      </c>
      <c r="BD2381" s="120" t="s">
        <v>515</v>
      </c>
      <c r="BE2381" s="120"/>
      <c r="BF2381" s="440"/>
      <c r="CB2381" s="436" t="s">
        <v>516</v>
      </c>
      <c r="CC2381" s="120">
        <v>0</v>
      </c>
      <c r="CD2381" s="120" t="s">
        <v>515</v>
      </c>
      <c r="CE2381" s="120"/>
      <c r="CF2381" s="440"/>
      <c r="DB2381" s="436" t="s">
        <v>516</v>
      </c>
      <c r="DC2381" s="120">
        <v>0</v>
      </c>
      <c r="DD2381" s="120" t="s">
        <v>515</v>
      </c>
      <c r="DE2381" s="120"/>
      <c r="DF2381" s="440"/>
      <c r="EB2381" s="436" t="s">
        <v>516</v>
      </c>
      <c r="EC2381" s="120">
        <v>0</v>
      </c>
      <c r="ED2381" s="120" t="s">
        <v>515</v>
      </c>
      <c r="EE2381" s="120"/>
      <c r="EF2381" s="440"/>
    </row>
    <row r="2382" spans="54:136">
      <c r="BB2382" s="436"/>
      <c r="BC2382" s="120"/>
      <c r="BD2382" s="120"/>
      <c r="BE2382" s="120"/>
      <c r="BF2382" s="440"/>
      <c r="CB2382" s="436"/>
      <c r="CC2382" s="120"/>
      <c r="CD2382" s="120"/>
      <c r="CE2382" s="120"/>
      <c r="CF2382" s="440"/>
      <c r="DB2382" s="436"/>
      <c r="DC2382" s="120"/>
      <c r="DD2382" s="120"/>
      <c r="DE2382" s="120"/>
      <c r="DF2382" s="440"/>
      <c r="EB2382" s="436"/>
      <c r="EC2382" s="120"/>
      <c r="ED2382" s="120"/>
      <c r="EE2382" s="120"/>
      <c r="EF2382" s="440"/>
    </row>
    <row r="2383" spans="54:136">
      <c r="BB2383" s="436"/>
      <c r="BC2383" s="120"/>
      <c r="BD2383" s="120"/>
      <c r="BE2383" s="120"/>
      <c r="BF2383" s="440"/>
      <c r="CB2383" s="436"/>
      <c r="CC2383" s="120"/>
      <c r="CD2383" s="120"/>
      <c r="CE2383" s="120"/>
      <c r="CF2383" s="440"/>
      <c r="DB2383" s="436"/>
      <c r="DC2383" s="120"/>
      <c r="DD2383" s="120"/>
      <c r="DE2383" s="120"/>
      <c r="DF2383" s="440"/>
      <c r="EB2383" s="436"/>
      <c r="EC2383" s="120"/>
      <c r="ED2383" s="120"/>
      <c r="EE2383" s="120"/>
      <c r="EF2383" s="440"/>
    </row>
    <row r="2384" spans="54:136">
      <c r="BB2384" s="436"/>
      <c r="BC2384" s="120"/>
      <c r="BD2384" s="120"/>
      <c r="BE2384" s="120"/>
      <c r="BF2384" s="440"/>
      <c r="CB2384" s="436"/>
      <c r="CC2384" s="120"/>
      <c r="CD2384" s="120"/>
      <c r="CE2384" s="120"/>
      <c r="CF2384" s="440"/>
      <c r="DB2384" s="436"/>
      <c r="DC2384" s="120"/>
      <c r="DD2384" s="120"/>
      <c r="DE2384" s="120"/>
      <c r="DF2384" s="440"/>
      <c r="EB2384" s="436"/>
      <c r="EC2384" s="120"/>
      <c r="ED2384" s="120"/>
      <c r="EE2384" s="120"/>
      <c r="EF2384" s="440"/>
    </row>
    <row r="2385" spans="54:136">
      <c r="BB2385" s="436"/>
      <c r="BC2385" s="120"/>
      <c r="BD2385" s="120"/>
      <c r="BE2385" s="120"/>
      <c r="BF2385" s="440"/>
      <c r="CB2385" s="436"/>
      <c r="CC2385" s="120"/>
      <c r="CD2385" s="120"/>
      <c r="CE2385" s="120"/>
      <c r="CF2385" s="440"/>
      <c r="DB2385" s="436"/>
      <c r="DC2385" s="120"/>
      <c r="DD2385" s="120"/>
      <c r="DE2385" s="120"/>
      <c r="DF2385" s="440"/>
      <c r="EB2385" s="436"/>
      <c r="EC2385" s="120"/>
      <c r="ED2385" s="120"/>
      <c r="EE2385" s="120"/>
      <c r="EF2385" s="440"/>
    </row>
    <row r="2386" spans="54:136">
      <c r="BB2386" s="436"/>
      <c r="BC2386" s="120"/>
      <c r="BD2386" s="120"/>
      <c r="BE2386" s="120"/>
      <c r="BF2386" s="440"/>
      <c r="CB2386" s="436"/>
      <c r="CC2386" s="120"/>
      <c r="CD2386" s="120"/>
      <c r="CE2386" s="120"/>
      <c r="CF2386" s="440"/>
      <c r="DB2386" s="436"/>
      <c r="DC2386" s="120"/>
      <c r="DD2386" s="120"/>
      <c r="DE2386" s="120"/>
      <c r="DF2386" s="440"/>
      <c r="EB2386" s="436"/>
      <c r="EC2386" s="120"/>
      <c r="ED2386" s="120"/>
      <c r="EE2386" s="120"/>
      <c r="EF2386" s="440"/>
    </row>
    <row r="2387" spans="54:136">
      <c r="BB2387" s="436" t="s">
        <v>464</v>
      </c>
      <c r="BC2387" s="120"/>
      <c r="BD2387" s="120"/>
      <c r="BE2387" s="120"/>
      <c r="BF2387" s="440"/>
      <c r="CB2387" s="436" t="s">
        <v>464</v>
      </c>
      <c r="CC2387" s="120"/>
      <c r="CD2387" s="120"/>
      <c r="CE2387" s="120"/>
      <c r="CF2387" s="440"/>
      <c r="DB2387" s="436" t="s">
        <v>464</v>
      </c>
      <c r="DC2387" s="120"/>
      <c r="DD2387" s="120"/>
      <c r="DE2387" s="120"/>
      <c r="DF2387" s="440"/>
      <c r="EB2387" s="436" t="s">
        <v>464</v>
      </c>
      <c r="EC2387" s="120"/>
      <c r="ED2387" s="120"/>
      <c r="EE2387" s="120"/>
      <c r="EF2387" s="440"/>
    </row>
    <row r="2388" spans="54:136">
      <c r="BB2388" s="456"/>
      <c r="BC2388" s="457"/>
      <c r="BD2388" s="457"/>
      <c r="BE2388" s="457"/>
      <c r="BF2388" s="458"/>
      <c r="CB2388" s="456"/>
      <c r="CC2388" s="457"/>
      <c r="CD2388" s="457"/>
      <c r="CE2388" s="457"/>
      <c r="CF2388" s="458"/>
      <c r="DB2388" s="456"/>
      <c r="DC2388" s="457"/>
      <c r="DD2388" s="457"/>
      <c r="DE2388" s="457"/>
      <c r="DF2388" s="458"/>
      <c r="EB2388" s="456"/>
      <c r="EC2388" s="457"/>
      <c r="ED2388" s="457"/>
      <c r="EE2388" s="457"/>
      <c r="EF2388" s="458"/>
    </row>
    <row r="2389" spans="54:136">
      <c r="BB2389" s="449" t="s">
        <v>472</v>
      </c>
      <c r="BC2389" s="467" t="s">
        <v>517</v>
      </c>
      <c r="BD2389" s="120" t="s">
        <v>518</v>
      </c>
      <c r="BE2389" s="467" t="s">
        <v>519</v>
      </c>
      <c r="BF2389" s="440" t="s">
        <v>518</v>
      </c>
      <c r="CB2389" s="449" t="s">
        <v>472</v>
      </c>
      <c r="CC2389" s="467" t="s">
        <v>517</v>
      </c>
      <c r="CD2389" s="120" t="s">
        <v>518</v>
      </c>
      <c r="CE2389" s="467" t="s">
        <v>519</v>
      </c>
      <c r="CF2389" s="440" t="s">
        <v>518</v>
      </c>
      <c r="DB2389" s="449" t="s">
        <v>472</v>
      </c>
      <c r="DC2389" s="467" t="s">
        <v>517</v>
      </c>
      <c r="DD2389" s="120" t="s">
        <v>518</v>
      </c>
      <c r="DE2389" s="467" t="s">
        <v>519</v>
      </c>
      <c r="DF2389" s="440" t="s">
        <v>518</v>
      </c>
      <c r="EB2389" s="449" t="s">
        <v>472</v>
      </c>
      <c r="EC2389" s="467" t="s">
        <v>517</v>
      </c>
      <c r="ED2389" s="120" t="s">
        <v>518</v>
      </c>
      <c r="EE2389" s="467" t="s">
        <v>519</v>
      </c>
      <c r="EF2389" s="440" t="s">
        <v>518</v>
      </c>
    </row>
    <row r="2390" spans="54:136">
      <c r="BB2390" s="436" t="s">
        <v>520</v>
      </c>
      <c r="BC2390" s="120"/>
      <c r="BD2390" s="120"/>
      <c r="BE2390" s="472">
        <f>((VLOOKUP(BB2308,'Unit Ops'!$B$140:$J$209,3,FALSE)*BC2310^VLOOKUP(BB2308,'Unit Ops'!$B$140:$J$209,4,FALSE)+VLOOKUP(BB2308,'Unit Ops'!$B$140:$J$209,5,FALSE))*VLOOKUP(BB2308,'Unit Ops'!$B$140:$J$209,6,FALSE))*IF(VLOOKUP(BB2308,'Unit Ops'!$B$140:$L$209,11,FALSE)=1,1,2)</f>
        <v>0</v>
      </c>
      <c r="BF2390" s="490">
        <f>$C$7</f>
        <v>2022</v>
      </c>
      <c r="CB2390" s="436" t="s">
        <v>520</v>
      </c>
      <c r="CC2390" s="120"/>
      <c r="CD2390" s="120"/>
      <c r="CE2390" s="472">
        <f>((VLOOKUP(CB2308,'Unit Ops'!$B$140:$J$209,3,FALSE)*CC2310^VLOOKUP(CB2308,'Unit Ops'!$B$140:$J$209,4,FALSE)+VLOOKUP(CB2308,'Unit Ops'!$B$140:$J$209,5,FALSE))*VLOOKUP(CB2308,'Unit Ops'!$B$140:$J$209,6,FALSE))*IF(VLOOKUP(CB2308,'Unit Ops'!$B$140:$L$209,11,FALSE)=1,1,2)</f>
        <v>0</v>
      </c>
      <c r="CF2390" s="490">
        <f>$C$7</f>
        <v>2022</v>
      </c>
      <c r="DB2390" s="436" t="s">
        <v>520</v>
      </c>
      <c r="DC2390" s="120"/>
      <c r="DD2390" s="120"/>
      <c r="DE2390" s="472">
        <f>((VLOOKUP(DB2308,'Unit Ops'!$B$140:$J$209,3,FALSE)*DC2310^VLOOKUP(DB2308,'Unit Ops'!$B$140:$J$209,4,FALSE)+VLOOKUP(DB2308,'Unit Ops'!$B$140:$J$209,5,FALSE))*VLOOKUP(DB2308,'Unit Ops'!$B$140:$J$209,6,FALSE))*IF(VLOOKUP(DB2308,'Unit Ops'!$B$140:$L$209,11,FALSE)=1,1,2)</f>
        <v>0</v>
      </c>
      <c r="DF2390" s="490">
        <f>$C$7</f>
        <v>2022</v>
      </c>
      <c r="EB2390" s="436" t="s">
        <v>520</v>
      </c>
      <c r="EC2390" s="120"/>
      <c r="ED2390" s="120"/>
      <c r="EE2390" s="472">
        <f>((VLOOKUP(EB2308,'Unit Ops'!$B$140:$J$209,3,FALSE)*EC2310^VLOOKUP(EB2308,'Unit Ops'!$B$140:$J$209,4,FALSE)+VLOOKUP(EB2308,'Unit Ops'!$B$140:$J$209,5,FALSE))*VLOOKUP(EB2308,'Unit Ops'!$B$140:$J$209,6,FALSE))*IF(VLOOKUP(EB2308,'Unit Ops'!$B$140:$L$209,11,FALSE)=1,1,2)</f>
        <v>0</v>
      </c>
      <c r="EF2390" s="490">
        <f>$C$7</f>
        <v>2022</v>
      </c>
    </row>
    <row r="2391" spans="54:136">
      <c r="BB2391" s="436"/>
      <c r="BC2391" s="120"/>
      <c r="BD2391" s="120"/>
      <c r="BE2391" s="120"/>
      <c r="BF2391" s="440"/>
      <c r="CB2391" s="436"/>
      <c r="CC2391" s="120"/>
      <c r="CD2391" s="120"/>
      <c r="CE2391" s="120"/>
      <c r="CF2391" s="440"/>
      <c r="DB2391" s="436"/>
      <c r="DC2391" s="120"/>
      <c r="DD2391" s="120"/>
      <c r="DE2391" s="120"/>
      <c r="DF2391" s="440"/>
      <c r="EB2391" s="436"/>
      <c r="EC2391" s="120"/>
      <c r="ED2391" s="120"/>
      <c r="EE2391" s="120"/>
      <c r="EF2391" s="440"/>
    </row>
    <row r="2392" spans="54:136">
      <c r="BB2392" s="436"/>
      <c r="BC2392" s="120"/>
      <c r="BD2392" s="120"/>
      <c r="BE2392" s="120"/>
      <c r="BF2392" s="440"/>
      <c r="CB2392" s="436"/>
      <c r="CC2392" s="120"/>
      <c r="CD2392" s="120"/>
      <c r="CE2392" s="120"/>
      <c r="CF2392" s="440"/>
      <c r="DB2392" s="436"/>
      <c r="DC2392" s="120"/>
      <c r="DD2392" s="120"/>
      <c r="DE2392" s="120"/>
      <c r="DF2392" s="440"/>
      <c r="EB2392" s="436"/>
      <c r="EC2392" s="120"/>
      <c r="ED2392" s="120"/>
      <c r="EE2392" s="120"/>
      <c r="EF2392" s="440"/>
    </row>
    <row r="2393" spans="54:136">
      <c r="BB2393" s="436"/>
      <c r="BC2393" s="120"/>
      <c r="BD2393" s="120"/>
      <c r="BE2393" s="120"/>
      <c r="BF2393" s="440"/>
      <c r="CB2393" s="436"/>
      <c r="CC2393" s="120"/>
      <c r="CD2393" s="120"/>
      <c r="CE2393" s="120"/>
      <c r="CF2393" s="440"/>
      <c r="DB2393" s="436"/>
      <c r="DC2393" s="120"/>
      <c r="DD2393" s="120"/>
      <c r="DE2393" s="120"/>
      <c r="DF2393" s="440"/>
      <c r="EB2393" s="436"/>
      <c r="EC2393" s="120"/>
      <c r="ED2393" s="120"/>
      <c r="EE2393" s="120"/>
      <c r="EF2393" s="440"/>
    </row>
    <row r="2394" spans="54:136">
      <c r="BB2394" s="436"/>
      <c r="BC2394" s="120"/>
      <c r="BD2394" s="120"/>
      <c r="BE2394" s="120"/>
      <c r="BF2394" s="440"/>
      <c r="CB2394" s="436"/>
      <c r="CC2394" s="120"/>
      <c r="CD2394" s="120"/>
      <c r="CE2394" s="120"/>
      <c r="CF2394" s="440"/>
      <c r="DB2394" s="436"/>
      <c r="DC2394" s="120"/>
      <c r="DD2394" s="120"/>
      <c r="DE2394" s="120"/>
      <c r="DF2394" s="440"/>
      <c r="EB2394" s="436"/>
      <c r="EC2394" s="120"/>
      <c r="ED2394" s="120"/>
      <c r="EE2394" s="120"/>
      <c r="EF2394" s="440"/>
    </row>
    <row r="2395" spans="54:136">
      <c r="BB2395" s="436"/>
      <c r="BC2395" s="120"/>
      <c r="BD2395" s="120"/>
      <c r="BE2395" s="120"/>
      <c r="BF2395" s="440"/>
      <c r="CB2395" s="436"/>
      <c r="CC2395" s="120"/>
      <c r="CD2395" s="120"/>
      <c r="CE2395" s="120"/>
      <c r="CF2395" s="440"/>
      <c r="DB2395" s="436"/>
      <c r="DC2395" s="120"/>
      <c r="DD2395" s="120"/>
      <c r="DE2395" s="120"/>
      <c r="DF2395" s="440"/>
      <c r="EB2395" s="436"/>
      <c r="EC2395" s="120"/>
      <c r="ED2395" s="120"/>
      <c r="EE2395" s="120"/>
      <c r="EF2395" s="440"/>
    </row>
    <row r="2396" spans="54:136">
      <c r="BB2396" s="436"/>
      <c r="BC2396" s="120"/>
      <c r="BD2396" s="120"/>
      <c r="BE2396" s="120"/>
      <c r="BF2396" s="440"/>
      <c r="CB2396" s="436"/>
      <c r="CC2396" s="120"/>
      <c r="CD2396" s="120"/>
      <c r="CE2396" s="120"/>
      <c r="CF2396" s="440"/>
      <c r="DB2396" s="436"/>
      <c r="DC2396" s="120"/>
      <c r="DD2396" s="120"/>
      <c r="DE2396" s="120"/>
      <c r="DF2396" s="440"/>
      <c r="EB2396" s="436"/>
      <c r="EC2396" s="120"/>
      <c r="ED2396" s="120"/>
      <c r="EE2396" s="120"/>
      <c r="EF2396" s="440"/>
    </row>
    <row r="2397" spans="54:136">
      <c r="BB2397" s="436"/>
      <c r="BC2397" s="120"/>
      <c r="BD2397" s="120"/>
      <c r="BE2397" s="120"/>
      <c r="BF2397" s="440"/>
      <c r="CB2397" s="436"/>
      <c r="CC2397" s="120"/>
      <c r="CD2397" s="120"/>
      <c r="CE2397" s="120"/>
      <c r="CF2397" s="440"/>
      <c r="DB2397" s="436"/>
      <c r="DC2397" s="120"/>
      <c r="DD2397" s="120"/>
      <c r="DE2397" s="120"/>
      <c r="DF2397" s="440"/>
      <c r="EB2397" s="436"/>
      <c r="EC2397" s="120"/>
      <c r="ED2397" s="120"/>
      <c r="EE2397" s="120"/>
      <c r="EF2397" s="440"/>
    </row>
    <row r="2398" spans="54:136">
      <c r="BB2398" s="436"/>
      <c r="BC2398" s="120"/>
      <c r="BD2398" s="120"/>
      <c r="BE2398" s="120"/>
      <c r="BF2398" s="440"/>
      <c r="CB2398" s="436"/>
      <c r="CC2398" s="120"/>
      <c r="CD2398" s="120"/>
      <c r="CE2398" s="120"/>
      <c r="CF2398" s="440"/>
      <c r="DB2398" s="436"/>
      <c r="DC2398" s="120"/>
      <c r="DD2398" s="120"/>
      <c r="DE2398" s="120"/>
      <c r="DF2398" s="440"/>
      <c r="EB2398" s="436"/>
      <c r="EC2398" s="120"/>
      <c r="ED2398" s="120"/>
      <c r="EE2398" s="120"/>
      <c r="EF2398" s="440"/>
    </row>
    <row r="2399" spans="54:136">
      <c r="BB2399" s="436"/>
      <c r="BC2399" s="120"/>
      <c r="BD2399" s="120"/>
      <c r="BE2399" s="120"/>
      <c r="BF2399" s="440"/>
      <c r="CB2399" s="436"/>
      <c r="CC2399" s="120"/>
      <c r="CD2399" s="120"/>
      <c r="CE2399" s="120"/>
      <c r="CF2399" s="440"/>
      <c r="DB2399" s="436"/>
      <c r="DC2399" s="120"/>
      <c r="DD2399" s="120"/>
      <c r="DE2399" s="120"/>
      <c r="DF2399" s="440"/>
      <c r="EB2399" s="436"/>
      <c r="EC2399" s="120"/>
      <c r="ED2399" s="120"/>
      <c r="EE2399" s="120"/>
      <c r="EF2399" s="440"/>
    </row>
    <row r="2400" spans="54:136">
      <c r="BB2400" s="436"/>
      <c r="BC2400" s="120"/>
      <c r="BD2400" s="120"/>
      <c r="BE2400" s="120"/>
      <c r="BF2400" s="440"/>
      <c r="CB2400" s="436"/>
      <c r="CC2400" s="120"/>
      <c r="CD2400" s="120"/>
      <c r="CE2400" s="120"/>
      <c r="CF2400" s="440"/>
      <c r="DB2400" s="436"/>
      <c r="DC2400" s="120"/>
      <c r="DD2400" s="120"/>
      <c r="DE2400" s="120"/>
      <c r="DF2400" s="440"/>
      <c r="EB2400" s="436"/>
      <c r="EC2400" s="120"/>
      <c r="ED2400" s="120"/>
      <c r="EE2400" s="120"/>
      <c r="EF2400" s="440"/>
    </row>
    <row r="2401" spans="53:136">
      <c r="BB2401" s="436"/>
      <c r="BC2401" s="120"/>
      <c r="BD2401" s="120"/>
      <c r="BE2401" s="120"/>
      <c r="BF2401" s="440"/>
      <c r="CB2401" s="436"/>
      <c r="CC2401" s="120"/>
      <c r="CD2401" s="120"/>
      <c r="CE2401" s="120"/>
      <c r="CF2401" s="440"/>
      <c r="DB2401" s="436"/>
      <c r="DC2401" s="120"/>
      <c r="DD2401" s="120"/>
      <c r="DE2401" s="120"/>
      <c r="DF2401" s="440"/>
      <c r="EB2401" s="436"/>
      <c r="EC2401" s="120"/>
      <c r="ED2401" s="120"/>
      <c r="EE2401" s="120"/>
      <c r="EF2401" s="440"/>
    </row>
    <row r="2402" spans="53:136">
      <c r="BB2402" s="436"/>
      <c r="BC2402" s="120"/>
      <c r="BD2402" s="120"/>
      <c r="BE2402" s="120"/>
      <c r="BF2402" s="440"/>
      <c r="CB2402" s="436"/>
      <c r="CC2402" s="120"/>
      <c r="CD2402" s="120"/>
      <c r="CE2402" s="120"/>
      <c r="CF2402" s="440"/>
      <c r="DB2402" s="436"/>
      <c r="DC2402" s="120"/>
      <c r="DD2402" s="120"/>
      <c r="DE2402" s="120"/>
      <c r="DF2402" s="440"/>
      <c r="EB2402" s="436"/>
      <c r="EC2402" s="120"/>
      <c r="ED2402" s="120"/>
      <c r="EE2402" s="120"/>
      <c r="EF2402" s="440"/>
    </row>
    <row r="2403" spans="53:136">
      <c r="BB2403" s="436"/>
      <c r="BC2403" s="120"/>
      <c r="BD2403" s="120"/>
      <c r="BE2403" s="120"/>
      <c r="BF2403" s="440"/>
      <c r="CB2403" s="436"/>
      <c r="CC2403" s="120"/>
      <c r="CD2403" s="120"/>
      <c r="CE2403" s="120"/>
      <c r="CF2403" s="440"/>
      <c r="DB2403" s="436"/>
      <c r="DC2403" s="120"/>
      <c r="DD2403" s="120"/>
      <c r="DE2403" s="120"/>
      <c r="DF2403" s="440"/>
      <c r="EB2403" s="436"/>
      <c r="EC2403" s="120"/>
      <c r="ED2403" s="120"/>
      <c r="EE2403" s="120"/>
      <c r="EF2403" s="440"/>
    </row>
    <row r="2404" spans="53:136" ht="14.5" thickBot="1">
      <c r="BB2404" s="492"/>
      <c r="BC2404" s="493"/>
      <c r="BD2404" s="493"/>
      <c r="BE2404" s="493"/>
      <c r="BF2404" s="453"/>
      <c r="CB2404" s="492"/>
      <c r="CC2404" s="493"/>
      <c r="CD2404" s="493"/>
      <c r="CE2404" s="493"/>
      <c r="CF2404" s="453"/>
      <c r="DB2404" s="492"/>
      <c r="DC2404" s="493"/>
      <c r="DD2404" s="493"/>
      <c r="DE2404" s="493"/>
      <c r="DF2404" s="453"/>
      <c r="EB2404" s="492"/>
      <c r="EC2404" s="493"/>
      <c r="ED2404" s="493"/>
      <c r="EE2404" s="493"/>
      <c r="EF2404" s="453"/>
    </row>
    <row r="2407" spans="53:136" ht="14.5" thickBot="1"/>
    <row r="2408" spans="53:136">
      <c r="BA2408" s="114" t="s">
        <v>478</v>
      </c>
      <c r="BB2408" s="431" t="str">
        <f>BB73</f>
        <v>Select Equipment</v>
      </c>
      <c r="BC2408" s="432"/>
      <c r="BD2408" s="433"/>
      <c r="BE2408" s="434"/>
      <c r="BF2408" s="435"/>
      <c r="CA2408" s="114" t="s">
        <v>478</v>
      </c>
      <c r="CB2408" s="431" t="str">
        <f>CB73</f>
        <v>Select Equipment</v>
      </c>
      <c r="CC2408" s="432"/>
      <c r="CD2408" s="433"/>
      <c r="CE2408" s="434"/>
      <c r="CF2408" s="435"/>
      <c r="DA2408" s="114" t="s">
        <v>478</v>
      </c>
      <c r="DB2408" s="431" t="str">
        <f>DB73</f>
        <v>Select Equipment</v>
      </c>
      <c r="DC2408" s="432"/>
      <c r="DD2408" s="433"/>
      <c r="DE2408" s="434"/>
      <c r="DF2408" s="435"/>
      <c r="EA2408" s="114" t="s">
        <v>478</v>
      </c>
      <c r="EB2408" s="431" t="str">
        <f>EB75</f>
        <v>Select Equipment</v>
      </c>
      <c r="EC2408" s="432"/>
      <c r="ED2408" s="433"/>
      <c r="EE2408" s="434"/>
      <c r="EF2408" s="435"/>
    </row>
    <row r="2409" spans="53:136">
      <c r="BA2409" s="114" t="s">
        <v>5</v>
      </c>
      <c r="BB2409" s="436" t="s">
        <v>1</v>
      </c>
      <c r="BC2409" s="437">
        <f>BC$25/BC$22/BC$21*VLOOKUP(BB2408,'Unit Ops'!$B$140:$J$209,2,FALSE)</f>
        <v>0.92592592592592593</v>
      </c>
      <c r="BD2409" s="438" t="s">
        <v>586</v>
      </c>
      <c r="BE2409" s="1027">
        <f>BC2409*BC$310*BC$311</f>
        <v>10000</v>
      </c>
      <c r="BF2409" s="439" t="s">
        <v>585</v>
      </c>
      <c r="CA2409" s="114" t="s">
        <v>5</v>
      </c>
      <c r="CB2409" s="436" t="s">
        <v>1</v>
      </c>
      <c r="CC2409" s="437">
        <f>CC$25/CC$22/CC$21*VLOOKUP(CB2408,'Unit Ops'!$B$140:$J$209,2,FALSE)</f>
        <v>0.91324200913242004</v>
      </c>
      <c r="CD2409" s="438" t="s">
        <v>586</v>
      </c>
      <c r="CE2409" s="1027">
        <f>CC2409*CC$310*CC$311</f>
        <v>10000</v>
      </c>
      <c r="CF2409" s="439" t="s">
        <v>585</v>
      </c>
      <c r="DA2409" s="114" t="s">
        <v>5</v>
      </c>
      <c r="DB2409" s="436" t="s">
        <v>1</v>
      </c>
      <c r="DC2409" s="437">
        <f>DC$25/DC$22/DC$21*VLOOKUP(DB2408,'Unit Ops'!$B$140:$J$209,2,FALSE)</f>
        <v>0.92592592592592593</v>
      </c>
      <c r="DD2409" s="438" t="s">
        <v>586</v>
      </c>
      <c r="DE2409" s="1027">
        <f>DC2409*DC$310*DC$311</f>
        <v>10000</v>
      </c>
      <c r="DF2409" s="439" t="s">
        <v>585</v>
      </c>
      <c r="EA2409" s="114" t="s">
        <v>5</v>
      </c>
      <c r="EB2409" s="436" t="s">
        <v>1</v>
      </c>
      <c r="EC2409" s="437">
        <f>EC$26/EC$23/EC$22*VLOOKUP(EB2408,'Unit Ops'!$B$140:$J$209,2,FALSE)</f>
        <v>1.3020833333333333</v>
      </c>
      <c r="ED2409" s="438" t="s">
        <v>586</v>
      </c>
      <c r="EE2409" s="1027">
        <f>EC2409*EC$310*EC$311</f>
        <v>10000</v>
      </c>
      <c r="EF2409" s="439" t="s">
        <v>585</v>
      </c>
    </row>
    <row r="2410" spans="53:136">
      <c r="BA2410" s="114" t="str">
        <f>$BB$54</f>
        <v>Hopper</v>
      </c>
      <c r="BB2410" s="436" t="s">
        <v>505</v>
      </c>
      <c r="BC2410" s="437">
        <f>ROUNDUP(BC2409*IF(VLOOKUP(BB2408,'Unit Ops'!$B$140:$L$209,11,FALSE)=1,1.5,0.75),1)</f>
        <v>0.7</v>
      </c>
      <c r="BD2410" s="438" t="s">
        <v>586</v>
      </c>
      <c r="BE2410" s="120">
        <f>BC2410*BC$310*BC$311</f>
        <v>7560</v>
      </c>
      <c r="BF2410" s="439" t="s">
        <v>585</v>
      </c>
      <c r="CA2410" s="114" t="str">
        <f>$CB$54</f>
        <v>Conveyor</v>
      </c>
      <c r="CB2410" s="436" t="s">
        <v>505</v>
      </c>
      <c r="CC2410" s="437">
        <f>ROUNDUP(CC2409*IF(VLOOKUP(CB2408,'Unit Ops'!$B$140:$L$209,11,FALSE)=1,1.5,0.75),1)</f>
        <v>0.7</v>
      </c>
      <c r="CD2410" s="438" t="s">
        <v>586</v>
      </c>
      <c r="CE2410" s="120">
        <f>CC2410*CC$310*CC$311</f>
        <v>7665</v>
      </c>
      <c r="CF2410" s="439" t="s">
        <v>585</v>
      </c>
      <c r="DA2410" s="114" t="str">
        <f>$DB$54</f>
        <v>Conveyor</v>
      </c>
      <c r="DB2410" s="436" t="s">
        <v>505</v>
      </c>
      <c r="DC2410" s="437">
        <f>ROUNDUP(DC2409*IF(VLOOKUP(DB2408,'Unit Ops'!$B$140:$L$209,11,FALSE)=1,1.5,0.75),1)</f>
        <v>0.7</v>
      </c>
      <c r="DD2410" s="438" t="s">
        <v>586</v>
      </c>
      <c r="DE2410" s="120">
        <f>DC2410*DC$310*DC$311</f>
        <v>7560</v>
      </c>
      <c r="DF2410" s="439" t="s">
        <v>585</v>
      </c>
      <c r="EA2410" s="114" t="str">
        <f>$EB$56</f>
        <v>Conveyor</v>
      </c>
      <c r="EB2410" s="436" t="s">
        <v>505</v>
      </c>
      <c r="EC2410" s="437">
        <f>ROUNDUP(EC2409*IF(VLOOKUP(EB2408,'Unit Ops'!$B$140:$L$209,11,FALSE)=1,1.5,0.75),1)</f>
        <v>1</v>
      </c>
      <c r="ED2410" s="438" t="s">
        <v>586</v>
      </c>
      <c r="EE2410" s="120">
        <f>EC2410*EC$310*EC$311</f>
        <v>7680</v>
      </c>
      <c r="EF2410" s="439" t="s">
        <v>585</v>
      </c>
    </row>
    <row r="2411" spans="53:136">
      <c r="BA2411" s="114" t="str">
        <f>$BB$55</f>
        <v>Conveyor</v>
      </c>
      <c r="BB2411" s="441" t="s">
        <v>521</v>
      </c>
      <c r="BC2411" s="442">
        <f>BC2409/BC2410</f>
        <v>1.3227513227513228</v>
      </c>
      <c r="BD2411" s="438"/>
      <c r="BE2411" s="443"/>
      <c r="BF2411" s="440"/>
      <c r="CA2411" s="114" t="str">
        <f>$CB$55</f>
        <v>Leaching tank</v>
      </c>
      <c r="CB2411" s="441" t="s">
        <v>521</v>
      </c>
      <c r="CC2411" s="442">
        <f>CC2409/CC2410</f>
        <v>1.3046314416177429</v>
      </c>
      <c r="CD2411" s="438"/>
      <c r="CE2411" s="443"/>
      <c r="CF2411" s="440"/>
      <c r="DA2411" s="114" t="str">
        <f>$DB$55</f>
        <v>Froth flotation cell</v>
      </c>
      <c r="DB2411" s="441" t="s">
        <v>521</v>
      </c>
      <c r="DC2411" s="442">
        <f>DC2409/DC2410</f>
        <v>1.3227513227513228</v>
      </c>
      <c r="DD2411" s="438"/>
      <c r="DE2411" s="443"/>
      <c r="DF2411" s="440"/>
      <c r="EA2411" s="114" t="str">
        <f>$EB$57</f>
        <v>Leaching tank</v>
      </c>
      <c r="EB2411" s="441" t="s">
        <v>521</v>
      </c>
      <c r="EC2411" s="442">
        <f>EC2409/EC2410</f>
        <v>1.3020833333333333</v>
      </c>
      <c r="ED2411" s="438"/>
      <c r="EE2411" s="443"/>
      <c r="EF2411" s="440"/>
    </row>
    <row r="2412" spans="53:136">
      <c r="BA2412" s="114" t="str">
        <f>$BB$56</f>
        <v>Smelter</v>
      </c>
      <c r="BB2412" s="441" t="s">
        <v>506</v>
      </c>
      <c r="BC2412" s="445"/>
      <c r="BD2412" s="438" t="s">
        <v>454</v>
      </c>
      <c r="BE2412" s="443"/>
      <c r="BF2412" s="440"/>
      <c r="CA2412" s="114" t="str">
        <f>$CB$56</f>
        <v>Mixing tank</v>
      </c>
      <c r="CB2412" s="441" t="s">
        <v>506</v>
      </c>
      <c r="CC2412" s="445"/>
      <c r="CD2412" s="438" t="s">
        <v>454</v>
      </c>
      <c r="CE2412" s="443"/>
      <c r="CF2412" s="440"/>
      <c r="DA2412" s="114" t="str">
        <f>$DB$56</f>
        <v>Filter press</v>
      </c>
      <c r="DB2412" s="441" t="s">
        <v>506</v>
      </c>
      <c r="DC2412" s="445"/>
      <c r="DD2412" s="438" t="s">
        <v>454</v>
      </c>
      <c r="DE2412" s="443"/>
      <c r="DF2412" s="440"/>
      <c r="EA2412" s="114" t="str">
        <f>$EB$58</f>
        <v>Mixing tank</v>
      </c>
      <c r="EB2412" s="441" t="s">
        <v>506</v>
      </c>
      <c r="EC2412" s="445"/>
      <c r="ED2412" s="438" t="s">
        <v>454</v>
      </c>
      <c r="EE2412" s="443"/>
      <c r="EF2412" s="440"/>
    </row>
    <row r="2413" spans="53:136">
      <c r="BA2413" s="114" t="str">
        <f>$BB$57</f>
        <v>Gas treatment</v>
      </c>
      <c r="BB2413" s="436" t="s">
        <v>507</v>
      </c>
      <c r="BC2413" s="225">
        <f>(VLOOKUP(BB2408,'Unit Ops'!$B$140:$J$209,7,FALSE)*BC2410^VLOOKUP(BB2408,'Unit Ops'!$B$140:$J$209,8,FALSE)+VLOOKUP(BB2408,'Unit Ops'!$B$140:$J$209,9,FALSE))*IF(VLOOKUP(BB2408,'Unit Ops'!$B$140:$L$209,11,FALSE)=1,1,2)</f>
        <v>0</v>
      </c>
      <c r="BD2413" s="446" t="s">
        <v>454</v>
      </c>
      <c r="BE2413" s="443"/>
      <c r="BF2413" s="440"/>
      <c r="CA2413" s="114" t="str">
        <f>$CB$57</f>
        <v>Filter press</v>
      </c>
      <c r="CB2413" s="436" t="s">
        <v>507</v>
      </c>
      <c r="CC2413" s="225">
        <f>(VLOOKUP(CB2408,'Unit Ops'!$B$140:$J$209,7,FALSE)*CC2410^VLOOKUP(CB2408,'Unit Ops'!$B$140:$J$209,8,FALSE)+VLOOKUP(CB2408,'Unit Ops'!$B$140:$J$209,9,FALSE))*IF(VLOOKUP(CB2408,'Unit Ops'!$B$140:$L$209,11,FALSE)=1,1,2)</f>
        <v>0</v>
      </c>
      <c r="CD2413" s="446" t="s">
        <v>454</v>
      </c>
      <c r="CE2413" s="443"/>
      <c r="CF2413" s="440"/>
      <c r="DA2413" s="114" t="str">
        <f>$DB$57</f>
        <v>Froth flotation cell</v>
      </c>
      <c r="DB2413" s="436" t="s">
        <v>507</v>
      </c>
      <c r="DC2413" s="225">
        <f>(VLOOKUP(DB2408,'Unit Ops'!$B$140:$J$209,7,FALSE)*DC2410^VLOOKUP(DB2408,'Unit Ops'!$B$140:$J$209,8,FALSE)+VLOOKUP(DB2408,'Unit Ops'!$B$140:$J$209,9,FALSE))*IF(VLOOKUP(DB2408,'Unit Ops'!$B$140:$L$209,11,FALSE)=1,1,2)</f>
        <v>0</v>
      </c>
      <c r="DD2413" s="446" t="s">
        <v>454</v>
      </c>
      <c r="DE2413" s="443"/>
      <c r="DF2413" s="440"/>
      <c r="EA2413" s="114" t="str">
        <f>$EB$59</f>
        <v>Filter press</v>
      </c>
      <c r="EB2413" s="436" t="s">
        <v>507</v>
      </c>
      <c r="EC2413" s="225">
        <f>(VLOOKUP(EB2408,'Unit Ops'!$B$140:$J$209,7,FALSE)*EC2410^VLOOKUP(EB2408,'Unit Ops'!$B$140:$J$209,8,FALSE)+VLOOKUP(EB2408,'Unit Ops'!$B$140:$J$209,9,FALSE))*IF(VLOOKUP(EB2408,'Unit Ops'!$B$140:$L$209,11,FALSE)=1,1,2)</f>
        <v>0</v>
      </c>
      <c r="ED2413" s="446" t="s">
        <v>454</v>
      </c>
      <c r="EE2413" s="443"/>
      <c r="EF2413" s="440"/>
    </row>
    <row r="2414" spans="53:136">
      <c r="BA2414" s="114" t="str">
        <f>$BB$58</f>
        <v>Conveyor</v>
      </c>
      <c r="BB2414" s="441"/>
      <c r="BC2414" s="445"/>
      <c r="BD2414" s="447"/>
      <c r="BE2414" s="443"/>
      <c r="BF2414" s="440"/>
      <c r="CA2414" s="114" t="str">
        <f>$CB$58</f>
        <v>Solvent extraction unit</v>
      </c>
      <c r="CB2414" s="441"/>
      <c r="CC2414" s="445"/>
      <c r="CD2414" s="447"/>
      <c r="CE2414" s="443"/>
      <c r="CF2414" s="440"/>
      <c r="DA2414" s="114" t="str">
        <f>$DB$58</f>
        <v>Filter press</v>
      </c>
      <c r="DB2414" s="441"/>
      <c r="DC2414" s="445"/>
      <c r="DD2414" s="447"/>
      <c r="DE2414" s="443"/>
      <c r="DF2414" s="440"/>
      <c r="EA2414" s="114" t="str">
        <f>$EB$60</f>
        <v>Solvent extraction unit</v>
      </c>
      <c r="EB2414" s="441"/>
      <c r="EC2414" s="445"/>
      <c r="ED2414" s="447"/>
      <c r="EE2414" s="443"/>
      <c r="EF2414" s="440"/>
    </row>
    <row r="2415" spans="53:136">
      <c r="BA2415" s="114" t="str">
        <f>$BB$59</f>
        <v>Granulator</v>
      </c>
      <c r="BB2415" s="441"/>
      <c r="BC2415" s="445"/>
      <c r="BD2415" s="447"/>
      <c r="BE2415" s="443"/>
      <c r="BF2415" s="440"/>
      <c r="CA2415" s="114" t="str">
        <f>$CB$59</f>
        <v>Solvent extraction unit</v>
      </c>
      <c r="CB2415" s="441"/>
      <c r="CC2415" s="445"/>
      <c r="CD2415" s="447"/>
      <c r="CE2415" s="443"/>
      <c r="CF2415" s="440"/>
      <c r="DA2415" s="114" t="str">
        <f>$DB$59</f>
        <v>Dryer</v>
      </c>
      <c r="DB2415" s="441"/>
      <c r="DC2415" s="445"/>
      <c r="DD2415" s="447"/>
      <c r="DE2415" s="443"/>
      <c r="DF2415" s="440"/>
      <c r="EA2415" s="114" t="str">
        <f>$EB$61</f>
        <v>Solvent extraction unit</v>
      </c>
      <c r="EB2415" s="441"/>
      <c r="EC2415" s="445"/>
      <c r="ED2415" s="447"/>
      <c r="EE2415" s="443"/>
      <c r="EF2415" s="440"/>
    </row>
    <row r="2416" spans="53:136">
      <c r="BA2416" s="114" t="str">
        <f>$BB$60</f>
        <v>Leaching tank</v>
      </c>
      <c r="BB2416" s="449"/>
      <c r="BC2416" s="445"/>
      <c r="BD2416" s="447"/>
      <c r="BE2416" s="443"/>
      <c r="BF2416" s="440"/>
      <c r="CA2416" s="114" t="str">
        <f>$CB$60</f>
        <v>Solvent extraction unit</v>
      </c>
      <c r="CB2416" s="449"/>
      <c r="CC2416" s="445"/>
      <c r="CD2416" s="447"/>
      <c r="CE2416" s="443"/>
      <c r="CF2416" s="440"/>
      <c r="DA2416" s="114" t="str">
        <f>$DB$60</f>
        <v>Ball mill</v>
      </c>
      <c r="DB2416" s="449"/>
      <c r="DC2416" s="445"/>
      <c r="DD2416" s="447"/>
      <c r="DE2416" s="443"/>
      <c r="DF2416" s="440"/>
      <c r="EA2416" s="114" t="str">
        <f>$EB$62</f>
        <v>Solvent extraction unit</v>
      </c>
      <c r="EB2416" s="449"/>
      <c r="EC2416" s="445"/>
      <c r="ED2416" s="447"/>
      <c r="EE2416" s="443"/>
      <c r="EF2416" s="440"/>
    </row>
    <row r="2417" spans="53:136" ht="14.5" thickBot="1">
      <c r="BA2417" s="114" t="str">
        <f>$BB$61</f>
        <v>Solvent extraction unit</v>
      </c>
      <c r="BB2417" s="450"/>
      <c r="BC2417" s="451"/>
      <c r="BD2417" s="451"/>
      <c r="BE2417" s="452"/>
      <c r="BF2417" s="453"/>
      <c r="CA2417" s="114" t="str">
        <f>$CB$61</f>
        <v>Evaporator</v>
      </c>
      <c r="CB2417" s="450"/>
      <c r="CC2417" s="451"/>
      <c r="CD2417" s="451"/>
      <c r="CE2417" s="452"/>
      <c r="CF2417" s="453"/>
      <c r="DA2417" s="114" t="str">
        <f>$DB$61</f>
        <v>Furnace+saggar handling system</v>
      </c>
      <c r="DB2417" s="450"/>
      <c r="DC2417" s="451"/>
      <c r="DD2417" s="451"/>
      <c r="DE2417" s="452"/>
      <c r="DF2417" s="453"/>
      <c r="EA2417" s="114" t="str">
        <f>$EB$63</f>
        <v>Evaporator</v>
      </c>
      <c r="EB2417" s="450"/>
      <c r="EC2417" s="451"/>
      <c r="ED2417" s="451"/>
      <c r="EE2417" s="452"/>
      <c r="EF2417" s="453"/>
    </row>
    <row r="2418" spans="53:136">
      <c r="BA2418" s="114" t="str">
        <f>$BB$62</f>
        <v>Electrowinning cell</v>
      </c>
      <c r="BB2418" s="449" t="s">
        <v>470</v>
      </c>
      <c r="BC2418" s="120"/>
      <c r="BD2418" s="454"/>
      <c r="BE2418" s="120"/>
      <c r="BF2418" s="440"/>
      <c r="CA2418" s="114" t="str">
        <f>$CB$62</f>
        <v>Precipitation tank</v>
      </c>
      <c r="CB2418" s="449" t="s">
        <v>470</v>
      </c>
      <c r="CC2418" s="120"/>
      <c r="CD2418" s="454"/>
      <c r="CE2418" s="120"/>
      <c r="CF2418" s="440"/>
      <c r="DA2418" s="114" t="str">
        <f>$DB$62</f>
        <v>Water treatment</v>
      </c>
      <c r="DB2418" s="449" t="s">
        <v>470</v>
      </c>
      <c r="DC2418" s="120"/>
      <c r="DD2418" s="454"/>
      <c r="DE2418" s="120"/>
      <c r="DF2418" s="440"/>
      <c r="EA2418" s="114" t="str">
        <f>$EB$64</f>
        <v>Precipitation tank</v>
      </c>
      <c r="EB2418" s="449" t="s">
        <v>470</v>
      </c>
      <c r="EC2418" s="120"/>
      <c r="ED2418" s="454"/>
      <c r="EE2418" s="120"/>
      <c r="EF2418" s="440"/>
    </row>
    <row r="2419" spans="53:136" ht="14.5" customHeight="1">
      <c r="BA2419" s="114" t="str">
        <f>$BB$63</f>
        <v>Solvent extraction unit</v>
      </c>
      <c r="BB2419" s="1698"/>
      <c r="BC2419" s="1699"/>
      <c r="BD2419" s="1699"/>
      <c r="BE2419" s="1699"/>
      <c r="BF2419" s="1700"/>
      <c r="CA2419" s="114" t="str">
        <f>$CB$63</f>
        <v>Centrifuge</v>
      </c>
      <c r="CB2419" s="1698"/>
      <c r="CC2419" s="1699"/>
      <c r="CD2419" s="1699"/>
      <c r="CE2419" s="1699"/>
      <c r="CF2419" s="1700"/>
      <c r="DA2419" s="114" t="str">
        <f>$DB$63</f>
        <v>Wheel loader</v>
      </c>
      <c r="DB2419" s="1698"/>
      <c r="DC2419" s="1699"/>
      <c r="DD2419" s="1699"/>
      <c r="DE2419" s="1699"/>
      <c r="DF2419" s="1700"/>
      <c r="EA2419" s="114" t="str">
        <f>$EB$65</f>
        <v>Centrifuge</v>
      </c>
      <c r="EB2419" s="1698"/>
      <c r="EC2419" s="1699"/>
      <c r="ED2419" s="1699"/>
      <c r="EE2419" s="1699"/>
      <c r="EF2419" s="1700"/>
    </row>
    <row r="2420" spans="53:136">
      <c r="BA2420" s="114" t="str">
        <f>$BB$64</f>
        <v>Solvent extraction unit</v>
      </c>
      <c r="BB2420" s="436"/>
      <c r="BC2420" s="120"/>
      <c r="BD2420" s="455"/>
      <c r="BE2420" s="120"/>
      <c r="BF2420" s="440"/>
      <c r="CA2420" s="114" t="str">
        <f>$CB$64</f>
        <v>Dryer</v>
      </c>
      <c r="CB2420" s="436"/>
      <c r="CC2420" s="120"/>
      <c r="CD2420" s="455"/>
      <c r="CE2420" s="120"/>
      <c r="CF2420" s="440"/>
      <c r="DA2420" s="114" t="str">
        <f>$DB$64</f>
        <v>Select Equipment</v>
      </c>
      <c r="DB2420" s="436"/>
      <c r="DC2420" s="120"/>
      <c r="DD2420" s="455"/>
      <c r="DE2420" s="120"/>
      <c r="DF2420" s="440"/>
      <c r="EA2420" s="114" t="str">
        <f>$EB$66</f>
        <v>Dryer</v>
      </c>
      <c r="EB2420" s="436"/>
      <c r="EC2420" s="120"/>
      <c r="ED2420" s="455"/>
      <c r="EE2420" s="120"/>
      <c r="EF2420" s="440"/>
    </row>
    <row r="2421" spans="53:136">
      <c r="BA2421" s="114" t="str">
        <f>$BB$65</f>
        <v>Wheel loader</v>
      </c>
      <c r="BB2421" s="436"/>
      <c r="BC2421" s="120"/>
      <c r="BD2421" s="455"/>
      <c r="BE2421" s="120"/>
      <c r="BF2421" s="440"/>
      <c r="CA2421" s="114" t="str">
        <f>$CB$65</f>
        <v>Water treatment</v>
      </c>
      <c r="CB2421" s="436"/>
      <c r="CC2421" s="120"/>
      <c r="CD2421" s="455"/>
      <c r="CE2421" s="120"/>
      <c r="CF2421" s="440"/>
      <c r="DA2421" s="114" t="str">
        <f>$DB$65</f>
        <v>Select Equipment</v>
      </c>
      <c r="DB2421" s="436"/>
      <c r="DC2421" s="120"/>
      <c r="DD2421" s="455"/>
      <c r="DE2421" s="120"/>
      <c r="DF2421" s="440"/>
      <c r="EA2421" s="114" t="str">
        <f>$EB$67</f>
        <v>Water treatment</v>
      </c>
      <c r="EB2421" s="436"/>
      <c r="EC2421" s="120"/>
      <c r="ED2421" s="455"/>
      <c r="EE2421" s="120"/>
      <c r="EF2421" s="440"/>
    </row>
    <row r="2422" spans="53:136">
      <c r="BA2422" s="114" t="str">
        <f>$BB$66</f>
        <v>Water treatment</v>
      </c>
      <c r="BB2422" s="456"/>
      <c r="BC2422" s="457"/>
      <c r="BD2422" s="457"/>
      <c r="BE2422" s="457"/>
      <c r="BF2422" s="458"/>
      <c r="CA2422" s="114" t="str">
        <f>$CB$66</f>
        <v>Wheel loader</v>
      </c>
      <c r="CB2422" s="456"/>
      <c r="CC2422" s="457"/>
      <c r="CD2422" s="457"/>
      <c r="CE2422" s="457"/>
      <c r="CF2422" s="458"/>
      <c r="DA2422" s="114" t="str">
        <f>$DB$66</f>
        <v>Select Equipment</v>
      </c>
      <c r="DB2422" s="456"/>
      <c r="DC2422" s="457"/>
      <c r="DD2422" s="457"/>
      <c r="DE2422" s="457"/>
      <c r="DF2422" s="458"/>
      <c r="EA2422" s="114" t="str">
        <f>$EB$68</f>
        <v>Wheel loader</v>
      </c>
      <c r="EB2422" s="456"/>
      <c r="EC2422" s="457"/>
      <c r="ED2422" s="457"/>
      <c r="EE2422" s="457"/>
      <c r="EF2422" s="458"/>
    </row>
    <row r="2423" spans="53:136">
      <c r="BA2423" s="114" t="str">
        <f>$BB$67</f>
        <v>Select Equipment</v>
      </c>
      <c r="BB2423" s="449" t="s">
        <v>471</v>
      </c>
      <c r="BC2423" s="120"/>
      <c r="BD2423" s="454"/>
      <c r="BE2423" s="120"/>
      <c r="BF2423" s="440"/>
      <c r="CA2423" s="114" t="str">
        <f>$CB$67</f>
        <v>Select Equipment</v>
      </c>
      <c r="CB2423" s="449" t="s">
        <v>471</v>
      </c>
      <c r="CC2423" s="120"/>
      <c r="CD2423" s="454"/>
      <c r="CE2423" s="120"/>
      <c r="CF2423" s="440"/>
      <c r="DA2423" s="114" t="str">
        <f>$DB$67</f>
        <v>Select Equipment</v>
      </c>
      <c r="DB2423" s="449" t="s">
        <v>471</v>
      </c>
      <c r="DC2423" s="120"/>
      <c r="DD2423" s="454"/>
      <c r="DE2423" s="120"/>
      <c r="DF2423" s="440"/>
      <c r="EA2423" s="114" t="str">
        <f>$EB$69</f>
        <v>Select Equipment</v>
      </c>
      <c r="EB2423" s="449" t="s">
        <v>471</v>
      </c>
      <c r="EC2423" s="120"/>
      <c r="ED2423" s="454"/>
      <c r="EE2423" s="120"/>
      <c r="EF2423" s="440"/>
    </row>
    <row r="2424" spans="53:136">
      <c r="BA2424" s="114" t="str">
        <f>$BB$68</f>
        <v>Select Equipment</v>
      </c>
      <c r="BB2424" s="436" t="s">
        <v>577</v>
      </c>
      <c r="BC2424" s="225">
        <f>BC2413*IF(BC2411&gt;1,1,BC2411)</f>
        <v>0</v>
      </c>
      <c r="BD2424" s="446" t="s">
        <v>454</v>
      </c>
      <c r="BE2424" s="120"/>
      <c r="BF2424" s="440"/>
      <c r="CA2424" s="114" t="str">
        <f>$CB$68</f>
        <v>Select Equipment</v>
      </c>
      <c r="CB2424" s="436" t="s">
        <v>577</v>
      </c>
      <c r="CC2424" s="225">
        <f>CC2413*IF(CC2411&gt;1,1,CC2411)</f>
        <v>0</v>
      </c>
      <c r="CD2424" s="446" t="s">
        <v>454</v>
      </c>
      <c r="CE2424" s="120"/>
      <c r="CF2424" s="440"/>
      <c r="DA2424" s="114" t="str">
        <f>$DB$68</f>
        <v>Select Equipment</v>
      </c>
      <c r="DB2424" s="436" t="s">
        <v>577</v>
      </c>
      <c r="DC2424" s="225">
        <f>DC2413*IF(DC2411&gt;1,1,DC2411)</f>
        <v>0</v>
      </c>
      <c r="DD2424" s="446" t="s">
        <v>454</v>
      </c>
      <c r="DE2424" s="120"/>
      <c r="DF2424" s="440"/>
      <c r="EA2424" s="114" t="str">
        <f>$EB$70</f>
        <v>Select Equipment</v>
      </c>
      <c r="EB2424" s="436" t="s">
        <v>577</v>
      </c>
      <c r="EC2424" s="225">
        <f>EC2413*IF(EC2411&gt;1,1,EC2411)</f>
        <v>0</v>
      </c>
      <c r="ED2424" s="446" t="s">
        <v>454</v>
      </c>
      <c r="EE2424" s="120"/>
      <c r="EF2424" s="440"/>
    </row>
    <row r="2425" spans="53:136">
      <c r="BA2425" s="114" t="str">
        <f>$BB$69</f>
        <v>Select Equipment</v>
      </c>
      <c r="BB2425" s="436" t="s">
        <v>578</v>
      </c>
      <c r="BC2425" s="225"/>
      <c r="BD2425" s="446" t="s">
        <v>579</v>
      </c>
      <c r="BE2425" s="120"/>
      <c r="BF2425" s="440"/>
      <c r="CA2425" s="114" t="str">
        <f>$CB$69</f>
        <v>Select Equipment</v>
      </c>
      <c r="CB2425" s="436" t="s">
        <v>578</v>
      </c>
      <c r="CC2425" s="225"/>
      <c r="CD2425" s="446" t="s">
        <v>579</v>
      </c>
      <c r="CE2425" s="120"/>
      <c r="CF2425" s="440"/>
      <c r="DA2425" s="114" t="str">
        <f>$DB$69</f>
        <v>Select Equipment</v>
      </c>
      <c r="DB2425" s="436" t="s">
        <v>578</v>
      </c>
      <c r="DC2425" s="225"/>
      <c r="DD2425" s="446" t="s">
        <v>579</v>
      </c>
      <c r="DE2425" s="120"/>
      <c r="DF2425" s="440"/>
      <c r="EA2425" s="114" t="str">
        <f>$EB$71</f>
        <v>Select Equipment</v>
      </c>
      <c r="EB2425" s="436" t="s">
        <v>578</v>
      </c>
      <c r="EC2425" s="225"/>
      <c r="ED2425" s="446" t="s">
        <v>579</v>
      </c>
      <c r="EE2425" s="120"/>
      <c r="EF2425" s="440"/>
    </row>
    <row r="2426" spans="53:136">
      <c r="BA2426" s="114" t="str">
        <f>$BB$70</f>
        <v>Select Equipment</v>
      </c>
      <c r="BB2426" s="436"/>
      <c r="BC2426" s="120"/>
      <c r="BD2426" s="446"/>
      <c r="BE2426" s="120"/>
      <c r="BF2426" s="440"/>
      <c r="CA2426" s="114" t="str">
        <f>$CB$70</f>
        <v>Select Equipment</v>
      </c>
      <c r="CB2426" s="436"/>
      <c r="CC2426" s="120"/>
      <c r="CD2426" s="446"/>
      <c r="CE2426" s="120"/>
      <c r="CF2426" s="440"/>
      <c r="DA2426" s="114" t="str">
        <f>$DB$70</f>
        <v>Select Equipment</v>
      </c>
      <c r="DB2426" s="436"/>
      <c r="DC2426" s="120"/>
      <c r="DD2426" s="446"/>
      <c r="DE2426" s="120"/>
      <c r="DF2426" s="440"/>
      <c r="EA2426" s="114" t="str">
        <f>$EB$72</f>
        <v>Select Equipment</v>
      </c>
      <c r="EB2426" s="436"/>
      <c r="EC2426" s="120"/>
      <c r="ED2426" s="446"/>
      <c r="EE2426" s="120"/>
      <c r="EF2426" s="440"/>
    </row>
    <row r="2427" spans="53:136">
      <c r="BA2427" s="114" t="str">
        <f>$BB$71</f>
        <v>Select Equipment</v>
      </c>
      <c r="BB2427" s="436" t="s">
        <v>8</v>
      </c>
      <c r="BC2427" s="120"/>
      <c r="BD2427" s="459" t="s">
        <v>564</v>
      </c>
      <c r="BE2427" s="120"/>
      <c r="BF2427" s="440"/>
      <c r="CA2427" s="114" t="str">
        <f>$CB$71</f>
        <v>Select Equipment</v>
      </c>
      <c r="CB2427" s="436" t="s">
        <v>8</v>
      </c>
      <c r="CC2427" s="120"/>
      <c r="CD2427" s="459" t="s">
        <v>564</v>
      </c>
      <c r="CE2427" s="120"/>
      <c r="CF2427" s="440"/>
      <c r="DA2427" s="114" t="str">
        <f>$DB$71</f>
        <v>Select Equipment</v>
      </c>
      <c r="DB2427" s="436" t="s">
        <v>8</v>
      </c>
      <c r="DC2427" s="120"/>
      <c r="DD2427" s="459" t="s">
        <v>564</v>
      </c>
      <c r="DE2427" s="120"/>
      <c r="DF2427" s="440"/>
      <c r="EA2427" s="114" t="str">
        <f>$EB$73</f>
        <v>Select Equipment</v>
      </c>
      <c r="EB2427" s="436" t="s">
        <v>8</v>
      </c>
      <c r="EC2427" s="120"/>
      <c r="ED2427" s="459" t="s">
        <v>564</v>
      </c>
      <c r="EE2427" s="120"/>
      <c r="EF2427" s="440"/>
    </row>
    <row r="2428" spans="53:136">
      <c r="BA2428" s="114" t="str">
        <f>$BB$72</f>
        <v>Select Equipment</v>
      </c>
      <c r="BB2428" s="436"/>
      <c r="BC2428" s="120"/>
      <c r="BD2428" s="459"/>
      <c r="BE2428" s="120"/>
      <c r="BF2428" s="440"/>
      <c r="CA2428" s="114" t="str">
        <f>$CB$72</f>
        <v>Select Equipment</v>
      </c>
      <c r="CB2428" s="436"/>
      <c r="CC2428" s="120"/>
      <c r="CD2428" s="459"/>
      <c r="CE2428" s="120"/>
      <c r="CF2428" s="440"/>
      <c r="DA2428" s="114" t="str">
        <f>$DB$72</f>
        <v>Select Equipment</v>
      </c>
      <c r="DB2428" s="436"/>
      <c r="DC2428" s="120"/>
      <c r="DD2428" s="459"/>
      <c r="DE2428" s="120"/>
      <c r="DF2428" s="440"/>
      <c r="EA2428" s="114" t="str">
        <f>$EB$74</f>
        <v>Select Equipment</v>
      </c>
      <c r="EB2428" s="436"/>
      <c r="EC2428" s="120"/>
      <c r="ED2428" s="459"/>
      <c r="EE2428" s="120"/>
      <c r="EF2428" s="440"/>
    </row>
    <row r="2429" spans="53:136">
      <c r="BA2429" s="114" t="str">
        <f>$BB$73</f>
        <v>Select Equipment</v>
      </c>
      <c r="BB2429" s="436" t="s">
        <v>7</v>
      </c>
      <c r="BC2429" s="120"/>
      <c r="BD2429" s="459" t="s">
        <v>564</v>
      </c>
      <c r="BE2429" s="120"/>
      <c r="BF2429" s="440"/>
      <c r="CA2429" s="114" t="str">
        <f>$CB$73</f>
        <v>Select Equipment</v>
      </c>
      <c r="CB2429" s="436" t="s">
        <v>7</v>
      </c>
      <c r="CC2429" s="120"/>
      <c r="CD2429" s="459" t="s">
        <v>564</v>
      </c>
      <c r="CE2429" s="120"/>
      <c r="CF2429" s="440"/>
      <c r="DA2429" s="114" t="str">
        <f>$DB$73</f>
        <v>Select Equipment</v>
      </c>
      <c r="DB2429" s="436" t="s">
        <v>7</v>
      </c>
      <c r="DC2429" s="120"/>
      <c r="DD2429" s="459" t="s">
        <v>564</v>
      </c>
      <c r="DE2429" s="120"/>
      <c r="DF2429" s="440"/>
      <c r="EA2429" s="114" t="str">
        <f>$EB$75</f>
        <v>Select Equipment</v>
      </c>
      <c r="EB2429" s="436" t="s">
        <v>7</v>
      </c>
      <c r="EC2429" s="120"/>
      <c r="ED2429" s="459" t="s">
        <v>564</v>
      </c>
      <c r="EE2429" s="120"/>
      <c r="EF2429" s="440"/>
    </row>
    <row r="2430" spans="53:136">
      <c r="BA2430" s="114" t="str">
        <f>$BB$74</f>
        <v>Select Equipment</v>
      </c>
      <c r="BB2430" s="436"/>
      <c r="BC2430" s="120"/>
      <c r="BD2430" s="459"/>
      <c r="BE2430" s="120"/>
      <c r="BF2430" s="440"/>
      <c r="CA2430" s="114" t="str">
        <f>$CB$74</f>
        <v>Select Equipment</v>
      </c>
      <c r="CB2430" s="436"/>
      <c r="CC2430" s="120"/>
      <c r="CD2430" s="459"/>
      <c r="CE2430" s="120"/>
      <c r="CF2430" s="440"/>
      <c r="DA2430" s="114" t="str">
        <f>$DB$74</f>
        <v>Select Equipment</v>
      </c>
      <c r="DB2430" s="436"/>
      <c r="DC2430" s="120"/>
      <c r="DD2430" s="459"/>
      <c r="DE2430" s="120"/>
      <c r="DF2430" s="440"/>
      <c r="EA2430" s="114" t="str">
        <f>$EB$76</f>
        <v>Select Equipment</v>
      </c>
      <c r="EB2430" s="436"/>
      <c r="EC2430" s="120"/>
      <c r="ED2430" s="459"/>
      <c r="EE2430" s="120"/>
      <c r="EF2430" s="440"/>
    </row>
    <row r="2431" spans="53:136">
      <c r="BA2431" s="114" t="str">
        <f>$BB$75</f>
        <v>Select Equipment</v>
      </c>
      <c r="BB2431" s="436" t="s">
        <v>9</v>
      </c>
      <c r="BC2431" s="120"/>
      <c r="BD2431" s="459" t="s">
        <v>564</v>
      </c>
      <c r="BE2431" s="120"/>
      <c r="BF2431" s="440"/>
      <c r="CA2431" s="114" t="str">
        <f>$CB$75</f>
        <v>Select Equipment</v>
      </c>
      <c r="CB2431" s="436" t="s">
        <v>9</v>
      </c>
      <c r="CC2431" s="120"/>
      <c r="CD2431" s="459" t="s">
        <v>564</v>
      </c>
      <c r="CE2431" s="120"/>
      <c r="CF2431" s="440"/>
      <c r="DA2431" s="114" t="str">
        <f>$DB$75</f>
        <v>Select Equipment</v>
      </c>
      <c r="DB2431" s="436" t="s">
        <v>9</v>
      </c>
      <c r="DC2431" s="120"/>
      <c r="DD2431" s="459" t="s">
        <v>564</v>
      </c>
      <c r="DE2431" s="120"/>
      <c r="DF2431" s="440"/>
      <c r="EA2431" s="114" t="str">
        <f>$EB$77</f>
        <v>Select Equipment</v>
      </c>
      <c r="EB2431" s="436" t="s">
        <v>9</v>
      </c>
      <c r="EC2431" s="120"/>
      <c r="ED2431" s="459" t="s">
        <v>564</v>
      </c>
      <c r="EE2431" s="120"/>
      <c r="EF2431" s="440"/>
    </row>
    <row r="2432" spans="53:136">
      <c r="BA2432" s="114" t="str">
        <f>$BB$76</f>
        <v>Select Equipment</v>
      </c>
      <c r="BB2432" s="436"/>
      <c r="BC2432" s="120"/>
      <c r="BD2432" s="459"/>
      <c r="BE2432" s="120"/>
      <c r="BF2432" s="440"/>
      <c r="CA2432" s="114" t="str">
        <f>$CB$76</f>
        <v>Select Equipment</v>
      </c>
      <c r="CB2432" s="436"/>
      <c r="CC2432" s="120"/>
      <c r="CD2432" s="459"/>
      <c r="CE2432" s="120"/>
      <c r="CF2432" s="440"/>
      <c r="DA2432" s="114" t="str">
        <f>$DB$76</f>
        <v>Select Equipment</v>
      </c>
      <c r="DB2432" s="436"/>
      <c r="DC2432" s="120"/>
      <c r="DD2432" s="459"/>
      <c r="DE2432" s="120"/>
      <c r="DF2432" s="440"/>
      <c r="EA2432" s="114" t="str">
        <f>$EB$78</f>
        <v>Select Equipment</v>
      </c>
      <c r="EB2432" s="436"/>
      <c r="EC2432" s="120"/>
      <c r="ED2432" s="459"/>
      <c r="EE2432" s="120"/>
      <c r="EF2432" s="440"/>
    </row>
    <row r="2433" spans="53:136">
      <c r="BA2433" s="114" t="str">
        <f>$BB$77</f>
        <v>Select Equipment</v>
      </c>
      <c r="BB2433" s="436" t="s">
        <v>324</v>
      </c>
      <c r="BC2433" s="120"/>
      <c r="BD2433" s="459" t="s">
        <v>564</v>
      </c>
      <c r="BE2433" s="120"/>
      <c r="BF2433" s="440" t="s">
        <v>569</v>
      </c>
      <c r="CA2433" s="114" t="str">
        <f>$CB$77</f>
        <v>Select Equipment</v>
      </c>
      <c r="CB2433" s="436" t="s">
        <v>324</v>
      </c>
      <c r="CC2433" s="120"/>
      <c r="CD2433" s="459" t="s">
        <v>564</v>
      </c>
      <c r="CE2433" s="120"/>
      <c r="CF2433" s="440" t="s">
        <v>569</v>
      </c>
      <c r="DA2433" s="114" t="str">
        <f>$DB$77</f>
        <v>Select Equipment</v>
      </c>
      <c r="DB2433" s="436" t="s">
        <v>324</v>
      </c>
      <c r="DC2433" s="120"/>
      <c r="DD2433" s="459" t="s">
        <v>564</v>
      </c>
      <c r="DE2433" s="120"/>
      <c r="DF2433" s="440" t="s">
        <v>569</v>
      </c>
      <c r="EA2433" s="114" t="str">
        <f>$EB$79</f>
        <v>Select Equipment</v>
      </c>
      <c r="EB2433" s="436" t="s">
        <v>324</v>
      </c>
      <c r="EC2433" s="120"/>
      <c r="ED2433" s="459" t="s">
        <v>564</v>
      </c>
      <c r="EE2433" s="120"/>
      <c r="EF2433" s="440" t="s">
        <v>569</v>
      </c>
    </row>
    <row r="2434" spans="53:136">
      <c r="BA2434" s="114" t="str">
        <f>$BB$78</f>
        <v>Select Equipment</v>
      </c>
      <c r="BB2434" s="436"/>
      <c r="BC2434" s="120"/>
      <c r="BD2434" s="468"/>
      <c r="BE2434" s="469"/>
      <c r="BF2434" s="440"/>
      <c r="CA2434" s="114" t="str">
        <f>$CB$78</f>
        <v>Select Equipment</v>
      </c>
      <c r="CB2434" s="436"/>
      <c r="CC2434" s="120"/>
      <c r="CD2434" s="468"/>
      <c r="CE2434" s="469"/>
      <c r="CF2434" s="440"/>
      <c r="DA2434" s="114" t="str">
        <f>$DB$78</f>
        <v>Select Equipment</v>
      </c>
      <c r="DB2434" s="436"/>
      <c r="DC2434" s="120"/>
      <c r="DD2434" s="468"/>
      <c r="DE2434" s="469"/>
      <c r="DF2434" s="440"/>
      <c r="EA2434" s="114" t="str">
        <f>$EB$80</f>
        <v>Select Equipment</v>
      </c>
      <c r="EB2434" s="436"/>
      <c r="EC2434" s="120"/>
      <c r="ED2434" s="468"/>
      <c r="EE2434" s="469"/>
      <c r="EF2434" s="440"/>
    </row>
    <row r="2435" spans="53:136">
      <c r="BA2435" s="114" t="str">
        <f>$BB$79</f>
        <v>Select Equipment</v>
      </c>
      <c r="BB2435" s="436" t="s">
        <v>374</v>
      </c>
      <c r="BC2435" s="120"/>
      <c r="BD2435" s="459" t="s">
        <v>564</v>
      </c>
      <c r="BE2435" s="469"/>
      <c r="BF2435" s="440" t="s">
        <v>569</v>
      </c>
      <c r="CA2435" s="114" t="str">
        <f>$CB$79</f>
        <v>Select Equipment</v>
      </c>
      <c r="CB2435" s="436" t="s">
        <v>374</v>
      </c>
      <c r="CC2435" s="120"/>
      <c r="CD2435" s="459" t="s">
        <v>564</v>
      </c>
      <c r="CE2435" s="469"/>
      <c r="CF2435" s="440" t="s">
        <v>569</v>
      </c>
      <c r="DA2435" s="114" t="str">
        <f>$DB$79</f>
        <v>Select Equipment</v>
      </c>
      <c r="DB2435" s="436" t="s">
        <v>374</v>
      </c>
      <c r="DC2435" s="120"/>
      <c r="DD2435" s="459" t="s">
        <v>564</v>
      </c>
      <c r="DE2435" s="469"/>
      <c r="DF2435" s="440" t="s">
        <v>569</v>
      </c>
      <c r="EA2435" s="114" t="str">
        <f>$EB$81</f>
        <v>Select Equipment</v>
      </c>
      <c r="EB2435" s="436" t="s">
        <v>374</v>
      </c>
      <c r="EC2435" s="120"/>
      <c r="ED2435" s="459" t="s">
        <v>564</v>
      </c>
      <c r="EE2435" s="469"/>
      <c r="EF2435" s="440" t="s">
        <v>569</v>
      </c>
    </row>
    <row r="2436" spans="53:136">
      <c r="BA2436" s="114" t="str">
        <f>$BB$80</f>
        <v>Select Equipment</v>
      </c>
      <c r="BB2436" s="436"/>
      <c r="BC2436" s="120"/>
      <c r="BD2436" s="472"/>
      <c r="BE2436" s="473"/>
      <c r="BF2436" s="440"/>
      <c r="CA2436" s="114" t="str">
        <f>$CB$80</f>
        <v>Select Equipment</v>
      </c>
      <c r="CB2436" s="436"/>
      <c r="CC2436" s="120"/>
      <c r="CD2436" s="472"/>
      <c r="CE2436" s="473"/>
      <c r="CF2436" s="440"/>
      <c r="DA2436" s="114" t="str">
        <f>$DB$80</f>
        <v>Select Equipment</v>
      </c>
      <c r="DB2436" s="436"/>
      <c r="DC2436" s="120"/>
      <c r="DD2436" s="472"/>
      <c r="DE2436" s="473"/>
      <c r="DF2436" s="440"/>
      <c r="EA2436" s="114" t="str">
        <f>$EB$82</f>
        <v>Select Equipment</v>
      </c>
      <c r="EB2436" s="436"/>
      <c r="EC2436" s="120"/>
      <c r="ED2436" s="472"/>
      <c r="EE2436" s="473"/>
      <c r="EF2436" s="440"/>
    </row>
    <row r="2437" spans="53:136">
      <c r="BA2437" s="114" t="str">
        <f>$BB$81</f>
        <v>Select Equipment</v>
      </c>
      <c r="BB2437" s="436" t="s">
        <v>580</v>
      </c>
      <c r="BC2437" s="120"/>
      <c r="BD2437" s="459" t="s">
        <v>564</v>
      </c>
      <c r="BE2437" s="473"/>
      <c r="BF2437" s="440" t="s">
        <v>569</v>
      </c>
      <c r="CA2437" s="114" t="str">
        <f>$CB$81</f>
        <v>Select Equipment</v>
      </c>
      <c r="CB2437" s="436" t="s">
        <v>580</v>
      </c>
      <c r="CC2437" s="120"/>
      <c r="CD2437" s="459" t="s">
        <v>564</v>
      </c>
      <c r="CE2437" s="473"/>
      <c r="CF2437" s="440" t="s">
        <v>569</v>
      </c>
      <c r="DA2437" s="114" t="str">
        <f>$DB$81</f>
        <v>Select Equipment</v>
      </c>
      <c r="DB2437" s="436" t="s">
        <v>580</v>
      </c>
      <c r="DC2437" s="120"/>
      <c r="DD2437" s="459" t="s">
        <v>564</v>
      </c>
      <c r="DE2437" s="473"/>
      <c r="DF2437" s="440" t="s">
        <v>569</v>
      </c>
      <c r="EA2437" s="114" t="str">
        <f>$EB$83</f>
        <v>Select Equipment</v>
      </c>
      <c r="EB2437" s="436" t="s">
        <v>580</v>
      </c>
      <c r="EC2437" s="120"/>
      <c r="ED2437" s="459" t="s">
        <v>564</v>
      </c>
      <c r="EE2437" s="473"/>
      <c r="EF2437" s="440" t="s">
        <v>569</v>
      </c>
    </row>
    <row r="2438" spans="53:136">
      <c r="BA2438" s="114" t="str">
        <f>$BB$82</f>
        <v>Select Equipment</v>
      </c>
      <c r="BB2438" s="476"/>
      <c r="BC2438" s="477"/>
      <c r="BD2438" s="478"/>
      <c r="BE2438" s="479"/>
      <c r="BF2438" s="458"/>
      <c r="CA2438" s="114" t="str">
        <f>$CB$82</f>
        <v>Select Equipment</v>
      </c>
      <c r="CB2438" s="476"/>
      <c r="CC2438" s="477"/>
      <c r="CD2438" s="478"/>
      <c r="CE2438" s="479"/>
      <c r="CF2438" s="458"/>
      <c r="DA2438" s="114" t="str">
        <f>$DB$82</f>
        <v>Select Equipment</v>
      </c>
      <c r="DB2438" s="476"/>
      <c r="DC2438" s="477"/>
      <c r="DD2438" s="478"/>
      <c r="DE2438" s="479"/>
      <c r="DF2438" s="458"/>
      <c r="EA2438" s="114" t="str">
        <f>$EB$84</f>
        <v>Select Equipment</v>
      </c>
      <c r="EB2438" s="476"/>
      <c r="EC2438" s="477"/>
      <c r="ED2438" s="478"/>
      <c r="EE2438" s="479"/>
      <c r="EF2438" s="458"/>
    </row>
    <row r="2439" spans="53:136">
      <c r="BA2439" s="114" t="str">
        <f>$BB$83</f>
        <v>Select Equipment</v>
      </c>
      <c r="BB2439" s="449" t="s">
        <v>473</v>
      </c>
      <c r="BC2439" s="467" t="s">
        <v>508</v>
      </c>
      <c r="BD2439" s="480"/>
      <c r="BE2439" s="481" t="s">
        <v>308</v>
      </c>
      <c r="BF2439" s="440"/>
      <c r="CA2439" s="114" t="str">
        <f>$CB$83</f>
        <v>Select Equipment</v>
      </c>
      <c r="CB2439" s="449" t="s">
        <v>473</v>
      </c>
      <c r="CC2439" s="467" t="s">
        <v>508</v>
      </c>
      <c r="CD2439" s="480"/>
      <c r="CE2439" s="481" t="s">
        <v>308</v>
      </c>
      <c r="CF2439" s="440"/>
      <c r="DA2439" s="114" t="str">
        <f>$DB$83</f>
        <v>Select Equipment</v>
      </c>
      <c r="DB2439" s="449" t="s">
        <v>473</v>
      </c>
      <c r="DC2439" s="467" t="s">
        <v>508</v>
      </c>
      <c r="DD2439" s="480"/>
      <c r="DE2439" s="481" t="s">
        <v>308</v>
      </c>
      <c r="DF2439" s="440"/>
      <c r="EA2439" s="114" t="str">
        <f>$EB$85</f>
        <v>Select Equipment</v>
      </c>
      <c r="EB2439" s="449" t="s">
        <v>473</v>
      </c>
      <c r="EC2439" s="467" t="s">
        <v>508</v>
      </c>
      <c r="ED2439" s="480"/>
      <c r="EE2439" s="481" t="s">
        <v>308</v>
      </c>
      <c r="EF2439" s="440"/>
    </row>
    <row r="2440" spans="53:136">
      <c r="BB2440" s="436"/>
      <c r="BC2440" s="483"/>
      <c r="BD2440" s="480"/>
      <c r="BE2440" s="484"/>
      <c r="BF2440" s="440"/>
      <c r="CB2440" s="436"/>
      <c r="CC2440" s="483"/>
      <c r="CD2440" s="480"/>
      <c r="CE2440" s="484"/>
      <c r="CF2440" s="440"/>
      <c r="DB2440" s="436"/>
      <c r="DC2440" s="483"/>
      <c r="DD2440" s="480"/>
      <c r="DE2440" s="484"/>
      <c r="DF2440" s="440"/>
      <c r="EB2440" s="436"/>
      <c r="EC2440" s="483"/>
      <c r="ED2440" s="480"/>
      <c r="EE2440" s="484"/>
      <c r="EF2440" s="440"/>
    </row>
    <row r="2441" spans="53:136">
      <c r="BB2441" s="436"/>
      <c r="BC2441" s="120"/>
      <c r="BD2441" s="223"/>
      <c r="BE2441" s="467"/>
      <c r="BF2441" s="440"/>
      <c r="CB2441" s="436"/>
      <c r="CC2441" s="120"/>
      <c r="CD2441" s="223"/>
      <c r="CE2441" s="467"/>
      <c r="CF2441" s="440"/>
      <c r="DB2441" s="436"/>
      <c r="DC2441" s="120"/>
      <c r="DD2441" s="223"/>
      <c r="DE2441" s="467"/>
      <c r="DF2441" s="440"/>
      <c r="EB2441" s="436"/>
      <c r="EC2441" s="120"/>
      <c r="ED2441" s="223"/>
      <c r="EE2441" s="467"/>
      <c r="EF2441" s="440"/>
    </row>
    <row r="2442" spans="53:136">
      <c r="BB2442" s="436"/>
      <c r="BC2442" s="120"/>
      <c r="BD2442" s="466"/>
      <c r="BE2442" s="467"/>
      <c r="BF2442" s="440"/>
      <c r="CB2442" s="436"/>
      <c r="CC2442" s="120"/>
      <c r="CD2442" s="466"/>
      <c r="CE2442" s="467"/>
      <c r="CF2442" s="440"/>
      <c r="DB2442" s="436"/>
      <c r="DC2442" s="120"/>
      <c r="DD2442" s="466"/>
      <c r="DE2442" s="467"/>
      <c r="DF2442" s="440"/>
      <c r="EB2442" s="436"/>
      <c r="EC2442" s="120"/>
      <c r="ED2442" s="466"/>
      <c r="EE2442" s="467"/>
      <c r="EF2442" s="440"/>
    </row>
    <row r="2443" spans="53:136">
      <c r="BB2443" s="436"/>
      <c r="BC2443" s="120"/>
      <c r="BD2443" s="223"/>
      <c r="BE2443" s="467"/>
      <c r="BF2443" s="440"/>
      <c r="CB2443" s="436"/>
      <c r="CC2443" s="120"/>
      <c r="CD2443" s="223"/>
      <c r="CE2443" s="467"/>
      <c r="CF2443" s="440"/>
      <c r="DB2443" s="436"/>
      <c r="DC2443" s="120"/>
      <c r="DD2443" s="223"/>
      <c r="DE2443" s="467"/>
      <c r="DF2443" s="440"/>
      <c r="EB2443" s="436"/>
      <c r="EC2443" s="120"/>
      <c r="ED2443" s="223"/>
      <c r="EE2443" s="467"/>
      <c r="EF2443" s="440"/>
    </row>
    <row r="2444" spans="53:136">
      <c r="BB2444" s="436"/>
      <c r="BC2444" s="120"/>
      <c r="BD2444" s="223"/>
      <c r="BE2444" s="467"/>
      <c r="BF2444" s="440"/>
      <c r="CB2444" s="436"/>
      <c r="CC2444" s="120"/>
      <c r="CD2444" s="223"/>
      <c r="CE2444" s="467"/>
      <c r="CF2444" s="440"/>
      <c r="DB2444" s="436"/>
      <c r="DC2444" s="120"/>
      <c r="DD2444" s="223"/>
      <c r="DE2444" s="467"/>
      <c r="DF2444" s="440"/>
      <c r="EB2444" s="436"/>
      <c r="EC2444" s="120"/>
      <c r="ED2444" s="223"/>
      <c r="EE2444" s="467"/>
      <c r="EF2444" s="440"/>
    </row>
    <row r="2445" spans="53:136">
      <c r="BB2445" s="436"/>
      <c r="BC2445" s="120"/>
      <c r="BD2445" s="471"/>
      <c r="BE2445" s="467"/>
      <c r="BF2445" s="440"/>
      <c r="CB2445" s="436"/>
      <c r="CC2445" s="120"/>
      <c r="CD2445" s="471"/>
      <c r="CE2445" s="467"/>
      <c r="CF2445" s="440"/>
      <c r="DB2445" s="436"/>
      <c r="DC2445" s="120"/>
      <c r="DD2445" s="471"/>
      <c r="DE2445" s="467"/>
      <c r="DF2445" s="440"/>
      <c r="EB2445" s="436"/>
      <c r="EC2445" s="120"/>
      <c r="ED2445" s="471"/>
      <c r="EE2445" s="467"/>
      <c r="EF2445" s="440"/>
    </row>
    <row r="2446" spans="53:136">
      <c r="BB2446" s="436"/>
      <c r="BC2446" s="120"/>
      <c r="BD2446" s="223"/>
      <c r="BE2446" s="467"/>
      <c r="BF2446" s="440"/>
      <c r="CB2446" s="436"/>
      <c r="CC2446" s="120"/>
      <c r="CD2446" s="223"/>
      <c r="CE2446" s="467"/>
      <c r="CF2446" s="440"/>
      <c r="DB2446" s="436"/>
      <c r="DC2446" s="120"/>
      <c r="DD2446" s="223"/>
      <c r="DE2446" s="467"/>
      <c r="DF2446" s="440"/>
      <c r="EB2446" s="436"/>
      <c r="EC2446" s="120"/>
      <c r="ED2446" s="223"/>
      <c r="EE2446" s="467"/>
      <c r="EF2446" s="440"/>
    </row>
    <row r="2447" spans="53:136">
      <c r="BB2447" s="436"/>
      <c r="BC2447" s="120"/>
      <c r="BD2447" s="475"/>
      <c r="BE2447" s="467"/>
      <c r="BF2447" s="440"/>
      <c r="CB2447" s="436"/>
      <c r="CC2447" s="120"/>
      <c r="CD2447" s="475"/>
      <c r="CE2447" s="467"/>
      <c r="CF2447" s="440"/>
      <c r="DB2447" s="436"/>
      <c r="DC2447" s="120"/>
      <c r="DD2447" s="475"/>
      <c r="DE2447" s="467"/>
      <c r="DF2447" s="440"/>
      <c r="EB2447" s="436"/>
      <c r="EC2447" s="120"/>
      <c r="ED2447" s="475"/>
      <c r="EE2447" s="467"/>
      <c r="EF2447" s="440"/>
    </row>
    <row r="2448" spans="53:136">
      <c r="BB2448" s="436"/>
      <c r="BC2448" s="120"/>
      <c r="BD2448" s="223"/>
      <c r="BE2448" s="467"/>
      <c r="BF2448" s="440"/>
      <c r="CB2448" s="436"/>
      <c r="CC2448" s="120"/>
      <c r="CD2448" s="223"/>
      <c r="CE2448" s="467"/>
      <c r="CF2448" s="440"/>
      <c r="DB2448" s="436"/>
      <c r="DC2448" s="120"/>
      <c r="DD2448" s="223"/>
      <c r="DE2448" s="467"/>
      <c r="DF2448" s="440"/>
      <c r="EB2448" s="436"/>
      <c r="EC2448" s="120"/>
      <c r="ED2448" s="223"/>
      <c r="EE2448" s="467"/>
      <c r="EF2448" s="440"/>
    </row>
    <row r="2449" spans="54:136">
      <c r="BB2449" s="436"/>
      <c r="BC2449" s="120"/>
      <c r="BD2449" s="223"/>
      <c r="BE2449" s="467"/>
      <c r="BF2449" s="440"/>
      <c r="CB2449" s="436"/>
      <c r="CC2449" s="120"/>
      <c r="CD2449" s="223"/>
      <c r="CE2449" s="467"/>
      <c r="CF2449" s="440"/>
      <c r="DB2449" s="436"/>
      <c r="DC2449" s="120"/>
      <c r="DD2449" s="223"/>
      <c r="DE2449" s="467"/>
      <c r="DF2449" s="440"/>
      <c r="EB2449" s="436"/>
      <c r="EC2449" s="120"/>
      <c r="ED2449" s="223"/>
      <c r="EE2449" s="467"/>
      <c r="EF2449" s="440"/>
    </row>
    <row r="2450" spans="54:136">
      <c r="BB2450" s="436"/>
      <c r="BC2450" s="120"/>
      <c r="BD2450" s="223"/>
      <c r="BE2450" s="467"/>
      <c r="BF2450" s="440"/>
      <c r="CB2450" s="436"/>
      <c r="CC2450" s="120"/>
      <c r="CD2450" s="223"/>
      <c r="CE2450" s="467"/>
      <c r="CF2450" s="440"/>
      <c r="DB2450" s="436"/>
      <c r="DC2450" s="120"/>
      <c r="DD2450" s="223"/>
      <c r="DE2450" s="467"/>
      <c r="DF2450" s="440"/>
      <c r="EB2450" s="436"/>
      <c r="EC2450" s="120"/>
      <c r="ED2450" s="223"/>
      <c r="EE2450" s="467"/>
      <c r="EF2450" s="440"/>
    </row>
    <row r="2451" spans="54:136">
      <c r="BB2451" s="436"/>
      <c r="BC2451" s="120"/>
      <c r="BD2451" s="223"/>
      <c r="BE2451" s="467"/>
      <c r="BF2451" s="440"/>
      <c r="CB2451" s="436"/>
      <c r="CC2451" s="120"/>
      <c r="CD2451" s="223"/>
      <c r="CE2451" s="467"/>
      <c r="CF2451" s="440"/>
      <c r="DB2451" s="436"/>
      <c r="DC2451" s="120"/>
      <c r="DD2451" s="223"/>
      <c r="DE2451" s="467"/>
      <c r="DF2451" s="440"/>
      <c r="EB2451" s="436"/>
      <c r="EC2451" s="120"/>
      <c r="ED2451" s="223"/>
      <c r="EE2451" s="467"/>
      <c r="EF2451" s="440"/>
    </row>
    <row r="2452" spans="54:136">
      <c r="BB2452" s="436"/>
      <c r="BC2452" s="120"/>
      <c r="BD2452" s="120"/>
      <c r="BE2452" s="467"/>
      <c r="BF2452" s="440"/>
      <c r="CB2452" s="436"/>
      <c r="CC2452" s="120"/>
      <c r="CD2452" s="120"/>
      <c r="CE2452" s="467"/>
      <c r="CF2452" s="440"/>
      <c r="DB2452" s="436"/>
      <c r="DC2452" s="120"/>
      <c r="DD2452" s="120"/>
      <c r="DE2452" s="467"/>
      <c r="DF2452" s="440"/>
      <c r="EB2452" s="436"/>
      <c r="EC2452" s="120"/>
      <c r="ED2452" s="120"/>
      <c r="EE2452" s="467"/>
      <c r="EF2452" s="440"/>
    </row>
    <row r="2453" spans="54:136">
      <c r="BB2453" s="456"/>
      <c r="BC2453" s="457"/>
      <c r="BD2453" s="457"/>
      <c r="BE2453" s="477"/>
      <c r="BF2453" s="458"/>
      <c r="CB2453" s="456"/>
      <c r="CC2453" s="457"/>
      <c r="CD2453" s="457"/>
      <c r="CE2453" s="477"/>
      <c r="CF2453" s="458"/>
      <c r="DB2453" s="456"/>
      <c r="DC2453" s="457"/>
      <c r="DD2453" s="457"/>
      <c r="DE2453" s="477"/>
      <c r="DF2453" s="458"/>
      <c r="EB2453" s="456"/>
      <c r="EC2453" s="457"/>
      <c r="ED2453" s="457"/>
      <c r="EE2453" s="477"/>
      <c r="EF2453" s="458"/>
    </row>
    <row r="2454" spans="54:136">
      <c r="BB2454" s="449" t="s">
        <v>474</v>
      </c>
      <c r="BC2454" s="120"/>
      <c r="BD2454" s="120" t="s">
        <v>1</v>
      </c>
      <c r="BE2454" s="310" t="s">
        <v>307</v>
      </c>
      <c r="BF2454" s="440"/>
      <c r="CB2454" s="449" t="s">
        <v>474</v>
      </c>
      <c r="CC2454" s="120"/>
      <c r="CD2454" s="120" t="s">
        <v>1</v>
      </c>
      <c r="CE2454" s="310" t="s">
        <v>307</v>
      </c>
      <c r="CF2454" s="440"/>
      <c r="DB2454" s="449" t="s">
        <v>474</v>
      </c>
      <c r="DC2454" s="120"/>
      <c r="DD2454" s="120" t="s">
        <v>1</v>
      </c>
      <c r="DE2454" s="310" t="s">
        <v>307</v>
      </c>
      <c r="DF2454" s="440"/>
      <c r="EB2454" s="449" t="s">
        <v>474</v>
      </c>
      <c r="EC2454" s="120"/>
      <c r="ED2454" s="120" t="s">
        <v>1</v>
      </c>
      <c r="EE2454" s="310" t="s">
        <v>307</v>
      </c>
      <c r="EF2454" s="440"/>
    </row>
    <row r="2455" spans="54:136">
      <c r="BB2455" s="436"/>
      <c r="BC2455" s="223"/>
      <c r="BD2455" s="480"/>
      <c r="BE2455" s="484"/>
      <c r="BF2455" s="440"/>
      <c r="CB2455" s="436"/>
      <c r="CC2455" s="223"/>
      <c r="CD2455" s="480"/>
      <c r="CE2455" s="484"/>
      <c r="CF2455" s="440"/>
      <c r="DB2455" s="436"/>
      <c r="DC2455" s="223"/>
      <c r="DD2455" s="480"/>
      <c r="DE2455" s="484"/>
      <c r="DF2455" s="440"/>
      <c r="EB2455" s="436"/>
      <c r="EC2455" s="223"/>
      <c r="ED2455" s="480"/>
      <c r="EE2455" s="484"/>
      <c r="EF2455" s="440"/>
    </row>
    <row r="2456" spans="54:136">
      <c r="BB2456" s="436"/>
      <c r="BC2456" s="120"/>
      <c r="BD2456" s="120"/>
      <c r="BE2456" s="467"/>
      <c r="BF2456" s="440"/>
      <c r="CB2456" s="436"/>
      <c r="CC2456" s="120"/>
      <c r="CD2456" s="120"/>
      <c r="CE2456" s="467"/>
      <c r="CF2456" s="440"/>
      <c r="DB2456" s="436"/>
      <c r="DC2456" s="120"/>
      <c r="DD2456" s="120"/>
      <c r="DE2456" s="467"/>
      <c r="DF2456" s="440"/>
      <c r="EB2456" s="436"/>
      <c r="EC2456" s="120"/>
      <c r="ED2456" s="120"/>
      <c r="EE2456" s="467"/>
      <c r="EF2456" s="440"/>
    </row>
    <row r="2457" spans="54:136">
      <c r="BB2457" s="436"/>
      <c r="BC2457" s="120"/>
      <c r="BD2457" s="120"/>
      <c r="BE2457" s="467"/>
      <c r="BF2457" s="440"/>
      <c r="CB2457" s="436"/>
      <c r="CC2457" s="120"/>
      <c r="CD2457" s="120"/>
      <c r="CE2457" s="467"/>
      <c r="CF2457" s="440"/>
      <c r="DB2457" s="436"/>
      <c r="DC2457" s="120"/>
      <c r="DD2457" s="120"/>
      <c r="DE2457" s="467"/>
      <c r="DF2457" s="440"/>
      <c r="EB2457" s="436"/>
      <c r="EC2457" s="120"/>
      <c r="ED2457" s="120"/>
      <c r="EE2457" s="467"/>
      <c r="EF2457" s="440"/>
    </row>
    <row r="2458" spans="54:136">
      <c r="BB2458" s="436"/>
      <c r="BC2458" s="120"/>
      <c r="BD2458" s="120"/>
      <c r="BE2458" s="467"/>
      <c r="BF2458" s="440"/>
      <c r="CB2458" s="436"/>
      <c r="CC2458" s="120"/>
      <c r="CD2458" s="120"/>
      <c r="CE2458" s="467"/>
      <c r="CF2458" s="440"/>
      <c r="DB2458" s="436"/>
      <c r="DC2458" s="120"/>
      <c r="DD2458" s="120"/>
      <c r="DE2458" s="467"/>
      <c r="DF2458" s="440"/>
      <c r="EB2458" s="436"/>
      <c r="EC2458" s="120"/>
      <c r="ED2458" s="120"/>
      <c r="EE2458" s="467"/>
      <c r="EF2458" s="440"/>
    </row>
    <row r="2459" spans="54:136">
      <c r="BB2459" s="436"/>
      <c r="BC2459" s="120"/>
      <c r="BD2459" s="120"/>
      <c r="BE2459" s="467"/>
      <c r="BF2459" s="440"/>
      <c r="CB2459" s="436"/>
      <c r="CC2459" s="120"/>
      <c r="CD2459" s="120"/>
      <c r="CE2459" s="467"/>
      <c r="CF2459" s="440"/>
      <c r="DB2459" s="436"/>
      <c r="DC2459" s="120"/>
      <c r="DD2459" s="120"/>
      <c r="DE2459" s="467"/>
      <c r="DF2459" s="440"/>
      <c r="EB2459" s="436"/>
      <c r="EC2459" s="120"/>
      <c r="ED2459" s="120"/>
      <c r="EE2459" s="467"/>
      <c r="EF2459" s="440"/>
    </row>
    <row r="2460" spans="54:136">
      <c r="BB2460" s="436"/>
      <c r="BC2460" s="120"/>
      <c r="BD2460" s="120"/>
      <c r="BE2460" s="467"/>
      <c r="BF2460" s="440"/>
      <c r="CB2460" s="436"/>
      <c r="CC2460" s="120"/>
      <c r="CD2460" s="120"/>
      <c r="CE2460" s="467"/>
      <c r="CF2460" s="440"/>
      <c r="DB2460" s="436"/>
      <c r="DC2460" s="120"/>
      <c r="DD2460" s="120"/>
      <c r="DE2460" s="467"/>
      <c r="DF2460" s="440"/>
      <c r="EB2460" s="436"/>
      <c r="EC2460" s="120"/>
      <c r="ED2460" s="120"/>
      <c r="EE2460" s="467"/>
      <c r="EF2460" s="440"/>
    </row>
    <row r="2461" spans="54:136">
      <c r="BB2461" s="436"/>
      <c r="BC2461" s="120"/>
      <c r="BD2461" s="120"/>
      <c r="BE2461" s="467"/>
      <c r="BF2461" s="440"/>
      <c r="CB2461" s="436"/>
      <c r="CC2461" s="120"/>
      <c r="CD2461" s="120"/>
      <c r="CE2461" s="467"/>
      <c r="CF2461" s="440"/>
      <c r="DB2461" s="436"/>
      <c r="DC2461" s="120"/>
      <c r="DD2461" s="120"/>
      <c r="DE2461" s="467"/>
      <c r="DF2461" s="440"/>
      <c r="EB2461" s="436"/>
      <c r="EC2461" s="120"/>
      <c r="ED2461" s="120"/>
      <c r="EE2461" s="467"/>
      <c r="EF2461" s="440"/>
    </row>
    <row r="2462" spans="54:136">
      <c r="BB2462" s="436"/>
      <c r="BC2462" s="120"/>
      <c r="BD2462" s="120"/>
      <c r="BE2462" s="467"/>
      <c r="BF2462" s="440"/>
      <c r="CB2462" s="436"/>
      <c r="CC2462" s="120"/>
      <c r="CD2462" s="120"/>
      <c r="CE2462" s="467"/>
      <c r="CF2462" s="440"/>
      <c r="DB2462" s="436"/>
      <c r="DC2462" s="120"/>
      <c r="DD2462" s="120"/>
      <c r="DE2462" s="467"/>
      <c r="DF2462" s="440"/>
      <c r="EB2462" s="436"/>
      <c r="EC2462" s="120"/>
      <c r="ED2462" s="120"/>
      <c r="EE2462" s="467"/>
      <c r="EF2462" s="440"/>
    </row>
    <row r="2463" spans="54:136">
      <c r="BB2463" s="436"/>
      <c r="BC2463" s="120"/>
      <c r="BD2463" s="120"/>
      <c r="BE2463" s="467"/>
      <c r="BF2463" s="440"/>
      <c r="CB2463" s="436"/>
      <c r="CC2463" s="120"/>
      <c r="CD2463" s="120"/>
      <c r="CE2463" s="467"/>
      <c r="CF2463" s="440"/>
      <c r="DB2463" s="436"/>
      <c r="DC2463" s="120"/>
      <c r="DD2463" s="120"/>
      <c r="DE2463" s="467"/>
      <c r="DF2463" s="440"/>
      <c r="EB2463" s="436"/>
      <c r="EC2463" s="120"/>
      <c r="ED2463" s="120"/>
      <c r="EE2463" s="467"/>
      <c r="EF2463" s="440"/>
    </row>
    <row r="2464" spans="54:136">
      <c r="BB2464" s="436"/>
      <c r="BC2464" s="120"/>
      <c r="BD2464" s="120"/>
      <c r="BE2464" s="467"/>
      <c r="BF2464" s="440"/>
      <c r="CB2464" s="436"/>
      <c r="CC2464" s="120"/>
      <c r="CD2464" s="120"/>
      <c r="CE2464" s="467"/>
      <c r="CF2464" s="440"/>
      <c r="DB2464" s="436"/>
      <c r="DC2464" s="120"/>
      <c r="DD2464" s="120"/>
      <c r="DE2464" s="467"/>
      <c r="DF2464" s="440"/>
      <c r="EB2464" s="436"/>
      <c r="EC2464" s="120"/>
      <c r="ED2464" s="120"/>
      <c r="EE2464" s="467"/>
      <c r="EF2464" s="440"/>
    </row>
    <row r="2465" spans="54:136">
      <c r="BB2465" s="436"/>
      <c r="BC2465" s="120"/>
      <c r="BD2465" s="120"/>
      <c r="BE2465" s="467"/>
      <c r="BF2465" s="440"/>
      <c r="CB2465" s="436"/>
      <c r="CC2465" s="120"/>
      <c r="CD2465" s="120"/>
      <c r="CE2465" s="467"/>
      <c r="CF2465" s="440"/>
      <c r="DB2465" s="436"/>
      <c r="DC2465" s="120"/>
      <c r="DD2465" s="120"/>
      <c r="DE2465" s="467"/>
      <c r="DF2465" s="440"/>
      <c r="EB2465" s="436"/>
      <c r="EC2465" s="120"/>
      <c r="ED2465" s="120"/>
      <c r="EE2465" s="467"/>
      <c r="EF2465" s="440"/>
    </row>
    <row r="2466" spans="54:136">
      <c r="BB2466" s="436"/>
      <c r="BC2466" s="120"/>
      <c r="BD2466" s="120"/>
      <c r="BE2466" s="467"/>
      <c r="BF2466" s="440"/>
      <c r="CB2466" s="436"/>
      <c r="CC2466" s="120"/>
      <c r="CD2466" s="120"/>
      <c r="CE2466" s="467"/>
      <c r="CF2466" s="440"/>
      <c r="DB2466" s="436"/>
      <c r="DC2466" s="120"/>
      <c r="DD2466" s="120"/>
      <c r="DE2466" s="467"/>
      <c r="DF2466" s="440"/>
      <c r="EB2466" s="436"/>
      <c r="EC2466" s="120"/>
      <c r="ED2466" s="120"/>
      <c r="EE2466" s="467"/>
      <c r="EF2466" s="440"/>
    </row>
    <row r="2467" spans="54:136">
      <c r="BB2467" s="456"/>
      <c r="BC2467" s="457"/>
      <c r="BD2467" s="457"/>
      <c r="BE2467" s="477"/>
      <c r="BF2467" s="458"/>
      <c r="CB2467" s="456"/>
      <c r="CC2467" s="457"/>
      <c r="CD2467" s="457"/>
      <c r="CE2467" s="477"/>
      <c r="CF2467" s="458"/>
      <c r="DB2467" s="456"/>
      <c r="DC2467" s="457"/>
      <c r="DD2467" s="457"/>
      <c r="DE2467" s="477"/>
      <c r="DF2467" s="458"/>
      <c r="EB2467" s="456"/>
      <c r="EC2467" s="457"/>
      <c r="ED2467" s="457"/>
      <c r="EE2467" s="477"/>
      <c r="EF2467" s="458"/>
    </row>
    <row r="2468" spans="54:136">
      <c r="BB2468" s="456"/>
      <c r="BC2468" s="457"/>
      <c r="BD2468" s="457"/>
      <c r="BE2468" s="457"/>
      <c r="BF2468" s="458"/>
      <c r="CB2468" s="456"/>
      <c r="CC2468" s="457"/>
      <c r="CD2468" s="457"/>
      <c r="CE2468" s="457"/>
      <c r="CF2468" s="458"/>
      <c r="DB2468" s="456"/>
      <c r="DC2468" s="457"/>
      <c r="DD2468" s="457"/>
      <c r="DE2468" s="457"/>
      <c r="DF2468" s="458"/>
      <c r="EB2468" s="456"/>
      <c r="EC2468" s="457"/>
      <c r="ED2468" s="457"/>
      <c r="EE2468" s="457"/>
      <c r="EF2468" s="458"/>
    </row>
    <row r="2469" spans="54:136">
      <c r="BB2469" s="449" t="s">
        <v>475</v>
      </c>
      <c r="BC2469" s="120"/>
      <c r="BD2469" s="120"/>
      <c r="BE2469" s="120"/>
      <c r="BF2469" s="440"/>
      <c r="CB2469" s="449" t="s">
        <v>475</v>
      </c>
      <c r="CC2469" s="120"/>
      <c r="CD2469" s="120"/>
      <c r="CE2469" s="120"/>
      <c r="CF2469" s="440"/>
      <c r="DB2469" s="449" t="s">
        <v>475</v>
      </c>
      <c r="DC2469" s="120"/>
      <c r="DD2469" s="120"/>
      <c r="DE2469" s="120"/>
      <c r="DF2469" s="440"/>
      <c r="EB2469" s="449" t="s">
        <v>475</v>
      </c>
      <c r="EC2469" s="120"/>
      <c r="ED2469" s="120"/>
      <c r="EE2469" s="120"/>
      <c r="EF2469" s="440"/>
    </row>
    <row r="2470" spans="54:136">
      <c r="BB2470" s="436" t="s">
        <v>509</v>
      </c>
      <c r="BC2470" s="120"/>
      <c r="BD2470" s="120"/>
      <c r="BE2470" s="120"/>
      <c r="BF2470" s="440"/>
      <c r="CB2470" s="436" t="s">
        <v>509</v>
      </c>
      <c r="CC2470" s="120"/>
      <c r="CD2470" s="120"/>
      <c r="CE2470" s="120"/>
      <c r="CF2470" s="440"/>
      <c r="DB2470" s="436" t="s">
        <v>509</v>
      </c>
      <c r="DC2470" s="120"/>
      <c r="DD2470" s="120"/>
      <c r="DE2470" s="120"/>
      <c r="DF2470" s="440"/>
      <c r="EB2470" s="436" t="s">
        <v>509</v>
      </c>
      <c r="EC2470" s="120"/>
      <c r="ED2470" s="120"/>
      <c r="EE2470" s="120"/>
      <c r="EF2470" s="440"/>
    </row>
    <row r="2471" spans="54:136">
      <c r="BB2471" s="436" t="s">
        <v>510</v>
      </c>
      <c r="BC2471" s="120"/>
      <c r="BD2471" s="120"/>
      <c r="BE2471" s="120"/>
      <c r="BF2471" s="440"/>
      <c r="CB2471" s="436" t="s">
        <v>510</v>
      </c>
      <c r="CC2471" s="120"/>
      <c r="CD2471" s="120"/>
      <c r="CE2471" s="120"/>
      <c r="CF2471" s="440"/>
      <c r="DB2471" s="436" t="s">
        <v>510</v>
      </c>
      <c r="DC2471" s="120"/>
      <c r="DD2471" s="120"/>
      <c r="DE2471" s="120"/>
      <c r="DF2471" s="440"/>
      <c r="EB2471" s="436" t="s">
        <v>510</v>
      </c>
      <c r="EC2471" s="120"/>
      <c r="ED2471" s="120"/>
      <c r="EE2471" s="120"/>
      <c r="EF2471" s="440"/>
    </row>
    <row r="2472" spans="54:136">
      <c r="BB2472" s="436"/>
      <c r="BC2472" s="120"/>
      <c r="BD2472" s="120"/>
      <c r="BE2472" s="120"/>
      <c r="BF2472" s="440"/>
      <c r="CB2472" s="436"/>
      <c r="CC2472" s="120"/>
      <c r="CD2472" s="120"/>
      <c r="CE2472" s="120"/>
      <c r="CF2472" s="440"/>
      <c r="DB2472" s="436"/>
      <c r="DC2472" s="120"/>
      <c r="DD2472" s="120"/>
      <c r="DE2472" s="120"/>
      <c r="DF2472" s="440"/>
      <c r="EB2472" s="436"/>
      <c r="EC2472" s="120"/>
      <c r="ED2472" s="120"/>
      <c r="EE2472" s="120"/>
      <c r="EF2472" s="440"/>
    </row>
    <row r="2473" spans="54:136">
      <c r="BB2473" s="436"/>
      <c r="BC2473" s="120"/>
      <c r="BD2473" s="120"/>
      <c r="BE2473" s="120"/>
      <c r="BF2473" s="440"/>
      <c r="CB2473" s="436"/>
      <c r="CC2473" s="120"/>
      <c r="CD2473" s="120"/>
      <c r="CE2473" s="120"/>
      <c r="CF2473" s="440"/>
      <c r="DB2473" s="436"/>
      <c r="DC2473" s="120"/>
      <c r="DD2473" s="120"/>
      <c r="DE2473" s="120"/>
      <c r="DF2473" s="440"/>
      <c r="EB2473" s="436"/>
      <c r="EC2473" s="120"/>
      <c r="ED2473" s="120"/>
      <c r="EE2473" s="120"/>
      <c r="EF2473" s="440"/>
    </row>
    <row r="2474" spans="54:136">
      <c r="BB2474" s="436"/>
      <c r="BC2474" s="120"/>
      <c r="BD2474" s="120"/>
      <c r="BE2474" s="120"/>
      <c r="BF2474" s="440"/>
      <c r="CB2474" s="436"/>
      <c r="CC2474" s="120"/>
      <c r="CD2474" s="120"/>
      <c r="CE2474" s="120"/>
      <c r="CF2474" s="440"/>
      <c r="DB2474" s="436"/>
      <c r="DC2474" s="120"/>
      <c r="DD2474" s="120"/>
      <c r="DE2474" s="120"/>
      <c r="DF2474" s="440"/>
      <c r="EB2474" s="436"/>
      <c r="EC2474" s="120"/>
      <c r="ED2474" s="120"/>
      <c r="EE2474" s="120"/>
      <c r="EF2474" s="440"/>
    </row>
    <row r="2475" spans="54:136">
      <c r="BB2475" s="436"/>
      <c r="BC2475" s="120"/>
      <c r="BD2475" s="120"/>
      <c r="BE2475" s="120"/>
      <c r="BF2475" s="440"/>
      <c r="CB2475" s="436"/>
      <c r="CC2475" s="120"/>
      <c r="CD2475" s="120"/>
      <c r="CE2475" s="120"/>
      <c r="CF2475" s="440"/>
      <c r="DB2475" s="436"/>
      <c r="DC2475" s="120"/>
      <c r="DD2475" s="120"/>
      <c r="DE2475" s="120"/>
      <c r="DF2475" s="440"/>
      <c r="EB2475" s="436"/>
      <c r="EC2475" s="120"/>
      <c r="ED2475" s="120"/>
      <c r="EE2475" s="120"/>
      <c r="EF2475" s="440"/>
    </row>
    <row r="2476" spans="54:136">
      <c r="BB2476" s="436" t="s">
        <v>511</v>
      </c>
      <c r="BC2476" s="120">
        <v>0</v>
      </c>
      <c r="BD2476" s="120" t="s">
        <v>512</v>
      </c>
      <c r="BE2476" s="120"/>
      <c r="BF2476" s="440"/>
      <c r="CB2476" s="436" t="s">
        <v>511</v>
      </c>
      <c r="CC2476" s="120">
        <v>0</v>
      </c>
      <c r="CD2476" s="120" t="s">
        <v>512</v>
      </c>
      <c r="CE2476" s="120"/>
      <c r="CF2476" s="440"/>
      <c r="DB2476" s="436" t="s">
        <v>511</v>
      </c>
      <c r="DC2476" s="120">
        <v>0</v>
      </c>
      <c r="DD2476" s="120" t="s">
        <v>512</v>
      </c>
      <c r="DE2476" s="120"/>
      <c r="DF2476" s="440"/>
      <c r="EB2476" s="436" t="s">
        <v>511</v>
      </c>
      <c r="EC2476" s="120">
        <v>0</v>
      </c>
      <c r="ED2476" s="120" t="s">
        <v>512</v>
      </c>
      <c r="EE2476" s="120"/>
      <c r="EF2476" s="440"/>
    </row>
    <row r="2477" spans="54:136">
      <c r="BB2477" s="436" t="s">
        <v>513</v>
      </c>
      <c r="BC2477" s="120">
        <v>0</v>
      </c>
      <c r="BD2477" s="120" t="s">
        <v>512</v>
      </c>
      <c r="BE2477" s="120"/>
      <c r="BF2477" s="440"/>
      <c r="CB2477" s="436" t="s">
        <v>513</v>
      </c>
      <c r="CC2477" s="120">
        <v>0</v>
      </c>
      <c r="CD2477" s="120" t="s">
        <v>512</v>
      </c>
      <c r="CE2477" s="120"/>
      <c r="CF2477" s="440"/>
      <c r="DB2477" s="436" t="s">
        <v>513</v>
      </c>
      <c r="DC2477" s="120">
        <v>0</v>
      </c>
      <c r="DD2477" s="120" t="s">
        <v>512</v>
      </c>
      <c r="DE2477" s="120"/>
      <c r="DF2477" s="440"/>
      <c r="EB2477" s="436" t="s">
        <v>513</v>
      </c>
      <c r="EC2477" s="120">
        <v>0</v>
      </c>
      <c r="ED2477" s="120" t="s">
        <v>512</v>
      </c>
      <c r="EE2477" s="120"/>
      <c r="EF2477" s="440"/>
    </row>
    <row r="2478" spans="54:136">
      <c r="BB2478" s="456"/>
      <c r="BC2478" s="457"/>
      <c r="BD2478" s="457"/>
      <c r="BE2478" s="457"/>
      <c r="BF2478" s="458"/>
      <c r="CB2478" s="456"/>
      <c r="CC2478" s="457"/>
      <c r="CD2478" s="457"/>
      <c r="CE2478" s="457"/>
      <c r="CF2478" s="458"/>
      <c r="DB2478" s="456"/>
      <c r="DC2478" s="457"/>
      <c r="DD2478" s="457"/>
      <c r="DE2478" s="457"/>
      <c r="DF2478" s="458"/>
      <c r="EB2478" s="456"/>
      <c r="EC2478" s="457"/>
      <c r="ED2478" s="457"/>
      <c r="EE2478" s="457"/>
      <c r="EF2478" s="458"/>
    </row>
    <row r="2479" spans="54:136">
      <c r="BB2479" s="449" t="s">
        <v>461</v>
      </c>
      <c r="BC2479" s="120"/>
      <c r="BD2479" s="120"/>
      <c r="BE2479" s="120"/>
      <c r="BF2479" s="440"/>
      <c r="CB2479" s="449" t="s">
        <v>461</v>
      </c>
      <c r="CC2479" s="120"/>
      <c r="CD2479" s="120"/>
      <c r="CE2479" s="120"/>
      <c r="CF2479" s="440"/>
      <c r="DB2479" s="449" t="s">
        <v>461</v>
      </c>
      <c r="DC2479" s="120"/>
      <c r="DD2479" s="120"/>
      <c r="DE2479" s="120"/>
      <c r="DF2479" s="440"/>
      <c r="EB2479" s="449" t="s">
        <v>461</v>
      </c>
      <c r="EC2479" s="120"/>
      <c r="ED2479" s="120"/>
      <c r="EE2479" s="120"/>
      <c r="EF2479" s="440"/>
    </row>
    <row r="2480" spans="54:136">
      <c r="BB2480" s="436" t="s">
        <v>514</v>
      </c>
      <c r="BC2480" s="120">
        <f>VLOOKUP(BB2408,'Unit Ops'!$B$140:$K$209,10,FALSE)</f>
        <v>0</v>
      </c>
      <c r="BD2480" s="120" t="s">
        <v>515</v>
      </c>
      <c r="BE2480" s="120"/>
      <c r="BF2480" s="440"/>
      <c r="CB2480" s="436" t="s">
        <v>514</v>
      </c>
      <c r="CC2480" s="120">
        <f>VLOOKUP(CB2408,'Unit Ops'!$B$140:$K$209,10,FALSE)</f>
        <v>0</v>
      </c>
      <c r="CD2480" s="120" t="s">
        <v>515</v>
      </c>
      <c r="CE2480" s="120"/>
      <c r="CF2480" s="440"/>
      <c r="DB2480" s="436" t="s">
        <v>514</v>
      </c>
      <c r="DC2480" s="120">
        <f>VLOOKUP(DB2408,'Unit Ops'!$B$140:$K$209,10,FALSE)</f>
        <v>0</v>
      </c>
      <c r="DD2480" s="120" t="s">
        <v>515</v>
      </c>
      <c r="DE2480" s="120"/>
      <c r="DF2480" s="440"/>
      <c r="EB2480" s="436" t="s">
        <v>514</v>
      </c>
      <c r="EC2480" s="120">
        <f>VLOOKUP(EB2408,'Unit Ops'!$B$140:$K$209,10,FALSE)</f>
        <v>0</v>
      </c>
      <c r="ED2480" s="120" t="s">
        <v>515</v>
      </c>
      <c r="EE2480" s="120"/>
      <c r="EF2480" s="440"/>
    </row>
    <row r="2481" spans="54:136">
      <c r="BB2481" s="436" t="s">
        <v>516</v>
      </c>
      <c r="BC2481" s="120">
        <v>0</v>
      </c>
      <c r="BD2481" s="120" t="s">
        <v>515</v>
      </c>
      <c r="BE2481" s="120"/>
      <c r="BF2481" s="440"/>
      <c r="CB2481" s="436" t="s">
        <v>516</v>
      </c>
      <c r="CC2481" s="120">
        <v>0</v>
      </c>
      <c r="CD2481" s="120" t="s">
        <v>515</v>
      </c>
      <c r="CE2481" s="120"/>
      <c r="CF2481" s="440"/>
      <c r="DB2481" s="436" t="s">
        <v>516</v>
      </c>
      <c r="DC2481" s="120">
        <v>0</v>
      </c>
      <c r="DD2481" s="120" t="s">
        <v>515</v>
      </c>
      <c r="DE2481" s="120"/>
      <c r="DF2481" s="440"/>
      <c r="EB2481" s="436" t="s">
        <v>516</v>
      </c>
      <c r="EC2481" s="120">
        <v>0</v>
      </c>
      <c r="ED2481" s="120" t="s">
        <v>515</v>
      </c>
      <c r="EE2481" s="120"/>
      <c r="EF2481" s="440"/>
    </row>
    <row r="2482" spans="54:136">
      <c r="BB2482" s="436"/>
      <c r="BC2482" s="120"/>
      <c r="BD2482" s="120"/>
      <c r="BE2482" s="120"/>
      <c r="BF2482" s="440"/>
      <c r="CB2482" s="436"/>
      <c r="CC2482" s="120"/>
      <c r="CD2482" s="120"/>
      <c r="CE2482" s="120"/>
      <c r="CF2482" s="440"/>
      <c r="DB2482" s="436"/>
      <c r="DC2482" s="120"/>
      <c r="DD2482" s="120"/>
      <c r="DE2482" s="120"/>
      <c r="DF2482" s="440"/>
      <c r="EB2482" s="436"/>
      <c r="EC2482" s="120"/>
      <c r="ED2482" s="120"/>
      <c r="EE2482" s="120"/>
      <c r="EF2482" s="440"/>
    </row>
    <row r="2483" spans="54:136">
      <c r="BB2483" s="436"/>
      <c r="BC2483" s="120"/>
      <c r="BD2483" s="120"/>
      <c r="BE2483" s="120"/>
      <c r="BF2483" s="440"/>
      <c r="CB2483" s="436"/>
      <c r="CC2483" s="120"/>
      <c r="CD2483" s="120"/>
      <c r="CE2483" s="120"/>
      <c r="CF2483" s="440"/>
      <c r="DB2483" s="436"/>
      <c r="DC2483" s="120"/>
      <c r="DD2483" s="120"/>
      <c r="DE2483" s="120"/>
      <c r="DF2483" s="440"/>
      <c r="EB2483" s="436"/>
      <c r="EC2483" s="120"/>
      <c r="ED2483" s="120"/>
      <c r="EE2483" s="120"/>
      <c r="EF2483" s="440"/>
    </row>
    <row r="2484" spans="54:136">
      <c r="BB2484" s="436"/>
      <c r="BC2484" s="120"/>
      <c r="BD2484" s="120"/>
      <c r="BE2484" s="120"/>
      <c r="BF2484" s="440"/>
      <c r="CB2484" s="436"/>
      <c r="CC2484" s="120"/>
      <c r="CD2484" s="120"/>
      <c r="CE2484" s="120"/>
      <c r="CF2484" s="440"/>
      <c r="DB2484" s="436"/>
      <c r="DC2484" s="120"/>
      <c r="DD2484" s="120"/>
      <c r="DE2484" s="120"/>
      <c r="DF2484" s="440"/>
      <c r="EB2484" s="436"/>
      <c r="EC2484" s="120"/>
      <c r="ED2484" s="120"/>
      <c r="EE2484" s="120"/>
      <c r="EF2484" s="440"/>
    </row>
    <row r="2485" spans="54:136">
      <c r="BB2485" s="436"/>
      <c r="BC2485" s="120"/>
      <c r="BD2485" s="120"/>
      <c r="BE2485" s="120"/>
      <c r="BF2485" s="440"/>
      <c r="CB2485" s="436"/>
      <c r="CC2485" s="120"/>
      <c r="CD2485" s="120"/>
      <c r="CE2485" s="120"/>
      <c r="CF2485" s="440"/>
      <c r="DB2485" s="436"/>
      <c r="DC2485" s="120"/>
      <c r="DD2485" s="120"/>
      <c r="DE2485" s="120"/>
      <c r="DF2485" s="440"/>
      <c r="EB2485" s="436"/>
      <c r="EC2485" s="120"/>
      <c r="ED2485" s="120"/>
      <c r="EE2485" s="120"/>
      <c r="EF2485" s="440"/>
    </row>
    <row r="2486" spans="54:136">
      <c r="BB2486" s="436"/>
      <c r="BC2486" s="120"/>
      <c r="BD2486" s="120"/>
      <c r="BE2486" s="120"/>
      <c r="BF2486" s="440"/>
      <c r="CB2486" s="436"/>
      <c r="CC2486" s="120"/>
      <c r="CD2486" s="120"/>
      <c r="CE2486" s="120"/>
      <c r="CF2486" s="440"/>
      <c r="DB2486" s="436"/>
      <c r="DC2486" s="120"/>
      <c r="DD2486" s="120"/>
      <c r="DE2486" s="120"/>
      <c r="DF2486" s="440"/>
      <c r="EB2486" s="436"/>
      <c r="EC2486" s="120"/>
      <c r="ED2486" s="120"/>
      <c r="EE2486" s="120"/>
      <c r="EF2486" s="440"/>
    </row>
    <row r="2487" spans="54:136">
      <c r="BB2487" s="436" t="s">
        <v>464</v>
      </c>
      <c r="BC2487" s="120"/>
      <c r="BD2487" s="120"/>
      <c r="BE2487" s="120"/>
      <c r="BF2487" s="440"/>
      <c r="CB2487" s="436" t="s">
        <v>464</v>
      </c>
      <c r="CC2487" s="120"/>
      <c r="CD2487" s="120"/>
      <c r="CE2487" s="120"/>
      <c r="CF2487" s="440"/>
      <c r="DB2487" s="436" t="s">
        <v>464</v>
      </c>
      <c r="DC2487" s="120"/>
      <c r="DD2487" s="120"/>
      <c r="DE2487" s="120"/>
      <c r="DF2487" s="440"/>
      <c r="EB2487" s="436" t="s">
        <v>464</v>
      </c>
      <c r="EC2487" s="120"/>
      <c r="ED2487" s="120"/>
      <c r="EE2487" s="120"/>
      <c r="EF2487" s="440"/>
    </row>
    <row r="2488" spans="54:136">
      <c r="BB2488" s="456"/>
      <c r="BC2488" s="457"/>
      <c r="BD2488" s="457"/>
      <c r="BE2488" s="457"/>
      <c r="BF2488" s="458"/>
      <c r="CB2488" s="456"/>
      <c r="CC2488" s="457"/>
      <c r="CD2488" s="457"/>
      <c r="CE2488" s="457"/>
      <c r="CF2488" s="458"/>
      <c r="DB2488" s="456"/>
      <c r="DC2488" s="457"/>
      <c r="DD2488" s="457"/>
      <c r="DE2488" s="457"/>
      <c r="DF2488" s="458"/>
      <c r="EB2488" s="456"/>
      <c r="EC2488" s="457"/>
      <c r="ED2488" s="457"/>
      <c r="EE2488" s="457"/>
      <c r="EF2488" s="458"/>
    </row>
    <row r="2489" spans="54:136">
      <c r="BB2489" s="449" t="s">
        <v>472</v>
      </c>
      <c r="BC2489" s="467" t="s">
        <v>517</v>
      </c>
      <c r="BD2489" s="120" t="s">
        <v>518</v>
      </c>
      <c r="BE2489" s="467" t="s">
        <v>519</v>
      </c>
      <c r="BF2489" s="440" t="s">
        <v>518</v>
      </c>
      <c r="CB2489" s="449" t="s">
        <v>472</v>
      </c>
      <c r="CC2489" s="467" t="s">
        <v>517</v>
      </c>
      <c r="CD2489" s="120" t="s">
        <v>518</v>
      </c>
      <c r="CE2489" s="467" t="s">
        <v>519</v>
      </c>
      <c r="CF2489" s="440" t="s">
        <v>518</v>
      </c>
      <c r="DB2489" s="449" t="s">
        <v>472</v>
      </c>
      <c r="DC2489" s="467" t="s">
        <v>517</v>
      </c>
      <c r="DD2489" s="120" t="s">
        <v>518</v>
      </c>
      <c r="DE2489" s="467" t="s">
        <v>519</v>
      </c>
      <c r="DF2489" s="440" t="s">
        <v>518</v>
      </c>
      <c r="EB2489" s="449" t="s">
        <v>472</v>
      </c>
      <c r="EC2489" s="467" t="s">
        <v>517</v>
      </c>
      <c r="ED2489" s="120" t="s">
        <v>518</v>
      </c>
      <c r="EE2489" s="467" t="s">
        <v>519</v>
      </c>
      <c r="EF2489" s="440" t="s">
        <v>518</v>
      </c>
    </row>
    <row r="2490" spans="54:136">
      <c r="BB2490" s="436" t="s">
        <v>520</v>
      </c>
      <c r="BC2490" s="120"/>
      <c r="BD2490" s="120"/>
      <c r="BE2490" s="472">
        <f>((VLOOKUP(BB2408,'Unit Ops'!$B$140:$J$209,3,FALSE)*BC2410^VLOOKUP(BB2408,'Unit Ops'!$B$140:$J$209,4,FALSE)+VLOOKUP(BB2408,'Unit Ops'!$B$140:$J$209,5,FALSE))*VLOOKUP(BB2408,'Unit Ops'!$B$140:$J$209,6,FALSE))*IF(VLOOKUP(BB2408,'Unit Ops'!$B$140:$L$209,11,FALSE)=1,1,2)</f>
        <v>0</v>
      </c>
      <c r="BF2490" s="490">
        <f>$C$7</f>
        <v>2022</v>
      </c>
      <c r="CB2490" s="436" t="s">
        <v>520</v>
      </c>
      <c r="CC2490" s="120"/>
      <c r="CD2490" s="120"/>
      <c r="CE2490" s="472">
        <f>((VLOOKUP(CB2408,'Unit Ops'!$B$140:$J$209,3,FALSE)*CC2410^VLOOKUP(CB2408,'Unit Ops'!$B$140:$J$209,4,FALSE)+VLOOKUP(CB2408,'Unit Ops'!$B$140:$J$209,5,FALSE))*VLOOKUP(CB2408,'Unit Ops'!$B$140:$J$209,6,FALSE))*IF(VLOOKUP(CB2408,'Unit Ops'!$B$140:$L$209,11,FALSE)=1,1,2)</f>
        <v>0</v>
      </c>
      <c r="CF2490" s="490">
        <f>$C$7</f>
        <v>2022</v>
      </c>
      <c r="DB2490" s="436" t="s">
        <v>520</v>
      </c>
      <c r="DC2490" s="120"/>
      <c r="DD2490" s="120"/>
      <c r="DE2490" s="472">
        <f>((VLOOKUP(DB2408,'Unit Ops'!$B$140:$J$209,3,FALSE)*DC2410^VLOOKUP(DB2408,'Unit Ops'!$B$140:$J$209,4,FALSE)+VLOOKUP(DB2408,'Unit Ops'!$B$140:$J$209,5,FALSE))*VLOOKUP(DB2408,'Unit Ops'!$B$140:$J$209,6,FALSE))*IF(VLOOKUP(DB2408,'Unit Ops'!$B$140:$L$209,11,FALSE)=1,1,2)</f>
        <v>0</v>
      </c>
      <c r="DF2490" s="490">
        <f>$C$7</f>
        <v>2022</v>
      </c>
      <c r="EB2490" s="436" t="s">
        <v>520</v>
      </c>
      <c r="EC2490" s="120"/>
      <c r="ED2490" s="120"/>
      <c r="EE2490" s="472">
        <f>((VLOOKUP(EB2408,'Unit Ops'!$B$140:$J$209,3,FALSE)*EC2410^VLOOKUP(EB2408,'Unit Ops'!$B$140:$J$209,4,FALSE)+VLOOKUP(EB2408,'Unit Ops'!$B$140:$J$209,5,FALSE))*VLOOKUP(EB2408,'Unit Ops'!$B$140:$J$209,6,FALSE))*IF(VLOOKUP(EB2408,'Unit Ops'!$B$140:$L$209,11,FALSE)=1,1,2)</f>
        <v>0</v>
      </c>
      <c r="EF2490" s="490">
        <f>$C$7</f>
        <v>2022</v>
      </c>
    </row>
    <row r="2491" spans="54:136">
      <c r="BB2491" s="436"/>
      <c r="BC2491" s="120"/>
      <c r="BD2491" s="120"/>
      <c r="BE2491" s="120"/>
      <c r="BF2491" s="440"/>
      <c r="CB2491" s="436"/>
      <c r="CC2491" s="120"/>
      <c r="CD2491" s="120"/>
      <c r="CE2491" s="120"/>
      <c r="CF2491" s="440"/>
      <c r="DB2491" s="436"/>
      <c r="DC2491" s="120"/>
      <c r="DD2491" s="120"/>
      <c r="DE2491" s="120"/>
      <c r="DF2491" s="440"/>
      <c r="EB2491" s="436"/>
      <c r="EC2491" s="120"/>
      <c r="ED2491" s="120"/>
      <c r="EE2491" s="120"/>
      <c r="EF2491" s="440"/>
    </row>
    <row r="2492" spans="54:136">
      <c r="BB2492" s="436"/>
      <c r="BC2492" s="120"/>
      <c r="BD2492" s="120"/>
      <c r="BE2492" s="120"/>
      <c r="BF2492" s="440"/>
      <c r="CB2492" s="436"/>
      <c r="CC2492" s="120"/>
      <c r="CD2492" s="120"/>
      <c r="CE2492" s="120"/>
      <c r="CF2492" s="440"/>
      <c r="DB2492" s="436"/>
      <c r="DC2492" s="120"/>
      <c r="DD2492" s="120"/>
      <c r="DE2492" s="120"/>
      <c r="DF2492" s="440"/>
      <c r="EB2492" s="436"/>
      <c r="EC2492" s="120"/>
      <c r="ED2492" s="120"/>
      <c r="EE2492" s="120"/>
      <c r="EF2492" s="440"/>
    </row>
    <row r="2493" spans="54:136">
      <c r="BB2493" s="436"/>
      <c r="BC2493" s="120"/>
      <c r="BD2493" s="120"/>
      <c r="BE2493" s="120"/>
      <c r="BF2493" s="440"/>
      <c r="CB2493" s="436"/>
      <c r="CC2493" s="120"/>
      <c r="CD2493" s="120"/>
      <c r="CE2493" s="120"/>
      <c r="CF2493" s="440"/>
      <c r="DB2493" s="436"/>
      <c r="DC2493" s="120"/>
      <c r="DD2493" s="120"/>
      <c r="DE2493" s="120"/>
      <c r="DF2493" s="440"/>
      <c r="EB2493" s="436"/>
      <c r="EC2493" s="120"/>
      <c r="ED2493" s="120"/>
      <c r="EE2493" s="120"/>
      <c r="EF2493" s="440"/>
    </row>
    <row r="2494" spans="54:136">
      <c r="BB2494" s="436"/>
      <c r="BC2494" s="120"/>
      <c r="BD2494" s="120"/>
      <c r="BE2494" s="120"/>
      <c r="BF2494" s="440"/>
      <c r="CB2494" s="436"/>
      <c r="CC2494" s="120"/>
      <c r="CD2494" s="120"/>
      <c r="CE2494" s="120"/>
      <c r="CF2494" s="440"/>
      <c r="DB2494" s="436"/>
      <c r="DC2494" s="120"/>
      <c r="DD2494" s="120"/>
      <c r="DE2494" s="120"/>
      <c r="DF2494" s="440"/>
      <c r="EB2494" s="436"/>
      <c r="EC2494" s="120"/>
      <c r="ED2494" s="120"/>
      <c r="EE2494" s="120"/>
      <c r="EF2494" s="440"/>
    </row>
    <row r="2495" spans="54:136">
      <c r="BB2495" s="436"/>
      <c r="BC2495" s="120"/>
      <c r="BD2495" s="120"/>
      <c r="BE2495" s="120"/>
      <c r="BF2495" s="440"/>
      <c r="CB2495" s="436"/>
      <c r="CC2495" s="120"/>
      <c r="CD2495" s="120"/>
      <c r="CE2495" s="120"/>
      <c r="CF2495" s="440"/>
      <c r="DB2495" s="436"/>
      <c r="DC2495" s="120"/>
      <c r="DD2495" s="120"/>
      <c r="DE2495" s="120"/>
      <c r="DF2495" s="440"/>
      <c r="EB2495" s="436"/>
      <c r="EC2495" s="120"/>
      <c r="ED2495" s="120"/>
      <c r="EE2495" s="120"/>
      <c r="EF2495" s="440"/>
    </row>
    <row r="2496" spans="54:136">
      <c r="BB2496" s="436"/>
      <c r="BC2496" s="120"/>
      <c r="BD2496" s="120"/>
      <c r="BE2496" s="120"/>
      <c r="BF2496" s="440"/>
      <c r="CB2496" s="436"/>
      <c r="CC2496" s="120"/>
      <c r="CD2496" s="120"/>
      <c r="CE2496" s="120"/>
      <c r="CF2496" s="440"/>
      <c r="DB2496" s="436"/>
      <c r="DC2496" s="120"/>
      <c r="DD2496" s="120"/>
      <c r="DE2496" s="120"/>
      <c r="DF2496" s="440"/>
      <c r="EB2496" s="436"/>
      <c r="EC2496" s="120"/>
      <c r="ED2496" s="120"/>
      <c r="EE2496" s="120"/>
      <c r="EF2496" s="440"/>
    </row>
    <row r="2497" spans="53:136">
      <c r="BB2497" s="436"/>
      <c r="BC2497" s="120"/>
      <c r="BD2497" s="120"/>
      <c r="BE2497" s="120"/>
      <c r="BF2497" s="440"/>
      <c r="CB2497" s="436"/>
      <c r="CC2497" s="120"/>
      <c r="CD2497" s="120"/>
      <c r="CE2497" s="120"/>
      <c r="CF2497" s="440"/>
      <c r="DB2497" s="436"/>
      <c r="DC2497" s="120"/>
      <c r="DD2497" s="120"/>
      <c r="DE2497" s="120"/>
      <c r="DF2497" s="440"/>
      <c r="EB2497" s="436"/>
      <c r="EC2497" s="120"/>
      <c r="ED2497" s="120"/>
      <c r="EE2497" s="120"/>
      <c r="EF2497" s="440"/>
    </row>
    <row r="2498" spans="53:136">
      <c r="BB2498" s="436"/>
      <c r="BC2498" s="120"/>
      <c r="BD2498" s="120"/>
      <c r="BE2498" s="120"/>
      <c r="BF2498" s="440"/>
      <c r="CB2498" s="436"/>
      <c r="CC2498" s="120"/>
      <c r="CD2498" s="120"/>
      <c r="CE2498" s="120"/>
      <c r="CF2498" s="440"/>
      <c r="DB2498" s="436"/>
      <c r="DC2498" s="120"/>
      <c r="DD2498" s="120"/>
      <c r="DE2498" s="120"/>
      <c r="DF2498" s="440"/>
      <c r="EB2498" s="436"/>
      <c r="EC2498" s="120"/>
      <c r="ED2498" s="120"/>
      <c r="EE2498" s="120"/>
      <c r="EF2498" s="440"/>
    </row>
    <row r="2499" spans="53:136">
      <c r="BB2499" s="436"/>
      <c r="BC2499" s="120"/>
      <c r="BD2499" s="120"/>
      <c r="BE2499" s="120"/>
      <c r="BF2499" s="440"/>
      <c r="CB2499" s="436"/>
      <c r="CC2499" s="120"/>
      <c r="CD2499" s="120"/>
      <c r="CE2499" s="120"/>
      <c r="CF2499" s="440"/>
      <c r="DB2499" s="436"/>
      <c r="DC2499" s="120"/>
      <c r="DD2499" s="120"/>
      <c r="DE2499" s="120"/>
      <c r="DF2499" s="440"/>
      <c r="EB2499" s="436"/>
      <c r="EC2499" s="120"/>
      <c r="ED2499" s="120"/>
      <c r="EE2499" s="120"/>
      <c r="EF2499" s="440"/>
    </row>
    <row r="2500" spans="53:136">
      <c r="BB2500" s="436"/>
      <c r="BC2500" s="120"/>
      <c r="BD2500" s="120"/>
      <c r="BE2500" s="120"/>
      <c r="BF2500" s="440"/>
      <c r="CB2500" s="436"/>
      <c r="CC2500" s="120"/>
      <c r="CD2500" s="120"/>
      <c r="CE2500" s="120"/>
      <c r="CF2500" s="440"/>
      <c r="DB2500" s="436"/>
      <c r="DC2500" s="120"/>
      <c r="DD2500" s="120"/>
      <c r="DE2500" s="120"/>
      <c r="DF2500" s="440"/>
      <c r="EB2500" s="436"/>
      <c r="EC2500" s="120"/>
      <c r="ED2500" s="120"/>
      <c r="EE2500" s="120"/>
      <c r="EF2500" s="440"/>
    </row>
    <row r="2501" spans="53:136">
      <c r="BB2501" s="436"/>
      <c r="BC2501" s="120"/>
      <c r="BD2501" s="120"/>
      <c r="BE2501" s="120"/>
      <c r="BF2501" s="440"/>
      <c r="CB2501" s="436"/>
      <c r="CC2501" s="120"/>
      <c r="CD2501" s="120"/>
      <c r="CE2501" s="120"/>
      <c r="CF2501" s="440"/>
      <c r="DB2501" s="436"/>
      <c r="DC2501" s="120"/>
      <c r="DD2501" s="120"/>
      <c r="DE2501" s="120"/>
      <c r="DF2501" s="440"/>
      <c r="EB2501" s="436"/>
      <c r="EC2501" s="120"/>
      <c r="ED2501" s="120"/>
      <c r="EE2501" s="120"/>
      <c r="EF2501" s="440"/>
    </row>
    <row r="2502" spans="53:136">
      <c r="BB2502" s="436"/>
      <c r="BC2502" s="120"/>
      <c r="BD2502" s="120"/>
      <c r="BE2502" s="120"/>
      <c r="BF2502" s="440"/>
      <c r="CB2502" s="436"/>
      <c r="CC2502" s="120"/>
      <c r="CD2502" s="120"/>
      <c r="CE2502" s="120"/>
      <c r="CF2502" s="440"/>
      <c r="DB2502" s="436"/>
      <c r="DC2502" s="120"/>
      <c r="DD2502" s="120"/>
      <c r="DE2502" s="120"/>
      <c r="DF2502" s="440"/>
      <c r="EB2502" s="436"/>
      <c r="EC2502" s="120"/>
      <c r="ED2502" s="120"/>
      <c r="EE2502" s="120"/>
      <c r="EF2502" s="440"/>
    </row>
    <row r="2503" spans="53:136">
      <c r="BB2503" s="436"/>
      <c r="BC2503" s="120"/>
      <c r="BD2503" s="120"/>
      <c r="BE2503" s="120"/>
      <c r="BF2503" s="440"/>
      <c r="CB2503" s="436"/>
      <c r="CC2503" s="120"/>
      <c r="CD2503" s="120"/>
      <c r="CE2503" s="120"/>
      <c r="CF2503" s="440"/>
      <c r="DB2503" s="436"/>
      <c r="DC2503" s="120"/>
      <c r="DD2503" s="120"/>
      <c r="DE2503" s="120"/>
      <c r="DF2503" s="440"/>
      <c r="EB2503" s="436"/>
      <c r="EC2503" s="120"/>
      <c r="ED2503" s="120"/>
      <c r="EE2503" s="120"/>
      <c r="EF2503" s="440"/>
    </row>
    <row r="2504" spans="53:136" ht="14.5" thickBot="1">
      <c r="BB2504" s="492"/>
      <c r="BC2504" s="493"/>
      <c r="BD2504" s="493"/>
      <c r="BE2504" s="493"/>
      <c r="BF2504" s="453"/>
      <c r="CB2504" s="492"/>
      <c r="CC2504" s="493"/>
      <c r="CD2504" s="493"/>
      <c r="CE2504" s="493"/>
      <c r="CF2504" s="453"/>
      <c r="DB2504" s="492"/>
      <c r="DC2504" s="493"/>
      <c r="DD2504" s="493"/>
      <c r="DE2504" s="493"/>
      <c r="DF2504" s="453"/>
      <c r="EB2504" s="492"/>
      <c r="EC2504" s="493"/>
      <c r="ED2504" s="493"/>
      <c r="EE2504" s="493"/>
      <c r="EF2504" s="453"/>
    </row>
    <row r="2507" spans="53:136" ht="14.5" thickBot="1"/>
    <row r="2508" spans="53:136">
      <c r="BA2508" s="114" t="s">
        <v>478</v>
      </c>
      <c r="BB2508" s="431" t="str">
        <f>BB74</f>
        <v>Select Equipment</v>
      </c>
      <c r="BC2508" s="432"/>
      <c r="BD2508" s="433"/>
      <c r="BE2508" s="434"/>
      <c r="BF2508" s="435"/>
      <c r="CA2508" s="114" t="s">
        <v>478</v>
      </c>
      <c r="CB2508" s="431" t="str">
        <f>CB74</f>
        <v>Select Equipment</v>
      </c>
      <c r="CC2508" s="432"/>
      <c r="CD2508" s="433"/>
      <c r="CE2508" s="434"/>
      <c r="CF2508" s="435"/>
      <c r="DA2508" s="114" t="s">
        <v>478</v>
      </c>
      <c r="DB2508" s="431" t="str">
        <f>DB74</f>
        <v>Select Equipment</v>
      </c>
      <c r="DC2508" s="432"/>
      <c r="DD2508" s="433"/>
      <c r="DE2508" s="434"/>
      <c r="DF2508" s="435"/>
      <c r="EA2508" s="114" t="s">
        <v>478</v>
      </c>
      <c r="EB2508" s="431" t="str">
        <f>EB76</f>
        <v>Select Equipment</v>
      </c>
      <c r="EC2508" s="432"/>
      <c r="ED2508" s="433"/>
      <c r="EE2508" s="434"/>
      <c r="EF2508" s="435"/>
    </row>
    <row r="2509" spans="53:136">
      <c r="BA2509" s="114" t="s">
        <v>5</v>
      </c>
      <c r="BB2509" s="436" t="s">
        <v>1</v>
      </c>
      <c r="BC2509" s="437">
        <f>BC$25/BC$22/BC$21*VLOOKUP(BB2508,'Unit Ops'!$B$140:$J$209,2,FALSE)</f>
        <v>0.92592592592592593</v>
      </c>
      <c r="BD2509" s="438" t="s">
        <v>586</v>
      </c>
      <c r="BE2509" s="1027">
        <f>BC2509*BC$310*BC$311</f>
        <v>10000</v>
      </c>
      <c r="BF2509" s="439" t="s">
        <v>585</v>
      </c>
      <c r="CA2509" s="114" t="s">
        <v>5</v>
      </c>
      <c r="CB2509" s="436" t="s">
        <v>1</v>
      </c>
      <c r="CC2509" s="437">
        <f>CC$25/CC$22/CC$21*VLOOKUP(CB2508,'Unit Ops'!$B$140:$J$209,2,FALSE)</f>
        <v>0.91324200913242004</v>
      </c>
      <c r="CD2509" s="438" t="s">
        <v>586</v>
      </c>
      <c r="CE2509" s="1027">
        <f>CC2509*CC$310*CC$311</f>
        <v>10000</v>
      </c>
      <c r="CF2509" s="439" t="s">
        <v>585</v>
      </c>
      <c r="DA2509" s="114" t="s">
        <v>5</v>
      </c>
      <c r="DB2509" s="436" t="s">
        <v>1</v>
      </c>
      <c r="DC2509" s="437">
        <f>DC$25/DC$22/DC$21*VLOOKUP(DB2508,'Unit Ops'!$B$140:$J$209,2,FALSE)</f>
        <v>0.92592592592592593</v>
      </c>
      <c r="DD2509" s="438" t="s">
        <v>586</v>
      </c>
      <c r="DE2509" s="1027">
        <f>DC2509*DC$310*DC$311</f>
        <v>10000</v>
      </c>
      <c r="DF2509" s="439" t="s">
        <v>585</v>
      </c>
      <c r="EA2509" s="114" t="s">
        <v>5</v>
      </c>
      <c r="EB2509" s="436" t="s">
        <v>1</v>
      </c>
      <c r="EC2509" s="437">
        <f>EC$26/EC$23/EC$22*VLOOKUP(EB2508,'Unit Ops'!$B$140:$J$209,2,FALSE)</f>
        <v>1.3020833333333333</v>
      </c>
      <c r="ED2509" s="438" t="s">
        <v>586</v>
      </c>
      <c r="EE2509" s="1027">
        <f>EC2509*EC$310*EC$311</f>
        <v>10000</v>
      </c>
      <c r="EF2509" s="439" t="s">
        <v>585</v>
      </c>
    </row>
    <row r="2510" spans="53:136">
      <c r="BA2510" s="114" t="str">
        <f>$BB$54</f>
        <v>Hopper</v>
      </c>
      <c r="BB2510" s="436" t="s">
        <v>505</v>
      </c>
      <c r="BC2510" s="437">
        <f>ROUNDUP(BC2509*IF(VLOOKUP(BB2508,'Unit Ops'!$B$140:$L$209,11,FALSE)=1,1.5,0.75),1)</f>
        <v>0.7</v>
      </c>
      <c r="BD2510" s="438" t="s">
        <v>586</v>
      </c>
      <c r="BE2510" s="120">
        <f>BC2510*BC$310*BC$311</f>
        <v>7560</v>
      </c>
      <c r="BF2510" s="439" t="s">
        <v>585</v>
      </c>
      <c r="CA2510" s="114" t="str">
        <f>$CB$54</f>
        <v>Conveyor</v>
      </c>
      <c r="CB2510" s="436" t="s">
        <v>505</v>
      </c>
      <c r="CC2510" s="437">
        <f>ROUNDUP(CC2509*IF(VLOOKUP(CB2508,'Unit Ops'!$B$140:$L$209,11,FALSE)=1,1.5,0.75),1)</f>
        <v>0.7</v>
      </c>
      <c r="CD2510" s="438" t="s">
        <v>586</v>
      </c>
      <c r="CE2510" s="120">
        <f>CC2510*CC$310*CC$311</f>
        <v>7665</v>
      </c>
      <c r="CF2510" s="439" t="s">
        <v>585</v>
      </c>
      <c r="DA2510" s="114" t="str">
        <f>$DB$54</f>
        <v>Conveyor</v>
      </c>
      <c r="DB2510" s="436" t="s">
        <v>505</v>
      </c>
      <c r="DC2510" s="437">
        <f>ROUNDUP(DC2509*IF(VLOOKUP(DB2508,'Unit Ops'!$B$140:$L$209,11,FALSE)=1,1.5,0.75),1)</f>
        <v>0.7</v>
      </c>
      <c r="DD2510" s="438" t="s">
        <v>586</v>
      </c>
      <c r="DE2510" s="120">
        <f>DC2510*DC$310*DC$311</f>
        <v>7560</v>
      </c>
      <c r="DF2510" s="439" t="s">
        <v>585</v>
      </c>
      <c r="EA2510" s="114" t="str">
        <f>$EB$56</f>
        <v>Conveyor</v>
      </c>
      <c r="EB2510" s="436" t="s">
        <v>505</v>
      </c>
      <c r="EC2510" s="437">
        <f>ROUNDUP(EC2509*IF(VLOOKUP(EB2508,'Unit Ops'!$B$140:$L$209,11,FALSE)=1,1.5,0.75),1)</f>
        <v>1</v>
      </c>
      <c r="ED2510" s="438" t="s">
        <v>586</v>
      </c>
      <c r="EE2510" s="120">
        <f>EC2510*EC$310*EC$311</f>
        <v>7680</v>
      </c>
      <c r="EF2510" s="439" t="s">
        <v>585</v>
      </c>
    </row>
    <row r="2511" spans="53:136">
      <c r="BA2511" s="114" t="str">
        <f>$BB$55</f>
        <v>Conveyor</v>
      </c>
      <c r="BB2511" s="441" t="s">
        <v>521</v>
      </c>
      <c r="BC2511" s="442">
        <f>BC2509/BC2510</f>
        <v>1.3227513227513228</v>
      </c>
      <c r="BD2511" s="438"/>
      <c r="BE2511" s="443"/>
      <c r="BF2511" s="440"/>
      <c r="CA2511" s="114" t="str">
        <f>$CB$55</f>
        <v>Leaching tank</v>
      </c>
      <c r="CB2511" s="441" t="s">
        <v>521</v>
      </c>
      <c r="CC2511" s="442">
        <f>CC2509/CC2510</f>
        <v>1.3046314416177429</v>
      </c>
      <c r="CD2511" s="438"/>
      <c r="CE2511" s="443"/>
      <c r="CF2511" s="440"/>
      <c r="DA2511" s="114" t="str">
        <f>$DB$55</f>
        <v>Froth flotation cell</v>
      </c>
      <c r="DB2511" s="441" t="s">
        <v>521</v>
      </c>
      <c r="DC2511" s="442">
        <f>DC2509/DC2510</f>
        <v>1.3227513227513228</v>
      </c>
      <c r="DD2511" s="438"/>
      <c r="DE2511" s="443"/>
      <c r="DF2511" s="440"/>
      <c r="EA2511" s="114" t="str">
        <f>$EB$57</f>
        <v>Leaching tank</v>
      </c>
      <c r="EB2511" s="441" t="s">
        <v>521</v>
      </c>
      <c r="EC2511" s="442">
        <f>EC2509/EC2510</f>
        <v>1.3020833333333333</v>
      </c>
      <c r="ED2511" s="438"/>
      <c r="EE2511" s="443"/>
      <c r="EF2511" s="440"/>
    </row>
    <row r="2512" spans="53:136">
      <c r="BA2512" s="114" t="str">
        <f>$BB$56</f>
        <v>Smelter</v>
      </c>
      <c r="BB2512" s="441" t="s">
        <v>506</v>
      </c>
      <c r="BC2512" s="445"/>
      <c r="BD2512" s="438" t="s">
        <v>454</v>
      </c>
      <c r="BE2512" s="443"/>
      <c r="BF2512" s="440"/>
      <c r="CA2512" s="114" t="str">
        <f>$CB$56</f>
        <v>Mixing tank</v>
      </c>
      <c r="CB2512" s="441" t="s">
        <v>506</v>
      </c>
      <c r="CC2512" s="445"/>
      <c r="CD2512" s="438" t="s">
        <v>454</v>
      </c>
      <c r="CE2512" s="443"/>
      <c r="CF2512" s="440"/>
      <c r="DA2512" s="114" t="str">
        <f>$DB$56</f>
        <v>Filter press</v>
      </c>
      <c r="DB2512" s="441" t="s">
        <v>506</v>
      </c>
      <c r="DC2512" s="445"/>
      <c r="DD2512" s="438" t="s">
        <v>454</v>
      </c>
      <c r="DE2512" s="443"/>
      <c r="DF2512" s="440"/>
      <c r="EA2512" s="114" t="str">
        <f>$EB$58</f>
        <v>Mixing tank</v>
      </c>
      <c r="EB2512" s="441" t="s">
        <v>506</v>
      </c>
      <c r="EC2512" s="445"/>
      <c r="ED2512" s="438" t="s">
        <v>454</v>
      </c>
      <c r="EE2512" s="443"/>
      <c r="EF2512" s="440"/>
    </row>
    <row r="2513" spans="53:136">
      <c r="BA2513" s="114" t="str">
        <f>$BB$57</f>
        <v>Gas treatment</v>
      </c>
      <c r="BB2513" s="436" t="s">
        <v>507</v>
      </c>
      <c r="BC2513" s="225">
        <f>(VLOOKUP(BB2508,'Unit Ops'!$B$140:$J$209,7,FALSE)*BC2510^VLOOKUP(BB2508,'Unit Ops'!$B$140:$J$209,8,FALSE)+VLOOKUP(BB2508,'Unit Ops'!$B$140:$J$209,9,FALSE))*IF(VLOOKUP(BB2508,'Unit Ops'!$B$140:$L$209,11,FALSE)=1,1,2)</f>
        <v>0</v>
      </c>
      <c r="BD2513" s="446" t="s">
        <v>454</v>
      </c>
      <c r="BE2513" s="443"/>
      <c r="BF2513" s="440"/>
      <c r="CA2513" s="114" t="str">
        <f>$CB$57</f>
        <v>Filter press</v>
      </c>
      <c r="CB2513" s="436" t="s">
        <v>507</v>
      </c>
      <c r="CC2513" s="225">
        <f>(VLOOKUP(CB2508,'Unit Ops'!$B$140:$J$209,7,FALSE)*CC2510^VLOOKUP(CB2508,'Unit Ops'!$B$140:$J$209,8,FALSE)+VLOOKUP(CB2508,'Unit Ops'!$B$140:$J$209,9,FALSE))*IF(VLOOKUP(CB2508,'Unit Ops'!$B$140:$L$209,11,FALSE)=1,1,2)</f>
        <v>0</v>
      </c>
      <c r="CD2513" s="446" t="s">
        <v>454</v>
      </c>
      <c r="CE2513" s="443"/>
      <c r="CF2513" s="440"/>
      <c r="DA2513" s="114" t="str">
        <f>$DB$57</f>
        <v>Froth flotation cell</v>
      </c>
      <c r="DB2513" s="436" t="s">
        <v>507</v>
      </c>
      <c r="DC2513" s="225">
        <f>(VLOOKUP(DB2508,'Unit Ops'!$B$140:$J$209,7,FALSE)*DC2510^VLOOKUP(DB2508,'Unit Ops'!$B$140:$J$209,8,FALSE)+VLOOKUP(DB2508,'Unit Ops'!$B$140:$J$209,9,FALSE))*IF(VLOOKUP(DB2508,'Unit Ops'!$B$140:$L$209,11,FALSE)=1,1,2)</f>
        <v>0</v>
      </c>
      <c r="DD2513" s="446" t="s">
        <v>454</v>
      </c>
      <c r="DE2513" s="443"/>
      <c r="DF2513" s="440"/>
      <c r="EA2513" s="114" t="str">
        <f>$EB$59</f>
        <v>Filter press</v>
      </c>
      <c r="EB2513" s="436" t="s">
        <v>507</v>
      </c>
      <c r="EC2513" s="225">
        <f>(VLOOKUP(EB2508,'Unit Ops'!$B$140:$J$209,7,FALSE)*EC2510^VLOOKUP(EB2508,'Unit Ops'!$B$140:$J$209,8,FALSE)+VLOOKUP(EB2508,'Unit Ops'!$B$140:$J$209,9,FALSE))*IF(VLOOKUP(EB2508,'Unit Ops'!$B$140:$L$209,11,FALSE)=1,1,2)</f>
        <v>0</v>
      </c>
      <c r="ED2513" s="446" t="s">
        <v>454</v>
      </c>
      <c r="EE2513" s="443"/>
      <c r="EF2513" s="440"/>
    </row>
    <row r="2514" spans="53:136">
      <c r="BA2514" s="114" t="str">
        <f>$BB$58</f>
        <v>Conveyor</v>
      </c>
      <c r="BB2514" s="441"/>
      <c r="BC2514" s="445"/>
      <c r="BD2514" s="447"/>
      <c r="BE2514" s="443"/>
      <c r="BF2514" s="440"/>
      <c r="CA2514" s="114" t="str">
        <f>$CB$58</f>
        <v>Solvent extraction unit</v>
      </c>
      <c r="CB2514" s="441"/>
      <c r="CC2514" s="445"/>
      <c r="CD2514" s="447"/>
      <c r="CE2514" s="443"/>
      <c r="CF2514" s="440"/>
      <c r="DA2514" s="114" t="str">
        <f>$DB$58</f>
        <v>Filter press</v>
      </c>
      <c r="DB2514" s="441"/>
      <c r="DC2514" s="445"/>
      <c r="DD2514" s="447"/>
      <c r="DE2514" s="443"/>
      <c r="DF2514" s="440"/>
      <c r="EA2514" s="114" t="str">
        <f>$EB$60</f>
        <v>Solvent extraction unit</v>
      </c>
      <c r="EB2514" s="441"/>
      <c r="EC2514" s="445"/>
      <c r="ED2514" s="447"/>
      <c r="EE2514" s="443"/>
      <c r="EF2514" s="440"/>
    </row>
    <row r="2515" spans="53:136">
      <c r="BA2515" s="114" t="str">
        <f>$BB$59</f>
        <v>Granulator</v>
      </c>
      <c r="BB2515" s="441"/>
      <c r="BC2515" s="445"/>
      <c r="BD2515" s="447"/>
      <c r="BE2515" s="443"/>
      <c r="BF2515" s="440"/>
      <c r="CA2515" s="114" t="str">
        <f>$CB$59</f>
        <v>Solvent extraction unit</v>
      </c>
      <c r="CB2515" s="441"/>
      <c r="CC2515" s="445"/>
      <c r="CD2515" s="447"/>
      <c r="CE2515" s="443"/>
      <c r="CF2515" s="440"/>
      <c r="DA2515" s="114" t="str">
        <f>$DB$59</f>
        <v>Dryer</v>
      </c>
      <c r="DB2515" s="441"/>
      <c r="DC2515" s="445"/>
      <c r="DD2515" s="447"/>
      <c r="DE2515" s="443"/>
      <c r="DF2515" s="440"/>
      <c r="EA2515" s="114" t="str">
        <f>$EB$61</f>
        <v>Solvent extraction unit</v>
      </c>
      <c r="EB2515" s="441"/>
      <c r="EC2515" s="445"/>
      <c r="ED2515" s="447"/>
      <c r="EE2515" s="443"/>
      <c r="EF2515" s="440"/>
    </row>
    <row r="2516" spans="53:136">
      <c r="BA2516" s="114" t="str">
        <f>$BB$60</f>
        <v>Leaching tank</v>
      </c>
      <c r="BB2516" s="449"/>
      <c r="BC2516" s="445"/>
      <c r="BD2516" s="447"/>
      <c r="BE2516" s="443"/>
      <c r="BF2516" s="440"/>
      <c r="CA2516" s="114" t="str">
        <f>$CB$60</f>
        <v>Solvent extraction unit</v>
      </c>
      <c r="CB2516" s="449"/>
      <c r="CC2516" s="445"/>
      <c r="CD2516" s="447"/>
      <c r="CE2516" s="443"/>
      <c r="CF2516" s="440"/>
      <c r="DA2516" s="114" t="str">
        <f>$DB$60</f>
        <v>Ball mill</v>
      </c>
      <c r="DB2516" s="449"/>
      <c r="DC2516" s="445"/>
      <c r="DD2516" s="447"/>
      <c r="DE2516" s="443"/>
      <c r="DF2516" s="440"/>
      <c r="EA2516" s="114" t="str">
        <f>$EB$62</f>
        <v>Solvent extraction unit</v>
      </c>
      <c r="EB2516" s="449"/>
      <c r="EC2516" s="445"/>
      <c r="ED2516" s="447"/>
      <c r="EE2516" s="443"/>
      <c r="EF2516" s="440"/>
    </row>
    <row r="2517" spans="53:136" ht="14.5" thickBot="1">
      <c r="BA2517" s="114" t="str">
        <f>$BB$61</f>
        <v>Solvent extraction unit</v>
      </c>
      <c r="BB2517" s="450"/>
      <c r="BC2517" s="451"/>
      <c r="BD2517" s="451"/>
      <c r="BE2517" s="452"/>
      <c r="BF2517" s="453"/>
      <c r="CA2517" s="114" t="str">
        <f>$CB$61</f>
        <v>Evaporator</v>
      </c>
      <c r="CB2517" s="450"/>
      <c r="CC2517" s="451"/>
      <c r="CD2517" s="451"/>
      <c r="CE2517" s="452"/>
      <c r="CF2517" s="453"/>
      <c r="DA2517" s="114" t="str">
        <f>$DB$61</f>
        <v>Furnace+saggar handling system</v>
      </c>
      <c r="DB2517" s="450"/>
      <c r="DC2517" s="451"/>
      <c r="DD2517" s="451"/>
      <c r="DE2517" s="452"/>
      <c r="DF2517" s="453"/>
      <c r="EA2517" s="114" t="str">
        <f>$EB$63</f>
        <v>Evaporator</v>
      </c>
      <c r="EB2517" s="450"/>
      <c r="EC2517" s="451"/>
      <c r="ED2517" s="451"/>
      <c r="EE2517" s="452"/>
      <c r="EF2517" s="453"/>
    </row>
    <row r="2518" spans="53:136">
      <c r="BA2518" s="114" t="str">
        <f>$BB$62</f>
        <v>Electrowinning cell</v>
      </c>
      <c r="BB2518" s="449" t="s">
        <v>470</v>
      </c>
      <c r="BC2518" s="120"/>
      <c r="BD2518" s="454"/>
      <c r="BE2518" s="120"/>
      <c r="BF2518" s="440"/>
      <c r="CA2518" s="114" t="str">
        <f>$CB$62</f>
        <v>Precipitation tank</v>
      </c>
      <c r="CB2518" s="449" t="s">
        <v>470</v>
      </c>
      <c r="CC2518" s="120"/>
      <c r="CD2518" s="454"/>
      <c r="CE2518" s="120"/>
      <c r="CF2518" s="440"/>
      <c r="DA2518" s="114" t="str">
        <f>$DB$62</f>
        <v>Water treatment</v>
      </c>
      <c r="DB2518" s="449" t="s">
        <v>470</v>
      </c>
      <c r="DC2518" s="120"/>
      <c r="DD2518" s="454"/>
      <c r="DE2518" s="120"/>
      <c r="DF2518" s="440"/>
      <c r="EA2518" s="114" t="str">
        <f>$EB$64</f>
        <v>Precipitation tank</v>
      </c>
      <c r="EB2518" s="449" t="s">
        <v>470</v>
      </c>
      <c r="EC2518" s="120"/>
      <c r="ED2518" s="454"/>
      <c r="EE2518" s="120"/>
      <c r="EF2518" s="440"/>
    </row>
    <row r="2519" spans="53:136" ht="14.5" customHeight="1">
      <c r="BA2519" s="114" t="str">
        <f>$BB$63</f>
        <v>Solvent extraction unit</v>
      </c>
      <c r="BB2519" s="1698"/>
      <c r="BC2519" s="1699"/>
      <c r="BD2519" s="1699"/>
      <c r="BE2519" s="1699"/>
      <c r="BF2519" s="1700"/>
      <c r="CA2519" s="114" t="str">
        <f>$CB$63</f>
        <v>Centrifuge</v>
      </c>
      <c r="CB2519" s="1698"/>
      <c r="CC2519" s="1699"/>
      <c r="CD2519" s="1699"/>
      <c r="CE2519" s="1699"/>
      <c r="CF2519" s="1700"/>
      <c r="DA2519" s="114" t="str">
        <f>$DB$63</f>
        <v>Wheel loader</v>
      </c>
      <c r="DB2519" s="1698"/>
      <c r="DC2519" s="1699"/>
      <c r="DD2519" s="1699"/>
      <c r="DE2519" s="1699"/>
      <c r="DF2519" s="1700"/>
      <c r="EA2519" s="114" t="str">
        <f>$EB$65</f>
        <v>Centrifuge</v>
      </c>
      <c r="EB2519" s="1698"/>
      <c r="EC2519" s="1699"/>
      <c r="ED2519" s="1699"/>
      <c r="EE2519" s="1699"/>
      <c r="EF2519" s="1700"/>
    </row>
    <row r="2520" spans="53:136">
      <c r="BA2520" s="114" t="str">
        <f>$BB$64</f>
        <v>Solvent extraction unit</v>
      </c>
      <c r="BB2520" s="436"/>
      <c r="BC2520" s="120"/>
      <c r="BD2520" s="455"/>
      <c r="BE2520" s="120"/>
      <c r="BF2520" s="440"/>
      <c r="CA2520" s="114" t="str">
        <f>$CB$64</f>
        <v>Dryer</v>
      </c>
      <c r="CB2520" s="436"/>
      <c r="CC2520" s="120"/>
      <c r="CD2520" s="455"/>
      <c r="CE2520" s="120"/>
      <c r="CF2520" s="440"/>
      <c r="DA2520" s="114" t="str">
        <f>$DB$64</f>
        <v>Select Equipment</v>
      </c>
      <c r="DB2520" s="436"/>
      <c r="DC2520" s="120"/>
      <c r="DD2520" s="455"/>
      <c r="DE2520" s="120"/>
      <c r="DF2520" s="440"/>
      <c r="EA2520" s="114" t="str">
        <f>$EB$66</f>
        <v>Dryer</v>
      </c>
      <c r="EB2520" s="436"/>
      <c r="EC2520" s="120"/>
      <c r="ED2520" s="455"/>
      <c r="EE2520" s="120"/>
      <c r="EF2520" s="440"/>
    </row>
    <row r="2521" spans="53:136">
      <c r="BA2521" s="114" t="str">
        <f>$BB$65</f>
        <v>Wheel loader</v>
      </c>
      <c r="BB2521" s="436"/>
      <c r="BC2521" s="120"/>
      <c r="BD2521" s="455"/>
      <c r="BE2521" s="120"/>
      <c r="BF2521" s="440"/>
      <c r="CA2521" s="114" t="str">
        <f>$CB$65</f>
        <v>Water treatment</v>
      </c>
      <c r="CB2521" s="436"/>
      <c r="CC2521" s="120"/>
      <c r="CD2521" s="455"/>
      <c r="CE2521" s="120"/>
      <c r="CF2521" s="440"/>
      <c r="DA2521" s="114" t="str">
        <f>$DB$65</f>
        <v>Select Equipment</v>
      </c>
      <c r="DB2521" s="436"/>
      <c r="DC2521" s="120"/>
      <c r="DD2521" s="455"/>
      <c r="DE2521" s="120"/>
      <c r="DF2521" s="440"/>
      <c r="EA2521" s="114" t="str">
        <f>$EB$67</f>
        <v>Water treatment</v>
      </c>
      <c r="EB2521" s="436"/>
      <c r="EC2521" s="120"/>
      <c r="ED2521" s="455"/>
      <c r="EE2521" s="120"/>
      <c r="EF2521" s="440"/>
    </row>
    <row r="2522" spans="53:136">
      <c r="BA2522" s="114" t="str">
        <f>$BB$66</f>
        <v>Water treatment</v>
      </c>
      <c r="BB2522" s="456"/>
      <c r="BC2522" s="457"/>
      <c r="BD2522" s="457"/>
      <c r="BE2522" s="457"/>
      <c r="BF2522" s="458"/>
      <c r="CA2522" s="114" t="str">
        <f>$CB$66</f>
        <v>Wheel loader</v>
      </c>
      <c r="CB2522" s="456"/>
      <c r="CC2522" s="457"/>
      <c r="CD2522" s="457"/>
      <c r="CE2522" s="457"/>
      <c r="CF2522" s="458"/>
      <c r="DA2522" s="114" t="str">
        <f>$DB$66</f>
        <v>Select Equipment</v>
      </c>
      <c r="DB2522" s="456"/>
      <c r="DC2522" s="457"/>
      <c r="DD2522" s="457"/>
      <c r="DE2522" s="457"/>
      <c r="DF2522" s="458"/>
      <c r="EA2522" s="114" t="str">
        <f>$EB$68</f>
        <v>Wheel loader</v>
      </c>
      <c r="EB2522" s="456"/>
      <c r="EC2522" s="457"/>
      <c r="ED2522" s="457"/>
      <c r="EE2522" s="457"/>
      <c r="EF2522" s="458"/>
    </row>
    <row r="2523" spans="53:136">
      <c r="BA2523" s="114" t="str">
        <f>$BB$67</f>
        <v>Select Equipment</v>
      </c>
      <c r="BB2523" s="449" t="s">
        <v>471</v>
      </c>
      <c r="BC2523" s="120"/>
      <c r="BD2523" s="454"/>
      <c r="BE2523" s="120"/>
      <c r="BF2523" s="440"/>
      <c r="CA2523" s="114" t="str">
        <f>$CB$67</f>
        <v>Select Equipment</v>
      </c>
      <c r="CB2523" s="449" t="s">
        <v>471</v>
      </c>
      <c r="CC2523" s="120"/>
      <c r="CD2523" s="454"/>
      <c r="CE2523" s="120"/>
      <c r="CF2523" s="440"/>
      <c r="DA2523" s="114" t="str">
        <f>$DB$67</f>
        <v>Select Equipment</v>
      </c>
      <c r="DB2523" s="449" t="s">
        <v>471</v>
      </c>
      <c r="DC2523" s="120"/>
      <c r="DD2523" s="454"/>
      <c r="DE2523" s="120"/>
      <c r="DF2523" s="440"/>
      <c r="EA2523" s="114" t="str">
        <f>$EB$69</f>
        <v>Select Equipment</v>
      </c>
      <c r="EB2523" s="449" t="s">
        <v>471</v>
      </c>
      <c r="EC2523" s="120"/>
      <c r="ED2523" s="454"/>
      <c r="EE2523" s="120"/>
      <c r="EF2523" s="440"/>
    </row>
    <row r="2524" spans="53:136">
      <c r="BA2524" s="114" t="str">
        <f>$BB$68</f>
        <v>Select Equipment</v>
      </c>
      <c r="BB2524" s="436" t="s">
        <v>577</v>
      </c>
      <c r="BC2524" s="225">
        <f>BC2513*IF(BC2511&gt;1,1,BC2511)</f>
        <v>0</v>
      </c>
      <c r="BD2524" s="446" t="s">
        <v>454</v>
      </c>
      <c r="BE2524" s="120"/>
      <c r="BF2524" s="440"/>
      <c r="CA2524" s="114" t="str">
        <f>$CB$68</f>
        <v>Select Equipment</v>
      </c>
      <c r="CB2524" s="436" t="s">
        <v>577</v>
      </c>
      <c r="CC2524" s="225">
        <f>CC2513*IF(CC2511&gt;1,1,CC2511)</f>
        <v>0</v>
      </c>
      <c r="CD2524" s="446" t="s">
        <v>454</v>
      </c>
      <c r="CE2524" s="120"/>
      <c r="CF2524" s="440"/>
      <c r="DA2524" s="114" t="str">
        <f>$DB$68</f>
        <v>Select Equipment</v>
      </c>
      <c r="DB2524" s="436" t="s">
        <v>577</v>
      </c>
      <c r="DC2524" s="225">
        <f>DC2513*IF(DC2511&gt;1,1,DC2511)</f>
        <v>0</v>
      </c>
      <c r="DD2524" s="446" t="s">
        <v>454</v>
      </c>
      <c r="DE2524" s="120"/>
      <c r="DF2524" s="440"/>
      <c r="EA2524" s="114" t="str">
        <f>$EB$70</f>
        <v>Select Equipment</v>
      </c>
      <c r="EB2524" s="436" t="s">
        <v>577</v>
      </c>
      <c r="EC2524" s="225">
        <f>EC2513*IF(EC2511&gt;1,1,EC2511)</f>
        <v>0</v>
      </c>
      <c r="ED2524" s="446" t="s">
        <v>454</v>
      </c>
      <c r="EE2524" s="120"/>
      <c r="EF2524" s="440"/>
    </row>
    <row r="2525" spans="53:136">
      <c r="BA2525" s="114" t="str">
        <f>$BB$69</f>
        <v>Select Equipment</v>
      </c>
      <c r="BB2525" s="436" t="s">
        <v>578</v>
      </c>
      <c r="BC2525" s="225"/>
      <c r="BD2525" s="446" t="s">
        <v>579</v>
      </c>
      <c r="BE2525" s="120"/>
      <c r="BF2525" s="440"/>
      <c r="CA2525" s="114" t="str">
        <f>$CB$69</f>
        <v>Select Equipment</v>
      </c>
      <c r="CB2525" s="436" t="s">
        <v>578</v>
      </c>
      <c r="CC2525" s="225"/>
      <c r="CD2525" s="446" t="s">
        <v>579</v>
      </c>
      <c r="CE2525" s="120"/>
      <c r="CF2525" s="440"/>
      <c r="DA2525" s="114" t="str">
        <f>$DB$69</f>
        <v>Select Equipment</v>
      </c>
      <c r="DB2525" s="436" t="s">
        <v>578</v>
      </c>
      <c r="DC2525" s="225"/>
      <c r="DD2525" s="446" t="s">
        <v>579</v>
      </c>
      <c r="DE2525" s="120"/>
      <c r="DF2525" s="440"/>
      <c r="EA2525" s="114" t="str">
        <f>$EB$71</f>
        <v>Select Equipment</v>
      </c>
      <c r="EB2525" s="436" t="s">
        <v>578</v>
      </c>
      <c r="EC2525" s="225"/>
      <c r="ED2525" s="446" t="s">
        <v>579</v>
      </c>
      <c r="EE2525" s="120"/>
      <c r="EF2525" s="440"/>
    </row>
    <row r="2526" spans="53:136">
      <c r="BA2526" s="114" t="str">
        <f>$BB$70</f>
        <v>Select Equipment</v>
      </c>
      <c r="BB2526" s="436"/>
      <c r="BC2526" s="120"/>
      <c r="BD2526" s="446"/>
      <c r="BE2526" s="120"/>
      <c r="BF2526" s="440"/>
      <c r="CA2526" s="114" t="str">
        <f>$CB$70</f>
        <v>Select Equipment</v>
      </c>
      <c r="CB2526" s="436"/>
      <c r="CC2526" s="120"/>
      <c r="CD2526" s="446"/>
      <c r="CE2526" s="120"/>
      <c r="CF2526" s="440"/>
      <c r="DA2526" s="114" t="str">
        <f>$DB$70</f>
        <v>Select Equipment</v>
      </c>
      <c r="DB2526" s="436"/>
      <c r="DC2526" s="120"/>
      <c r="DD2526" s="446"/>
      <c r="DE2526" s="120"/>
      <c r="DF2526" s="440"/>
      <c r="EA2526" s="114" t="str">
        <f>$EB$72</f>
        <v>Select Equipment</v>
      </c>
      <c r="EB2526" s="436"/>
      <c r="EC2526" s="120"/>
      <c r="ED2526" s="446"/>
      <c r="EE2526" s="120"/>
      <c r="EF2526" s="440"/>
    </row>
    <row r="2527" spans="53:136">
      <c r="BA2527" s="114" t="str">
        <f>$BB$71</f>
        <v>Select Equipment</v>
      </c>
      <c r="BB2527" s="436" t="s">
        <v>8</v>
      </c>
      <c r="BC2527" s="120"/>
      <c r="BD2527" s="459" t="s">
        <v>564</v>
      </c>
      <c r="BE2527" s="120"/>
      <c r="BF2527" s="440"/>
      <c r="CA2527" s="114" t="str">
        <f>$CB$71</f>
        <v>Select Equipment</v>
      </c>
      <c r="CB2527" s="436" t="s">
        <v>8</v>
      </c>
      <c r="CC2527" s="120"/>
      <c r="CD2527" s="459" t="s">
        <v>564</v>
      </c>
      <c r="CE2527" s="120"/>
      <c r="CF2527" s="440"/>
      <c r="DA2527" s="114" t="str">
        <f>$DB$71</f>
        <v>Select Equipment</v>
      </c>
      <c r="DB2527" s="436" t="s">
        <v>8</v>
      </c>
      <c r="DC2527" s="120"/>
      <c r="DD2527" s="459" t="s">
        <v>564</v>
      </c>
      <c r="DE2527" s="120"/>
      <c r="DF2527" s="440"/>
      <c r="EA2527" s="114" t="str">
        <f>$EB$73</f>
        <v>Select Equipment</v>
      </c>
      <c r="EB2527" s="436" t="s">
        <v>8</v>
      </c>
      <c r="EC2527" s="120"/>
      <c r="ED2527" s="459" t="s">
        <v>564</v>
      </c>
      <c r="EE2527" s="120"/>
      <c r="EF2527" s="440"/>
    </row>
    <row r="2528" spans="53:136">
      <c r="BA2528" s="114" t="str">
        <f>$BB$72</f>
        <v>Select Equipment</v>
      </c>
      <c r="BB2528" s="436"/>
      <c r="BC2528" s="120"/>
      <c r="BD2528" s="459"/>
      <c r="BE2528" s="120"/>
      <c r="BF2528" s="440"/>
      <c r="CA2528" s="114" t="str">
        <f>$CB$72</f>
        <v>Select Equipment</v>
      </c>
      <c r="CB2528" s="436"/>
      <c r="CC2528" s="120"/>
      <c r="CD2528" s="459"/>
      <c r="CE2528" s="120"/>
      <c r="CF2528" s="440"/>
      <c r="DA2528" s="114" t="str">
        <f>$DB$72</f>
        <v>Select Equipment</v>
      </c>
      <c r="DB2528" s="436"/>
      <c r="DC2528" s="120"/>
      <c r="DD2528" s="459"/>
      <c r="DE2528" s="120"/>
      <c r="DF2528" s="440"/>
      <c r="EA2528" s="114" t="str">
        <f>$EB$74</f>
        <v>Select Equipment</v>
      </c>
      <c r="EB2528" s="436"/>
      <c r="EC2528" s="120"/>
      <c r="ED2528" s="459"/>
      <c r="EE2528" s="120"/>
      <c r="EF2528" s="440"/>
    </row>
    <row r="2529" spans="53:136">
      <c r="BA2529" s="114" t="str">
        <f>$BB$73</f>
        <v>Select Equipment</v>
      </c>
      <c r="BB2529" s="436" t="s">
        <v>7</v>
      </c>
      <c r="BC2529" s="120"/>
      <c r="BD2529" s="459" t="s">
        <v>564</v>
      </c>
      <c r="BE2529" s="120"/>
      <c r="BF2529" s="440"/>
      <c r="CA2529" s="114" t="str">
        <f>$CB$73</f>
        <v>Select Equipment</v>
      </c>
      <c r="CB2529" s="436" t="s">
        <v>7</v>
      </c>
      <c r="CC2529" s="120"/>
      <c r="CD2529" s="459" t="s">
        <v>564</v>
      </c>
      <c r="CE2529" s="120"/>
      <c r="CF2529" s="440"/>
      <c r="DA2529" s="114" t="str">
        <f>$DB$73</f>
        <v>Select Equipment</v>
      </c>
      <c r="DB2529" s="436" t="s">
        <v>7</v>
      </c>
      <c r="DC2529" s="120"/>
      <c r="DD2529" s="459" t="s">
        <v>564</v>
      </c>
      <c r="DE2529" s="120"/>
      <c r="DF2529" s="440"/>
      <c r="EA2529" s="114" t="str">
        <f>$EB$75</f>
        <v>Select Equipment</v>
      </c>
      <c r="EB2529" s="436" t="s">
        <v>7</v>
      </c>
      <c r="EC2529" s="120"/>
      <c r="ED2529" s="459" t="s">
        <v>564</v>
      </c>
      <c r="EE2529" s="120"/>
      <c r="EF2529" s="440"/>
    </row>
    <row r="2530" spans="53:136">
      <c r="BA2530" s="114" t="str">
        <f>$BB$74</f>
        <v>Select Equipment</v>
      </c>
      <c r="BB2530" s="436"/>
      <c r="BC2530" s="120"/>
      <c r="BD2530" s="459"/>
      <c r="BE2530" s="120"/>
      <c r="BF2530" s="440"/>
      <c r="CA2530" s="114" t="str">
        <f>$CB$74</f>
        <v>Select Equipment</v>
      </c>
      <c r="CB2530" s="436"/>
      <c r="CC2530" s="120"/>
      <c r="CD2530" s="459"/>
      <c r="CE2530" s="120"/>
      <c r="CF2530" s="440"/>
      <c r="DA2530" s="114" t="str">
        <f>$DB$74</f>
        <v>Select Equipment</v>
      </c>
      <c r="DB2530" s="436"/>
      <c r="DC2530" s="120"/>
      <c r="DD2530" s="459"/>
      <c r="DE2530" s="120"/>
      <c r="DF2530" s="440"/>
      <c r="EA2530" s="114" t="str">
        <f>$EB$76</f>
        <v>Select Equipment</v>
      </c>
      <c r="EB2530" s="436"/>
      <c r="EC2530" s="120"/>
      <c r="ED2530" s="459"/>
      <c r="EE2530" s="120"/>
      <c r="EF2530" s="440"/>
    </row>
    <row r="2531" spans="53:136">
      <c r="BA2531" s="114" t="str">
        <f>$BB$75</f>
        <v>Select Equipment</v>
      </c>
      <c r="BB2531" s="436" t="s">
        <v>9</v>
      </c>
      <c r="BC2531" s="120"/>
      <c r="BD2531" s="459" t="s">
        <v>564</v>
      </c>
      <c r="BE2531" s="120"/>
      <c r="BF2531" s="440"/>
      <c r="CA2531" s="114" t="str">
        <f>$CB$75</f>
        <v>Select Equipment</v>
      </c>
      <c r="CB2531" s="436" t="s">
        <v>9</v>
      </c>
      <c r="CC2531" s="120"/>
      <c r="CD2531" s="459" t="s">
        <v>564</v>
      </c>
      <c r="CE2531" s="120"/>
      <c r="CF2531" s="440"/>
      <c r="DA2531" s="114" t="str">
        <f>$DB$75</f>
        <v>Select Equipment</v>
      </c>
      <c r="DB2531" s="436" t="s">
        <v>9</v>
      </c>
      <c r="DC2531" s="120"/>
      <c r="DD2531" s="459" t="s">
        <v>564</v>
      </c>
      <c r="DE2531" s="120"/>
      <c r="DF2531" s="440"/>
      <c r="EA2531" s="114" t="str">
        <f>$EB$77</f>
        <v>Select Equipment</v>
      </c>
      <c r="EB2531" s="436" t="s">
        <v>9</v>
      </c>
      <c r="EC2531" s="120"/>
      <c r="ED2531" s="459" t="s">
        <v>564</v>
      </c>
      <c r="EE2531" s="120"/>
      <c r="EF2531" s="440"/>
    </row>
    <row r="2532" spans="53:136">
      <c r="BA2532" s="114" t="str">
        <f>$BB$76</f>
        <v>Select Equipment</v>
      </c>
      <c r="BB2532" s="436"/>
      <c r="BC2532" s="120"/>
      <c r="BD2532" s="459"/>
      <c r="BE2532" s="120"/>
      <c r="BF2532" s="440"/>
      <c r="CA2532" s="114" t="str">
        <f>$CB$76</f>
        <v>Select Equipment</v>
      </c>
      <c r="CB2532" s="436"/>
      <c r="CC2532" s="120"/>
      <c r="CD2532" s="459"/>
      <c r="CE2532" s="120"/>
      <c r="CF2532" s="440"/>
      <c r="DA2532" s="114" t="str">
        <f>$DB$76</f>
        <v>Select Equipment</v>
      </c>
      <c r="DB2532" s="436"/>
      <c r="DC2532" s="120"/>
      <c r="DD2532" s="459"/>
      <c r="DE2532" s="120"/>
      <c r="DF2532" s="440"/>
      <c r="EA2532" s="114" t="str">
        <f>$EB$78</f>
        <v>Select Equipment</v>
      </c>
      <c r="EB2532" s="436"/>
      <c r="EC2532" s="120"/>
      <c r="ED2532" s="459"/>
      <c r="EE2532" s="120"/>
      <c r="EF2532" s="440"/>
    </row>
    <row r="2533" spans="53:136">
      <c r="BA2533" s="114" t="str">
        <f>$BB$77</f>
        <v>Select Equipment</v>
      </c>
      <c r="BB2533" s="436" t="s">
        <v>324</v>
      </c>
      <c r="BC2533" s="120"/>
      <c r="BD2533" s="459" t="s">
        <v>564</v>
      </c>
      <c r="BE2533" s="120"/>
      <c r="BF2533" s="440" t="s">
        <v>569</v>
      </c>
      <c r="CA2533" s="114" t="str">
        <f>$CB$77</f>
        <v>Select Equipment</v>
      </c>
      <c r="CB2533" s="436" t="s">
        <v>324</v>
      </c>
      <c r="CC2533" s="120"/>
      <c r="CD2533" s="459" t="s">
        <v>564</v>
      </c>
      <c r="CE2533" s="120"/>
      <c r="CF2533" s="440" t="s">
        <v>569</v>
      </c>
      <c r="DA2533" s="114" t="str">
        <f>$DB$77</f>
        <v>Select Equipment</v>
      </c>
      <c r="DB2533" s="436" t="s">
        <v>324</v>
      </c>
      <c r="DC2533" s="120"/>
      <c r="DD2533" s="459" t="s">
        <v>564</v>
      </c>
      <c r="DE2533" s="120"/>
      <c r="DF2533" s="440" t="s">
        <v>569</v>
      </c>
      <c r="EA2533" s="114" t="str">
        <f>$EB$79</f>
        <v>Select Equipment</v>
      </c>
      <c r="EB2533" s="436" t="s">
        <v>324</v>
      </c>
      <c r="EC2533" s="120"/>
      <c r="ED2533" s="459" t="s">
        <v>564</v>
      </c>
      <c r="EE2533" s="120"/>
      <c r="EF2533" s="440" t="s">
        <v>569</v>
      </c>
    </row>
    <row r="2534" spans="53:136">
      <c r="BA2534" s="114" t="str">
        <f>$BB$78</f>
        <v>Select Equipment</v>
      </c>
      <c r="BB2534" s="436"/>
      <c r="BC2534" s="120"/>
      <c r="BD2534" s="468"/>
      <c r="BE2534" s="469"/>
      <c r="BF2534" s="440"/>
      <c r="CA2534" s="114" t="str">
        <f>$CB$78</f>
        <v>Select Equipment</v>
      </c>
      <c r="CB2534" s="436"/>
      <c r="CC2534" s="120"/>
      <c r="CD2534" s="468"/>
      <c r="CE2534" s="469"/>
      <c r="CF2534" s="440"/>
      <c r="DA2534" s="114" t="str">
        <f>$DB$78</f>
        <v>Select Equipment</v>
      </c>
      <c r="DB2534" s="436"/>
      <c r="DC2534" s="120"/>
      <c r="DD2534" s="468"/>
      <c r="DE2534" s="469"/>
      <c r="DF2534" s="440"/>
      <c r="EA2534" s="114" t="str">
        <f>$EB$80</f>
        <v>Select Equipment</v>
      </c>
      <c r="EB2534" s="436"/>
      <c r="EC2534" s="120"/>
      <c r="ED2534" s="468"/>
      <c r="EE2534" s="469"/>
      <c r="EF2534" s="440"/>
    </row>
    <row r="2535" spans="53:136">
      <c r="BA2535" s="114" t="str">
        <f>$BB$79</f>
        <v>Select Equipment</v>
      </c>
      <c r="BB2535" s="436" t="s">
        <v>374</v>
      </c>
      <c r="BC2535" s="120"/>
      <c r="BD2535" s="459" t="s">
        <v>564</v>
      </c>
      <c r="BE2535" s="469"/>
      <c r="BF2535" s="440" t="s">
        <v>569</v>
      </c>
      <c r="CA2535" s="114" t="str">
        <f>$CB$79</f>
        <v>Select Equipment</v>
      </c>
      <c r="CB2535" s="436" t="s">
        <v>374</v>
      </c>
      <c r="CC2535" s="120"/>
      <c r="CD2535" s="459" t="s">
        <v>564</v>
      </c>
      <c r="CE2535" s="469"/>
      <c r="CF2535" s="440" t="s">
        <v>569</v>
      </c>
      <c r="DA2535" s="114" t="str">
        <f>$DB$79</f>
        <v>Select Equipment</v>
      </c>
      <c r="DB2535" s="436" t="s">
        <v>374</v>
      </c>
      <c r="DC2535" s="120"/>
      <c r="DD2535" s="459" t="s">
        <v>564</v>
      </c>
      <c r="DE2535" s="469"/>
      <c r="DF2535" s="440" t="s">
        <v>569</v>
      </c>
      <c r="EA2535" s="114" t="str">
        <f>$EB$81</f>
        <v>Select Equipment</v>
      </c>
      <c r="EB2535" s="436" t="s">
        <v>374</v>
      </c>
      <c r="EC2535" s="120"/>
      <c r="ED2535" s="459" t="s">
        <v>564</v>
      </c>
      <c r="EE2535" s="469"/>
      <c r="EF2535" s="440" t="s">
        <v>569</v>
      </c>
    </row>
    <row r="2536" spans="53:136">
      <c r="BA2536" s="114" t="str">
        <f>$BB$80</f>
        <v>Select Equipment</v>
      </c>
      <c r="BB2536" s="436"/>
      <c r="BC2536" s="120"/>
      <c r="BD2536" s="472"/>
      <c r="BE2536" s="473"/>
      <c r="BF2536" s="440"/>
      <c r="CA2536" s="114" t="str">
        <f>$CB$80</f>
        <v>Select Equipment</v>
      </c>
      <c r="CB2536" s="436"/>
      <c r="CC2536" s="120"/>
      <c r="CD2536" s="472"/>
      <c r="CE2536" s="473"/>
      <c r="CF2536" s="440"/>
      <c r="DA2536" s="114" t="str">
        <f>$DB$80</f>
        <v>Select Equipment</v>
      </c>
      <c r="DB2536" s="436"/>
      <c r="DC2536" s="120"/>
      <c r="DD2536" s="472"/>
      <c r="DE2536" s="473"/>
      <c r="DF2536" s="440"/>
      <c r="EA2536" s="114" t="str">
        <f>$EB$82</f>
        <v>Select Equipment</v>
      </c>
      <c r="EB2536" s="436"/>
      <c r="EC2536" s="120"/>
      <c r="ED2536" s="472"/>
      <c r="EE2536" s="473"/>
      <c r="EF2536" s="440"/>
    </row>
    <row r="2537" spans="53:136">
      <c r="BA2537" s="114" t="str">
        <f>$BB$81</f>
        <v>Select Equipment</v>
      </c>
      <c r="BB2537" s="436" t="s">
        <v>580</v>
      </c>
      <c r="BC2537" s="120"/>
      <c r="BD2537" s="459" t="s">
        <v>564</v>
      </c>
      <c r="BE2537" s="473"/>
      <c r="BF2537" s="440" t="s">
        <v>569</v>
      </c>
      <c r="CA2537" s="114" t="str">
        <f>$CB$81</f>
        <v>Select Equipment</v>
      </c>
      <c r="CB2537" s="436" t="s">
        <v>580</v>
      </c>
      <c r="CC2537" s="120"/>
      <c r="CD2537" s="459" t="s">
        <v>564</v>
      </c>
      <c r="CE2537" s="473"/>
      <c r="CF2537" s="440" t="s">
        <v>569</v>
      </c>
      <c r="DA2537" s="114" t="str">
        <f>$DB$81</f>
        <v>Select Equipment</v>
      </c>
      <c r="DB2537" s="436" t="s">
        <v>580</v>
      </c>
      <c r="DC2537" s="120"/>
      <c r="DD2537" s="459" t="s">
        <v>564</v>
      </c>
      <c r="DE2537" s="473"/>
      <c r="DF2537" s="440" t="s">
        <v>569</v>
      </c>
      <c r="EA2537" s="114" t="str">
        <f>$EB$83</f>
        <v>Select Equipment</v>
      </c>
      <c r="EB2537" s="436" t="s">
        <v>580</v>
      </c>
      <c r="EC2537" s="120"/>
      <c r="ED2537" s="459" t="s">
        <v>564</v>
      </c>
      <c r="EE2537" s="473"/>
      <c r="EF2537" s="440" t="s">
        <v>569</v>
      </c>
    </row>
    <row r="2538" spans="53:136">
      <c r="BA2538" s="114" t="str">
        <f>$BB$82</f>
        <v>Select Equipment</v>
      </c>
      <c r="BB2538" s="476"/>
      <c r="BC2538" s="477"/>
      <c r="BD2538" s="478"/>
      <c r="BE2538" s="479"/>
      <c r="BF2538" s="458"/>
      <c r="CA2538" s="114" t="str">
        <f>$CB$82</f>
        <v>Select Equipment</v>
      </c>
      <c r="CB2538" s="476"/>
      <c r="CC2538" s="477"/>
      <c r="CD2538" s="478"/>
      <c r="CE2538" s="479"/>
      <c r="CF2538" s="458"/>
      <c r="DA2538" s="114" t="str">
        <f>$DB$82</f>
        <v>Select Equipment</v>
      </c>
      <c r="DB2538" s="476"/>
      <c r="DC2538" s="477"/>
      <c r="DD2538" s="478"/>
      <c r="DE2538" s="479"/>
      <c r="DF2538" s="458"/>
      <c r="EA2538" s="114" t="str">
        <f>$EB$84</f>
        <v>Select Equipment</v>
      </c>
      <c r="EB2538" s="476"/>
      <c r="EC2538" s="477"/>
      <c r="ED2538" s="478"/>
      <c r="EE2538" s="479"/>
      <c r="EF2538" s="458"/>
    </row>
    <row r="2539" spans="53:136">
      <c r="BA2539" s="114" t="str">
        <f>$BB$83</f>
        <v>Select Equipment</v>
      </c>
      <c r="BB2539" s="449" t="s">
        <v>473</v>
      </c>
      <c r="BC2539" s="467" t="s">
        <v>508</v>
      </c>
      <c r="BD2539" s="480"/>
      <c r="BE2539" s="481" t="s">
        <v>308</v>
      </c>
      <c r="BF2539" s="440"/>
      <c r="CA2539" s="114" t="str">
        <f>$CB$83</f>
        <v>Select Equipment</v>
      </c>
      <c r="CB2539" s="449" t="s">
        <v>473</v>
      </c>
      <c r="CC2539" s="467" t="s">
        <v>508</v>
      </c>
      <c r="CD2539" s="480"/>
      <c r="CE2539" s="481" t="s">
        <v>308</v>
      </c>
      <c r="CF2539" s="440"/>
      <c r="DA2539" s="114" t="str">
        <f>$DB$83</f>
        <v>Select Equipment</v>
      </c>
      <c r="DB2539" s="449" t="s">
        <v>473</v>
      </c>
      <c r="DC2539" s="467" t="s">
        <v>508</v>
      </c>
      <c r="DD2539" s="480"/>
      <c r="DE2539" s="481" t="s">
        <v>308</v>
      </c>
      <c r="DF2539" s="440"/>
      <c r="EA2539" s="114" t="str">
        <f>$EB$85</f>
        <v>Select Equipment</v>
      </c>
      <c r="EB2539" s="449" t="s">
        <v>473</v>
      </c>
      <c r="EC2539" s="467" t="s">
        <v>508</v>
      </c>
      <c r="ED2539" s="480"/>
      <c r="EE2539" s="481" t="s">
        <v>308</v>
      </c>
      <c r="EF2539" s="440"/>
    </row>
    <row r="2540" spans="53:136">
      <c r="BB2540" s="436"/>
      <c r="BC2540" s="483"/>
      <c r="BD2540" s="480"/>
      <c r="BE2540" s="484"/>
      <c r="BF2540" s="440"/>
      <c r="CB2540" s="436"/>
      <c r="CC2540" s="483"/>
      <c r="CD2540" s="480"/>
      <c r="CE2540" s="484"/>
      <c r="CF2540" s="440"/>
      <c r="DB2540" s="436"/>
      <c r="DC2540" s="483"/>
      <c r="DD2540" s="480"/>
      <c r="DE2540" s="484"/>
      <c r="DF2540" s="440"/>
      <c r="EB2540" s="436"/>
      <c r="EC2540" s="483"/>
      <c r="ED2540" s="480"/>
      <c r="EE2540" s="484"/>
      <c r="EF2540" s="440"/>
    </row>
    <row r="2541" spans="53:136">
      <c r="BB2541" s="436"/>
      <c r="BC2541" s="120"/>
      <c r="BD2541" s="223"/>
      <c r="BE2541" s="467"/>
      <c r="BF2541" s="440"/>
      <c r="CB2541" s="436"/>
      <c r="CC2541" s="120"/>
      <c r="CD2541" s="223"/>
      <c r="CE2541" s="467"/>
      <c r="CF2541" s="440"/>
      <c r="DB2541" s="436"/>
      <c r="DC2541" s="120"/>
      <c r="DD2541" s="223"/>
      <c r="DE2541" s="467"/>
      <c r="DF2541" s="440"/>
      <c r="EB2541" s="436"/>
      <c r="EC2541" s="120"/>
      <c r="ED2541" s="223"/>
      <c r="EE2541" s="467"/>
      <c r="EF2541" s="440"/>
    </row>
    <row r="2542" spans="53:136">
      <c r="BB2542" s="436"/>
      <c r="BC2542" s="120"/>
      <c r="BD2542" s="466"/>
      <c r="BE2542" s="467"/>
      <c r="BF2542" s="440"/>
      <c r="CB2542" s="436"/>
      <c r="CC2542" s="120"/>
      <c r="CD2542" s="466"/>
      <c r="CE2542" s="467"/>
      <c r="CF2542" s="440"/>
      <c r="DB2542" s="436"/>
      <c r="DC2542" s="120"/>
      <c r="DD2542" s="466"/>
      <c r="DE2542" s="467"/>
      <c r="DF2542" s="440"/>
      <c r="EB2542" s="436"/>
      <c r="EC2542" s="120"/>
      <c r="ED2542" s="466"/>
      <c r="EE2542" s="467"/>
      <c r="EF2542" s="440"/>
    </row>
    <row r="2543" spans="53:136">
      <c r="BB2543" s="436"/>
      <c r="BC2543" s="120"/>
      <c r="BD2543" s="223"/>
      <c r="BE2543" s="467"/>
      <c r="BF2543" s="440"/>
      <c r="CB2543" s="436"/>
      <c r="CC2543" s="120"/>
      <c r="CD2543" s="223"/>
      <c r="CE2543" s="467"/>
      <c r="CF2543" s="440"/>
      <c r="DB2543" s="436"/>
      <c r="DC2543" s="120"/>
      <c r="DD2543" s="223"/>
      <c r="DE2543" s="467"/>
      <c r="DF2543" s="440"/>
      <c r="EB2543" s="436"/>
      <c r="EC2543" s="120"/>
      <c r="ED2543" s="223"/>
      <c r="EE2543" s="467"/>
      <c r="EF2543" s="440"/>
    </row>
    <row r="2544" spans="53:136">
      <c r="BB2544" s="436"/>
      <c r="BC2544" s="120"/>
      <c r="BD2544" s="223"/>
      <c r="BE2544" s="467"/>
      <c r="BF2544" s="440"/>
      <c r="CB2544" s="436"/>
      <c r="CC2544" s="120"/>
      <c r="CD2544" s="223"/>
      <c r="CE2544" s="467"/>
      <c r="CF2544" s="440"/>
      <c r="DB2544" s="436"/>
      <c r="DC2544" s="120"/>
      <c r="DD2544" s="223"/>
      <c r="DE2544" s="467"/>
      <c r="DF2544" s="440"/>
      <c r="EB2544" s="436"/>
      <c r="EC2544" s="120"/>
      <c r="ED2544" s="223"/>
      <c r="EE2544" s="467"/>
      <c r="EF2544" s="440"/>
    </row>
    <row r="2545" spans="54:136">
      <c r="BB2545" s="436"/>
      <c r="BC2545" s="120"/>
      <c r="BD2545" s="471"/>
      <c r="BE2545" s="467"/>
      <c r="BF2545" s="440"/>
      <c r="CB2545" s="436"/>
      <c r="CC2545" s="120"/>
      <c r="CD2545" s="471"/>
      <c r="CE2545" s="467"/>
      <c r="CF2545" s="440"/>
      <c r="DB2545" s="436"/>
      <c r="DC2545" s="120"/>
      <c r="DD2545" s="471"/>
      <c r="DE2545" s="467"/>
      <c r="DF2545" s="440"/>
      <c r="EB2545" s="436"/>
      <c r="EC2545" s="120"/>
      <c r="ED2545" s="471"/>
      <c r="EE2545" s="467"/>
      <c r="EF2545" s="440"/>
    </row>
    <row r="2546" spans="54:136">
      <c r="BB2546" s="436"/>
      <c r="BC2546" s="120"/>
      <c r="BD2546" s="223"/>
      <c r="BE2546" s="467"/>
      <c r="BF2546" s="440"/>
      <c r="CB2546" s="436"/>
      <c r="CC2546" s="120"/>
      <c r="CD2546" s="223"/>
      <c r="CE2546" s="467"/>
      <c r="CF2546" s="440"/>
      <c r="DB2546" s="436"/>
      <c r="DC2546" s="120"/>
      <c r="DD2546" s="223"/>
      <c r="DE2546" s="467"/>
      <c r="DF2546" s="440"/>
      <c r="EB2546" s="436"/>
      <c r="EC2546" s="120"/>
      <c r="ED2546" s="223"/>
      <c r="EE2546" s="467"/>
      <c r="EF2546" s="440"/>
    </row>
    <row r="2547" spans="54:136">
      <c r="BB2547" s="436"/>
      <c r="BC2547" s="120"/>
      <c r="BD2547" s="475"/>
      <c r="BE2547" s="467"/>
      <c r="BF2547" s="440"/>
      <c r="CB2547" s="436"/>
      <c r="CC2547" s="120"/>
      <c r="CD2547" s="475"/>
      <c r="CE2547" s="467"/>
      <c r="CF2547" s="440"/>
      <c r="DB2547" s="436"/>
      <c r="DC2547" s="120"/>
      <c r="DD2547" s="475"/>
      <c r="DE2547" s="467"/>
      <c r="DF2547" s="440"/>
      <c r="EB2547" s="436"/>
      <c r="EC2547" s="120"/>
      <c r="ED2547" s="475"/>
      <c r="EE2547" s="467"/>
      <c r="EF2547" s="440"/>
    </row>
    <row r="2548" spans="54:136">
      <c r="BB2548" s="436"/>
      <c r="BC2548" s="120"/>
      <c r="BD2548" s="223"/>
      <c r="BE2548" s="467"/>
      <c r="BF2548" s="440"/>
      <c r="CB2548" s="436"/>
      <c r="CC2548" s="120"/>
      <c r="CD2548" s="223"/>
      <c r="CE2548" s="467"/>
      <c r="CF2548" s="440"/>
      <c r="DB2548" s="436"/>
      <c r="DC2548" s="120"/>
      <c r="DD2548" s="223"/>
      <c r="DE2548" s="467"/>
      <c r="DF2548" s="440"/>
      <c r="EB2548" s="436"/>
      <c r="EC2548" s="120"/>
      <c r="ED2548" s="223"/>
      <c r="EE2548" s="467"/>
      <c r="EF2548" s="440"/>
    </row>
    <row r="2549" spans="54:136">
      <c r="BB2549" s="436"/>
      <c r="BC2549" s="120"/>
      <c r="BD2549" s="223"/>
      <c r="BE2549" s="467"/>
      <c r="BF2549" s="440"/>
      <c r="CB2549" s="436"/>
      <c r="CC2549" s="120"/>
      <c r="CD2549" s="223"/>
      <c r="CE2549" s="467"/>
      <c r="CF2549" s="440"/>
      <c r="DB2549" s="436"/>
      <c r="DC2549" s="120"/>
      <c r="DD2549" s="223"/>
      <c r="DE2549" s="467"/>
      <c r="DF2549" s="440"/>
      <c r="EB2549" s="436"/>
      <c r="EC2549" s="120"/>
      <c r="ED2549" s="223"/>
      <c r="EE2549" s="467"/>
      <c r="EF2549" s="440"/>
    </row>
    <row r="2550" spans="54:136">
      <c r="BB2550" s="436"/>
      <c r="BC2550" s="120"/>
      <c r="BD2550" s="223"/>
      <c r="BE2550" s="467"/>
      <c r="BF2550" s="440"/>
      <c r="CB2550" s="436"/>
      <c r="CC2550" s="120"/>
      <c r="CD2550" s="223"/>
      <c r="CE2550" s="467"/>
      <c r="CF2550" s="440"/>
      <c r="DB2550" s="436"/>
      <c r="DC2550" s="120"/>
      <c r="DD2550" s="223"/>
      <c r="DE2550" s="467"/>
      <c r="DF2550" s="440"/>
      <c r="EB2550" s="436"/>
      <c r="EC2550" s="120"/>
      <c r="ED2550" s="223"/>
      <c r="EE2550" s="467"/>
      <c r="EF2550" s="440"/>
    </row>
    <row r="2551" spans="54:136">
      <c r="BB2551" s="436"/>
      <c r="BC2551" s="120"/>
      <c r="BD2551" s="223"/>
      <c r="BE2551" s="467"/>
      <c r="BF2551" s="440"/>
      <c r="CB2551" s="436"/>
      <c r="CC2551" s="120"/>
      <c r="CD2551" s="223"/>
      <c r="CE2551" s="467"/>
      <c r="CF2551" s="440"/>
      <c r="DB2551" s="436"/>
      <c r="DC2551" s="120"/>
      <c r="DD2551" s="223"/>
      <c r="DE2551" s="467"/>
      <c r="DF2551" s="440"/>
      <c r="EB2551" s="436"/>
      <c r="EC2551" s="120"/>
      <c r="ED2551" s="223"/>
      <c r="EE2551" s="467"/>
      <c r="EF2551" s="440"/>
    </row>
    <row r="2552" spans="54:136">
      <c r="BB2552" s="436"/>
      <c r="BC2552" s="120"/>
      <c r="BD2552" s="120"/>
      <c r="BE2552" s="467"/>
      <c r="BF2552" s="440"/>
      <c r="CB2552" s="436"/>
      <c r="CC2552" s="120"/>
      <c r="CD2552" s="120"/>
      <c r="CE2552" s="467"/>
      <c r="CF2552" s="440"/>
      <c r="DB2552" s="436"/>
      <c r="DC2552" s="120"/>
      <c r="DD2552" s="120"/>
      <c r="DE2552" s="467"/>
      <c r="DF2552" s="440"/>
      <c r="EB2552" s="436"/>
      <c r="EC2552" s="120"/>
      <c r="ED2552" s="120"/>
      <c r="EE2552" s="467"/>
      <c r="EF2552" s="440"/>
    </row>
    <row r="2553" spans="54:136">
      <c r="BB2553" s="456"/>
      <c r="BC2553" s="457"/>
      <c r="BD2553" s="457"/>
      <c r="BE2553" s="477"/>
      <c r="BF2553" s="458"/>
      <c r="CB2553" s="456"/>
      <c r="CC2553" s="457"/>
      <c r="CD2553" s="457"/>
      <c r="CE2553" s="477"/>
      <c r="CF2553" s="458"/>
      <c r="DB2553" s="456"/>
      <c r="DC2553" s="457"/>
      <c r="DD2553" s="457"/>
      <c r="DE2553" s="477"/>
      <c r="DF2553" s="458"/>
      <c r="EB2553" s="456"/>
      <c r="EC2553" s="457"/>
      <c r="ED2553" s="457"/>
      <c r="EE2553" s="477"/>
      <c r="EF2553" s="458"/>
    </row>
    <row r="2554" spans="54:136">
      <c r="BB2554" s="449" t="s">
        <v>474</v>
      </c>
      <c r="BC2554" s="120"/>
      <c r="BD2554" s="120" t="s">
        <v>1</v>
      </c>
      <c r="BE2554" s="310" t="s">
        <v>307</v>
      </c>
      <c r="BF2554" s="440"/>
      <c r="CB2554" s="449" t="s">
        <v>474</v>
      </c>
      <c r="CC2554" s="120"/>
      <c r="CD2554" s="120" t="s">
        <v>1</v>
      </c>
      <c r="CE2554" s="310" t="s">
        <v>307</v>
      </c>
      <c r="CF2554" s="440"/>
      <c r="DB2554" s="449" t="s">
        <v>474</v>
      </c>
      <c r="DC2554" s="120"/>
      <c r="DD2554" s="120" t="s">
        <v>1</v>
      </c>
      <c r="DE2554" s="310" t="s">
        <v>307</v>
      </c>
      <c r="DF2554" s="440"/>
      <c r="EB2554" s="449" t="s">
        <v>474</v>
      </c>
      <c r="EC2554" s="120"/>
      <c r="ED2554" s="120" t="s">
        <v>1</v>
      </c>
      <c r="EE2554" s="310" t="s">
        <v>307</v>
      </c>
      <c r="EF2554" s="440"/>
    </row>
    <row r="2555" spans="54:136">
      <c r="BB2555" s="436"/>
      <c r="BC2555" s="223"/>
      <c r="BD2555" s="480"/>
      <c r="BE2555" s="484"/>
      <c r="BF2555" s="440"/>
      <c r="CB2555" s="436"/>
      <c r="CC2555" s="223"/>
      <c r="CD2555" s="480"/>
      <c r="CE2555" s="484"/>
      <c r="CF2555" s="440"/>
      <c r="DB2555" s="436"/>
      <c r="DC2555" s="223"/>
      <c r="DD2555" s="480"/>
      <c r="DE2555" s="484"/>
      <c r="DF2555" s="440"/>
      <c r="EB2555" s="436"/>
      <c r="EC2555" s="223"/>
      <c r="ED2555" s="480"/>
      <c r="EE2555" s="484"/>
      <c r="EF2555" s="440"/>
    </row>
    <row r="2556" spans="54:136">
      <c r="BB2556" s="436"/>
      <c r="BC2556" s="120"/>
      <c r="BD2556" s="120"/>
      <c r="BE2556" s="467"/>
      <c r="BF2556" s="440"/>
      <c r="CB2556" s="436"/>
      <c r="CC2556" s="120"/>
      <c r="CD2556" s="120"/>
      <c r="CE2556" s="467"/>
      <c r="CF2556" s="440"/>
      <c r="DB2556" s="436"/>
      <c r="DC2556" s="120"/>
      <c r="DD2556" s="120"/>
      <c r="DE2556" s="467"/>
      <c r="DF2556" s="440"/>
      <c r="EB2556" s="436"/>
      <c r="EC2556" s="120"/>
      <c r="ED2556" s="120"/>
      <c r="EE2556" s="467"/>
      <c r="EF2556" s="440"/>
    </row>
    <row r="2557" spans="54:136">
      <c r="BB2557" s="436"/>
      <c r="BC2557" s="120"/>
      <c r="BD2557" s="120"/>
      <c r="BE2557" s="467"/>
      <c r="BF2557" s="440"/>
      <c r="CB2557" s="436"/>
      <c r="CC2557" s="120"/>
      <c r="CD2557" s="120"/>
      <c r="CE2557" s="467"/>
      <c r="CF2557" s="440"/>
      <c r="DB2557" s="436"/>
      <c r="DC2557" s="120"/>
      <c r="DD2557" s="120"/>
      <c r="DE2557" s="467"/>
      <c r="DF2557" s="440"/>
      <c r="EB2557" s="436"/>
      <c r="EC2557" s="120"/>
      <c r="ED2557" s="120"/>
      <c r="EE2557" s="467"/>
      <c r="EF2557" s="440"/>
    </row>
    <row r="2558" spans="54:136">
      <c r="BB2558" s="436"/>
      <c r="BC2558" s="120"/>
      <c r="BD2558" s="120"/>
      <c r="BE2558" s="467"/>
      <c r="BF2558" s="440"/>
      <c r="CB2558" s="436"/>
      <c r="CC2558" s="120"/>
      <c r="CD2558" s="120"/>
      <c r="CE2558" s="467"/>
      <c r="CF2558" s="440"/>
      <c r="DB2558" s="436"/>
      <c r="DC2558" s="120"/>
      <c r="DD2558" s="120"/>
      <c r="DE2558" s="467"/>
      <c r="DF2558" s="440"/>
      <c r="EB2558" s="436"/>
      <c r="EC2558" s="120"/>
      <c r="ED2558" s="120"/>
      <c r="EE2558" s="467"/>
      <c r="EF2558" s="440"/>
    </row>
    <row r="2559" spans="54:136">
      <c r="BB2559" s="436"/>
      <c r="BC2559" s="120"/>
      <c r="BD2559" s="120"/>
      <c r="BE2559" s="467"/>
      <c r="BF2559" s="440"/>
      <c r="CB2559" s="436"/>
      <c r="CC2559" s="120"/>
      <c r="CD2559" s="120"/>
      <c r="CE2559" s="467"/>
      <c r="CF2559" s="440"/>
      <c r="DB2559" s="436"/>
      <c r="DC2559" s="120"/>
      <c r="DD2559" s="120"/>
      <c r="DE2559" s="467"/>
      <c r="DF2559" s="440"/>
      <c r="EB2559" s="436"/>
      <c r="EC2559" s="120"/>
      <c r="ED2559" s="120"/>
      <c r="EE2559" s="467"/>
      <c r="EF2559" s="440"/>
    </row>
    <row r="2560" spans="54:136">
      <c r="BB2560" s="436"/>
      <c r="BC2560" s="120"/>
      <c r="BD2560" s="120"/>
      <c r="BE2560" s="467"/>
      <c r="BF2560" s="440"/>
      <c r="CB2560" s="436"/>
      <c r="CC2560" s="120"/>
      <c r="CD2560" s="120"/>
      <c r="CE2560" s="467"/>
      <c r="CF2560" s="440"/>
      <c r="DB2560" s="436"/>
      <c r="DC2560" s="120"/>
      <c r="DD2560" s="120"/>
      <c r="DE2560" s="467"/>
      <c r="DF2560" s="440"/>
      <c r="EB2560" s="436"/>
      <c r="EC2560" s="120"/>
      <c r="ED2560" s="120"/>
      <c r="EE2560" s="467"/>
      <c r="EF2560" s="440"/>
    </row>
    <row r="2561" spans="54:136">
      <c r="BB2561" s="436"/>
      <c r="BC2561" s="120"/>
      <c r="BD2561" s="120"/>
      <c r="BE2561" s="467"/>
      <c r="BF2561" s="440"/>
      <c r="CB2561" s="436"/>
      <c r="CC2561" s="120"/>
      <c r="CD2561" s="120"/>
      <c r="CE2561" s="467"/>
      <c r="CF2561" s="440"/>
      <c r="DB2561" s="436"/>
      <c r="DC2561" s="120"/>
      <c r="DD2561" s="120"/>
      <c r="DE2561" s="467"/>
      <c r="DF2561" s="440"/>
      <c r="EB2561" s="436"/>
      <c r="EC2561" s="120"/>
      <c r="ED2561" s="120"/>
      <c r="EE2561" s="467"/>
      <c r="EF2561" s="440"/>
    </row>
    <row r="2562" spans="54:136">
      <c r="BB2562" s="436"/>
      <c r="BC2562" s="120"/>
      <c r="BD2562" s="120"/>
      <c r="BE2562" s="467"/>
      <c r="BF2562" s="440"/>
      <c r="CB2562" s="436"/>
      <c r="CC2562" s="120"/>
      <c r="CD2562" s="120"/>
      <c r="CE2562" s="467"/>
      <c r="CF2562" s="440"/>
      <c r="DB2562" s="436"/>
      <c r="DC2562" s="120"/>
      <c r="DD2562" s="120"/>
      <c r="DE2562" s="467"/>
      <c r="DF2562" s="440"/>
      <c r="EB2562" s="436"/>
      <c r="EC2562" s="120"/>
      <c r="ED2562" s="120"/>
      <c r="EE2562" s="467"/>
      <c r="EF2562" s="440"/>
    </row>
    <row r="2563" spans="54:136">
      <c r="BB2563" s="436"/>
      <c r="BC2563" s="120"/>
      <c r="BD2563" s="120"/>
      <c r="BE2563" s="467"/>
      <c r="BF2563" s="440"/>
      <c r="CB2563" s="436"/>
      <c r="CC2563" s="120"/>
      <c r="CD2563" s="120"/>
      <c r="CE2563" s="467"/>
      <c r="CF2563" s="440"/>
      <c r="DB2563" s="436"/>
      <c r="DC2563" s="120"/>
      <c r="DD2563" s="120"/>
      <c r="DE2563" s="467"/>
      <c r="DF2563" s="440"/>
      <c r="EB2563" s="436"/>
      <c r="EC2563" s="120"/>
      <c r="ED2563" s="120"/>
      <c r="EE2563" s="467"/>
      <c r="EF2563" s="440"/>
    </row>
    <row r="2564" spans="54:136">
      <c r="BB2564" s="436"/>
      <c r="BC2564" s="120"/>
      <c r="BD2564" s="120"/>
      <c r="BE2564" s="467"/>
      <c r="BF2564" s="440"/>
      <c r="CB2564" s="436"/>
      <c r="CC2564" s="120"/>
      <c r="CD2564" s="120"/>
      <c r="CE2564" s="467"/>
      <c r="CF2564" s="440"/>
      <c r="DB2564" s="436"/>
      <c r="DC2564" s="120"/>
      <c r="DD2564" s="120"/>
      <c r="DE2564" s="467"/>
      <c r="DF2564" s="440"/>
      <c r="EB2564" s="436"/>
      <c r="EC2564" s="120"/>
      <c r="ED2564" s="120"/>
      <c r="EE2564" s="467"/>
      <c r="EF2564" s="440"/>
    </row>
    <row r="2565" spans="54:136">
      <c r="BB2565" s="436"/>
      <c r="BC2565" s="120"/>
      <c r="BD2565" s="120"/>
      <c r="BE2565" s="467"/>
      <c r="BF2565" s="440"/>
      <c r="CB2565" s="436"/>
      <c r="CC2565" s="120"/>
      <c r="CD2565" s="120"/>
      <c r="CE2565" s="467"/>
      <c r="CF2565" s="440"/>
      <c r="DB2565" s="436"/>
      <c r="DC2565" s="120"/>
      <c r="DD2565" s="120"/>
      <c r="DE2565" s="467"/>
      <c r="DF2565" s="440"/>
      <c r="EB2565" s="436"/>
      <c r="EC2565" s="120"/>
      <c r="ED2565" s="120"/>
      <c r="EE2565" s="467"/>
      <c r="EF2565" s="440"/>
    </row>
    <row r="2566" spans="54:136">
      <c r="BB2566" s="436"/>
      <c r="BC2566" s="120"/>
      <c r="BD2566" s="120"/>
      <c r="BE2566" s="467"/>
      <c r="BF2566" s="440"/>
      <c r="CB2566" s="436"/>
      <c r="CC2566" s="120"/>
      <c r="CD2566" s="120"/>
      <c r="CE2566" s="467"/>
      <c r="CF2566" s="440"/>
      <c r="DB2566" s="436"/>
      <c r="DC2566" s="120"/>
      <c r="DD2566" s="120"/>
      <c r="DE2566" s="467"/>
      <c r="DF2566" s="440"/>
      <c r="EB2566" s="436"/>
      <c r="EC2566" s="120"/>
      <c r="ED2566" s="120"/>
      <c r="EE2566" s="467"/>
      <c r="EF2566" s="440"/>
    </row>
    <row r="2567" spans="54:136">
      <c r="BB2567" s="456"/>
      <c r="BC2567" s="457"/>
      <c r="BD2567" s="457"/>
      <c r="BE2567" s="477"/>
      <c r="BF2567" s="458"/>
      <c r="CB2567" s="456"/>
      <c r="CC2567" s="457"/>
      <c r="CD2567" s="457"/>
      <c r="CE2567" s="477"/>
      <c r="CF2567" s="458"/>
      <c r="DB2567" s="456"/>
      <c r="DC2567" s="457"/>
      <c r="DD2567" s="457"/>
      <c r="DE2567" s="477"/>
      <c r="DF2567" s="458"/>
      <c r="EB2567" s="456"/>
      <c r="EC2567" s="457"/>
      <c r="ED2567" s="457"/>
      <c r="EE2567" s="477"/>
      <c r="EF2567" s="458"/>
    </row>
    <row r="2568" spans="54:136">
      <c r="BB2568" s="456"/>
      <c r="BC2568" s="457"/>
      <c r="BD2568" s="457"/>
      <c r="BE2568" s="457"/>
      <c r="BF2568" s="458"/>
      <c r="CB2568" s="456"/>
      <c r="CC2568" s="457"/>
      <c r="CD2568" s="457"/>
      <c r="CE2568" s="457"/>
      <c r="CF2568" s="458"/>
      <c r="DB2568" s="456"/>
      <c r="DC2568" s="457"/>
      <c r="DD2568" s="457"/>
      <c r="DE2568" s="457"/>
      <c r="DF2568" s="458"/>
      <c r="EB2568" s="456"/>
      <c r="EC2568" s="457"/>
      <c r="ED2568" s="457"/>
      <c r="EE2568" s="457"/>
      <c r="EF2568" s="458"/>
    </row>
    <row r="2569" spans="54:136">
      <c r="BB2569" s="449" t="s">
        <v>475</v>
      </c>
      <c r="BC2569" s="120"/>
      <c r="BD2569" s="120"/>
      <c r="BE2569" s="120"/>
      <c r="BF2569" s="440"/>
      <c r="CB2569" s="449" t="s">
        <v>475</v>
      </c>
      <c r="CC2569" s="120"/>
      <c r="CD2569" s="120"/>
      <c r="CE2569" s="120"/>
      <c r="CF2569" s="440"/>
      <c r="DB2569" s="449" t="s">
        <v>475</v>
      </c>
      <c r="DC2569" s="120"/>
      <c r="DD2569" s="120"/>
      <c r="DE2569" s="120"/>
      <c r="DF2569" s="440"/>
      <c r="EB2569" s="449" t="s">
        <v>475</v>
      </c>
      <c r="EC2569" s="120"/>
      <c r="ED2569" s="120"/>
      <c r="EE2569" s="120"/>
      <c r="EF2569" s="440"/>
    </row>
    <row r="2570" spans="54:136">
      <c r="BB2570" s="436" t="s">
        <v>509</v>
      </c>
      <c r="BC2570" s="120"/>
      <c r="BD2570" s="120"/>
      <c r="BE2570" s="120"/>
      <c r="BF2570" s="440"/>
      <c r="CB2570" s="436" t="s">
        <v>509</v>
      </c>
      <c r="CC2570" s="120"/>
      <c r="CD2570" s="120"/>
      <c r="CE2570" s="120"/>
      <c r="CF2570" s="440"/>
      <c r="DB2570" s="436" t="s">
        <v>509</v>
      </c>
      <c r="DC2570" s="120"/>
      <c r="DD2570" s="120"/>
      <c r="DE2570" s="120"/>
      <c r="DF2570" s="440"/>
      <c r="EB2570" s="436" t="s">
        <v>509</v>
      </c>
      <c r="EC2570" s="120"/>
      <c r="ED2570" s="120"/>
      <c r="EE2570" s="120"/>
      <c r="EF2570" s="440"/>
    </row>
    <row r="2571" spans="54:136">
      <c r="BB2571" s="436" t="s">
        <v>510</v>
      </c>
      <c r="BC2571" s="120"/>
      <c r="BD2571" s="120"/>
      <c r="BE2571" s="120"/>
      <c r="BF2571" s="440"/>
      <c r="CB2571" s="436" t="s">
        <v>510</v>
      </c>
      <c r="CC2571" s="120"/>
      <c r="CD2571" s="120"/>
      <c r="CE2571" s="120"/>
      <c r="CF2571" s="440"/>
      <c r="DB2571" s="436" t="s">
        <v>510</v>
      </c>
      <c r="DC2571" s="120"/>
      <c r="DD2571" s="120"/>
      <c r="DE2571" s="120"/>
      <c r="DF2571" s="440"/>
      <c r="EB2571" s="436" t="s">
        <v>510</v>
      </c>
      <c r="EC2571" s="120"/>
      <c r="ED2571" s="120"/>
      <c r="EE2571" s="120"/>
      <c r="EF2571" s="440"/>
    </row>
    <row r="2572" spans="54:136">
      <c r="BB2572" s="436"/>
      <c r="BC2572" s="120"/>
      <c r="BD2572" s="120"/>
      <c r="BE2572" s="120"/>
      <c r="BF2572" s="440"/>
      <c r="CB2572" s="436"/>
      <c r="CC2572" s="120"/>
      <c r="CD2572" s="120"/>
      <c r="CE2572" s="120"/>
      <c r="CF2572" s="440"/>
      <c r="DB2572" s="436"/>
      <c r="DC2572" s="120"/>
      <c r="DD2572" s="120"/>
      <c r="DE2572" s="120"/>
      <c r="DF2572" s="440"/>
      <c r="EB2572" s="436"/>
      <c r="EC2572" s="120"/>
      <c r="ED2572" s="120"/>
      <c r="EE2572" s="120"/>
      <c r="EF2572" s="440"/>
    </row>
    <row r="2573" spans="54:136">
      <c r="BB2573" s="436"/>
      <c r="BC2573" s="120"/>
      <c r="BD2573" s="120"/>
      <c r="BE2573" s="120"/>
      <c r="BF2573" s="440"/>
      <c r="CB2573" s="436"/>
      <c r="CC2573" s="120"/>
      <c r="CD2573" s="120"/>
      <c r="CE2573" s="120"/>
      <c r="CF2573" s="440"/>
      <c r="DB2573" s="436"/>
      <c r="DC2573" s="120"/>
      <c r="DD2573" s="120"/>
      <c r="DE2573" s="120"/>
      <c r="DF2573" s="440"/>
      <c r="EB2573" s="436"/>
      <c r="EC2573" s="120"/>
      <c r="ED2573" s="120"/>
      <c r="EE2573" s="120"/>
      <c r="EF2573" s="440"/>
    </row>
    <row r="2574" spans="54:136">
      <c r="BB2574" s="436"/>
      <c r="BC2574" s="120"/>
      <c r="BD2574" s="120"/>
      <c r="BE2574" s="120"/>
      <c r="BF2574" s="440"/>
      <c r="CB2574" s="436"/>
      <c r="CC2574" s="120"/>
      <c r="CD2574" s="120"/>
      <c r="CE2574" s="120"/>
      <c r="CF2574" s="440"/>
      <c r="DB2574" s="436"/>
      <c r="DC2574" s="120"/>
      <c r="DD2574" s="120"/>
      <c r="DE2574" s="120"/>
      <c r="DF2574" s="440"/>
      <c r="EB2574" s="436"/>
      <c r="EC2574" s="120"/>
      <c r="ED2574" s="120"/>
      <c r="EE2574" s="120"/>
      <c r="EF2574" s="440"/>
    </row>
    <row r="2575" spans="54:136">
      <c r="BB2575" s="436"/>
      <c r="BC2575" s="120"/>
      <c r="BD2575" s="120"/>
      <c r="BE2575" s="120"/>
      <c r="BF2575" s="440"/>
      <c r="CB2575" s="436"/>
      <c r="CC2575" s="120"/>
      <c r="CD2575" s="120"/>
      <c r="CE2575" s="120"/>
      <c r="CF2575" s="440"/>
      <c r="DB2575" s="436"/>
      <c r="DC2575" s="120"/>
      <c r="DD2575" s="120"/>
      <c r="DE2575" s="120"/>
      <c r="DF2575" s="440"/>
      <c r="EB2575" s="436"/>
      <c r="EC2575" s="120"/>
      <c r="ED2575" s="120"/>
      <c r="EE2575" s="120"/>
      <c r="EF2575" s="440"/>
    </row>
    <row r="2576" spans="54:136">
      <c r="BB2576" s="436" t="s">
        <v>511</v>
      </c>
      <c r="BC2576" s="120">
        <v>0</v>
      </c>
      <c r="BD2576" s="120" t="s">
        <v>512</v>
      </c>
      <c r="BE2576" s="120"/>
      <c r="BF2576" s="440"/>
      <c r="CB2576" s="436" t="s">
        <v>511</v>
      </c>
      <c r="CC2576" s="120">
        <v>0</v>
      </c>
      <c r="CD2576" s="120" t="s">
        <v>512</v>
      </c>
      <c r="CE2576" s="120"/>
      <c r="CF2576" s="440"/>
      <c r="DB2576" s="436" t="s">
        <v>511</v>
      </c>
      <c r="DC2576" s="120">
        <v>0</v>
      </c>
      <c r="DD2576" s="120" t="s">
        <v>512</v>
      </c>
      <c r="DE2576" s="120"/>
      <c r="DF2576" s="440"/>
      <c r="EB2576" s="436" t="s">
        <v>511</v>
      </c>
      <c r="EC2576" s="120">
        <v>0</v>
      </c>
      <c r="ED2576" s="120" t="s">
        <v>512</v>
      </c>
      <c r="EE2576" s="120"/>
      <c r="EF2576" s="440"/>
    </row>
    <row r="2577" spans="54:136">
      <c r="BB2577" s="436" t="s">
        <v>513</v>
      </c>
      <c r="BC2577" s="120">
        <v>0</v>
      </c>
      <c r="BD2577" s="120" t="s">
        <v>512</v>
      </c>
      <c r="BE2577" s="120"/>
      <c r="BF2577" s="440"/>
      <c r="CB2577" s="436" t="s">
        <v>513</v>
      </c>
      <c r="CC2577" s="120">
        <v>0</v>
      </c>
      <c r="CD2577" s="120" t="s">
        <v>512</v>
      </c>
      <c r="CE2577" s="120"/>
      <c r="CF2577" s="440"/>
      <c r="DB2577" s="436" t="s">
        <v>513</v>
      </c>
      <c r="DC2577" s="120">
        <v>0</v>
      </c>
      <c r="DD2577" s="120" t="s">
        <v>512</v>
      </c>
      <c r="DE2577" s="120"/>
      <c r="DF2577" s="440"/>
      <c r="EB2577" s="436" t="s">
        <v>513</v>
      </c>
      <c r="EC2577" s="120">
        <v>0</v>
      </c>
      <c r="ED2577" s="120" t="s">
        <v>512</v>
      </c>
      <c r="EE2577" s="120"/>
      <c r="EF2577" s="440"/>
    </row>
    <row r="2578" spans="54:136">
      <c r="BB2578" s="456"/>
      <c r="BC2578" s="457"/>
      <c r="BD2578" s="457"/>
      <c r="BE2578" s="457"/>
      <c r="BF2578" s="458"/>
      <c r="CB2578" s="456"/>
      <c r="CC2578" s="457"/>
      <c r="CD2578" s="457"/>
      <c r="CE2578" s="457"/>
      <c r="CF2578" s="458"/>
      <c r="DB2578" s="456"/>
      <c r="DC2578" s="457"/>
      <c r="DD2578" s="457"/>
      <c r="DE2578" s="457"/>
      <c r="DF2578" s="458"/>
      <c r="EB2578" s="456"/>
      <c r="EC2578" s="457"/>
      <c r="ED2578" s="457"/>
      <c r="EE2578" s="457"/>
      <c r="EF2578" s="458"/>
    </row>
    <row r="2579" spans="54:136">
      <c r="BB2579" s="449" t="s">
        <v>461</v>
      </c>
      <c r="BC2579" s="120"/>
      <c r="BD2579" s="120"/>
      <c r="BE2579" s="120"/>
      <c r="BF2579" s="440"/>
      <c r="CB2579" s="449" t="s">
        <v>461</v>
      </c>
      <c r="CC2579" s="120"/>
      <c r="CD2579" s="120"/>
      <c r="CE2579" s="120"/>
      <c r="CF2579" s="440"/>
      <c r="DB2579" s="449" t="s">
        <v>461</v>
      </c>
      <c r="DC2579" s="120"/>
      <c r="DD2579" s="120"/>
      <c r="DE2579" s="120"/>
      <c r="DF2579" s="440"/>
      <c r="EB2579" s="449" t="s">
        <v>461</v>
      </c>
      <c r="EC2579" s="120"/>
      <c r="ED2579" s="120"/>
      <c r="EE2579" s="120"/>
      <c r="EF2579" s="440"/>
    </row>
    <row r="2580" spans="54:136">
      <c r="BB2580" s="436" t="s">
        <v>514</v>
      </c>
      <c r="BC2580" s="120">
        <f>VLOOKUP(BB2508,'Unit Ops'!$B$140:$K$209,10,FALSE)</f>
        <v>0</v>
      </c>
      <c r="BD2580" s="120" t="s">
        <v>515</v>
      </c>
      <c r="BE2580" s="120"/>
      <c r="BF2580" s="440"/>
      <c r="CB2580" s="436" t="s">
        <v>514</v>
      </c>
      <c r="CC2580" s="120">
        <f>VLOOKUP(CB2508,'Unit Ops'!$B$140:$K$209,10,FALSE)</f>
        <v>0</v>
      </c>
      <c r="CD2580" s="120" t="s">
        <v>515</v>
      </c>
      <c r="CE2580" s="120"/>
      <c r="CF2580" s="440"/>
      <c r="DB2580" s="436" t="s">
        <v>514</v>
      </c>
      <c r="DC2580" s="120">
        <f>VLOOKUP(DB2508,'Unit Ops'!$B$140:$K$209,10,FALSE)</f>
        <v>0</v>
      </c>
      <c r="DD2580" s="120" t="s">
        <v>515</v>
      </c>
      <c r="DE2580" s="120"/>
      <c r="DF2580" s="440"/>
      <c r="EB2580" s="436" t="s">
        <v>514</v>
      </c>
      <c r="EC2580" s="120">
        <f>VLOOKUP(EB2508,'Unit Ops'!$B$140:$K$209,10,FALSE)</f>
        <v>0</v>
      </c>
      <c r="ED2580" s="120" t="s">
        <v>515</v>
      </c>
      <c r="EE2580" s="120"/>
      <c r="EF2580" s="440"/>
    </row>
    <row r="2581" spans="54:136">
      <c r="BB2581" s="436" t="s">
        <v>516</v>
      </c>
      <c r="BC2581" s="120">
        <v>0</v>
      </c>
      <c r="BD2581" s="120" t="s">
        <v>515</v>
      </c>
      <c r="BE2581" s="120"/>
      <c r="BF2581" s="440"/>
      <c r="CB2581" s="436" t="s">
        <v>516</v>
      </c>
      <c r="CC2581" s="120">
        <v>0</v>
      </c>
      <c r="CD2581" s="120" t="s">
        <v>515</v>
      </c>
      <c r="CE2581" s="120"/>
      <c r="CF2581" s="440"/>
      <c r="DB2581" s="436" t="s">
        <v>516</v>
      </c>
      <c r="DC2581" s="120">
        <v>0</v>
      </c>
      <c r="DD2581" s="120" t="s">
        <v>515</v>
      </c>
      <c r="DE2581" s="120"/>
      <c r="DF2581" s="440"/>
      <c r="EB2581" s="436" t="s">
        <v>516</v>
      </c>
      <c r="EC2581" s="120">
        <v>0</v>
      </c>
      <c r="ED2581" s="120" t="s">
        <v>515</v>
      </c>
      <c r="EE2581" s="120"/>
      <c r="EF2581" s="440"/>
    </row>
    <row r="2582" spans="54:136">
      <c r="BB2582" s="436"/>
      <c r="BC2582" s="120"/>
      <c r="BD2582" s="120"/>
      <c r="BE2582" s="120"/>
      <c r="BF2582" s="440"/>
      <c r="CB2582" s="436"/>
      <c r="CC2582" s="120"/>
      <c r="CD2582" s="120"/>
      <c r="CE2582" s="120"/>
      <c r="CF2582" s="440"/>
      <c r="DB2582" s="436"/>
      <c r="DC2582" s="120"/>
      <c r="DD2582" s="120"/>
      <c r="DE2582" s="120"/>
      <c r="DF2582" s="440"/>
      <c r="EB2582" s="436"/>
      <c r="EC2582" s="120"/>
      <c r="ED2582" s="120"/>
      <c r="EE2582" s="120"/>
      <c r="EF2582" s="440"/>
    </row>
    <row r="2583" spans="54:136">
      <c r="BB2583" s="436"/>
      <c r="BC2583" s="120"/>
      <c r="BD2583" s="120"/>
      <c r="BE2583" s="120"/>
      <c r="BF2583" s="440"/>
      <c r="CB2583" s="436"/>
      <c r="CC2583" s="120"/>
      <c r="CD2583" s="120"/>
      <c r="CE2583" s="120"/>
      <c r="CF2583" s="440"/>
      <c r="DB2583" s="436"/>
      <c r="DC2583" s="120"/>
      <c r="DD2583" s="120"/>
      <c r="DE2583" s="120"/>
      <c r="DF2583" s="440"/>
      <c r="EB2583" s="436"/>
      <c r="EC2583" s="120"/>
      <c r="ED2583" s="120"/>
      <c r="EE2583" s="120"/>
      <c r="EF2583" s="440"/>
    </row>
    <row r="2584" spans="54:136">
      <c r="BB2584" s="436"/>
      <c r="BC2584" s="120"/>
      <c r="BD2584" s="120"/>
      <c r="BE2584" s="120"/>
      <c r="BF2584" s="440"/>
      <c r="CB2584" s="436"/>
      <c r="CC2584" s="120"/>
      <c r="CD2584" s="120"/>
      <c r="CE2584" s="120"/>
      <c r="CF2584" s="440"/>
      <c r="DB2584" s="436"/>
      <c r="DC2584" s="120"/>
      <c r="DD2584" s="120"/>
      <c r="DE2584" s="120"/>
      <c r="DF2584" s="440"/>
      <c r="EB2584" s="436"/>
      <c r="EC2584" s="120"/>
      <c r="ED2584" s="120"/>
      <c r="EE2584" s="120"/>
      <c r="EF2584" s="440"/>
    </row>
    <row r="2585" spans="54:136">
      <c r="BB2585" s="436"/>
      <c r="BC2585" s="120"/>
      <c r="BD2585" s="120"/>
      <c r="BE2585" s="120"/>
      <c r="BF2585" s="440"/>
      <c r="CB2585" s="436"/>
      <c r="CC2585" s="120"/>
      <c r="CD2585" s="120"/>
      <c r="CE2585" s="120"/>
      <c r="CF2585" s="440"/>
      <c r="DB2585" s="436"/>
      <c r="DC2585" s="120"/>
      <c r="DD2585" s="120"/>
      <c r="DE2585" s="120"/>
      <c r="DF2585" s="440"/>
      <c r="EB2585" s="436"/>
      <c r="EC2585" s="120"/>
      <c r="ED2585" s="120"/>
      <c r="EE2585" s="120"/>
      <c r="EF2585" s="440"/>
    </row>
    <row r="2586" spans="54:136">
      <c r="BB2586" s="436"/>
      <c r="BC2586" s="120"/>
      <c r="BD2586" s="120"/>
      <c r="BE2586" s="120"/>
      <c r="BF2586" s="440"/>
      <c r="CB2586" s="436"/>
      <c r="CC2586" s="120"/>
      <c r="CD2586" s="120"/>
      <c r="CE2586" s="120"/>
      <c r="CF2586" s="440"/>
      <c r="DB2586" s="436"/>
      <c r="DC2586" s="120"/>
      <c r="DD2586" s="120"/>
      <c r="DE2586" s="120"/>
      <c r="DF2586" s="440"/>
      <c r="EB2586" s="436"/>
      <c r="EC2586" s="120"/>
      <c r="ED2586" s="120"/>
      <c r="EE2586" s="120"/>
      <c r="EF2586" s="440"/>
    </row>
    <row r="2587" spans="54:136">
      <c r="BB2587" s="436" t="s">
        <v>464</v>
      </c>
      <c r="BC2587" s="120"/>
      <c r="BD2587" s="120"/>
      <c r="BE2587" s="120"/>
      <c r="BF2587" s="440"/>
      <c r="CB2587" s="436" t="s">
        <v>464</v>
      </c>
      <c r="CC2587" s="120"/>
      <c r="CD2587" s="120"/>
      <c r="CE2587" s="120"/>
      <c r="CF2587" s="440"/>
      <c r="DB2587" s="436" t="s">
        <v>464</v>
      </c>
      <c r="DC2587" s="120"/>
      <c r="DD2587" s="120"/>
      <c r="DE2587" s="120"/>
      <c r="DF2587" s="440"/>
      <c r="EB2587" s="436" t="s">
        <v>464</v>
      </c>
      <c r="EC2587" s="120"/>
      <c r="ED2587" s="120"/>
      <c r="EE2587" s="120"/>
      <c r="EF2587" s="440"/>
    </row>
    <row r="2588" spans="54:136">
      <c r="BB2588" s="456"/>
      <c r="BC2588" s="457"/>
      <c r="BD2588" s="457"/>
      <c r="BE2588" s="457"/>
      <c r="BF2588" s="458"/>
      <c r="CB2588" s="456"/>
      <c r="CC2588" s="457"/>
      <c r="CD2588" s="457"/>
      <c r="CE2588" s="457"/>
      <c r="CF2588" s="458"/>
      <c r="DB2588" s="456"/>
      <c r="DC2588" s="457"/>
      <c r="DD2588" s="457"/>
      <c r="DE2588" s="457"/>
      <c r="DF2588" s="458"/>
      <c r="EB2588" s="456"/>
      <c r="EC2588" s="457"/>
      <c r="ED2588" s="457"/>
      <c r="EE2588" s="457"/>
      <c r="EF2588" s="458"/>
    </row>
    <row r="2589" spans="54:136">
      <c r="BB2589" s="449" t="s">
        <v>472</v>
      </c>
      <c r="BC2589" s="467" t="s">
        <v>517</v>
      </c>
      <c r="BD2589" s="120" t="s">
        <v>518</v>
      </c>
      <c r="BE2589" s="467" t="s">
        <v>519</v>
      </c>
      <c r="BF2589" s="440" t="s">
        <v>518</v>
      </c>
      <c r="CB2589" s="449" t="s">
        <v>472</v>
      </c>
      <c r="CC2589" s="467" t="s">
        <v>517</v>
      </c>
      <c r="CD2589" s="120" t="s">
        <v>518</v>
      </c>
      <c r="CE2589" s="467" t="s">
        <v>519</v>
      </c>
      <c r="CF2589" s="440" t="s">
        <v>518</v>
      </c>
      <c r="DB2589" s="449" t="s">
        <v>472</v>
      </c>
      <c r="DC2589" s="467" t="s">
        <v>517</v>
      </c>
      <c r="DD2589" s="120" t="s">
        <v>518</v>
      </c>
      <c r="DE2589" s="467" t="s">
        <v>519</v>
      </c>
      <c r="DF2589" s="440" t="s">
        <v>518</v>
      </c>
      <c r="EB2589" s="449" t="s">
        <v>472</v>
      </c>
      <c r="EC2589" s="467" t="s">
        <v>517</v>
      </c>
      <c r="ED2589" s="120" t="s">
        <v>518</v>
      </c>
      <c r="EE2589" s="467" t="s">
        <v>519</v>
      </c>
      <c r="EF2589" s="440" t="s">
        <v>518</v>
      </c>
    </row>
    <row r="2590" spans="54:136">
      <c r="BB2590" s="436" t="s">
        <v>520</v>
      </c>
      <c r="BC2590" s="120"/>
      <c r="BD2590" s="120"/>
      <c r="BE2590" s="472">
        <f>((VLOOKUP(BB2508,'Unit Ops'!$B$140:$J$209,3,FALSE)*BC2510^VLOOKUP(BB2508,'Unit Ops'!$B$140:$J$209,4,FALSE)+VLOOKUP(BB2508,'Unit Ops'!$B$140:$J$209,5,FALSE))*VLOOKUP(BB2508,'Unit Ops'!$B$140:$J$209,6,FALSE))*IF(VLOOKUP(BB2508,'Unit Ops'!$B$140:$L$209,11,FALSE)=1,1,2)</f>
        <v>0</v>
      </c>
      <c r="BF2590" s="490">
        <f>$C$7</f>
        <v>2022</v>
      </c>
      <c r="CB2590" s="436" t="s">
        <v>520</v>
      </c>
      <c r="CC2590" s="120"/>
      <c r="CD2590" s="120"/>
      <c r="CE2590" s="472">
        <f>((VLOOKUP(CB2508,'Unit Ops'!$B$140:$J$209,3,FALSE)*CC2510^VLOOKUP(CB2508,'Unit Ops'!$B$140:$J$209,4,FALSE)+VLOOKUP(CB2508,'Unit Ops'!$B$140:$J$209,5,FALSE))*VLOOKUP(CB2508,'Unit Ops'!$B$140:$J$209,6,FALSE))*IF(VLOOKUP(CB2508,'Unit Ops'!$B$140:$L$209,11,FALSE)=1,1,2)</f>
        <v>0</v>
      </c>
      <c r="CF2590" s="490">
        <f>$C$7</f>
        <v>2022</v>
      </c>
      <c r="DB2590" s="436" t="s">
        <v>520</v>
      </c>
      <c r="DC2590" s="120"/>
      <c r="DD2590" s="120"/>
      <c r="DE2590" s="472">
        <f>((VLOOKUP(DB2508,'Unit Ops'!$B$140:$J$209,3,FALSE)*DC2510^VLOOKUP(DB2508,'Unit Ops'!$B$140:$J$209,4,FALSE)+VLOOKUP(DB2508,'Unit Ops'!$B$140:$J$209,5,FALSE))*VLOOKUP(DB2508,'Unit Ops'!$B$140:$J$209,6,FALSE))*IF(VLOOKUP(DB2508,'Unit Ops'!$B$140:$L$209,11,FALSE)=1,1,2)</f>
        <v>0</v>
      </c>
      <c r="DF2590" s="490">
        <f>$C$7</f>
        <v>2022</v>
      </c>
      <c r="EB2590" s="436" t="s">
        <v>520</v>
      </c>
      <c r="EC2590" s="120"/>
      <c r="ED2590" s="120"/>
      <c r="EE2590" s="472">
        <f>((VLOOKUP(EB2508,'Unit Ops'!$B$140:$J$209,3,FALSE)*EC2510^VLOOKUP(EB2508,'Unit Ops'!$B$140:$J$209,4,FALSE)+VLOOKUP(EB2508,'Unit Ops'!$B$140:$J$209,5,FALSE))*VLOOKUP(EB2508,'Unit Ops'!$B$140:$J$209,6,FALSE))*IF(VLOOKUP(EB2508,'Unit Ops'!$B$140:$L$209,11,FALSE)=1,1,2)</f>
        <v>0</v>
      </c>
      <c r="EF2590" s="490">
        <f>$C$7</f>
        <v>2022</v>
      </c>
    </row>
    <row r="2591" spans="54:136">
      <c r="BB2591" s="436"/>
      <c r="BC2591" s="120"/>
      <c r="BD2591" s="120"/>
      <c r="BE2591" s="120"/>
      <c r="BF2591" s="440"/>
      <c r="CB2591" s="436"/>
      <c r="CC2591" s="120"/>
      <c r="CD2591" s="120"/>
      <c r="CE2591" s="120"/>
      <c r="CF2591" s="440"/>
      <c r="DB2591" s="436"/>
      <c r="DC2591" s="120"/>
      <c r="DD2591" s="120"/>
      <c r="DE2591" s="120"/>
      <c r="DF2591" s="440"/>
      <c r="EB2591" s="436"/>
      <c r="EC2591" s="120"/>
      <c r="ED2591" s="120"/>
      <c r="EE2591" s="120"/>
      <c r="EF2591" s="440"/>
    </row>
    <row r="2592" spans="54:136">
      <c r="BB2592" s="436"/>
      <c r="BC2592" s="120"/>
      <c r="BD2592" s="120"/>
      <c r="BE2592" s="120"/>
      <c r="BF2592" s="440"/>
      <c r="CB2592" s="436"/>
      <c r="CC2592" s="120"/>
      <c r="CD2592" s="120"/>
      <c r="CE2592" s="120"/>
      <c r="CF2592" s="440"/>
      <c r="DB2592" s="436"/>
      <c r="DC2592" s="120"/>
      <c r="DD2592" s="120"/>
      <c r="DE2592" s="120"/>
      <c r="DF2592" s="440"/>
      <c r="EB2592" s="436"/>
      <c r="EC2592" s="120"/>
      <c r="ED2592" s="120"/>
      <c r="EE2592" s="120"/>
      <c r="EF2592" s="440"/>
    </row>
    <row r="2593" spans="53:136">
      <c r="BB2593" s="436"/>
      <c r="BC2593" s="120"/>
      <c r="BD2593" s="120"/>
      <c r="BE2593" s="120"/>
      <c r="BF2593" s="440"/>
      <c r="CB2593" s="436"/>
      <c r="CC2593" s="120"/>
      <c r="CD2593" s="120"/>
      <c r="CE2593" s="120"/>
      <c r="CF2593" s="440"/>
      <c r="DB2593" s="436"/>
      <c r="DC2593" s="120"/>
      <c r="DD2593" s="120"/>
      <c r="DE2593" s="120"/>
      <c r="DF2593" s="440"/>
      <c r="EB2593" s="436"/>
      <c r="EC2593" s="120"/>
      <c r="ED2593" s="120"/>
      <c r="EE2593" s="120"/>
      <c r="EF2593" s="440"/>
    </row>
    <row r="2594" spans="53:136">
      <c r="BB2594" s="436"/>
      <c r="BC2594" s="120"/>
      <c r="BD2594" s="120"/>
      <c r="BE2594" s="120"/>
      <c r="BF2594" s="440"/>
      <c r="CB2594" s="436"/>
      <c r="CC2594" s="120"/>
      <c r="CD2594" s="120"/>
      <c r="CE2594" s="120"/>
      <c r="CF2594" s="440"/>
      <c r="DB2594" s="436"/>
      <c r="DC2594" s="120"/>
      <c r="DD2594" s="120"/>
      <c r="DE2594" s="120"/>
      <c r="DF2594" s="440"/>
      <c r="EB2594" s="436"/>
      <c r="EC2594" s="120"/>
      <c r="ED2594" s="120"/>
      <c r="EE2594" s="120"/>
      <c r="EF2594" s="440"/>
    </row>
    <row r="2595" spans="53:136">
      <c r="BB2595" s="436"/>
      <c r="BC2595" s="120"/>
      <c r="BD2595" s="120"/>
      <c r="BE2595" s="120"/>
      <c r="BF2595" s="440"/>
      <c r="CB2595" s="436"/>
      <c r="CC2595" s="120"/>
      <c r="CD2595" s="120"/>
      <c r="CE2595" s="120"/>
      <c r="CF2595" s="440"/>
      <c r="DB2595" s="436"/>
      <c r="DC2595" s="120"/>
      <c r="DD2595" s="120"/>
      <c r="DE2595" s="120"/>
      <c r="DF2595" s="440"/>
      <c r="EB2595" s="436"/>
      <c r="EC2595" s="120"/>
      <c r="ED2595" s="120"/>
      <c r="EE2595" s="120"/>
      <c r="EF2595" s="440"/>
    </row>
    <row r="2596" spans="53:136">
      <c r="BB2596" s="436"/>
      <c r="BC2596" s="120"/>
      <c r="BD2596" s="120"/>
      <c r="BE2596" s="120"/>
      <c r="BF2596" s="440"/>
      <c r="CB2596" s="436"/>
      <c r="CC2596" s="120"/>
      <c r="CD2596" s="120"/>
      <c r="CE2596" s="120"/>
      <c r="CF2596" s="440"/>
      <c r="DB2596" s="436"/>
      <c r="DC2596" s="120"/>
      <c r="DD2596" s="120"/>
      <c r="DE2596" s="120"/>
      <c r="DF2596" s="440"/>
      <c r="EB2596" s="436"/>
      <c r="EC2596" s="120"/>
      <c r="ED2596" s="120"/>
      <c r="EE2596" s="120"/>
      <c r="EF2596" s="440"/>
    </row>
    <row r="2597" spans="53:136">
      <c r="BB2597" s="436"/>
      <c r="BC2597" s="120"/>
      <c r="BD2597" s="120"/>
      <c r="BE2597" s="120"/>
      <c r="BF2597" s="440"/>
      <c r="CB2597" s="436"/>
      <c r="CC2597" s="120"/>
      <c r="CD2597" s="120"/>
      <c r="CE2597" s="120"/>
      <c r="CF2597" s="440"/>
      <c r="DB2597" s="436"/>
      <c r="DC2597" s="120"/>
      <c r="DD2597" s="120"/>
      <c r="DE2597" s="120"/>
      <c r="DF2597" s="440"/>
      <c r="EB2597" s="436"/>
      <c r="EC2597" s="120"/>
      <c r="ED2597" s="120"/>
      <c r="EE2597" s="120"/>
      <c r="EF2597" s="440"/>
    </row>
    <row r="2598" spans="53:136">
      <c r="BB2598" s="436"/>
      <c r="BC2598" s="120"/>
      <c r="BD2598" s="120"/>
      <c r="BE2598" s="120"/>
      <c r="BF2598" s="440"/>
      <c r="CB2598" s="436"/>
      <c r="CC2598" s="120"/>
      <c r="CD2598" s="120"/>
      <c r="CE2598" s="120"/>
      <c r="CF2598" s="440"/>
      <c r="DB2598" s="436"/>
      <c r="DC2598" s="120"/>
      <c r="DD2598" s="120"/>
      <c r="DE2598" s="120"/>
      <c r="DF2598" s="440"/>
      <c r="EB2598" s="436"/>
      <c r="EC2598" s="120"/>
      <c r="ED2598" s="120"/>
      <c r="EE2598" s="120"/>
      <c r="EF2598" s="440"/>
    </row>
    <row r="2599" spans="53:136">
      <c r="BB2599" s="436"/>
      <c r="BC2599" s="120"/>
      <c r="BD2599" s="120"/>
      <c r="BE2599" s="120"/>
      <c r="BF2599" s="440"/>
      <c r="CB2599" s="436"/>
      <c r="CC2599" s="120"/>
      <c r="CD2599" s="120"/>
      <c r="CE2599" s="120"/>
      <c r="CF2599" s="440"/>
      <c r="DB2599" s="436"/>
      <c r="DC2599" s="120"/>
      <c r="DD2599" s="120"/>
      <c r="DE2599" s="120"/>
      <c r="DF2599" s="440"/>
      <c r="EB2599" s="436"/>
      <c r="EC2599" s="120"/>
      <c r="ED2599" s="120"/>
      <c r="EE2599" s="120"/>
      <c r="EF2599" s="440"/>
    </row>
    <row r="2600" spans="53:136">
      <c r="BB2600" s="436"/>
      <c r="BC2600" s="120"/>
      <c r="BD2600" s="120"/>
      <c r="BE2600" s="120"/>
      <c r="BF2600" s="440"/>
      <c r="CB2600" s="436"/>
      <c r="CC2600" s="120"/>
      <c r="CD2600" s="120"/>
      <c r="CE2600" s="120"/>
      <c r="CF2600" s="440"/>
      <c r="DB2600" s="436"/>
      <c r="DC2600" s="120"/>
      <c r="DD2600" s="120"/>
      <c r="DE2600" s="120"/>
      <c r="DF2600" s="440"/>
      <c r="EB2600" s="436"/>
      <c r="EC2600" s="120"/>
      <c r="ED2600" s="120"/>
      <c r="EE2600" s="120"/>
      <c r="EF2600" s="440"/>
    </row>
    <row r="2601" spans="53:136">
      <c r="BB2601" s="436"/>
      <c r="BC2601" s="120"/>
      <c r="BD2601" s="120"/>
      <c r="BE2601" s="120"/>
      <c r="BF2601" s="440"/>
      <c r="CB2601" s="436"/>
      <c r="CC2601" s="120"/>
      <c r="CD2601" s="120"/>
      <c r="CE2601" s="120"/>
      <c r="CF2601" s="440"/>
      <c r="DB2601" s="436"/>
      <c r="DC2601" s="120"/>
      <c r="DD2601" s="120"/>
      <c r="DE2601" s="120"/>
      <c r="DF2601" s="440"/>
      <c r="EB2601" s="436"/>
      <c r="EC2601" s="120"/>
      <c r="ED2601" s="120"/>
      <c r="EE2601" s="120"/>
      <c r="EF2601" s="440"/>
    </row>
    <row r="2602" spans="53:136">
      <c r="BB2602" s="436"/>
      <c r="BC2602" s="120"/>
      <c r="BD2602" s="120"/>
      <c r="BE2602" s="120"/>
      <c r="BF2602" s="440"/>
      <c r="CB2602" s="436"/>
      <c r="CC2602" s="120"/>
      <c r="CD2602" s="120"/>
      <c r="CE2602" s="120"/>
      <c r="CF2602" s="440"/>
      <c r="DB2602" s="436"/>
      <c r="DC2602" s="120"/>
      <c r="DD2602" s="120"/>
      <c r="DE2602" s="120"/>
      <c r="DF2602" s="440"/>
      <c r="EB2602" s="436"/>
      <c r="EC2602" s="120"/>
      <c r="ED2602" s="120"/>
      <c r="EE2602" s="120"/>
      <c r="EF2602" s="440"/>
    </row>
    <row r="2603" spans="53:136">
      <c r="BB2603" s="436"/>
      <c r="BC2603" s="120"/>
      <c r="BD2603" s="120"/>
      <c r="BE2603" s="120"/>
      <c r="BF2603" s="440"/>
      <c r="CB2603" s="436"/>
      <c r="CC2603" s="120"/>
      <c r="CD2603" s="120"/>
      <c r="CE2603" s="120"/>
      <c r="CF2603" s="440"/>
      <c r="DB2603" s="436"/>
      <c r="DC2603" s="120"/>
      <c r="DD2603" s="120"/>
      <c r="DE2603" s="120"/>
      <c r="DF2603" s="440"/>
      <c r="EB2603" s="436"/>
      <c r="EC2603" s="120"/>
      <c r="ED2603" s="120"/>
      <c r="EE2603" s="120"/>
      <c r="EF2603" s="440"/>
    </row>
    <row r="2604" spans="53:136" ht="14.5" thickBot="1">
      <c r="BB2604" s="492"/>
      <c r="BC2604" s="493"/>
      <c r="BD2604" s="493"/>
      <c r="BE2604" s="493"/>
      <c r="BF2604" s="453"/>
      <c r="CB2604" s="492"/>
      <c r="CC2604" s="493"/>
      <c r="CD2604" s="493"/>
      <c r="CE2604" s="493"/>
      <c r="CF2604" s="453"/>
      <c r="DB2604" s="492"/>
      <c r="DC2604" s="493"/>
      <c r="DD2604" s="493"/>
      <c r="DE2604" s="493"/>
      <c r="DF2604" s="453"/>
      <c r="EB2604" s="492"/>
      <c r="EC2604" s="493"/>
      <c r="ED2604" s="493"/>
      <c r="EE2604" s="493"/>
      <c r="EF2604" s="453"/>
    </row>
    <row r="2607" spans="53:136" ht="14.5" thickBot="1"/>
    <row r="2608" spans="53:136">
      <c r="BA2608" s="114" t="s">
        <v>478</v>
      </c>
      <c r="BB2608" s="431" t="str">
        <f>BB75</f>
        <v>Select Equipment</v>
      </c>
      <c r="BC2608" s="432"/>
      <c r="BD2608" s="433"/>
      <c r="BE2608" s="434"/>
      <c r="BF2608" s="435"/>
      <c r="CA2608" s="114" t="s">
        <v>478</v>
      </c>
      <c r="CB2608" s="431" t="str">
        <f>CB75</f>
        <v>Select Equipment</v>
      </c>
      <c r="CC2608" s="432"/>
      <c r="CD2608" s="433"/>
      <c r="CE2608" s="434"/>
      <c r="CF2608" s="435"/>
      <c r="DA2608" s="114" t="s">
        <v>478</v>
      </c>
      <c r="DB2608" s="431" t="str">
        <f>DB75</f>
        <v>Select Equipment</v>
      </c>
      <c r="DC2608" s="432"/>
      <c r="DD2608" s="433"/>
      <c r="DE2608" s="434"/>
      <c r="DF2608" s="435"/>
      <c r="EA2608" s="114" t="s">
        <v>478</v>
      </c>
      <c r="EB2608" s="431" t="str">
        <f>EB77</f>
        <v>Select Equipment</v>
      </c>
      <c r="EC2608" s="432"/>
      <c r="ED2608" s="433"/>
      <c r="EE2608" s="434"/>
      <c r="EF2608" s="435"/>
    </row>
    <row r="2609" spans="53:136">
      <c r="BA2609" s="114" t="s">
        <v>5</v>
      </c>
      <c r="BB2609" s="436" t="s">
        <v>1</v>
      </c>
      <c r="BC2609" s="437">
        <f>BC$25/BC$22/BC$21*VLOOKUP(BB2608,'Unit Ops'!$B$140:$J$209,2,FALSE)</f>
        <v>0.92592592592592593</v>
      </c>
      <c r="BD2609" s="438" t="s">
        <v>586</v>
      </c>
      <c r="BE2609" s="1027">
        <f>BC2609*BC$310*BC$311</f>
        <v>10000</v>
      </c>
      <c r="BF2609" s="439" t="s">
        <v>585</v>
      </c>
      <c r="CA2609" s="114" t="s">
        <v>5</v>
      </c>
      <c r="CB2609" s="436" t="s">
        <v>1</v>
      </c>
      <c r="CC2609" s="437">
        <f>CC$25/CC$22/CC$21*VLOOKUP(CB2608,'Unit Ops'!$B$140:$J$209,2,FALSE)</f>
        <v>0.91324200913242004</v>
      </c>
      <c r="CD2609" s="438" t="s">
        <v>586</v>
      </c>
      <c r="CE2609" s="1027">
        <f>CC2609*CC$310*CC$311</f>
        <v>10000</v>
      </c>
      <c r="CF2609" s="439" t="s">
        <v>585</v>
      </c>
      <c r="DA2609" s="114" t="s">
        <v>5</v>
      </c>
      <c r="DB2609" s="436" t="s">
        <v>1</v>
      </c>
      <c r="DC2609" s="437">
        <f>DC$25/DC$22/DC$21*VLOOKUP(DB2608,'Unit Ops'!$B$140:$J$209,2,FALSE)</f>
        <v>0.92592592592592593</v>
      </c>
      <c r="DD2609" s="438" t="s">
        <v>586</v>
      </c>
      <c r="DE2609" s="1027">
        <f>DC2609*DC$310*DC$311</f>
        <v>10000</v>
      </c>
      <c r="DF2609" s="439" t="s">
        <v>585</v>
      </c>
      <c r="EA2609" s="114" t="s">
        <v>5</v>
      </c>
      <c r="EB2609" s="436" t="s">
        <v>1</v>
      </c>
      <c r="EC2609" s="437">
        <f>EC$26/EC$23/EC$22*VLOOKUP(EB2608,'Unit Ops'!$B$140:$J$209,2,FALSE)</f>
        <v>1.3020833333333333</v>
      </c>
      <c r="ED2609" s="438" t="s">
        <v>586</v>
      </c>
      <c r="EE2609" s="1027">
        <f>EC2609*EC$310*EC$311</f>
        <v>10000</v>
      </c>
      <c r="EF2609" s="439" t="s">
        <v>585</v>
      </c>
    </row>
    <row r="2610" spans="53:136">
      <c r="BA2610" s="114" t="str">
        <f>$BB$54</f>
        <v>Hopper</v>
      </c>
      <c r="BB2610" s="436" t="s">
        <v>505</v>
      </c>
      <c r="BC2610" s="437">
        <f>ROUNDUP(BC2609*IF(VLOOKUP(BB2608,'Unit Ops'!$B$140:$L$209,11,FALSE)=1,1.5,0.75),1)</f>
        <v>0.7</v>
      </c>
      <c r="BD2610" s="438" t="s">
        <v>586</v>
      </c>
      <c r="BE2610" s="120">
        <f>BC2610*BC$310*BC$311</f>
        <v>7560</v>
      </c>
      <c r="BF2610" s="439" t="s">
        <v>585</v>
      </c>
      <c r="CA2610" s="114" t="str">
        <f>$CB$54</f>
        <v>Conveyor</v>
      </c>
      <c r="CB2610" s="436" t="s">
        <v>505</v>
      </c>
      <c r="CC2610" s="437">
        <f>ROUNDUP(CC2609*IF(VLOOKUP(CB2608,'Unit Ops'!$B$140:$L$209,11,FALSE)=1,1.5,0.75),1)</f>
        <v>0.7</v>
      </c>
      <c r="CD2610" s="438" t="s">
        <v>586</v>
      </c>
      <c r="CE2610" s="120">
        <f>CC2610*CC$310*CC$311</f>
        <v>7665</v>
      </c>
      <c r="CF2610" s="439" t="s">
        <v>585</v>
      </c>
      <c r="DA2610" s="114" t="str">
        <f>$DB$54</f>
        <v>Conveyor</v>
      </c>
      <c r="DB2610" s="436" t="s">
        <v>505</v>
      </c>
      <c r="DC2610" s="437">
        <f>ROUNDUP(DC2609*IF(VLOOKUP(DB2608,'Unit Ops'!$B$140:$L$209,11,FALSE)=1,1.5,0.75),1)</f>
        <v>0.7</v>
      </c>
      <c r="DD2610" s="438" t="s">
        <v>586</v>
      </c>
      <c r="DE2610" s="120">
        <f>DC2610*DC$310*DC$311</f>
        <v>7560</v>
      </c>
      <c r="DF2610" s="439" t="s">
        <v>585</v>
      </c>
      <c r="EA2610" s="114" t="str">
        <f>$EB$56</f>
        <v>Conveyor</v>
      </c>
      <c r="EB2610" s="436" t="s">
        <v>505</v>
      </c>
      <c r="EC2610" s="437">
        <f>ROUNDUP(EC2609*IF(VLOOKUP(EB2608,'Unit Ops'!$B$140:$L$209,11,FALSE)=1,1.5,0.75),1)</f>
        <v>1</v>
      </c>
      <c r="ED2610" s="438" t="s">
        <v>586</v>
      </c>
      <c r="EE2610" s="120">
        <f>EC2610*EC$310*EC$311</f>
        <v>7680</v>
      </c>
      <c r="EF2610" s="439" t="s">
        <v>585</v>
      </c>
    </row>
    <row r="2611" spans="53:136">
      <c r="BA2611" s="114" t="str">
        <f>$BB$55</f>
        <v>Conveyor</v>
      </c>
      <c r="BB2611" s="441" t="s">
        <v>521</v>
      </c>
      <c r="BC2611" s="442">
        <f>BC2609/BC2610</f>
        <v>1.3227513227513228</v>
      </c>
      <c r="BD2611" s="438"/>
      <c r="BE2611" s="443"/>
      <c r="BF2611" s="440"/>
      <c r="CA2611" s="114" t="str">
        <f>$CB$55</f>
        <v>Leaching tank</v>
      </c>
      <c r="CB2611" s="441" t="s">
        <v>521</v>
      </c>
      <c r="CC2611" s="442">
        <f>CC2609/CC2610</f>
        <v>1.3046314416177429</v>
      </c>
      <c r="CD2611" s="438"/>
      <c r="CE2611" s="443"/>
      <c r="CF2611" s="440"/>
      <c r="DA2611" s="114" t="str">
        <f>$DB$55</f>
        <v>Froth flotation cell</v>
      </c>
      <c r="DB2611" s="441" t="s">
        <v>521</v>
      </c>
      <c r="DC2611" s="442">
        <f>DC2609/DC2610</f>
        <v>1.3227513227513228</v>
      </c>
      <c r="DD2611" s="438"/>
      <c r="DE2611" s="443"/>
      <c r="DF2611" s="440"/>
      <c r="EA2611" s="114" t="str">
        <f>$EB$57</f>
        <v>Leaching tank</v>
      </c>
      <c r="EB2611" s="441" t="s">
        <v>521</v>
      </c>
      <c r="EC2611" s="442">
        <f>EC2609/EC2610</f>
        <v>1.3020833333333333</v>
      </c>
      <c r="ED2611" s="438"/>
      <c r="EE2611" s="443"/>
      <c r="EF2611" s="440"/>
    </row>
    <row r="2612" spans="53:136">
      <c r="BA2612" s="114" t="str">
        <f>$BB$56</f>
        <v>Smelter</v>
      </c>
      <c r="BB2612" s="441" t="s">
        <v>506</v>
      </c>
      <c r="BC2612" s="445"/>
      <c r="BD2612" s="438" t="s">
        <v>454</v>
      </c>
      <c r="BE2612" s="443"/>
      <c r="BF2612" s="440"/>
      <c r="CA2612" s="114" t="str">
        <f>$CB$56</f>
        <v>Mixing tank</v>
      </c>
      <c r="CB2612" s="441" t="s">
        <v>506</v>
      </c>
      <c r="CC2612" s="445"/>
      <c r="CD2612" s="438" t="s">
        <v>454</v>
      </c>
      <c r="CE2612" s="443"/>
      <c r="CF2612" s="440"/>
      <c r="DA2612" s="114" t="str">
        <f>$DB$56</f>
        <v>Filter press</v>
      </c>
      <c r="DB2612" s="441" t="s">
        <v>506</v>
      </c>
      <c r="DC2612" s="445"/>
      <c r="DD2612" s="438" t="s">
        <v>454</v>
      </c>
      <c r="DE2612" s="443"/>
      <c r="DF2612" s="440"/>
      <c r="EA2612" s="114" t="str">
        <f>$EB$58</f>
        <v>Mixing tank</v>
      </c>
      <c r="EB2612" s="441" t="s">
        <v>506</v>
      </c>
      <c r="EC2612" s="445"/>
      <c r="ED2612" s="438" t="s">
        <v>454</v>
      </c>
      <c r="EE2612" s="443"/>
      <c r="EF2612" s="440"/>
    </row>
    <row r="2613" spans="53:136">
      <c r="BA2613" s="114" t="str">
        <f>$BB$57</f>
        <v>Gas treatment</v>
      </c>
      <c r="BB2613" s="436" t="s">
        <v>507</v>
      </c>
      <c r="BC2613" s="225">
        <f>(VLOOKUP(BB2608,'Unit Ops'!$B$140:$J$209,7,FALSE)*BC2610^VLOOKUP(BB2608,'Unit Ops'!$B$140:$J$209,8,FALSE)+VLOOKUP(BB2608,'Unit Ops'!$B$140:$J$209,9,FALSE))*IF(VLOOKUP(BB2608,'Unit Ops'!$B$140:$L$209,11,FALSE)=1,1,2)</f>
        <v>0</v>
      </c>
      <c r="BD2613" s="446" t="s">
        <v>454</v>
      </c>
      <c r="BE2613" s="443"/>
      <c r="BF2613" s="440"/>
      <c r="CA2613" s="114" t="str">
        <f>$CB$57</f>
        <v>Filter press</v>
      </c>
      <c r="CB2613" s="436" t="s">
        <v>507</v>
      </c>
      <c r="CC2613" s="225">
        <f>(VLOOKUP(CB2608,'Unit Ops'!$B$140:$J$209,7,FALSE)*CC2610^VLOOKUP(CB2608,'Unit Ops'!$B$140:$J$209,8,FALSE)+VLOOKUP(CB2608,'Unit Ops'!$B$140:$J$209,9,FALSE))*IF(VLOOKUP(CB2608,'Unit Ops'!$B$140:$L$209,11,FALSE)=1,1,2)</f>
        <v>0</v>
      </c>
      <c r="CD2613" s="446" t="s">
        <v>454</v>
      </c>
      <c r="CE2613" s="443"/>
      <c r="CF2613" s="440"/>
      <c r="DA2613" s="114" t="str">
        <f>$DB$57</f>
        <v>Froth flotation cell</v>
      </c>
      <c r="DB2613" s="436" t="s">
        <v>507</v>
      </c>
      <c r="DC2613" s="225">
        <f>(VLOOKUP(DB2608,'Unit Ops'!$B$140:$J$209,7,FALSE)*DC2610^VLOOKUP(DB2608,'Unit Ops'!$B$140:$J$209,8,FALSE)+VLOOKUP(DB2608,'Unit Ops'!$B$140:$J$209,9,FALSE))*IF(VLOOKUP(DB2608,'Unit Ops'!$B$140:$L$209,11,FALSE)=1,1,2)</f>
        <v>0</v>
      </c>
      <c r="DD2613" s="446" t="s">
        <v>454</v>
      </c>
      <c r="DE2613" s="443"/>
      <c r="DF2613" s="440"/>
      <c r="EA2613" s="114" t="str">
        <f>$EB$59</f>
        <v>Filter press</v>
      </c>
      <c r="EB2613" s="436" t="s">
        <v>507</v>
      </c>
      <c r="EC2613" s="225">
        <f>(VLOOKUP(EB2608,'Unit Ops'!$B$140:$J$209,7,FALSE)*EC2610^VLOOKUP(EB2608,'Unit Ops'!$B$140:$J$209,8,FALSE)+VLOOKUP(EB2608,'Unit Ops'!$B$140:$J$209,9,FALSE))*IF(VLOOKUP(EB2608,'Unit Ops'!$B$140:$L$209,11,FALSE)=1,1,2)</f>
        <v>0</v>
      </c>
      <c r="ED2613" s="446" t="s">
        <v>454</v>
      </c>
      <c r="EE2613" s="443"/>
      <c r="EF2613" s="440"/>
    </row>
    <row r="2614" spans="53:136">
      <c r="BA2614" s="114" t="str">
        <f>$BB$58</f>
        <v>Conveyor</v>
      </c>
      <c r="BB2614" s="441"/>
      <c r="BC2614" s="445"/>
      <c r="BD2614" s="447"/>
      <c r="BE2614" s="443"/>
      <c r="BF2614" s="440"/>
      <c r="CA2614" s="114" t="str">
        <f>$CB$58</f>
        <v>Solvent extraction unit</v>
      </c>
      <c r="CB2614" s="441"/>
      <c r="CC2614" s="445"/>
      <c r="CD2614" s="447"/>
      <c r="CE2614" s="443"/>
      <c r="CF2614" s="440"/>
      <c r="DA2614" s="114" t="str">
        <f>$DB$58</f>
        <v>Filter press</v>
      </c>
      <c r="DB2614" s="441"/>
      <c r="DC2614" s="445"/>
      <c r="DD2614" s="447"/>
      <c r="DE2614" s="443"/>
      <c r="DF2614" s="440"/>
      <c r="EA2614" s="114" t="str">
        <f>$EB$60</f>
        <v>Solvent extraction unit</v>
      </c>
      <c r="EB2614" s="441"/>
      <c r="EC2614" s="445"/>
      <c r="ED2614" s="447"/>
      <c r="EE2614" s="443"/>
      <c r="EF2614" s="440"/>
    </row>
    <row r="2615" spans="53:136">
      <c r="BA2615" s="114" t="str">
        <f>$BB$59</f>
        <v>Granulator</v>
      </c>
      <c r="BB2615" s="441"/>
      <c r="BC2615" s="445"/>
      <c r="BD2615" s="447"/>
      <c r="BE2615" s="443"/>
      <c r="BF2615" s="440"/>
      <c r="CA2615" s="114" t="str">
        <f>$CB$59</f>
        <v>Solvent extraction unit</v>
      </c>
      <c r="CB2615" s="441"/>
      <c r="CC2615" s="445"/>
      <c r="CD2615" s="447"/>
      <c r="CE2615" s="443"/>
      <c r="CF2615" s="440"/>
      <c r="DA2615" s="114" t="str">
        <f>$DB$59</f>
        <v>Dryer</v>
      </c>
      <c r="DB2615" s="441"/>
      <c r="DC2615" s="445"/>
      <c r="DD2615" s="447"/>
      <c r="DE2615" s="443"/>
      <c r="DF2615" s="440"/>
      <c r="EA2615" s="114" t="str">
        <f>$EB$61</f>
        <v>Solvent extraction unit</v>
      </c>
      <c r="EB2615" s="441"/>
      <c r="EC2615" s="445"/>
      <c r="ED2615" s="447"/>
      <c r="EE2615" s="443"/>
      <c r="EF2615" s="440"/>
    </row>
    <row r="2616" spans="53:136">
      <c r="BA2616" s="114" t="str">
        <f>$BB$60</f>
        <v>Leaching tank</v>
      </c>
      <c r="BB2616" s="449"/>
      <c r="BC2616" s="445"/>
      <c r="BD2616" s="447"/>
      <c r="BE2616" s="443"/>
      <c r="BF2616" s="440"/>
      <c r="CA2616" s="114" t="str">
        <f>$CB$60</f>
        <v>Solvent extraction unit</v>
      </c>
      <c r="CB2616" s="449"/>
      <c r="CC2616" s="445"/>
      <c r="CD2616" s="447"/>
      <c r="CE2616" s="443"/>
      <c r="CF2616" s="440"/>
      <c r="DA2616" s="114" t="str">
        <f>$DB$60</f>
        <v>Ball mill</v>
      </c>
      <c r="DB2616" s="449"/>
      <c r="DC2616" s="445"/>
      <c r="DD2616" s="447"/>
      <c r="DE2616" s="443"/>
      <c r="DF2616" s="440"/>
      <c r="EA2616" s="114" t="str">
        <f>$EB$62</f>
        <v>Solvent extraction unit</v>
      </c>
      <c r="EB2616" s="449"/>
      <c r="EC2616" s="445"/>
      <c r="ED2616" s="447"/>
      <c r="EE2616" s="443"/>
      <c r="EF2616" s="440"/>
    </row>
    <row r="2617" spans="53:136" ht="14.5" thickBot="1">
      <c r="BA2617" s="114" t="str">
        <f>$BB$61</f>
        <v>Solvent extraction unit</v>
      </c>
      <c r="BB2617" s="450"/>
      <c r="BC2617" s="451"/>
      <c r="BD2617" s="451"/>
      <c r="BE2617" s="452"/>
      <c r="BF2617" s="453"/>
      <c r="CA2617" s="114" t="str">
        <f>$CB$61</f>
        <v>Evaporator</v>
      </c>
      <c r="CB2617" s="450"/>
      <c r="CC2617" s="451"/>
      <c r="CD2617" s="451"/>
      <c r="CE2617" s="452"/>
      <c r="CF2617" s="453"/>
      <c r="DA2617" s="114" t="str">
        <f>$DB$61</f>
        <v>Furnace+saggar handling system</v>
      </c>
      <c r="DB2617" s="450"/>
      <c r="DC2617" s="451"/>
      <c r="DD2617" s="451"/>
      <c r="DE2617" s="452"/>
      <c r="DF2617" s="453"/>
      <c r="EA2617" s="114" t="str">
        <f>$EB$63</f>
        <v>Evaporator</v>
      </c>
      <c r="EB2617" s="450"/>
      <c r="EC2617" s="451"/>
      <c r="ED2617" s="451"/>
      <c r="EE2617" s="452"/>
      <c r="EF2617" s="453"/>
    </row>
    <row r="2618" spans="53:136">
      <c r="BA2618" s="114" t="str">
        <f>$BB$62</f>
        <v>Electrowinning cell</v>
      </c>
      <c r="BB2618" s="449" t="s">
        <v>470</v>
      </c>
      <c r="BC2618" s="120"/>
      <c r="BD2618" s="454"/>
      <c r="BE2618" s="120"/>
      <c r="BF2618" s="440"/>
      <c r="CA2618" s="114" t="str">
        <f>$CB$62</f>
        <v>Precipitation tank</v>
      </c>
      <c r="CB2618" s="449" t="s">
        <v>470</v>
      </c>
      <c r="CC2618" s="120"/>
      <c r="CD2618" s="454"/>
      <c r="CE2618" s="120"/>
      <c r="CF2618" s="440"/>
      <c r="DA2618" s="114" t="str">
        <f>$DB$62</f>
        <v>Water treatment</v>
      </c>
      <c r="DB2618" s="449" t="s">
        <v>470</v>
      </c>
      <c r="DC2618" s="120"/>
      <c r="DD2618" s="454"/>
      <c r="DE2618" s="120"/>
      <c r="DF2618" s="440"/>
      <c r="EA2618" s="114" t="str">
        <f>$EB$64</f>
        <v>Precipitation tank</v>
      </c>
      <c r="EB2618" s="449" t="s">
        <v>470</v>
      </c>
      <c r="EC2618" s="120"/>
      <c r="ED2618" s="454"/>
      <c r="EE2618" s="120"/>
      <c r="EF2618" s="440"/>
    </row>
    <row r="2619" spans="53:136" ht="14.5" customHeight="1">
      <c r="BA2619" s="114" t="str">
        <f>$BB$63</f>
        <v>Solvent extraction unit</v>
      </c>
      <c r="BB2619" s="1698"/>
      <c r="BC2619" s="1699"/>
      <c r="BD2619" s="1699"/>
      <c r="BE2619" s="1699"/>
      <c r="BF2619" s="1700"/>
      <c r="CA2619" s="114" t="str">
        <f>$CB$63</f>
        <v>Centrifuge</v>
      </c>
      <c r="CB2619" s="1698"/>
      <c r="CC2619" s="1699"/>
      <c r="CD2619" s="1699"/>
      <c r="CE2619" s="1699"/>
      <c r="CF2619" s="1700"/>
      <c r="DA2619" s="114" t="str">
        <f>$DB$63</f>
        <v>Wheel loader</v>
      </c>
      <c r="DB2619" s="1698"/>
      <c r="DC2619" s="1699"/>
      <c r="DD2619" s="1699"/>
      <c r="DE2619" s="1699"/>
      <c r="DF2619" s="1700"/>
      <c r="EA2619" s="114" t="str">
        <f>$EB$65</f>
        <v>Centrifuge</v>
      </c>
      <c r="EB2619" s="1698"/>
      <c r="EC2619" s="1699"/>
      <c r="ED2619" s="1699"/>
      <c r="EE2619" s="1699"/>
      <c r="EF2619" s="1700"/>
    </row>
    <row r="2620" spans="53:136">
      <c r="BA2620" s="114" t="str">
        <f>$BB$64</f>
        <v>Solvent extraction unit</v>
      </c>
      <c r="BB2620" s="436"/>
      <c r="BC2620" s="120"/>
      <c r="BD2620" s="455"/>
      <c r="BE2620" s="120"/>
      <c r="BF2620" s="440"/>
      <c r="CA2620" s="114" t="str">
        <f>$CB$64</f>
        <v>Dryer</v>
      </c>
      <c r="CB2620" s="436"/>
      <c r="CC2620" s="120"/>
      <c r="CD2620" s="455"/>
      <c r="CE2620" s="120"/>
      <c r="CF2620" s="440"/>
      <c r="DA2620" s="114" t="str">
        <f>$DB$64</f>
        <v>Select Equipment</v>
      </c>
      <c r="DB2620" s="436"/>
      <c r="DC2620" s="120"/>
      <c r="DD2620" s="455"/>
      <c r="DE2620" s="120"/>
      <c r="DF2620" s="440"/>
      <c r="EA2620" s="114" t="str">
        <f>$EB$66</f>
        <v>Dryer</v>
      </c>
      <c r="EB2620" s="436"/>
      <c r="EC2620" s="120"/>
      <c r="ED2620" s="455"/>
      <c r="EE2620" s="120"/>
      <c r="EF2620" s="440"/>
    </row>
    <row r="2621" spans="53:136">
      <c r="BA2621" s="114" t="str">
        <f>$BB$65</f>
        <v>Wheel loader</v>
      </c>
      <c r="BB2621" s="436"/>
      <c r="BC2621" s="120"/>
      <c r="BD2621" s="455"/>
      <c r="BE2621" s="120"/>
      <c r="BF2621" s="440"/>
      <c r="CA2621" s="114" t="str">
        <f>$CB$65</f>
        <v>Water treatment</v>
      </c>
      <c r="CB2621" s="436"/>
      <c r="CC2621" s="120"/>
      <c r="CD2621" s="455"/>
      <c r="CE2621" s="120"/>
      <c r="CF2621" s="440"/>
      <c r="DA2621" s="114" t="str">
        <f>$DB$65</f>
        <v>Select Equipment</v>
      </c>
      <c r="DB2621" s="436"/>
      <c r="DC2621" s="120"/>
      <c r="DD2621" s="455"/>
      <c r="DE2621" s="120"/>
      <c r="DF2621" s="440"/>
      <c r="EA2621" s="114" t="str">
        <f>$EB$67</f>
        <v>Water treatment</v>
      </c>
      <c r="EB2621" s="436"/>
      <c r="EC2621" s="120"/>
      <c r="ED2621" s="455"/>
      <c r="EE2621" s="120"/>
      <c r="EF2621" s="440"/>
    </row>
    <row r="2622" spans="53:136">
      <c r="BA2622" s="114" t="str">
        <f>$BB$66</f>
        <v>Water treatment</v>
      </c>
      <c r="BB2622" s="456"/>
      <c r="BC2622" s="457"/>
      <c r="BD2622" s="457"/>
      <c r="BE2622" s="457"/>
      <c r="BF2622" s="458"/>
      <c r="CA2622" s="114" t="str">
        <f>$CB$66</f>
        <v>Wheel loader</v>
      </c>
      <c r="CB2622" s="456"/>
      <c r="CC2622" s="457"/>
      <c r="CD2622" s="457"/>
      <c r="CE2622" s="457"/>
      <c r="CF2622" s="458"/>
      <c r="DA2622" s="114" t="str">
        <f>$DB$66</f>
        <v>Select Equipment</v>
      </c>
      <c r="DB2622" s="456"/>
      <c r="DC2622" s="457"/>
      <c r="DD2622" s="457"/>
      <c r="DE2622" s="457"/>
      <c r="DF2622" s="458"/>
      <c r="EA2622" s="114" t="str">
        <f>$EB$68</f>
        <v>Wheel loader</v>
      </c>
      <c r="EB2622" s="456"/>
      <c r="EC2622" s="457"/>
      <c r="ED2622" s="457"/>
      <c r="EE2622" s="457"/>
      <c r="EF2622" s="458"/>
    </row>
    <row r="2623" spans="53:136">
      <c r="BA2623" s="114" t="str">
        <f>$BB$67</f>
        <v>Select Equipment</v>
      </c>
      <c r="BB2623" s="449" t="s">
        <v>471</v>
      </c>
      <c r="BC2623" s="120"/>
      <c r="BD2623" s="454"/>
      <c r="BE2623" s="120"/>
      <c r="BF2623" s="440"/>
      <c r="CA2623" s="114" t="str">
        <f>$CB$67</f>
        <v>Select Equipment</v>
      </c>
      <c r="CB2623" s="449" t="s">
        <v>471</v>
      </c>
      <c r="CC2623" s="120"/>
      <c r="CD2623" s="454"/>
      <c r="CE2623" s="120"/>
      <c r="CF2623" s="440"/>
      <c r="DA2623" s="114" t="str">
        <f>$DB$67</f>
        <v>Select Equipment</v>
      </c>
      <c r="DB2623" s="449" t="s">
        <v>471</v>
      </c>
      <c r="DC2623" s="120"/>
      <c r="DD2623" s="454"/>
      <c r="DE2623" s="120"/>
      <c r="DF2623" s="440"/>
      <c r="EA2623" s="114" t="str">
        <f>$EB$69</f>
        <v>Select Equipment</v>
      </c>
      <c r="EB2623" s="449" t="s">
        <v>471</v>
      </c>
      <c r="EC2623" s="120"/>
      <c r="ED2623" s="454"/>
      <c r="EE2623" s="120"/>
      <c r="EF2623" s="440"/>
    </row>
    <row r="2624" spans="53:136">
      <c r="BA2624" s="114" t="str">
        <f>$BB$68</f>
        <v>Select Equipment</v>
      </c>
      <c r="BB2624" s="436" t="s">
        <v>577</v>
      </c>
      <c r="BC2624" s="225">
        <f>BC2613*IF(BC2611&gt;1,1,BC2611)</f>
        <v>0</v>
      </c>
      <c r="BD2624" s="446" t="s">
        <v>454</v>
      </c>
      <c r="BE2624" s="120"/>
      <c r="BF2624" s="440"/>
      <c r="CA2624" s="114" t="str">
        <f>$CB$68</f>
        <v>Select Equipment</v>
      </c>
      <c r="CB2624" s="436" t="s">
        <v>577</v>
      </c>
      <c r="CC2624" s="225">
        <f>CC2613*IF(CC2611&gt;1,1,CC2611)</f>
        <v>0</v>
      </c>
      <c r="CD2624" s="446" t="s">
        <v>454</v>
      </c>
      <c r="CE2624" s="120"/>
      <c r="CF2624" s="440"/>
      <c r="DA2624" s="114" t="str">
        <f>$DB$68</f>
        <v>Select Equipment</v>
      </c>
      <c r="DB2624" s="436" t="s">
        <v>577</v>
      </c>
      <c r="DC2624" s="225">
        <f>DC2613*IF(DC2611&gt;1,1,DC2611)</f>
        <v>0</v>
      </c>
      <c r="DD2624" s="446" t="s">
        <v>454</v>
      </c>
      <c r="DE2624" s="120"/>
      <c r="DF2624" s="440"/>
      <c r="EA2624" s="114" t="str">
        <f>$EB$70</f>
        <v>Select Equipment</v>
      </c>
      <c r="EB2624" s="436" t="s">
        <v>577</v>
      </c>
      <c r="EC2624" s="225">
        <f>EC2613*IF(EC2611&gt;1,1,EC2611)</f>
        <v>0</v>
      </c>
      <c r="ED2624" s="446" t="s">
        <v>454</v>
      </c>
      <c r="EE2624" s="120"/>
      <c r="EF2624" s="440"/>
    </row>
    <row r="2625" spans="53:136">
      <c r="BA2625" s="114" t="str">
        <f>$BB$69</f>
        <v>Select Equipment</v>
      </c>
      <c r="BB2625" s="436" t="s">
        <v>578</v>
      </c>
      <c r="BC2625" s="225"/>
      <c r="BD2625" s="446" t="s">
        <v>579</v>
      </c>
      <c r="BE2625" s="120"/>
      <c r="BF2625" s="440"/>
      <c r="CA2625" s="114" t="str">
        <f>$CB$69</f>
        <v>Select Equipment</v>
      </c>
      <c r="CB2625" s="436" t="s">
        <v>578</v>
      </c>
      <c r="CC2625" s="225"/>
      <c r="CD2625" s="446" t="s">
        <v>579</v>
      </c>
      <c r="CE2625" s="120"/>
      <c r="CF2625" s="440"/>
      <c r="DA2625" s="114" t="str">
        <f>$DB$69</f>
        <v>Select Equipment</v>
      </c>
      <c r="DB2625" s="436" t="s">
        <v>578</v>
      </c>
      <c r="DC2625" s="225"/>
      <c r="DD2625" s="446" t="s">
        <v>579</v>
      </c>
      <c r="DE2625" s="120"/>
      <c r="DF2625" s="440"/>
      <c r="EA2625" s="114" t="str">
        <f>$EB$71</f>
        <v>Select Equipment</v>
      </c>
      <c r="EB2625" s="436" t="s">
        <v>578</v>
      </c>
      <c r="EC2625" s="225"/>
      <c r="ED2625" s="446" t="s">
        <v>579</v>
      </c>
      <c r="EE2625" s="120"/>
      <c r="EF2625" s="440"/>
    </row>
    <row r="2626" spans="53:136">
      <c r="BA2626" s="114" t="str">
        <f>$BB$70</f>
        <v>Select Equipment</v>
      </c>
      <c r="BB2626" s="436"/>
      <c r="BC2626" s="120"/>
      <c r="BD2626" s="446"/>
      <c r="BE2626" s="120"/>
      <c r="BF2626" s="440"/>
      <c r="CA2626" s="114" t="str">
        <f>$CB$70</f>
        <v>Select Equipment</v>
      </c>
      <c r="CB2626" s="436"/>
      <c r="CC2626" s="120"/>
      <c r="CD2626" s="446"/>
      <c r="CE2626" s="120"/>
      <c r="CF2626" s="440"/>
      <c r="DA2626" s="114" t="str">
        <f>$DB$70</f>
        <v>Select Equipment</v>
      </c>
      <c r="DB2626" s="436"/>
      <c r="DC2626" s="120"/>
      <c r="DD2626" s="446"/>
      <c r="DE2626" s="120"/>
      <c r="DF2626" s="440"/>
      <c r="EA2626" s="114" t="str">
        <f>$EB$72</f>
        <v>Select Equipment</v>
      </c>
      <c r="EB2626" s="436"/>
      <c r="EC2626" s="120"/>
      <c r="ED2626" s="446"/>
      <c r="EE2626" s="120"/>
      <c r="EF2626" s="440"/>
    </row>
    <row r="2627" spans="53:136">
      <c r="BA2627" s="114" t="str">
        <f>$BB$71</f>
        <v>Select Equipment</v>
      </c>
      <c r="BB2627" s="436" t="s">
        <v>8</v>
      </c>
      <c r="BC2627" s="120"/>
      <c r="BD2627" s="459" t="s">
        <v>564</v>
      </c>
      <c r="BE2627" s="120"/>
      <c r="BF2627" s="440"/>
      <c r="CA2627" s="114" t="str">
        <f>$CB$71</f>
        <v>Select Equipment</v>
      </c>
      <c r="CB2627" s="436" t="s">
        <v>8</v>
      </c>
      <c r="CC2627" s="120"/>
      <c r="CD2627" s="459" t="s">
        <v>564</v>
      </c>
      <c r="CE2627" s="120"/>
      <c r="CF2627" s="440"/>
      <c r="DA2627" s="114" t="str">
        <f>$DB$71</f>
        <v>Select Equipment</v>
      </c>
      <c r="DB2627" s="436" t="s">
        <v>8</v>
      </c>
      <c r="DC2627" s="120"/>
      <c r="DD2627" s="459" t="s">
        <v>564</v>
      </c>
      <c r="DE2627" s="120"/>
      <c r="DF2627" s="440"/>
      <c r="EA2627" s="114" t="str">
        <f>$EB$73</f>
        <v>Select Equipment</v>
      </c>
      <c r="EB2627" s="436" t="s">
        <v>8</v>
      </c>
      <c r="EC2627" s="120"/>
      <c r="ED2627" s="459" t="s">
        <v>564</v>
      </c>
      <c r="EE2627" s="120"/>
      <c r="EF2627" s="440"/>
    </row>
    <row r="2628" spans="53:136">
      <c r="BA2628" s="114" t="str">
        <f>$BB$72</f>
        <v>Select Equipment</v>
      </c>
      <c r="BB2628" s="436"/>
      <c r="BC2628" s="120"/>
      <c r="BD2628" s="459"/>
      <c r="BE2628" s="120"/>
      <c r="BF2628" s="440"/>
      <c r="CA2628" s="114" t="str">
        <f>$CB$72</f>
        <v>Select Equipment</v>
      </c>
      <c r="CB2628" s="436"/>
      <c r="CC2628" s="120"/>
      <c r="CD2628" s="459"/>
      <c r="CE2628" s="120"/>
      <c r="CF2628" s="440"/>
      <c r="DA2628" s="114" t="str">
        <f>$DB$72</f>
        <v>Select Equipment</v>
      </c>
      <c r="DB2628" s="436"/>
      <c r="DC2628" s="120"/>
      <c r="DD2628" s="459"/>
      <c r="DE2628" s="120"/>
      <c r="DF2628" s="440"/>
      <c r="EA2628" s="114" t="str">
        <f>$EB$74</f>
        <v>Select Equipment</v>
      </c>
      <c r="EB2628" s="436"/>
      <c r="EC2628" s="120"/>
      <c r="ED2628" s="459"/>
      <c r="EE2628" s="120"/>
      <c r="EF2628" s="440"/>
    </row>
    <row r="2629" spans="53:136">
      <c r="BA2629" s="114" t="str">
        <f>$BB$73</f>
        <v>Select Equipment</v>
      </c>
      <c r="BB2629" s="436" t="s">
        <v>7</v>
      </c>
      <c r="BC2629" s="120"/>
      <c r="BD2629" s="459" t="s">
        <v>564</v>
      </c>
      <c r="BE2629" s="120"/>
      <c r="BF2629" s="440"/>
      <c r="CA2629" s="114" t="str">
        <f>$CB$73</f>
        <v>Select Equipment</v>
      </c>
      <c r="CB2629" s="436" t="s">
        <v>7</v>
      </c>
      <c r="CC2629" s="120"/>
      <c r="CD2629" s="459" t="s">
        <v>564</v>
      </c>
      <c r="CE2629" s="120"/>
      <c r="CF2629" s="440"/>
      <c r="DA2629" s="114" t="str">
        <f>$DB$73</f>
        <v>Select Equipment</v>
      </c>
      <c r="DB2629" s="436" t="s">
        <v>7</v>
      </c>
      <c r="DC2629" s="120"/>
      <c r="DD2629" s="459" t="s">
        <v>564</v>
      </c>
      <c r="DE2629" s="120"/>
      <c r="DF2629" s="440"/>
      <c r="EA2629" s="114" t="str">
        <f>$EB$75</f>
        <v>Select Equipment</v>
      </c>
      <c r="EB2629" s="436" t="s">
        <v>7</v>
      </c>
      <c r="EC2629" s="120"/>
      <c r="ED2629" s="459" t="s">
        <v>564</v>
      </c>
      <c r="EE2629" s="120"/>
      <c r="EF2629" s="440"/>
    </row>
    <row r="2630" spans="53:136">
      <c r="BA2630" s="114" t="str">
        <f>$BB$74</f>
        <v>Select Equipment</v>
      </c>
      <c r="BB2630" s="436"/>
      <c r="BC2630" s="120"/>
      <c r="BD2630" s="459"/>
      <c r="BE2630" s="120"/>
      <c r="BF2630" s="440"/>
      <c r="CA2630" s="114" t="str">
        <f>$CB$74</f>
        <v>Select Equipment</v>
      </c>
      <c r="CB2630" s="436"/>
      <c r="CC2630" s="120"/>
      <c r="CD2630" s="459"/>
      <c r="CE2630" s="120"/>
      <c r="CF2630" s="440"/>
      <c r="DA2630" s="114" t="str">
        <f>$DB$74</f>
        <v>Select Equipment</v>
      </c>
      <c r="DB2630" s="436"/>
      <c r="DC2630" s="120"/>
      <c r="DD2630" s="459"/>
      <c r="DE2630" s="120"/>
      <c r="DF2630" s="440"/>
      <c r="EA2630" s="114" t="str">
        <f>$EB$76</f>
        <v>Select Equipment</v>
      </c>
      <c r="EB2630" s="436"/>
      <c r="EC2630" s="120"/>
      <c r="ED2630" s="459"/>
      <c r="EE2630" s="120"/>
      <c r="EF2630" s="440"/>
    </row>
    <row r="2631" spans="53:136">
      <c r="BA2631" s="114" t="str">
        <f>$BB$75</f>
        <v>Select Equipment</v>
      </c>
      <c r="BB2631" s="436" t="s">
        <v>9</v>
      </c>
      <c r="BC2631" s="120"/>
      <c r="BD2631" s="459" t="s">
        <v>564</v>
      </c>
      <c r="BE2631" s="120"/>
      <c r="BF2631" s="440"/>
      <c r="CA2631" s="114" t="str">
        <f>$CB$75</f>
        <v>Select Equipment</v>
      </c>
      <c r="CB2631" s="436" t="s">
        <v>9</v>
      </c>
      <c r="CC2631" s="120"/>
      <c r="CD2631" s="459" t="s">
        <v>564</v>
      </c>
      <c r="CE2631" s="120"/>
      <c r="CF2631" s="440"/>
      <c r="DA2631" s="114" t="str">
        <f>$DB$75</f>
        <v>Select Equipment</v>
      </c>
      <c r="DB2631" s="436" t="s">
        <v>9</v>
      </c>
      <c r="DC2631" s="120"/>
      <c r="DD2631" s="459" t="s">
        <v>564</v>
      </c>
      <c r="DE2631" s="120"/>
      <c r="DF2631" s="440"/>
      <c r="EA2631" s="114" t="str">
        <f>$EB$77</f>
        <v>Select Equipment</v>
      </c>
      <c r="EB2631" s="436" t="s">
        <v>9</v>
      </c>
      <c r="EC2631" s="120"/>
      <c r="ED2631" s="459" t="s">
        <v>564</v>
      </c>
      <c r="EE2631" s="120"/>
      <c r="EF2631" s="440"/>
    </row>
    <row r="2632" spans="53:136">
      <c r="BA2632" s="114" t="str">
        <f>$BB$76</f>
        <v>Select Equipment</v>
      </c>
      <c r="BB2632" s="436"/>
      <c r="BC2632" s="120"/>
      <c r="BD2632" s="459"/>
      <c r="BE2632" s="120"/>
      <c r="BF2632" s="440"/>
      <c r="CA2632" s="114" t="str">
        <f>$CB$76</f>
        <v>Select Equipment</v>
      </c>
      <c r="CB2632" s="436"/>
      <c r="CC2632" s="120"/>
      <c r="CD2632" s="459"/>
      <c r="CE2632" s="120"/>
      <c r="CF2632" s="440"/>
      <c r="DA2632" s="114" t="str">
        <f>$DB$76</f>
        <v>Select Equipment</v>
      </c>
      <c r="DB2632" s="436"/>
      <c r="DC2632" s="120"/>
      <c r="DD2632" s="459"/>
      <c r="DE2632" s="120"/>
      <c r="DF2632" s="440"/>
      <c r="EA2632" s="114" t="str">
        <f>$EB$78</f>
        <v>Select Equipment</v>
      </c>
      <c r="EB2632" s="436"/>
      <c r="EC2632" s="120"/>
      <c r="ED2632" s="459"/>
      <c r="EE2632" s="120"/>
      <c r="EF2632" s="440"/>
    </row>
    <row r="2633" spans="53:136">
      <c r="BA2633" s="114" t="str">
        <f>$BB$77</f>
        <v>Select Equipment</v>
      </c>
      <c r="BB2633" s="436" t="s">
        <v>324</v>
      </c>
      <c r="BC2633" s="120"/>
      <c r="BD2633" s="459" t="s">
        <v>564</v>
      </c>
      <c r="BE2633" s="120"/>
      <c r="BF2633" s="440" t="s">
        <v>569</v>
      </c>
      <c r="CA2633" s="114" t="str">
        <f>$CB$77</f>
        <v>Select Equipment</v>
      </c>
      <c r="CB2633" s="436" t="s">
        <v>324</v>
      </c>
      <c r="CC2633" s="120"/>
      <c r="CD2633" s="459" t="s">
        <v>564</v>
      </c>
      <c r="CE2633" s="120"/>
      <c r="CF2633" s="440" t="s">
        <v>569</v>
      </c>
      <c r="DA2633" s="114" t="str">
        <f>$DB$77</f>
        <v>Select Equipment</v>
      </c>
      <c r="DB2633" s="436" t="s">
        <v>324</v>
      </c>
      <c r="DC2633" s="120"/>
      <c r="DD2633" s="459" t="s">
        <v>564</v>
      </c>
      <c r="DE2633" s="120"/>
      <c r="DF2633" s="440" t="s">
        <v>569</v>
      </c>
      <c r="EA2633" s="114" t="str">
        <f>$EB$79</f>
        <v>Select Equipment</v>
      </c>
      <c r="EB2633" s="436" t="s">
        <v>324</v>
      </c>
      <c r="EC2633" s="120"/>
      <c r="ED2633" s="459" t="s">
        <v>564</v>
      </c>
      <c r="EE2633" s="120"/>
      <c r="EF2633" s="440" t="s">
        <v>569</v>
      </c>
    </row>
    <row r="2634" spans="53:136">
      <c r="BA2634" s="114" t="str">
        <f>$BB$78</f>
        <v>Select Equipment</v>
      </c>
      <c r="BB2634" s="436"/>
      <c r="BC2634" s="120"/>
      <c r="BD2634" s="468"/>
      <c r="BE2634" s="469"/>
      <c r="BF2634" s="440"/>
      <c r="CA2634" s="114" t="str">
        <f>$CB$78</f>
        <v>Select Equipment</v>
      </c>
      <c r="CB2634" s="436"/>
      <c r="CC2634" s="120"/>
      <c r="CD2634" s="468"/>
      <c r="CE2634" s="469"/>
      <c r="CF2634" s="440"/>
      <c r="DA2634" s="114" t="str">
        <f>$DB$78</f>
        <v>Select Equipment</v>
      </c>
      <c r="DB2634" s="436"/>
      <c r="DC2634" s="120"/>
      <c r="DD2634" s="468"/>
      <c r="DE2634" s="469"/>
      <c r="DF2634" s="440"/>
      <c r="EA2634" s="114" t="str">
        <f>$EB$80</f>
        <v>Select Equipment</v>
      </c>
      <c r="EB2634" s="436"/>
      <c r="EC2634" s="120"/>
      <c r="ED2634" s="468"/>
      <c r="EE2634" s="469"/>
      <c r="EF2634" s="440"/>
    </row>
    <row r="2635" spans="53:136">
      <c r="BA2635" s="114" t="str">
        <f>$BB$79</f>
        <v>Select Equipment</v>
      </c>
      <c r="BB2635" s="436" t="s">
        <v>374</v>
      </c>
      <c r="BC2635" s="120"/>
      <c r="BD2635" s="459" t="s">
        <v>564</v>
      </c>
      <c r="BE2635" s="469"/>
      <c r="BF2635" s="440" t="s">
        <v>569</v>
      </c>
      <c r="CA2635" s="114" t="str">
        <f>$CB$79</f>
        <v>Select Equipment</v>
      </c>
      <c r="CB2635" s="436" t="s">
        <v>374</v>
      </c>
      <c r="CC2635" s="120"/>
      <c r="CD2635" s="459" t="s">
        <v>564</v>
      </c>
      <c r="CE2635" s="469"/>
      <c r="CF2635" s="440" t="s">
        <v>569</v>
      </c>
      <c r="DA2635" s="114" t="str">
        <f>$DB$79</f>
        <v>Select Equipment</v>
      </c>
      <c r="DB2635" s="436" t="s">
        <v>374</v>
      </c>
      <c r="DC2635" s="120"/>
      <c r="DD2635" s="459" t="s">
        <v>564</v>
      </c>
      <c r="DE2635" s="469"/>
      <c r="DF2635" s="440" t="s">
        <v>569</v>
      </c>
      <c r="EA2635" s="114" t="str">
        <f>$EB$81</f>
        <v>Select Equipment</v>
      </c>
      <c r="EB2635" s="436" t="s">
        <v>374</v>
      </c>
      <c r="EC2635" s="120"/>
      <c r="ED2635" s="459" t="s">
        <v>564</v>
      </c>
      <c r="EE2635" s="469"/>
      <c r="EF2635" s="440" t="s">
        <v>569</v>
      </c>
    </row>
    <row r="2636" spans="53:136">
      <c r="BA2636" s="114" t="str">
        <f>$BB$80</f>
        <v>Select Equipment</v>
      </c>
      <c r="BB2636" s="436"/>
      <c r="BC2636" s="120"/>
      <c r="BD2636" s="472"/>
      <c r="BE2636" s="473"/>
      <c r="BF2636" s="440"/>
      <c r="CA2636" s="114" t="str">
        <f>$CB$80</f>
        <v>Select Equipment</v>
      </c>
      <c r="CB2636" s="436"/>
      <c r="CC2636" s="120"/>
      <c r="CD2636" s="472"/>
      <c r="CE2636" s="473"/>
      <c r="CF2636" s="440"/>
      <c r="DA2636" s="114" t="str">
        <f>$DB$80</f>
        <v>Select Equipment</v>
      </c>
      <c r="DB2636" s="436"/>
      <c r="DC2636" s="120"/>
      <c r="DD2636" s="472"/>
      <c r="DE2636" s="473"/>
      <c r="DF2636" s="440"/>
      <c r="EA2636" s="114" t="str">
        <f>$EB$82</f>
        <v>Select Equipment</v>
      </c>
      <c r="EB2636" s="436"/>
      <c r="EC2636" s="120"/>
      <c r="ED2636" s="472"/>
      <c r="EE2636" s="473"/>
      <c r="EF2636" s="440"/>
    </row>
    <row r="2637" spans="53:136">
      <c r="BA2637" s="114" t="str">
        <f>$BB$81</f>
        <v>Select Equipment</v>
      </c>
      <c r="BB2637" s="436" t="s">
        <v>580</v>
      </c>
      <c r="BC2637" s="120"/>
      <c r="BD2637" s="459" t="s">
        <v>564</v>
      </c>
      <c r="BE2637" s="473"/>
      <c r="BF2637" s="440" t="s">
        <v>569</v>
      </c>
      <c r="CA2637" s="114" t="str">
        <f>$CB$81</f>
        <v>Select Equipment</v>
      </c>
      <c r="CB2637" s="436" t="s">
        <v>580</v>
      </c>
      <c r="CC2637" s="120"/>
      <c r="CD2637" s="459" t="s">
        <v>564</v>
      </c>
      <c r="CE2637" s="473"/>
      <c r="CF2637" s="440" t="s">
        <v>569</v>
      </c>
      <c r="DA2637" s="114" t="str">
        <f>$DB$81</f>
        <v>Select Equipment</v>
      </c>
      <c r="DB2637" s="436" t="s">
        <v>580</v>
      </c>
      <c r="DC2637" s="120"/>
      <c r="DD2637" s="459" t="s">
        <v>564</v>
      </c>
      <c r="DE2637" s="473"/>
      <c r="DF2637" s="440" t="s">
        <v>569</v>
      </c>
      <c r="EA2637" s="114" t="str">
        <f>$EB$83</f>
        <v>Select Equipment</v>
      </c>
      <c r="EB2637" s="436" t="s">
        <v>580</v>
      </c>
      <c r="EC2637" s="120"/>
      <c r="ED2637" s="459" t="s">
        <v>564</v>
      </c>
      <c r="EE2637" s="473"/>
      <c r="EF2637" s="440" t="s">
        <v>569</v>
      </c>
    </row>
    <row r="2638" spans="53:136">
      <c r="BA2638" s="114" t="str">
        <f>$BB$82</f>
        <v>Select Equipment</v>
      </c>
      <c r="BB2638" s="476"/>
      <c r="BC2638" s="477"/>
      <c r="BD2638" s="478"/>
      <c r="BE2638" s="479"/>
      <c r="BF2638" s="458"/>
      <c r="CA2638" s="114" t="str">
        <f>$CB$82</f>
        <v>Select Equipment</v>
      </c>
      <c r="CB2638" s="476"/>
      <c r="CC2638" s="477"/>
      <c r="CD2638" s="478"/>
      <c r="CE2638" s="479"/>
      <c r="CF2638" s="458"/>
      <c r="DA2638" s="114" t="str">
        <f>$DB$82</f>
        <v>Select Equipment</v>
      </c>
      <c r="DB2638" s="476"/>
      <c r="DC2638" s="477"/>
      <c r="DD2638" s="478"/>
      <c r="DE2638" s="479"/>
      <c r="DF2638" s="458"/>
      <c r="EA2638" s="114" t="str">
        <f>$EB$84</f>
        <v>Select Equipment</v>
      </c>
      <c r="EB2638" s="476"/>
      <c r="EC2638" s="477"/>
      <c r="ED2638" s="478"/>
      <c r="EE2638" s="479"/>
      <c r="EF2638" s="458"/>
    </row>
    <row r="2639" spans="53:136">
      <c r="BA2639" s="114" t="str">
        <f>$BB$83</f>
        <v>Select Equipment</v>
      </c>
      <c r="BB2639" s="449" t="s">
        <v>473</v>
      </c>
      <c r="BC2639" s="467" t="s">
        <v>508</v>
      </c>
      <c r="BD2639" s="480"/>
      <c r="BE2639" s="481" t="s">
        <v>308</v>
      </c>
      <c r="BF2639" s="440"/>
      <c r="CA2639" s="114" t="str">
        <f>$CB$83</f>
        <v>Select Equipment</v>
      </c>
      <c r="CB2639" s="449" t="s">
        <v>473</v>
      </c>
      <c r="CC2639" s="467" t="s">
        <v>508</v>
      </c>
      <c r="CD2639" s="480"/>
      <c r="CE2639" s="481" t="s">
        <v>308</v>
      </c>
      <c r="CF2639" s="440"/>
      <c r="DA2639" s="114" t="str">
        <f>$DB$83</f>
        <v>Select Equipment</v>
      </c>
      <c r="DB2639" s="449" t="s">
        <v>473</v>
      </c>
      <c r="DC2639" s="467" t="s">
        <v>508</v>
      </c>
      <c r="DD2639" s="480"/>
      <c r="DE2639" s="481" t="s">
        <v>308</v>
      </c>
      <c r="DF2639" s="440"/>
      <c r="EA2639" s="114" t="str">
        <f>$EB$85</f>
        <v>Select Equipment</v>
      </c>
      <c r="EB2639" s="449" t="s">
        <v>473</v>
      </c>
      <c r="EC2639" s="467" t="s">
        <v>508</v>
      </c>
      <c r="ED2639" s="480"/>
      <c r="EE2639" s="481" t="s">
        <v>308</v>
      </c>
      <c r="EF2639" s="440"/>
    </row>
    <row r="2640" spans="53:136">
      <c r="BB2640" s="436"/>
      <c r="BC2640" s="483"/>
      <c r="BD2640" s="480"/>
      <c r="BE2640" s="484"/>
      <c r="BF2640" s="440"/>
      <c r="CB2640" s="436"/>
      <c r="CC2640" s="483"/>
      <c r="CD2640" s="480"/>
      <c r="CE2640" s="484"/>
      <c r="CF2640" s="440"/>
      <c r="DB2640" s="436"/>
      <c r="DC2640" s="483"/>
      <c r="DD2640" s="480"/>
      <c r="DE2640" s="484"/>
      <c r="DF2640" s="440"/>
      <c r="EB2640" s="436"/>
      <c r="EC2640" s="483"/>
      <c r="ED2640" s="480"/>
      <c r="EE2640" s="484"/>
      <c r="EF2640" s="440"/>
    </row>
    <row r="2641" spans="54:136">
      <c r="BB2641" s="436"/>
      <c r="BC2641" s="120"/>
      <c r="BD2641" s="223"/>
      <c r="BE2641" s="467"/>
      <c r="BF2641" s="440"/>
      <c r="CB2641" s="436"/>
      <c r="CC2641" s="120"/>
      <c r="CD2641" s="223"/>
      <c r="CE2641" s="467"/>
      <c r="CF2641" s="440"/>
      <c r="DB2641" s="436"/>
      <c r="DC2641" s="120"/>
      <c r="DD2641" s="223"/>
      <c r="DE2641" s="467"/>
      <c r="DF2641" s="440"/>
      <c r="EB2641" s="436"/>
      <c r="EC2641" s="120"/>
      <c r="ED2641" s="223"/>
      <c r="EE2641" s="467"/>
      <c r="EF2641" s="440"/>
    </row>
    <row r="2642" spans="54:136">
      <c r="BB2642" s="436"/>
      <c r="BC2642" s="120"/>
      <c r="BD2642" s="466"/>
      <c r="BE2642" s="467"/>
      <c r="BF2642" s="440"/>
      <c r="CB2642" s="436"/>
      <c r="CC2642" s="120"/>
      <c r="CD2642" s="466"/>
      <c r="CE2642" s="467"/>
      <c r="CF2642" s="440"/>
      <c r="DB2642" s="436"/>
      <c r="DC2642" s="120"/>
      <c r="DD2642" s="466"/>
      <c r="DE2642" s="467"/>
      <c r="DF2642" s="440"/>
      <c r="EB2642" s="436"/>
      <c r="EC2642" s="120"/>
      <c r="ED2642" s="466"/>
      <c r="EE2642" s="467"/>
      <c r="EF2642" s="440"/>
    </row>
    <row r="2643" spans="54:136">
      <c r="BB2643" s="436"/>
      <c r="BC2643" s="120"/>
      <c r="BD2643" s="223"/>
      <c r="BE2643" s="467"/>
      <c r="BF2643" s="440"/>
      <c r="CB2643" s="436"/>
      <c r="CC2643" s="120"/>
      <c r="CD2643" s="223"/>
      <c r="CE2643" s="467"/>
      <c r="CF2643" s="440"/>
      <c r="DB2643" s="436"/>
      <c r="DC2643" s="120"/>
      <c r="DD2643" s="223"/>
      <c r="DE2643" s="467"/>
      <c r="DF2643" s="440"/>
      <c r="EB2643" s="436"/>
      <c r="EC2643" s="120"/>
      <c r="ED2643" s="223"/>
      <c r="EE2643" s="467"/>
      <c r="EF2643" s="440"/>
    </row>
    <row r="2644" spans="54:136">
      <c r="BB2644" s="436"/>
      <c r="BC2644" s="120"/>
      <c r="BD2644" s="223"/>
      <c r="BE2644" s="467"/>
      <c r="BF2644" s="440"/>
      <c r="CB2644" s="436"/>
      <c r="CC2644" s="120"/>
      <c r="CD2644" s="223"/>
      <c r="CE2644" s="467"/>
      <c r="CF2644" s="440"/>
      <c r="DB2644" s="436"/>
      <c r="DC2644" s="120"/>
      <c r="DD2644" s="223"/>
      <c r="DE2644" s="467"/>
      <c r="DF2644" s="440"/>
      <c r="EB2644" s="436"/>
      <c r="EC2644" s="120"/>
      <c r="ED2644" s="223"/>
      <c r="EE2644" s="467"/>
      <c r="EF2644" s="440"/>
    </row>
    <row r="2645" spans="54:136">
      <c r="BB2645" s="436"/>
      <c r="BC2645" s="120"/>
      <c r="BD2645" s="471"/>
      <c r="BE2645" s="467"/>
      <c r="BF2645" s="440"/>
      <c r="CB2645" s="436"/>
      <c r="CC2645" s="120"/>
      <c r="CD2645" s="471"/>
      <c r="CE2645" s="467"/>
      <c r="CF2645" s="440"/>
      <c r="DB2645" s="436"/>
      <c r="DC2645" s="120"/>
      <c r="DD2645" s="471"/>
      <c r="DE2645" s="467"/>
      <c r="DF2645" s="440"/>
      <c r="EB2645" s="436"/>
      <c r="EC2645" s="120"/>
      <c r="ED2645" s="471"/>
      <c r="EE2645" s="467"/>
      <c r="EF2645" s="440"/>
    </row>
    <row r="2646" spans="54:136">
      <c r="BB2646" s="436"/>
      <c r="BC2646" s="120"/>
      <c r="BD2646" s="223"/>
      <c r="BE2646" s="467"/>
      <c r="BF2646" s="440"/>
      <c r="CB2646" s="436"/>
      <c r="CC2646" s="120"/>
      <c r="CD2646" s="223"/>
      <c r="CE2646" s="467"/>
      <c r="CF2646" s="440"/>
      <c r="DB2646" s="436"/>
      <c r="DC2646" s="120"/>
      <c r="DD2646" s="223"/>
      <c r="DE2646" s="467"/>
      <c r="DF2646" s="440"/>
      <c r="EB2646" s="436"/>
      <c r="EC2646" s="120"/>
      <c r="ED2646" s="223"/>
      <c r="EE2646" s="467"/>
      <c r="EF2646" s="440"/>
    </row>
    <row r="2647" spans="54:136">
      <c r="BB2647" s="436"/>
      <c r="BC2647" s="120"/>
      <c r="BD2647" s="475"/>
      <c r="BE2647" s="467"/>
      <c r="BF2647" s="440"/>
      <c r="CB2647" s="436"/>
      <c r="CC2647" s="120"/>
      <c r="CD2647" s="475"/>
      <c r="CE2647" s="467"/>
      <c r="CF2647" s="440"/>
      <c r="DB2647" s="436"/>
      <c r="DC2647" s="120"/>
      <c r="DD2647" s="475"/>
      <c r="DE2647" s="467"/>
      <c r="DF2647" s="440"/>
      <c r="EB2647" s="436"/>
      <c r="EC2647" s="120"/>
      <c r="ED2647" s="475"/>
      <c r="EE2647" s="467"/>
      <c r="EF2647" s="440"/>
    </row>
    <row r="2648" spans="54:136">
      <c r="BB2648" s="436"/>
      <c r="BC2648" s="120"/>
      <c r="BD2648" s="223"/>
      <c r="BE2648" s="467"/>
      <c r="BF2648" s="440"/>
      <c r="CB2648" s="436"/>
      <c r="CC2648" s="120"/>
      <c r="CD2648" s="223"/>
      <c r="CE2648" s="467"/>
      <c r="CF2648" s="440"/>
      <c r="DB2648" s="436"/>
      <c r="DC2648" s="120"/>
      <c r="DD2648" s="223"/>
      <c r="DE2648" s="467"/>
      <c r="DF2648" s="440"/>
      <c r="EB2648" s="436"/>
      <c r="EC2648" s="120"/>
      <c r="ED2648" s="223"/>
      <c r="EE2648" s="467"/>
      <c r="EF2648" s="440"/>
    </row>
    <row r="2649" spans="54:136">
      <c r="BB2649" s="436"/>
      <c r="BC2649" s="120"/>
      <c r="BD2649" s="223"/>
      <c r="BE2649" s="467"/>
      <c r="BF2649" s="440"/>
      <c r="CB2649" s="436"/>
      <c r="CC2649" s="120"/>
      <c r="CD2649" s="223"/>
      <c r="CE2649" s="467"/>
      <c r="CF2649" s="440"/>
      <c r="DB2649" s="436"/>
      <c r="DC2649" s="120"/>
      <c r="DD2649" s="223"/>
      <c r="DE2649" s="467"/>
      <c r="DF2649" s="440"/>
      <c r="EB2649" s="436"/>
      <c r="EC2649" s="120"/>
      <c r="ED2649" s="223"/>
      <c r="EE2649" s="467"/>
      <c r="EF2649" s="440"/>
    </row>
    <row r="2650" spans="54:136">
      <c r="BB2650" s="436"/>
      <c r="BC2650" s="120"/>
      <c r="BD2650" s="223"/>
      <c r="BE2650" s="467"/>
      <c r="BF2650" s="440"/>
      <c r="CB2650" s="436"/>
      <c r="CC2650" s="120"/>
      <c r="CD2650" s="223"/>
      <c r="CE2650" s="467"/>
      <c r="CF2650" s="440"/>
      <c r="DB2650" s="436"/>
      <c r="DC2650" s="120"/>
      <c r="DD2650" s="223"/>
      <c r="DE2650" s="467"/>
      <c r="DF2650" s="440"/>
      <c r="EB2650" s="436"/>
      <c r="EC2650" s="120"/>
      <c r="ED2650" s="223"/>
      <c r="EE2650" s="467"/>
      <c r="EF2650" s="440"/>
    </row>
    <row r="2651" spans="54:136">
      <c r="BB2651" s="436"/>
      <c r="BC2651" s="120"/>
      <c r="BD2651" s="223"/>
      <c r="BE2651" s="467"/>
      <c r="BF2651" s="440"/>
      <c r="CB2651" s="436"/>
      <c r="CC2651" s="120"/>
      <c r="CD2651" s="223"/>
      <c r="CE2651" s="467"/>
      <c r="CF2651" s="440"/>
      <c r="DB2651" s="436"/>
      <c r="DC2651" s="120"/>
      <c r="DD2651" s="223"/>
      <c r="DE2651" s="467"/>
      <c r="DF2651" s="440"/>
      <c r="EB2651" s="436"/>
      <c r="EC2651" s="120"/>
      <c r="ED2651" s="223"/>
      <c r="EE2651" s="467"/>
      <c r="EF2651" s="440"/>
    </row>
    <row r="2652" spans="54:136">
      <c r="BB2652" s="436"/>
      <c r="BC2652" s="120"/>
      <c r="BD2652" s="120"/>
      <c r="BE2652" s="467"/>
      <c r="BF2652" s="440"/>
      <c r="CB2652" s="436"/>
      <c r="CC2652" s="120"/>
      <c r="CD2652" s="120"/>
      <c r="CE2652" s="467"/>
      <c r="CF2652" s="440"/>
      <c r="DB2652" s="436"/>
      <c r="DC2652" s="120"/>
      <c r="DD2652" s="120"/>
      <c r="DE2652" s="467"/>
      <c r="DF2652" s="440"/>
      <c r="EB2652" s="436"/>
      <c r="EC2652" s="120"/>
      <c r="ED2652" s="120"/>
      <c r="EE2652" s="467"/>
      <c r="EF2652" s="440"/>
    </row>
    <row r="2653" spans="54:136">
      <c r="BB2653" s="456"/>
      <c r="BC2653" s="457"/>
      <c r="BD2653" s="457"/>
      <c r="BE2653" s="477"/>
      <c r="BF2653" s="458"/>
      <c r="CB2653" s="456"/>
      <c r="CC2653" s="457"/>
      <c r="CD2653" s="457"/>
      <c r="CE2653" s="477"/>
      <c r="CF2653" s="458"/>
      <c r="DB2653" s="456"/>
      <c r="DC2653" s="457"/>
      <c r="DD2653" s="457"/>
      <c r="DE2653" s="477"/>
      <c r="DF2653" s="458"/>
      <c r="EB2653" s="456"/>
      <c r="EC2653" s="457"/>
      <c r="ED2653" s="457"/>
      <c r="EE2653" s="477"/>
      <c r="EF2653" s="458"/>
    </row>
    <row r="2654" spans="54:136">
      <c r="BB2654" s="449" t="s">
        <v>474</v>
      </c>
      <c r="BC2654" s="120"/>
      <c r="BD2654" s="120" t="s">
        <v>1</v>
      </c>
      <c r="BE2654" s="310" t="s">
        <v>307</v>
      </c>
      <c r="BF2654" s="440"/>
      <c r="CB2654" s="449" t="s">
        <v>474</v>
      </c>
      <c r="CC2654" s="120"/>
      <c r="CD2654" s="120" t="s">
        <v>1</v>
      </c>
      <c r="CE2654" s="310" t="s">
        <v>307</v>
      </c>
      <c r="CF2654" s="440"/>
      <c r="DB2654" s="449" t="s">
        <v>474</v>
      </c>
      <c r="DC2654" s="120"/>
      <c r="DD2654" s="120" t="s">
        <v>1</v>
      </c>
      <c r="DE2654" s="310" t="s">
        <v>307</v>
      </c>
      <c r="DF2654" s="440"/>
      <c r="EB2654" s="449" t="s">
        <v>474</v>
      </c>
      <c r="EC2654" s="120"/>
      <c r="ED2654" s="120" t="s">
        <v>1</v>
      </c>
      <c r="EE2654" s="310" t="s">
        <v>307</v>
      </c>
      <c r="EF2654" s="440"/>
    </row>
    <row r="2655" spans="54:136">
      <c r="BB2655" s="436"/>
      <c r="BC2655" s="223"/>
      <c r="BD2655" s="480"/>
      <c r="BE2655" s="484"/>
      <c r="BF2655" s="440"/>
      <c r="CB2655" s="436"/>
      <c r="CC2655" s="223"/>
      <c r="CD2655" s="480"/>
      <c r="CE2655" s="484"/>
      <c r="CF2655" s="440"/>
      <c r="DB2655" s="436"/>
      <c r="DC2655" s="223"/>
      <c r="DD2655" s="480"/>
      <c r="DE2655" s="484"/>
      <c r="DF2655" s="440"/>
      <c r="EB2655" s="436"/>
      <c r="EC2655" s="223"/>
      <c r="ED2655" s="480"/>
      <c r="EE2655" s="484"/>
      <c r="EF2655" s="440"/>
    </row>
    <row r="2656" spans="54:136">
      <c r="BB2656" s="436"/>
      <c r="BC2656" s="120"/>
      <c r="BD2656" s="120"/>
      <c r="BE2656" s="467"/>
      <c r="BF2656" s="440"/>
      <c r="CB2656" s="436"/>
      <c r="CC2656" s="120"/>
      <c r="CD2656" s="120"/>
      <c r="CE2656" s="467"/>
      <c r="CF2656" s="440"/>
      <c r="DB2656" s="436"/>
      <c r="DC2656" s="120"/>
      <c r="DD2656" s="120"/>
      <c r="DE2656" s="467"/>
      <c r="DF2656" s="440"/>
      <c r="EB2656" s="436"/>
      <c r="EC2656" s="120"/>
      <c r="ED2656" s="120"/>
      <c r="EE2656" s="467"/>
      <c r="EF2656" s="440"/>
    </row>
    <row r="2657" spans="54:136">
      <c r="BB2657" s="436"/>
      <c r="BC2657" s="120"/>
      <c r="BD2657" s="120"/>
      <c r="BE2657" s="467"/>
      <c r="BF2657" s="440"/>
      <c r="CB2657" s="436"/>
      <c r="CC2657" s="120"/>
      <c r="CD2657" s="120"/>
      <c r="CE2657" s="467"/>
      <c r="CF2657" s="440"/>
      <c r="DB2657" s="436"/>
      <c r="DC2657" s="120"/>
      <c r="DD2657" s="120"/>
      <c r="DE2657" s="467"/>
      <c r="DF2657" s="440"/>
      <c r="EB2657" s="436"/>
      <c r="EC2657" s="120"/>
      <c r="ED2657" s="120"/>
      <c r="EE2657" s="467"/>
      <c r="EF2657" s="440"/>
    </row>
    <row r="2658" spans="54:136">
      <c r="BB2658" s="436"/>
      <c r="BC2658" s="120"/>
      <c r="BD2658" s="120"/>
      <c r="BE2658" s="467"/>
      <c r="BF2658" s="440"/>
      <c r="CB2658" s="436"/>
      <c r="CC2658" s="120"/>
      <c r="CD2658" s="120"/>
      <c r="CE2658" s="467"/>
      <c r="CF2658" s="440"/>
      <c r="DB2658" s="436"/>
      <c r="DC2658" s="120"/>
      <c r="DD2658" s="120"/>
      <c r="DE2658" s="467"/>
      <c r="DF2658" s="440"/>
      <c r="EB2658" s="436"/>
      <c r="EC2658" s="120"/>
      <c r="ED2658" s="120"/>
      <c r="EE2658" s="467"/>
      <c r="EF2658" s="440"/>
    </row>
    <row r="2659" spans="54:136">
      <c r="BB2659" s="436"/>
      <c r="BC2659" s="120"/>
      <c r="BD2659" s="120"/>
      <c r="BE2659" s="467"/>
      <c r="BF2659" s="440"/>
      <c r="CB2659" s="436"/>
      <c r="CC2659" s="120"/>
      <c r="CD2659" s="120"/>
      <c r="CE2659" s="467"/>
      <c r="CF2659" s="440"/>
      <c r="DB2659" s="436"/>
      <c r="DC2659" s="120"/>
      <c r="DD2659" s="120"/>
      <c r="DE2659" s="467"/>
      <c r="DF2659" s="440"/>
      <c r="EB2659" s="436"/>
      <c r="EC2659" s="120"/>
      <c r="ED2659" s="120"/>
      <c r="EE2659" s="467"/>
      <c r="EF2659" s="440"/>
    </row>
    <row r="2660" spans="54:136">
      <c r="BB2660" s="436"/>
      <c r="BC2660" s="120"/>
      <c r="BD2660" s="120"/>
      <c r="BE2660" s="467"/>
      <c r="BF2660" s="440"/>
      <c r="CB2660" s="436"/>
      <c r="CC2660" s="120"/>
      <c r="CD2660" s="120"/>
      <c r="CE2660" s="467"/>
      <c r="CF2660" s="440"/>
      <c r="DB2660" s="436"/>
      <c r="DC2660" s="120"/>
      <c r="DD2660" s="120"/>
      <c r="DE2660" s="467"/>
      <c r="DF2660" s="440"/>
      <c r="EB2660" s="436"/>
      <c r="EC2660" s="120"/>
      <c r="ED2660" s="120"/>
      <c r="EE2660" s="467"/>
      <c r="EF2660" s="440"/>
    </row>
    <row r="2661" spans="54:136">
      <c r="BB2661" s="436"/>
      <c r="BC2661" s="120"/>
      <c r="BD2661" s="120"/>
      <c r="BE2661" s="467"/>
      <c r="BF2661" s="440"/>
      <c r="CB2661" s="436"/>
      <c r="CC2661" s="120"/>
      <c r="CD2661" s="120"/>
      <c r="CE2661" s="467"/>
      <c r="CF2661" s="440"/>
      <c r="DB2661" s="436"/>
      <c r="DC2661" s="120"/>
      <c r="DD2661" s="120"/>
      <c r="DE2661" s="467"/>
      <c r="DF2661" s="440"/>
      <c r="EB2661" s="436"/>
      <c r="EC2661" s="120"/>
      <c r="ED2661" s="120"/>
      <c r="EE2661" s="467"/>
      <c r="EF2661" s="440"/>
    </row>
    <row r="2662" spans="54:136">
      <c r="BB2662" s="436"/>
      <c r="BC2662" s="120"/>
      <c r="BD2662" s="120"/>
      <c r="BE2662" s="467"/>
      <c r="BF2662" s="440"/>
      <c r="CB2662" s="436"/>
      <c r="CC2662" s="120"/>
      <c r="CD2662" s="120"/>
      <c r="CE2662" s="467"/>
      <c r="CF2662" s="440"/>
      <c r="DB2662" s="436"/>
      <c r="DC2662" s="120"/>
      <c r="DD2662" s="120"/>
      <c r="DE2662" s="467"/>
      <c r="DF2662" s="440"/>
      <c r="EB2662" s="436"/>
      <c r="EC2662" s="120"/>
      <c r="ED2662" s="120"/>
      <c r="EE2662" s="467"/>
      <c r="EF2662" s="440"/>
    </row>
    <row r="2663" spans="54:136">
      <c r="BB2663" s="436"/>
      <c r="BC2663" s="120"/>
      <c r="BD2663" s="120"/>
      <c r="BE2663" s="467"/>
      <c r="BF2663" s="440"/>
      <c r="CB2663" s="436"/>
      <c r="CC2663" s="120"/>
      <c r="CD2663" s="120"/>
      <c r="CE2663" s="467"/>
      <c r="CF2663" s="440"/>
      <c r="DB2663" s="436"/>
      <c r="DC2663" s="120"/>
      <c r="DD2663" s="120"/>
      <c r="DE2663" s="467"/>
      <c r="DF2663" s="440"/>
      <c r="EB2663" s="436"/>
      <c r="EC2663" s="120"/>
      <c r="ED2663" s="120"/>
      <c r="EE2663" s="467"/>
      <c r="EF2663" s="440"/>
    </row>
    <row r="2664" spans="54:136">
      <c r="BB2664" s="436"/>
      <c r="BC2664" s="120"/>
      <c r="BD2664" s="120"/>
      <c r="BE2664" s="467"/>
      <c r="BF2664" s="440"/>
      <c r="CB2664" s="436"/>
      <c r="CC2664" s="120"/>
      <c r="CD2664" s="120"/>
      <c r="CE2664" s="467"/>
      <c r="CF2664" s="440"/>
      <c r="DB2664" s="436"/>
      <c r="DC2664" s="120"/>
      <c r="DD2664" s="120"/>
      <c r="DE2664" s="467"/>
      <c r="DF2664" s="440"/>
      <c r="EB2664" s="436"/>
      <c r="EC2664" s="120"/>
      <c r="ED2664" s="120"/>
      <c r="EE2664" s="467"/>
      <c r="EF2664" s="440"/>
    </row>
    <row r="2665" spans="54:136">
      <c r="BB2665" s="436"/>
      <c r="BC2665" s="120"/>
      <c r="BD2665" s="120"/>
      <c r="BE2665" s="467"/>
      <c r="BF2665" s="440"/>
      <c r="CB2665" s="436"/>
      <c r="CC2665" s="120"/>
      <c r="CD2665" s="120"/>
      <c r="CE2665" s="467"/>
      <c r="CF2665" s="440"/>
      <c r="DB2665" s="436"/>
      <c r="DC2665" s="120"/>
      <c r="DD2665" s="120"/>
      <c r="DE2665" s="467"/>
      <c r="DF2665" s="440"/>
      <c r="EB2665" s="436"/>
      <c r="EC2665" s="120"/>
      <c r="ED2665" s="120"/>
      <c r="EE2665" s="467"/>
      <c r="EF2665" s="440"/>
    </row>
    <row r="2666" spans="54:136">
      <c r="BB2666" s="436"/>
      <c r="BC2666" s="120"/>
      <c r="BD2666" s="120"/>
      <c r="BE2666" s="467"/>
      <c r="BF2666" s="440"/>
      <c r="CB2666" s="436"/>
      <c r="CC2666" s="120"/>
      <c r="CD2666" s="120"/>
      <c r="CE2666" s="467"/>
      <c r="CF2666" s="440"/>
      <c r="DB2666" s="436"/>
      <c r="DC2666" s="120"/>
      <c r="DD2666" s="120"/>
      <c r="DE2666" s="467"/>
      <c r="DF2666" s="440"/>
      <c r="EB2666" s="436"/>
      <c r="EC2666" s="120"/>
      <c r="ED2666" s="120"/>
      <c r="EE2666" s="467"/>
      <c r="EF2666" s="440"/>
    </row>
    <row r="2667" spans="54:136">
      <c r="BB2667" s="456"/>
      <c r="BC2667" s="457"/>
      <c r="BD2667" s="457"/>
      <c r="BE2667" s="477"/>
      <c r="BF2667" s="458"/>
      <c r="CB2667" s="456"/>
      <c r="CC2667" s="457"/>
      <c r="CD2667" s="457"/>
      <c r="CE2667" s="477"/>
      <c r="CF2667" s="458"/>
      <c r="DB2667" s="456"/>
      <c r="DC2667" s="457"/>
      <c r="DD2667" s="457"/>
      <c r="DE2667" s="477"/>
      <c r="DF2667" s="458"/>
      <c r="EB2667" s="456"/>
      <c r="EC2667" s="457"/>
      <c r="ED2667" s="457"/>
      <c r="EE2667" s="477"/>
      <c r="EF2667" s="458"/>
    </row>
    <row r="2668" spans="54:136">
      <c r="BB2668" s="456"/>
      <c r="BC2668" s="457"/>
      <c r="BD2668" s="457"/>
      <c r="BE2668" s="457"/>
      <c r="BF2668" s="458"/>
      <c r="CB2668" s="456"/>
      <c r="CC2668" s="457"/>
      <c r="CD2668" s="457"/>
      <c r="CE2668" s="457"/>
      <c r="CF2668" s="458"/>
      <c r="DB2668" s="456"/>
      <c r="DC2668" s="457"/>
      <c r="DD2668" s="457"/>
      <c r="DE2668" s="457"/>
      <c r="DF2668" s="458"/>
      <c r="EB2668" s="456"/>
      <c r="EC2668" s="457"/>
      <c r="ED2668" s="457"/>
      <c r="EE2668" s="457"/>
      <c r="EF2668" s="458"/>
    </row>
    <row r="2669" spans="54:136">
      <c r="BB2669" s="449" t="s">
        <v>475</v>
      </c>
      <c r="BC2669" s="120"/>
      <c r="BD2669" s="120"/>
      <c r="BE2669" s="120"/>
      <c r="BF2669" s="440"/>
      <c r="CB2669" s="449" t="s">
        <v>475</v>
      </c>
      <c r="CC2669" s="120"/>
      <c r="CD2669" s="120"/>
      <c r="CE2669" s="120"/>
      <c r="CF2669" s="440"/>
      <c r="DB2669" s="449" t="s">
        <v>475</v>
      </c>
      <c r="DC2669" s="120"/>
      <c r="DD2669" s="120"/>
      <c r="DE2669" s="120"/>
      <c r="DF2669" s="440"/>
      <c r="EB2669" s="449" t="s">
        <v>475</v>
      </c>
      <c r="EC2669" s="120"/>
      <c r="ED2669" s="120"/>
      <c r="EE2669" s="120"/>
      <c r="EF2669" s="440"/>
    </row>
    <row r="2670" spans="54:136">
      <c r="BB2670" s="436" t="s">
        <v>509</v>
      </c>
      <c r="BC2670" s="120"/>
      <c r="BD2670" s="120"/>
      <c r="BE2670" s="120"/>
      <c r="BF2670" s="440"/>
      <c r="CB2670" s="436" t="s">
        <v>509</v>
      </c>
      <c r="CC2670" s="120"/>
      <c r="CD2670" s="120"/>
      <c r="CE2670" s="120"/>
      <c r="CF2670" s="440"/>
      <c r="DB2670" s="436" t="s">
        <v>509</v>
      </c>
      <c r="DC2670" s="120"/>
      <c r="DD2670" s="120"/>
      <c r="DE2670" s="120"/>
      <c r="DF2670" s="440"/>
      <c r="EB2670" s="436" t="s">
        <v>509</v>
      </c>
      <c r="EC2670" s="120"/>
      <c r="ED2670" s="120"/>
      <c r="EE2670" s="120"/>
      <c r="EF2670" s="440"/>
    </row>
    <row r="2671" spans="54:136">
      <c r="BB2671" s="436" t="s">
        <v>510</v>
      </c>
      <c r="BC2671" s="120"/>
      <c r="BD2671" s="120"/>
      <c r="BE2671" s="120"/>
      <c r="BF2671" s="440"/>
      <c r="CB2671" s="436" t="s">
        <v>510</v>
      </c>
      <c r="CC2671" s="120"/>
      <c r="CD2671" s="120"/>
      <c r="CE2671" s="120"/>
      <c r="CF2671" s="440"/>
      <c r="DB2671" s="436" t="s">
        <v>510</v>
      </c>
      <c r="DC2671" s="120"/>
      <c r="DD2671" s="120"/>
      <c r="DE2671" s="120"/>
      <c r="DF2671" s="440"/>
      <c r="EB2671" s="436" t="s">
        <v>510</v>
      </c>
      <c r="EC2671" s="120"/>
      <c r="ED2671" s="120"/>
      <c r="EE2671" s="120"/>
      <c r="EF2671" s="440"/>
    </row>
    <row r="2672" spans="54:136">
      <c r="BB2672" s="436"/>
      <c r="BC2672" s="120"/>
      <c r="BD2672" s="120"/>
      <c r="BE2672" s="120"/>
      <c r="BF2672" s="440"/>
      <c r="CB2672" s="436"/>
      <c r="CC2672" s="120"/>
      <c r="CD2672" s="120"/>
      <c r="CE2672" s="120"/>
      <c r="CF2672" s="440"/>
      <c r="DB2672" s="436"/>
      <c r="DC2672" s="120"/>
      <c r="DD2672" s="120"/>
      <c r="DE2672" s="120"/>
      <c r="DF2672" s="440"/>
      <c r="EB2672" s="436"/>
      <c r="EC2672" s="120"/>
      <c r="ED2672" s="120"/>
      <c r="EE2672" s="120"/>
      <c r="EF2672" s="440"/>
    </row>
    <row r="2673" spans="54:136">
      <c r="BB2673" s="436"/>
      <c r="BC2673" s="120"/>
      <c r="BD2673" s="120"/>
      <c r="BE2673" s="120"/>
      <c r="BF2673" s="440"/>
      <c r="CB2673" s="436"/>
      <c r="CC2673" s="120"/>
      <c r="CD2673" s="120"/>
      <c r="CE2673" s="120"/>
      <c r="CF2673" s="440"/>
      <c r="DB2673" s="436"/>
      <c r="DC2673" s="120"/>
      <c r="DD2673" s="120"/>
      <c r="DE2673" s="120"/>
      <c r="DF2673" s="440"/>
      <c r="EB2673" s="436"/>
      <c r="EC2673" s="120"/>
      <c r="ED2673" s="120"/>
      <c r="EE2673" s="120"/>
      <c r="EF2673" s="440"/>
    </row>
    <row r="2674" spans="54:136">
      <c r="BB2674" s="436"/>
      <c r="BC2674" s="120"/>
      <c r="BD2674" s="120"/>
      <c r="BE2674" s="120"/>
      <c r="BF2674" s="440"/>
      <c r="CB2674" s="436"/>
      <c r="CC2674" s="120"/>
      <c r="CD2674" s="120"/>
      <c r="CE2674" s="120"/>
      <c r="CF2674" s="440"/>
      <c r="DB2674" s="436"/>
      <c r="DC2674" s="120"/>
      <c r="DD2674" s="120"/>
      <c r="DE2674" s="120"/>
      <c r="DF2674" s="440"/>
      <c r="EB2674" s="436"/>
      <c r="EC2674" s="120"/>
      <c r="ED2674" s="120"/>
      <c r="EE2674" s="120"/>
      <c r="EF2674" s="440"/>
    </row>
    <row r="2675" spans="54:136">
      <c r="BB2675" s="436"/>
      <c r="BC2675" s="120"/>
      <c r="BD2675" s="120"/>
      <c r="BE2675" s="120"/>
      <c r="BF2675" s="440"/>
      <c r="CB2675" s="436"/>
      <c r="CC2675" s="120"/>
      <c r="CD2675" s="120"/>
      <c r="CE2675" s="120"/>
      <c r="CF2675" s="440"/>
      <c r="DB2675" s="436"/>
      <c r="DC2675" s="120"/>
      <c r="DD2675" s="120"/>
      <c r="DE2675" s="120"/>
      <c r="DF2675" s="440"/>
      <c r="EB2675" s="436"/>
      <c r="EC2675" s="120"/>
      <c r="ED2675" s="120"/>
      <c r="EE2675" s="120"/>
      <c r="EF2675" s="440"/>
    </row>
    <row r="2676" spans="54:136">
      <c r="BB2676" s="436" t="s">
        <v>511</v>
      </c>
      <c r="BC2676" s="120">
        <v>0</v>
      </c>
      <c r="BD2676" s="120" t="s">
        <v>512</v>
      </c>
      <c r="BE2676" s="120"/>
      <c r="BF2676" s="440"/>
      <c r="CB2676" s="436" t="s">
        <v>511</v>
      </c>
      <c r="CC2676" s="120">
        <v>0</v>
      </c>
      <c r="CD2676" s="120" t="s">
        <v>512</v>
      </c>
      <c r="CE2676" s="120"/>
      <c r="CF2676" s="440"/>
      <c r="DB2676" s="436" t="s">
        <v>511</v>
      </c>
      <c r="DC2676" s="120">
        <v>0</v>
      </c>
      <c r="DD2676" s="120" t="s">
        <v>512</v>
      </c>
      <c r="DE2676" s="120"/>
      <c r="DF2676" s="440"/>
      <c r="EB2676" s="436" t="s">
        <v>511</v>
      </c>
      <c r="EC2676" s="120">
        <v>0</v>
      </c>
      <c r="ED2676" s="120" t="s">
        <v>512</v>
      </c>
      <c r="EE2676" s="120"/>
      <c r="EF2676" s="440"/>
    </row>
    <row r="2677" spans="54:136">
      <c r="BB2677" s="436" t="s">
        <v>513</v>
      </c>
      <c r="BC2677" s="120">
        <v>0</v>
      </c>
      <c r="BD2677" s="120" t="s">
        <v>512</v>
      </c>
      <c r="BE2677" s="120"/>
      <c r="BF2677" s="440"/>
      <c r="CB2677" s="436" t="s">
        <v>513</v>
      </c>
      <c r="CC2677" s="120">
        <v>0</v>
      </c>
      <c r="CD2677" s="120" t="s">
        <v>512</v>
      </c>
      <c r="CE2677" s="120"/>
      <c r="CF2677" s="440"/>
      <c r="DB2677" s="436" t="s">
        <v>513</v>
      </c>
      <c r="DC2677" s="120">
        <v>0</v>
      </c>
      <c r="DD2677" s="120" t="s">
        <v>512</v>
      </c>
      <c r="DE2677" s="120"/>
      <c r="DF2677" s="440"/>
      <c r="EB2677" s="436" t="s">
        <v>513</v>
      </c>
      <c r="EC2677" s="120">
        <v>0</v>
      </c>
      <c r="ED2677" s="120" t="s">
        <v>512</v>
      </c>
      <c r="EE2677" s="120"/>
      <c r="EF2677" s="440"/>
    </row>
    <row r="2678" spans="54:136">
      <c r="BB2678" s="456"/>
      <c r="BC2678" s="457"/>
      <c r="BD2678" s="457"/>
      <c r="BE2678" s="457"/>
      <c r="BF2678" s="458"/>
      <c r="CB2678" s="456"/>
      <c r="CC2678" s="457"/>
      <c r="CD2678" s="457"/>
      <c r="CE2678" s="457"/>
      <c r="CF2678" s="458"/>
      <c r="DB2678" s="456"/>
      <c r="DC2678" s="457"/>
      <c r="DD2678" s="457"/>
      <c r="DE2678" s="457"/>
      <c r="DF2678" s="458"/>
      <c r="EB2678" s="456"/>
      <c r="EC2678" s="457"/>
      <c r="ED2678" s="457"/>
      <c r="EE2678" s="457"/>
      <c r="EF2678" s="458"/>
    </row>
    <row r="2679" spans="54:136">
      <c r="BB2679" s="449" t="s">
        <v>461</v>
      </c>
      <c r="BC2679" s="120"/>
      <c r="BD2679" s="120"/>
      <c r="BE2679" s="120"/>
      <c r="BF2679" s="440"/>
      <c r="CB2679" s="449" t="s">
        <v>461</v>
      </c>
      <c r="CC2679" s="120"/>
      <c r="CD2679" s="120"/>
      <c r="CE2679" s="120"/>
      <c r="CF2679" s="440"/>
      <c r="DB2679" s="449" t="s">
        <v>461</v>
      </c>
      <c r="DC2679" s="120"/>
      <c r="DD2679" s="120"/>
      <c r="DE2679" s="120"/>
      <c r="DF2679" s="440"/>
      <c r="EB2679" s="449" t="s">
        <v>461</v>
      </c>
      <c r="EC2679" s="120"/>
      <c r="ED2679" s="120"/>
      <c r="EE2679" s="120"/>
      <c r="EF2679" s="440"/>
    </row>
    <row r="2680" spans="54:136">
      <c r="BB2680" s="436" t="s">
        <v>514</v>
      </c>
      <c r="BC2680" s="120">
        <f>VLOOKUP(BB2608,'Unit Ops'!$B$140:$K$209,10,FALSE)</f>
        <v>0</v>
      </c>
      <c r="BD2680" s="120" t="s">
        <v>515</v>
      </c>
      <c r="BE2680" s="120"/>
      <c r="BF2680" s="440"/>
      <c r="CB2680" s="436" t="s">
        <v>514</v>
      </c>
      <c r="CC2680" s="120">
        <f>VLOOKUP(CB2608,'Unit Ops'!$B$140:$K$209,10,FALSE)</f>
        <v>0</v>
      </c>
      <c r="CD2680" s="120" t="s">
        <v>515</v>
      </c>
      <c r="CE2680" s="120"/>
      <c r="CF2680" s="440"/>
      <c r="DB2680" s="436" t="s">
        <v>514</v>
      </c>
      <c r="DC2680" s="120">
        <f>VLOOKUP(DB2608,'Unit Ops'!$B$140:$K$209,10,FALSE)</f>
        <v>0</v>
      </c>
      <c r="DD2680" s="120" t="s">
        <v>515</v>
      </c>
      <c r="DE2680" s="120"/>
      <c r="DF2680" s="440"/>
      <c r="EB2680" s="436" t="s">
        <v>514</v>
      </c>
      <c r="EC2680" s="120">
        <f>VLOOKUP(EB2608,'Unit Ops'!$B$140:$K$209,10,FALSE)</f>
        <v>0</v>
      </c>
      <c r="ED2680" s="120" t="s">
        <v>515</v>
      </c>
      <c r="EE2680" s="120"/>
      <c r="EF2680" s="440"/>
    </row>
    <row r="2681" spans="54:136">
      <c r="BB2681" s="436" t="s">
        <v>516</v>
      </c>
      <c r="BC2681" s="120">
        <v>0</v>
      </c>
      <c r="BD2681" s="120" t="s">
        <v>515</v>
      </c>
      <c r="BE2681" s="120"/>
      <c r="BF2681" s="440"/>
      <c r="CB2681" s="436" t="s">
        <v>516</v>
      </c>
      <c r="CC2681" s="120">
        <v>0</v>
      </c>
      <c r="CD2681" s="120" t="s">
        <v>515</v>
      </c>
      <c r="CE2681" s="120"/>
      <c r="CF2681" s="440"/>
      <c r="DB2681" s="436" t="s">
        <v>516</v>
      </c>
      <c r="DC2681" s="120">
        <v>0</v>
      </c>
      <c r="DD2681" s="120" t="s">
        <v>515</v>
      </c>
      <c r="DE2681" s="120"/>
      <c r="DF2681" s="440"/>
      <c r="EB2681" s="436" t="s">
        <v>516</v>
      </c>
      <c r="EC2681" s="120">
        <v>0</v>
      </c>
      <c r="ED2681" s="120" t="s">
        <v>515</v>
      </c>
      <c r="EE2681" s="120"/>
      <c r="EF2681" s="440"/>
    </row>
    <row r="2682" spans="54:136">
      <c r="BB2682" s="436"/>
      <c r="BC2682" s="120"/>
      <c r="BD2682" s="120"/>
      <c r="BE2682" s="120"/>
      <c r="BF2682" s="440"/>
      <c r="CB2682" s="436"/>
      <c r="CC2682" s="120"/>
      <c r="CD2682" s="120"/>
      <c r="CE2682" s="120"/>
      <c r="CF2682" s="440"/>
      <c r="DB2682" s="436"/>
      <c r="DC2682" s="120"/>
      <c r="DD2682" s="120"/>
      <c r="DE2682" s="120"/>
      <c r="DF2682" s="440"/>
      <c r="EB2682" s="436"/>
      <c r="EC2682" s="120"/>
      <c r="ED2682" s="120"/>
      <c r="EE2682" s="120"/>
      <c r="EF2682" s="440"/>
    </row>
    <row r="2683" spans="54:136">
      <c r="BB2683" s="436"/>
      <c r="BC2683" s="120"/>
      <c r="BD2683" s="120"/>
      <c r="BE2683" s="120"/>
      <c r="BF2683" s="440"/>
      <c r="CB2683" s="436"/>
      <c r="CC2683" s="120"/>
      <c r="CD2683" s="120"/>
      <c r="CE2683" s="120"/>
      <c r="CF2683" s="440"/>
      <c r="DB2683" s="436"/>
      <c r="DC2683" s="120"/>
      <c r="DD2683" s="120"/>
      <c r="DE2683" s="120"/>
      <c r="DF2683" s="440"/>
      <c r="EB2683" s="436"/>
      <c r="EC2683" s="120"/>
      <c r="ED2683" s="120"/>
      <c r="EE2683" s="120"/>
      <c r="EF2683" s="440"/>
    </row>
    <row r="2684" spans="54:136">
      <c r="BB2684" s="436"/>
      <c r="BC2684" s="120"/>
      <c r="BD2684" s="120"/>
      <c r="BE2684" s="120"/>
      <c r="BF2684" s="440"/>
      <c r="CB2684" s="436"/>
      <c r="CC2684" s="120"/>
      <c r="CD2684" s="120"/>
      <c r="CE2684" s="120"/>
      <c r="CF2684" s="440"/>
      <c r="DB2684" s="436"/>
      <c r="DC2684" s="120"/>
      <c r="DD2684" s="120"/>
      <c r="DE2684" s="120"/>
      <c r="DF2684" s="440"/>
      <c r="EB2684" s="436"/>
      <c r="EC2684" s="120"/>
      <c r="ED2684" s="120"/>
      <c r="EE2684" s="120"/>
      <c r="EF2684" s="440"/>
    </row>
    <row r="2685" spans="54:136">
      <c r="BB2685" s="436"/>
      <c r="BC2685" s="120"/>
      <c r="BD2685" s="120"/>
      <c r="BE2685" s="120"/>
      <c r="BF2685" s="440"/>
      <c r="CB2685" s="436"/>
      <c r="CC2685" s="120"/>
      <c r="CD2685" s="120"/>
      <c r="CE2685" s="120"/>
      <c r="CF2685" s="440"/>
      <c r="DB2685" s="436"/>
      <c r="DC2685" s="120"/>
      <c r="DD2685" s="120"/>
      <c r="DE2685" s="120"/>
      <c r="DF2685" s="440"/>
      <c r="EB2685" s="436"/>
      <c r="EC2685" s="120"/>
      <c r="ED2685" s="120"/>
      <c r="EE2685" s="120"/>
      <c r="EF2685" s="440"/>
    </row>
    <row r="2686" spans="54:136">
      <c r="BB2686" s="436"/>
      <c r="BC2686" s="120"/>
      <c r="BD2686" s="120"/>
      <c r="BE2686" s="120"/>
      <c r="BF2686" s="440"/>
      <c r="CB2686" s="436"/>
      <c r="CC2686" s="120"/>
      <c r="CD2686" s="120"/>
      <c r="CE2686" s="120"/>
      <c r="CF2686" s="440"/>
      <c r="DB2686" s="436"/>
      <c r="DC2686" s="120"/>
      <c r="DD2686" s="120"/>
      <c r="DE2686" s="120"/>
      <c r="DF2686" s="440"/>
      <c r="EB2686" s="436"/>
      <c r="EC2686" s="120"/>
      <c r="ED2686" s="120"/>
      <c r="EE2686" s="120"/>
      <c r="EF2686" s="440"/>
    </row>
    <row r="2687" spans="54:136">
      <c r="BB2687" s="436" t="s">
        <v>464</v>
      </c>
      <c r="BC2687" s="120"/>
      <c r="BD2687" s="120"/>
      <c r="BE2687" s="120"/>
      <c r="BF2687" s="440"/>
      <c r="CB2687" s="436" t="s">
        <v>464</v>
      </c>
      <c r="CC2687" s="120"/>
      <c r="CD2687" s="120"/>
      <c r="CE2687" s="120"/>
      <c r="CF2687" s="440"/>
      <c r="DB2687" s="436" t="s">
        <v>464</v>
      </c>
      <c r="DC2687" s="120"/>
      <c r="DD2687" s="120"/>
      <c r="DE2687" s="120"/>
      <c r="DF2687" s="440"/>
      <c r="EB2687" s="436" t="s">
        <v>464</v>
      </c>
      <c r="EC2687" s="120"/>
      <c r="ED2687" s="120"/>
      <c r="EE2687" s="120"/>
      <c r="EF2687" s="440"/>
    </row>
    <row r="2688" spans="54:136">
      <c r="BB2688" s="456"/>
      <c r="BC2688" s="457"/>
      <c r="BD2688" s="457"/>
      <c r="BE2688" s="457"/>
      <c r="BF2688" s="458"/>
      <c r="CB2688" s="456"/>
      <c r="CC2688" s="457"/>
      <c r="CD2688" s="457"/>
      <c r="CE2688" s="457"/>
      <c r="CF2688" s="458"/>
      <c r="DB2688" s="456"/>
      <c r="DC2688" s="457"/>
      <c r="DD2688" s="457"/>
      <c r="DE2688" s="457"/>
      <c r="DF2688" s="458"/>
      <c r="EB2688" s="456"/>
      <c r="EC2688" s="457"/>
      <c r="ED2688" s="457"/>
      <c r="EE2688" s="457"/>
      <c r="EF2688" s="458"/>
    </row>
    <row r="2689" spans="54:136">
      <c r="BB2689" s="449" t="s">
        <v>472</v>
      </c>
      <c r="BC2689" s="467" t="s">
        <v>517</v>
      </c>
      <c r="BD2689" s="120" t="s">
        <v>518</v>
      </c>
      <c r="BE2689" s="467" t="s">
        <v>519</v>
      </c>
      <c r="BF2689" s="440" t="s">
        <v>518</v>
      </c>
      <c r="CB2689" s="449" t="s">
        <v>472</v>
      </c>
      <c r="CC2689" s="467" t="s">
        <v>517</v>
      </c>
      <c r="CD2689" s="120" t="s">
        <v>518</v>
      </c>
      <c r="CE2689" s="467" t="s">
        <v>519</v>
      </c>
      <c r="CF2689" s="440" t="s">
        <v>518</v>
      </c>
      <c r="DB2689" s="449" t="s">
        <v>472</v>
      </c>
      <c r="DC2689" s="467" t="s">
        <v>517</v>
      </c>
      <c r="DD2689" s="120" t="s">
        <v>518</v>
      </c>
      <c r="DE2689" s="467" t="s">
        <v>519</v>
      </c>
      <c r="DF2689" s="440" t="s">
        <v>518</v>
      </c>
      <c r="EB2689" s="449" t="s">
        <v>472</v>
      </c>
      <c r="EC2689" s="467" t="s">
        <v>517</v>
      </c>
      <c r="ED2689" s="120" t="s">
        <v>518</v>
      </c>
      <c r="EE2689" s="467" t="s">
        <v>519</v>
      </c>
      <c r="EF2689" s="440" t="s">
        <v>518</v>
      </c>
    </row>
    <row r="2690" spans="54:136">
      <c r="BB2690" s="436" t="s">
        <v>520</v>
      </c>
      <c r="BC2690" s="120"/>
      <c r="BD2690" s="120"/>
      <c r="BE2690" s="472">
        <f>((VLOOKUP(BB2608,'Unit Ops'!$B$140:$J$209,3,FALSE)*BC2610^VLOOKUP(BB2608,'Unit Ops'!$B$140:$J$209,4,FALSE)+VLOOKUP(BB2608,'Unit Ops'!$B$140:$J$209,5,FALSE))*VLOOKUP(BB2608,'Unit Ops'!$B$140:$J$209,6,FALSE))*IF(VLOOKUP(BB2608,'Unit Ops'!$B$140:$L$209,11,FALSE)=1,1,2)</f>
        <v>0</v>
      </c>
      <c r="BF2690" s="490">
        <f>$C$7</f>
        <v>2022</v>
      </c>
      <c r="CB2690" s="436" t="s">
        <v>520</v>
      </c>
      <c r="CC2690" s="120"/>
      <c r="CD2690" s="120"/>
      <c r="CE2690" s="472">
        <f>((VLOOKUP(CB2608,'Unit Ops'!$B$140:$J$209,3,FALSE)*CC2610^VLOOKUP(CB2608,'Unit Ops'!$B$140:$J$209,4,FALSE)+VLOOKUP(CB2608,'Unit Ops'!$B$140:$J$209,5,FALSE))*VLOOKUP(CB2608,'Unit Ops'!$B$140:$J$209,6,FALSE))*IF(VLOOKUP(CB2608,'Unit Ops'!$B$140:$L$209,11,FALSE)=1,1,2)</f>
        <v>0</v>
      </c>
      <c r="CF2690" s="490">
        <f>$C$7</f>
        <v>2022</v>
      </c>
      <c r="DB2690" s="436" t="s">
        <v>520</v>
      </c>
      <c r="DC2690" s="120"/>
      <c r="DD2690" s="120"/>
      <c r="DE2690" s="472">
        <f>((VLOOKUP(DB2608,'Unit Ops'!$B$140:$J$209,3,FALSE)*DC2610^VLOOKUP(DB2608,'Unit Ops'!$B$140:$J$209,4,FALSE)+VLOOKUP(DB2608,'Unit Ops'!$B$140:$J$209,5,FALSE))*VLOOKUP(DB2608,'Unit Ops'!$B$140:$J$209,6,FALSE))*IF(VLOOKUP(DB2608,'Unit Ops'!$B$140:$L$209,11,FALSE)=1,1,2)</f>
        <v>0</v>
      </c>
      <c r="DF2690" s="490">
        <f>$C$7</f>
        <v>2022</v>
      </c>
      <c r="EB2690" s="436" t="s">
        <v>520</v>
      </c>
      <c r="EC2690" s="120"/>
      <c r="ED2690" s="120"/>
      <c r="EE2690" s="472">
        <f>((VLOOKUP(EB2608,'Unit Ops'!$B$140:$J$209,3,FALSE)*EC2610^VLOOKUP(EB2608,'Unit Ops'!$B$140:$J$209,4,FALSE)+VLOOKUP(EB2608,'Unit Ops'!$B$140:$J$209,5,FALSE))*VLOOKUP(EB2608,'Unit Ops'!$B$140:$J$209,6,FALSE))*IF(VLOOKUP(EB2608,'Unit Ops'!$B$140:$L$209,11,FALSE)=1,1,2)</f>
        <v>0</v>
      </c>
      <c r="EF2690" s="490">
        <f>$C$7</f>
        <v>2022</v>
      </c>
    </row>
    <row r="2691" spans="54:136">
      <c r="BB2691" s="436"/>
      <c r="BC2691" s="120"/>
      <c r="BD2691" s="120"/>
      <c r="BE2691" s="120"/>
      <c r="BF2691" s="440"/>
      <c r="CB2691" s="436"/>
      <c r="CC2691" s="120"/>
      <c r="CD2691" s="120"/>
      <c r="CE2691" s="120"/>
      <c r="CF2691" s="440"/>
      <c r="DB2691" s="436"/>
      <c r="DC2691" s="120"/>
      <c r="DD2691" s="120"/>
      <c r="DE2691" s="120"/>
      <c r="DF2691" s="440"/>
      <c r="EB2691" s="436"/>
      <c r="EC2691" s="120"/>
      <c r="ED2691" s="120"/>
      <c r="EE2691" s="120"/>
      <c r="EF2691" s="440"/>
    </row>
    <row r="2692" spans="54:136">
      <c r="BB2692" s="436"/>
      <c r="BC2692" s="120"/>
      <c r="BD2692" s="120"/>
      <c r="BE2692" s="120"/>
      <c r="BF2692" s="440"/>
      <c r="CB2692" s="436"/>
      <c r="CC2692" s="120"/>
      <c r="CD2692" s="120"/>
      <c r="CE2692" s="120"/>
      <c r="CF2692" s="440"/>
      <c r="DB2692" s="436"/>
      <c r="DC2692" s="120"/>
      <c r="DD2692" s="120"/>
      <c r="DE2692" s="120"/>
      <c r="DF2692" s="440"/>
      <c r="EB2692" s="436"/>
      <c r="EC2692" s="120"/>
      <c r="ED2692" s="120"/>
      <c r="EE2692" s="120"/>
      <c r="EF2692" s="440"/>
    </row>
    <row r="2693" spans="54:136">
      <c r="BB2693" s="436"/>
      <c r="BC2693" s="120"/>
      <c r="BD2693" s="120"/>
      <c r="BE2693" s="120"/>
      <c r="BF2693" s="440"/>
      <c r="CB2693" s="436"/>
      <c r="CC2693" s="120"/>
      <c r="CD2693" s="120"/>
      <c r="CE2693" s="120"/>
      <c r="CF2693" s="440"/>
      <c r="DB2693" s="436"/>
      <c r="DC2693" s="120"/>
      <c r="DD2693" s="120"/>
      <c r="DE2693" s="120"/>
      <c r="DF2693" s="440"/>
      <c r="EB2693" s="436"/>
      <c r="EC2693" s="120"/>
      <c r="ED2693" s="120"/>
      <c r="EE2693" s="120"/>
      <c r="EF2693" s="440"/>
    </row>
    <row r="2694" spans="54:136">
      <c r="BB2694" s="436"/>
      <c r="BC2694" s="120"/>
      <c r="BD2694" s="120"/>
      <c r="BE2694" s="120"/>
      <c r="BF2694" s="440"/>
      <c r="CB2694" s="436"/>
      <c r="CC2694" s="120"/>
      <c r="CD2694" s="120"/>
      <c r="CE2694" s="120"/>
      <c r="CF2694" s="440"/>
      <c r="DB2694" s="436"/>
      <c r="DC2694" s="120"/>
      <c r="DD2694" s="120"/>
      <c r="DE2694" s="120"/>
      <c r="DF2694" s="440"/>
      <c r="EB2694" s="436"/>
      <c r="EC2694" s="120"/>
      <c r="ED2694" s="120"/>
      <c r="EE2694" s="120"/>
      <c r="EF2694" s="440"/>
    </row>
    <row r="2695" spans="54:136">
      <c r="BB2695" s="436"/>
      <c r="BC2695" s="120"/>
      <c r="BD2695" s="120"/>
      <c r="BE2695" s="120"/>
      <c r="BF2695" s="440"/>
      <c r="CB2695" s="436"/>
      <c r="CC2695" s="120"/>
      <c r="CD2695" s="120"/>
      <c r="CE2695" s="120"/>
      <c r="CF2695" s="440"/>
      <c r="DB2695" s="436"/>
      <c r="DC2695" s="120"/>
      <c r="DD2695" s="120"/>
      <c r="DE2695" s="120"/>
      <c r="DF2695" s="440"/>
      <c r="EB2695" s="436"/>
      <c r="EC2695" s="120"/>
      <c r="ED2695" s="120"/>
      <c r="EE2695" s="120"/>
      <c r="EF2695" s="440"/>
    </row>
    <row r="2696" spans="54:136">
      <c r="BB2696" s="436"/>
      <c r="BC2696" s="120"/>
      <c r="BD2696" s="120"/>
      <c r="BE2696" s="120"/>
      <c r="BF2696" s="440"/>
      <c r="CB2696" s="436"/>
      <c r="CC2696" s="120"/>
      <c r="CD2696" s="120"/>
      <c r="CE2696" s="120"/>
      <c r="CF2696" s="440"/>
      <c r="DB2696" s="436"/>
      <c r="DC2696" s="120"/>
      <c r="DD2696" s="120"/>
      <c r="DE2696" s="120"/>
      <c r="DF2696" s="440"/>
      <c r="EB2696" s="436"/>
      <c r="EC2696" s="120"/>
      <c r="ED2696" s="120"/>
      <c r="EE2696" s="120"/>
      <c r="EF2696" s="440"/>
    </row>
    <row r="2697" spans="54:136">
      <c r="BB2697" s="436"/>
      <c r="BC2697" s="120"/>
      <c r="BD2697" s="120"/>
      <c r="BE2697" s="120"/>
      <c r="BF2697" s="440"/>
      <c r="CB2697" s="436"/>
      <c r="CC2697" s="120"/>
      <c r="CD2697" s="120"/>
      <c r="CE2697" s="120"/>
      <c r="CF2697" s="440"/>
      <c r="DB2697" s="436"/>
      <c r="DC2697" s="120"/>
      <c r="DD2697" s="120"/>
      <c r="DE2697" s="120"/>
      <c r="DF2697" s="440"/>
      <c r="EB2697" s="436"/>
      <c r="EC2697" s="120"/>
      <c r="ED2697" s="120"/>
      <c r="EE2697" s="120"/>
      <c r="EF2697" s="440"/>
    </row>
    <row r="2698" spans="54:136">
      <c r="BB2698" s="436"/>
      <c r="BC2698" s="120"/>
      <c r="BD2698" s="120"/>
      <c r="BE2698" s="120"/>
      <c r="BF2698" s="440"/>
      <c r="CB2698" s="436"/>
      <c r="CC2698" s="120"/>
      <c r="CD2698" s="120"/>
      <c r="CE2698" s="120"/>
      <c r="CF2698" s="440"/>
      <c r="DB2698" s="436"/>
      <c r="DC2698" s="120"/>
      <c r="DD2698" s="120"/>
      <c r="DE2698" s="120"/>
      <c r="DF2698" s="440"/>
      <c r="EB2698" s="436"/>
      <c r="EC2698" s="120"/>
      <c r="ED2698" s="120"/>
      <c r="EE2698" s="120"/>
      <c r="EF2698" s="440"/>
    </row>
    <row r="2699" spans="54:136">
      <c r="BB2699" s="436"/>
      <c r="BC2699" s="120"/>
      <c r="BD2699" s="120"/>
      <c r="BE2699" s="120"/>
      <c r="BF2699" s="440"/>
      <c r="CB2699" s="436"/>
      <c r="CC2699" s="120"/>
      <c r="CD2699" s="120"/>
      <c r="CE2699" s="120"/>
      <c r="CF2699" s="440"/>
      <c r="DB2699" s="436"/>
      <c r="DC2699" s="120"/>
      <c r="DD2699" s="120"/>
      <c r="DE2699" s="120"/>
      <c r="DF2699" s="440"/>
      <c r="EB2699" s="436"/>
      <c r="EC2699" s="120"/>
      <c r="ED2699" s="120"/>
      <c r="EE2699" s="120"/>
      <c r="EF2699" s="440"/>
    </row>
    <row r="2700" spans="54:136">
      <c r="BB2700" s="436"/>
      <c r="BC2700" s="120"/>
      <c r="BD2700" s="120"/>
      <c r="BE2700" s="120"/>
      <c r="BF2700" s="440"/>
      <c r="CB2700" s="436"/>
      <c r="CC2700" s="120"/>
      <c r="CD2700" s="120"/>
      <c r="CE2700" s="120"/>
      <c r="CF2700" s="440"/>
      <c r="DB2700" s="436"/>
      <c r="DC2700" s="120"/>
      <c r="DD2700" s="120"/>
      <c r="DE2700" s="120"/>
      <c r="DF2700" s="440"/>
      <c r="EB2700" s="436"/>
      <c r="EC2700" s="120"/>
      <c r="ED2700" s="120"/>
      <c r="EE2700" s="120"/>
      <c r="EF2700" s="440"/>
    </row>
    <row r="2701" spans="54:136">
      <c r="BB2701" s="436"/>
      <c r="BC2701" s="120"/>
      <c r="BD2701" s="120"/>
      <c r="BE2701" s="120"/>
      <c r="BF2701" s="440"/>
      <c r="CB2701" s="436"/>
      <c r="CC2701" s="120"/>
      <c r="CD2701" s="120"/>
      <c r="CE2701" s="120"/>
      <c r="CF2701" s="440"/>
      <c r="DB2701" s="436"/>
      <c r="DC2701" s="120"/>
      <c r="DD2701" s="120"/>
      <c r="DE2701" s="120"/>
      <c r="DF2701" s="440"/>
      <c r="EB2701" s="436"/>
      <c r="EC2701" s="120"/>
      <c r="ED2701" s="120"/>
      <c r="EE2701" s="120"/>
      <c r="EF2701" s="440"/>
    </row>
    <row r="2702" spans="54:136">
      <c r="BB2702" s="436"/>
      <c r="BC2702" s="120"/>
      <c r="BD2702" s="120"/>
      <c r="BE2702" s="120"/>
      <c r="BF2702" s="440"/>
      <c r="CB2702" s="436"/>
      <c r="CC2702" s="120"/>
      <c r="CD2702" s="120"/>
      <c r="CE2702" s="120"/>
      <c r="CF2702" s="440"/>
      <c r="DB2702" s="436"/>
      <c r="DC2702" s="120"/>
      <c r="DD2702" s="120"/>
      <c r="DE2702" s="120"/>
      <c r="DF2702" s="440"/>
      <c r="EB2702" s="436"/>
      <c r="EC2702" s="120"/>
      <c r="ED2702" s="120"/>
      <c r="EE2702" s="120"/>
      <c r="EF2702" s="440"/>
    </row>
    <row r="2703" spans="54:136">
      <c r="BB2703" s="436"/>
      <c r="BC2703" s="120"/>
      <c r="BD2703" s="120"/>
      <c r="BE2703" s="120"/>
      <c r="BF2703" s="440"/>
      <c r="CB2703" s="436"/>
      <c r="CC2703" s="120"/>
      <c r="CD2703" s="120"/>
      <c r="CE2703" s="120"/>
      <c r="CF2703" s="440"/>
      <c r="DB2703" s="436"/>
      <c r="DC2703" s="120"/>
      <c r="DD2703" s="120"/>
      <c r="DE2703" s="120"/>
      <c r="DF2703" s="440"/>
      <c r="EB2703" s="436"/>
      <c r="EC2703" s="120"/>
      <c r="ED2703" s="120"/>
      <c r="EE2703" s="120"/>
      <c r="EF2703" s="440"/>
    </row>
    <row r="2704" spans="54:136" ht="14.5" thickBot="1">
      <c r="BB2704" s="492"/>
      <c r="BC2704" s="493"/>
      <c r="BD2704" s="493"/>
      <c r="BE2704" s="493"/>
      <c r="BF2704" s="453"/>
      <c r="CB2704" s="492"/>
      <c r="CC2704" s="493"/>
      <c r="CD2704" s="493"/>
      <c r="CE2704" s="493"/>
      <c r="CF2704" s="453"/>
      <c r="DB2704" s="492"/>
      <c r="DC2704" s="493"/>
      <c r="DD2704" s="493"/>
      <c r="DE2704" s="493"/>
      <c r="DF2704" s="453"/>
      <c r="EB2704" s="492"/>
      <c r="EC2704" s="493"/>
      <c r="ED2704" s="493"/>
      <c r="EE2704" s="493"/>
      <c r="EF2704" s="453"/>
    </row>
    <row r="2707" spans="53:136" ht="14.5" thickBot="1"/>
    <row r="2708" spans="53:136">
      <c r="BA2708" s="114" t="s">
        <v>478</v>
      </c>
      <c r="BB2708" s="431" t="str">
        <f>BB76</f>
        <v>Select Equipment</v>
      </c>
      <c r="BC2708" s="432"/>
      <c r="BD2708" s="433"/>
      <c r="BE2708" s="434"/>
      <c r="BF2708" s="435"/>
      <c r="CA2708" s="114" t="s">
        <v>478</v>
      </c>
      <c r="CB2708" s="431" t="str">
        <f>CB76</f>
        <v>Select Equipment</v>
      </c>
      <c r="CC2708" s="432"/>
      <c r="CD2708" s="433"/>
      <c r="CE2708" s="434"/>
      <c r="CF2708" s="435"/>
      <c r="DA2708" s="114" t="s">
        <v>478</v>
      </c>
      <c r="DB2708" s="431" t="str">
        <f>DB76</f>
        <v>Select Equipment</v>
      </c>
      <c r="DC2708" s="432"/>
      <c r="DD2708" s="433"/>
      <c r="DE2708" s="434"/>
      <c r="DF2708" s="435"/>
      <c r="EA2708" s="114" t="s">
        <v>478</v>
      </c>
      <c r="EB2708" s="431" t="str">
        <f>EB78</f>
        <v>Select Equipment</v>
      </c>
      <c r="EC2708" s="432"/>
      <c r="ED2708" s="433"/>
      <c r="EE2708" s="434"/>
      <c r="EF2708" s="435"/>
    </row>
    <row r="2709" spans="53:136">
      <c r="BA2709" s="114" t="s">
        <v>5</v>
      </c>
      <c r="BB2709" s="436" t="s">
        <v>1</v>
      </c>
      <c r="BC2709" s="437">
        <f>BC$25/BC$22/BC$21*VLOOKUP(BB2708,'Unit Ops'!$B$140:$J$209,2,FALSE)</f>
        <v>0.92592592592592593</v>
      </c>
      <c r="BD2709" s="438" t="s">
        <v>586</v>
      </c>
      <c r="BE2709" s="1027">
        <f>BC2709*BC$310*BC$311</f>
        <v>10000</v>
      </c>
      <c r="BF2709" s="439" t="s">
        <v>585</v>
      </c>
      <c r="CA2709" s="114" t="s">
        <v>5</v>
      </c>
      <c r="CB2709" s="436" t="s">
        <v>1</v>
      </c>
      <c r="CC2709" s="437">
        <f>CC$25/CC$22/CC$21*VLOOKUP(CB2708,'Unit Ops'!$B$140:$J$209,2,FALSE)</f>
        <v>0.91324200913242004</v>
      </c>
      <c r="CD2709" s="438" t="s">
        <v>586</v>
      </c>
      <c r="CE2709" s="1027">
        <f>CC2709*CC$310*CC$311</f>
        <v>10000</v>
      </c>
      <c r="CF2709" s="439" t="s">
        <v>585</v>
      </c>
      <c r="DA2709" s="114" t="s">
        <v>5</v>
      </c>
      <c r="DB2709" s="436" t="s">
        <v>1</v>
      </c>
      <c r="DC2709" s="437">
        <f>DC$25/DC$22/DC$21*VLOOKUP(DB2708,'Unit Ops'!$B$140:$J$209,2,FALSE)</f>
        <v>0.92592592592592593</v>
      </c>
      <c r="DD2709" s="438" t="s">
        <v>586</v>
      </c>
      <c r="DE2709" s="1027">
        <f>DC2709*DC$310*DC$311</f>
        <v>10000</v>
      </c>
      <c r="DF2709" s="439" t="s">
        <v>585</v>
      </c>
      <c r="EA2709" s="114" t="s">
        <v>5</v>
      </c>
      <c r="EB2709" s="436" t="s">
        <v>1</v>
      </c>
      <c r="EC2709" s="437">
        <f>EC$26/EC$23/EC$22*VLOOKUP(EB2708,'Unit Ops'!$B$140:$J$209,2,FALSE)</f>
        <v>1.3020833333333333</v>
      </c>
      <c r="ED2709" s="438" t="s">
        <v>586</v>
      </c>
      <c r="EE2709" s="1027">
        <f>EC2709*EC$310*EC$311</f>
        <v>10000</v>
      </c>
      <c r="EF2709" s="439" t="s">
        <v>585</v>
      </c>
    </row>
    <row r="2710" spans="53:136">
      <c r="BA2710" s="114" t="str">
        <f>$BB$54</f>
        <v>Hopper</v>
      </c>
      <c r="BB2710" s="436" t="s">
        <v>505</v>
      </c>
      <c r="BC2710" s="437">
        <f>ROUNDUP(BC2709*IF(VLOOKUP(BB2708,'Unit Ops'!$B$140:$L$209,11,FALSE)=1,1.5,0.75),1)</f>
        <v>0.7</v>
      </c>
      <c r="BD2710" s="438" t="s">
        <v>586</v>
      </c>
      <c r="BE2710" s="120">
        <f>BC2710*BC$310*BC$311</f>
        <v>7560</v>
      </c>
      <c r="BF2710" s="439" t="s">
        <v>585</v>
      </c>
      <c r="CA2710" s="114" t="str">
        <f>$CB$54</f>
        <v>Conveyor</v>
      </c>
      <c r="CB2710" s="436" t="s">
        <v>505</v>
      </c>
      <c r="CC2710" s="437">
        <f>ROUNDUP(CC2709*IF(VLOOKUP(CB2708,'Unit Ops'!$B$140:$L$209,11,FALSE)=1,1.5,0.75),1)</f>
        <v>0.7</v>
      </c>
      <c r="CD2710" s="438" t="s">
        <v>586</v>
      </c>
      <c r="CE2710" s="120">
        <f>CC2710*CC$310*CC$311</f>
        <v>7665</v>
      </c>
      <c r="CF2710" s="439" t="s">
        <v>585</v>
      </c>
      <c r="DA2710" s="114" t="str">
        <f>$DB$54</f>
        <v>Conveyor</v>
      </c>
      <c r="DB2710" s="436" t="s">
        <v>505</v>
      </c>
      <c r="DC2710" s="437">
        <f>ROUNDUP(DC2709*IF(VLOOKUP(DB2708,'Unit Ops'!$B$140:$L$209,11,FALSE)=1,1.5,0.75),1)</f>
        <v>0.7</v>
      </c>
      <c r="DD2710" s="438" t="s">
        <v>586</v>
      </c>
      <c r="DE2710" s="120">
        <f>DC2710*DC$310*DC$311</f>
        <v>7560</v>
      </c>
      <c r="DF2710" s="439" t="s">
        <v>585</v>
      </c>
      <c r="EA2710" s="114" t="str">
        <f>$EB$56</f>
        <v>Conveyor</v>
      </c>
      <c r="EB2710" s="436" t="s">
        <v>505</v>
      </c>
      <c r="EC2710" s="437">
        <f>ROUNDUP(EC2709*IF(VLOOKUP(EB2708,'Unit Ops'!$B$140:$L$209,11,FALSE)=1,1.5,0.75),1)</f>
        <v>1</v>
      </c>
      <c r="ED2710" s="438" t="s">
        <v>586</v>
      </c>
      <c r="EE2710" s="120">
        <f>EC2710*EC$310*EC$311</f>
        <v>7680</v>
      </c>
      <c r="EF2710" s="439" t="s">
        <v>585</v>
      </c>
    </row>
    <row r="2711" spans="53:136">
      <c r="BA2711" s="114" t="str">
        <f>$BB$55</f>
        <v>Conveyor</v>
      </c>
      <c r="BB2711" s="441" t="s">
        <v>521</v>
      </c>
      <c r="BC2711" s="442">
        <f>BC2709/BC2710</f>
        <v>1.3227513227513228</v>
      </c>
      <c r="BD2711" s="438"/>
      <c r="BE2711" s="443"/>
      <c r="BF2711" s="440"/>
      <c r="CA2711" s="114" t="str">
        <f>$CB$55</f>
        <v>Leaching tank</v>
      </c>
      <c r="CB2711" s="441" t="s">
        <v>521</v>
      </c>
      <c r="CC2711" s="442">
        <f>CC2709/CC2710</f>
        <v>1.3046314416177429</v>
      </c>
      <c r="CD2711" s="438"/>
      <c r="CE2711" s="443"/>
      <c r="CF2711" s="440"/>
      <c r="DA2711" s="114" t="str">
        <f>$DB$55</f>
        <v>Froth flotation cell</v>
      </c>
      <c r="DB2711" s="441" t="s">
        <v>521</v>
      </c>
      <c r="DC2711" s="442">
        <f>DC2709/DC2710</f>
        <v>1.3227513227513228</v>
      </c>
      <c r="DD2711" s="438"/>
      <c r="DE2711" s="443"/>
      <c r="DF2711" s="440"/>
      <c r="EA2711" s="114" t="str">
        <f>$EB$57</f>
        <v>Leaching tank</v>
      </c>
      <c r="EB2711" s="441" t="s">
        <v>521</v>
      </c>
      <c r="EC2711" s="442">
        <f>EC2709/EC2710</f>
        <v>1.3020833333333333</v>
      </c>
      <c r="ED2711" s="438"/>
      <c r="EE2711" s="443"/>
      <c r="EF2711" s="440"/>
    </row>
    <row r="2712" spans="53:136">
      <c r="BA2712" s="114" t="str">
        <f>$BB$56</f>
        <v>Smelter</v>
      </c>
      <c r="BB2712" s="441" t="s">
        <v>506</v>
      </c>
      <c r="BC2712" s="445"/>
      <c r="BD2712" s="438" t="s">
        <v>454</v>
      </c>
      <c r="BE2712" s="443"/>
      <c r="BF2712" s="440"/>
      <c r="CA2712" s="114" t="str">
        <f>$CB$56</f>
        <v>Mixing tank</v>
      </c>
      <c r="CB2712" s="441" t="s">
        <v>506</v>
      </c>
      <c r="CC2712" s="445"/>
      <c r="CD2712" s="438" t="s">
        <v>454</v>
      </c>
      <c r="CE2712" s="443"/>
      <c r="CF2712" s="440"/>
      <c r="DA2712" s="114" t="str">
        <f>$DB$56</f>
        <v>Filter press</v>
      </c>
      <c r="DB2712" s="441" t="s">
        <v>506</v>
      </c>
      <c r="DC2712" s="445"/>
      <c r="DD2712" s="438" t="s">
        <v>454</v>
      </c>
      <c r="DE2712" s="443"/>
      <c r="DF2712" s="440"/>
      <c r="EA2712" s="114" t="str">
        <f>$EB$58</f>
        <v>Mixing tank</v>
      </c>
      <c r="EB2712" s="441" t="s">
        <v>506</v>
      </c>
      <c r="EC2712" s="445"/>
      <c r="ED2712" s="438" t="s">
        <v>454</v>
      </c>
      <c r="EE2712" s="443"/>
      <c r="EF2712" s="440"/>
    </row>
    <row r="2713" spans="53:136">
      <c r="BA2713" s="114" t="str">
        <f>$BB$57</f>
        <v>Gas treatment</v>
      </c>
      <c r="BB2713" s="436" t="s">
        <v>507</v>
      </c>
      <c r="BC2713" s="225">
        <f>(VLOOKUP(BB2708,'Unit Ops'!$B$140:$J$209,7,FALSE)*BC2710^VLOOKUP(BB2708,'Unit Ops'!$B$140:$J$209,8,FALSE)+VLOOKUP(BB2708,'Unit Ops'!$B$140:$J$209,9,FALSE))*IF(VLOOKUP(BB2708,'Unit Ops'!$B$140:$L$209,11,FALSE)=1,1,2)</f>
        <v>0</v>
      </c>
      <c r="BD2713" s="446" t="s">
        <v>454</v>
      </c>
      <c r="BE2713" s="443"/>
      <c r="BF2713" s="440"/>
      <c r="CA2713" s="114" t="str">
        <f>$CB$57</f>
        <v>Filter press</v>
      </c>
      <c r="CB2713" s="436" t="s">
        <v>507</v>
      </c>
      <c r="CC2713" s="225">
        <f>(VLOOKUP(CB2708,'Unit Ops'!$B$140:$J$209,7,FALSE)*CC2710^VLOOKUP(CB2708,'Unit Ops'!$B$140:$J$209,8,FALSE)+VLOOKUP(CB2708,'Unit Ops'!$B$140:$J$209,9,FALSE))*IF(VLOOKUP(CB2708,'Unit Ops'!$B$140:$L$209,11,FALSE)=1,1,2)</f>
        <v>0</v>
      </c>
      <c r="CD2713" s="446" t="s">
        <v>454</v>
      </c>
      <c r="CE2713" s="443"/>
      <c r="CF2713" s="440"/>
      <c r="DA2713" s="114" t="str">
        <f>$DB$57</f>
        <v>Froth flotation cell</v>
      </c>
      <c r="DB2713" s="436" t="s">
        <v>507</v>
      </c>
      <c r="DC2713" s="225">
        <f>(VLOOKUP(DB2708,'Unit Ops'!$B$140:$J$209,7,FALSE)*DC2710^VLOOKUP(DB2708,'Unit Ops'!$B$140:$J$209,8,FALSE)+VLOOKUP(DB2708,'Unit Ops'!$B$140:$J$209,9,FALSE))*IF(VLOOKUP(DB2708,'Unit Ops'!$B$140:$L$209,11,FALSE)=1,1,2)</f>
        <v>0</v>
      </c>
      <c r="DD2713" s="446" t="s">
        <v>454</v>
      </c>
      <c r="DE2713" s="443"/>
      <c r="DF2713" s="440"/>
      <c r="EA2713" s="114" t="str">
        <f>$EB$59</f>
        <v>Filter press</v>
      </c>
      <c r="EB2713" s="436" t="s">
        <v>507</v>
      </c>
      <c r="EC2713" s="225">
        <f>(VLOOKUP(EB2708,'Unit Ops'!$B$140:$J$209,7,FALSE)*EC2710^VLOOKUP(EB2708,'Unit Ops'!$B$140:$J$209,8,FALSE)+VLOOKUP(EB2708,'Unit Ops'!$B$140:$J$209,9,FALSE))*IF(VLOOKUP(EB2708,'Unit Ops'!$B$140:$L$209,11,FALSE)=1,1,2)</f>
        <v>0</v>
      </c>
      <c r="ED2713" s="446" t="s">
        <v>454</v>
      </c>
      <c r="EE2713" s="443"/>
      <c r="EF2713" s="440"/>
    </row>
    <row r="2714" spans="53:136">
      <c r="BA2714" s="114" t="str">
        <f>$BB$58</f>
        <v>Conveyor</v>
      </c>
      <c r="BB2714" s="441"/>
      <c r="BC2714" s="445"/>
      <c r="BD2714" s="447"/>
      <c r="BE2714" s="443"/>
      <c r="BF2714" s="440"/>
      <c r="CA2714" s="114" t="str">
        <f>$CB$58</f>
        <v>Solvent extraction unit</v>
      </c>
      <c r="CB2714" s="441"/>
      <c r="CC2714" s="445"/>
      <c r="CD2714" s="447"/>
      <c r="CE2714" s="443"/>
      <c r="CF2714" s="440"/>
      <c r="DA2714" s="114" t="str">
        <f>$DB$58</f>
        <v>Filter press</v>
      </c>
      <c r="DB2714" s="441"/>
      <c r="DC2714" s="445"/>
      <c r="DD2714" s="447"/>
      <c r="DE2714" s="443"/>
      <c r="DF2714" s="440"/>
      <c r="EA2714" s="114" t="str">
        <f>$EB$60</f>
        <v>Solvent extraction unit</v>
      </c>
      <c r="EB2714" s="441"/>
      <c r="EC2714" s="445"/>
      <c r="ED2714" s="447"/>
      <c r="EE2714" s="443"/>
      <c r="EF2714" s="440"/>
    </row>
    <row r="2715" spans="53:136">
      <c r="BA2715" s="114" t="str">
        <f>$BB$59</f>
        <v>Granulator</v>
      </c>
      <c r="BB2715" s="441"/>
      <c r="BC2715" s="445"/>
      <c r="BD2715" s="447"/>
      <c r="BE2715" s="443"/>
      <c r="BF2715" s="440"/>
      <c r="CA2715" s="114" t="str">
        <f>$CB$59</f>
        <v>Solvent extraction unit</v>
      </c>
      <c r="CB2715" s="441"/>
      <c r="CC2715" s="445"/>
      <c r="CD2715" s="447"/>
      <c r="CE2715" s="443"/>
      <c r="CF2715" s="440"/>
      <c r="DA2715" s="114" t="str">
        <f>$DB$59</f>
        <v>Dryer</v>
      </c>
      <c r="DB2715" s="441"/>
      <c r="DC2715" s="445"/>
      <c r="DD2715" s="447"/>
      <c r="DE2715" s="443"/>
      <c r="DF2715" s="440"/>
      <c r="EA2715" s="114" t="str">
        <f>$EB$61</f>
        <v>Solvent extraction unit</v>
      </c>
      <c r="EB2715" s="441"/>
      <c r="EC2715" s="445"/>
      <c r="ED2715" s="447"/>
      <c r="EE2715" s="443"/>
      <c r="EF2715" s="440"/>
    </row>
    <row r="2716" spans="53:136">
      <c r="BA2716" s="114" t="str">
        <f>$BB$60</f>
        <v>Leaching tank</v>
      </c>
      <c r="BB2716" s="449"/>
      <c r="BC2716" s="445"/>
      <c r="BD2716" s="447"/>
      <c r="BE2716" s="443"/>
      <c r="BF2716" s="440"/>
      <c r="CA2716" s="114" t="str">
        <f>$CB$60</f>
        <v>Solvent extraction unit</v>
      </c>
      <c r="CB2716" s="449"/>
      <c r="CC2716" s="445"/>
      <c r="CD2716" s="447"/>
      <c r="CE2716" s="443"/>
      <c r="CF2716" s="440"/>
      <c r="DA2716" s="114" t="str">
        <f>$DB$60</f>
        <v>Ball mill</v>
      </c>
      <c r="DB2716" s="449"/>
      <c r="DC2716" s="445"/>
      <c r="DD2716" s="447"/>
      <c r="DE2716" s="443"/>
      <c r="DF2716" s="440"/>
      <c r="EA2716" s="114" t="str">
        <f>$EB$62</f>
        <v>Solvent extraction unit</v>
      </c>
      <c r="EB2716" s="449"/>
      <c r="EC2716" s="445"/>
      <c r="ED2716" s="447"/>
      <c r="EE2716" s="443"/>
      <c r="EF2716" s="440"/>
    </row>
    <row r="2717" spans="53:136" ht="14.5" thickBot="1">
      <c r="BA2717" s="114" t="str">
        <f>$BB$61</f>
        <v>Solvent extraction unit</v>
      </c>
      <c r="BB2717" s="450"/>
      <c r="BC2717" s="451"/>
      <c r="BD2717" s="451"/>
      <c r="BE2717" s="452"/>
      <c r="BF2717" s="453"/>
      <c r="CA2717" s="114" t="str">
        <f>$CB$61</f>
        <v>Evaporator</v>
      </c>
      <c r="CB2717" s="450"/>
      <c r="CC2717" s="451"/>
      <c r="CD2717" s="451"/>
      <c r="CE2717" s="452"/>
      <c r="CF2717" s="453"/>
      <c r="DA2717" s="114" t="str">
        <f>$DB$61</f>
        <v>Furnace+saggar handling system</v>
      </c>
      <c r="DB2717" s="450"/>
      <c r="DC2717" s="451"/>
      <c r="DD2717" s="451"/>
      <c r="DE2717" s="452"/>
      <c r="DF2717" s="453"/>
      <c r="EA2717" s="114" t="str">
        <f>$EB$63</f>
        <v>Evaporator</v>
      </c>
      <c r="EB2717" s="450"/>
      <c r="EC2717" s="451"/>
      <c r="ED2717" s="451"/>
      <c r="EE2717" s="452"/>
      <c r="EF2717" s="453"/>
    </row>
    <row r="2718" spans="53:136">
      <c r="BA2718" s="114" t="str">
        <f>$BB$62</f>
        <v>Electrowinning cell</v>
      </c>
      <c r="BB2718" s="449" t="s">
        <v>470</v>
      </c>
      <c r="BC2718" s="120"/>
      <c r="BD2718" s="454"/>
      <c r="BE2718" s="120"/>
      <c r="BF2718" s="440"/>
      <c r="CA2718" s="114" t="str">
        <f>$CB$62</f>
        <v>Precipitation tank</v>
      </c>
      <c r="CB2718" s="449" t="s">
        <v>470</v>
      </c>
      <c r="CC2718" s="120"/>
      <c r="CD2718" s="454"/>
      <c r="CE2718" s="120"/>
      <c r="CF2718" s="440"/>
      <c r="DA2718" s="114" t="str">
        <f>$DB$62</f>
        <v>Water treatment</v>
      </c>
      <c r="DB2718" s="449" t="s">
        <v>470</v>
      </c>
      <c r="DC2718" s="120"/>
      <c r="DD2718" s="454"/>
      <c r="DE2718" s="120"/>
      <c r="DF2718" s="440"/>
      <c r="EA2718" s="114" t="str">
        <f>$EB$64</f>
        <v>Precipitation tank</v>
      </c>
      <c r="EB2718" s="449" t="s">
        <v>470</v>
      </c>
      <c r="EC2718" s="120"/>
      <c r="ED2718" s="454"/>
      <c r="EE2718" s="120"/>
      <c r="EF2718" s="440"/>
    </row>
    <row r="2719" spans="53:136" ht="14.5" customHeight="1">
      <c r="BA2719" s="114" t="str">
        <f>$BB$63</f>
        <v>Solvent extraction unit</v>
      </c>
      <c r="BB2719" s="1698"/>
      <c r="BC2719" s="1699"/>
      <c r="BD2719" s="1699"/>
      <c r="BE2719" s="1699"/>
      <c r="BF2719" s="1700"/>
      <c r="CA2719" s="114" t="str">
        <f>$CB$63</f>
        <v>Centrifuge</v>
      </c>
      <c r="CB2719" s="1698"/>
      <c r="CC2719" s="1699"/>
      <c r="CD2719" s="1699"/>
      <c r="CE2719" s="1699"/>
      <c r="CF2719" s="1700"/>
      <c r="DA2719" s="114" t="str">
        <f>$DB$63</f>
        <v>Wheel loader</v>
      </c>
      <c r="DB2719" s="1698"/>
      <c r="DC2719" s="1699"/>
      <c r="DD2719" s="1699"/>
      <c r="DE2719" s="1699"/>
      <c r="DF2719" s="1700"/>
      <c r="EA2719" s="114" t="str">
        <f>$EB$65</f>
        <v>Centrifuge</v>
      </c>
      <c r="EB2719" s="1698"/>
      <c r="EC2719" s="1699"/>
      <c r="ED2719" s="1699"/>
      <c r="EE2719" s="1699"/>
      <c r="EF2719" s="1700"/>
    </row>
    <row r="2720" spans="53:136">
      <c r="BA2720" s="114" t="str">
        <f>$BB$64</f>
        <v>Solvent extraction unit</v>
      </c>
      <c r="BB2720" s="436"/>
      <c r="BC2720" s="120"/>
      <c r="BD2720" s="455"/>
      <c r="BE2720" s="120"/>
      <c r="BF2720" s="440"/>
      <c r="CA2720" s="114" t="str">
        <f>$CB$64</f>
        <v>Dryer</v>
      </c>
      <c r="CB2720" s="436"/>
      <c r="CC2720" s="120"/>
      <c r="CD2720" s="455"/>
      <c r="CE2720" s="120"/>
      <c r="CF2720" s="440"/>
      <c r="DA2720" s="114" t="str">
        <f>$DB$64</f>
        <v>Select Equipment</v>
      </c>
      <c r="DB2720" s="436"/>
      <c r="DC2720" s="120"/>
      <c r="DD2720" s="455"/>
      <c r="DE2720" s="120"/>
      <c r="DF2720" s="440"/>
      <c r="EA2720" s="114" t="str">
        <f>$EB$66</f>
        <v>Dryer</v>
      </c>
      <c r="EB2720" s="436"/>
      <c r="EC2720" s="120"/>
      <c r="ED2720" s="455"/>
      <c r="EE2720" s="120"/>
      <c r="EF2720" s="440"/>
    </row>
    <row r="2721" spans="53:136">
      <c r="BA2721" s="114" t="str">
        <f>$BB$65</f>
        <v>Wheel loader</v>
      </c>
      <c r="BB2721" s="436"/>
      <c r="BC2721" s="120"/>
      <c r="BD2721" s="455"/>
      <c r="BE2721" s="120"/>
      <c r="BF2721" s="440"/>
      <c r="CA2721" s="114" t="str">
        <f>$CB$65</f>
        <v>Water treatment</v>
      </c>
      <c r="CB2721" s="436"/>
      <c r="CC2721" s="120"/>
      <c r="CD2721" s="455"/>
      <c r="CE2721" s="120"/>
      <c r="CF2721" s="440"/>
      <c r="DA2721" s="114" t="str">
        <f>$DB$65</f>
        <v>Select Equipment</v>
      </c>
      <c r="DB2721" s="436"/>
      <c r="DC2721" s="120"/>
      <c r="DD2721" s="455"/>
      <c r="DE2721" s="120"/>
      <c r="DF2721" s="440"/>
      <c r="EA2721" s="114" t="str">
        <f>$EB$67</f>
        <v>Water treatment</v>
      </c>
      <c r="EB2721" s="436"/>
      <c r="EC2721" s="120"/>
      <c r="ED2721" s="455"/>
      <c r="EE2721" s="120"/>
      <c r="EF2721" s="440"/>
    </row>
    <row r="2722" spans="53:136">
      <c r="BA2722" s="114" t="str">
        <f>$BB$66</f>
        <v>Water treatment</v>
      </c>
      <c r="BB2722" s="456"/>
      <c r="BC2722" s="457"/>
      <c r="BD2722" s="457"/>
      <c r="BE2722" s="457"/>
      <c r="BF2722" s="458"/>
      <c r="CA2722" s="114" t="str">
        <f>$CB$66</f>
        <v>Wheel loader</v>
      </c>
      <c r="CB2722" s="456"/>
      <c r="CC2722" s="457"/>
      <c r="CD2722" s="457"/>
      <c r="CE2722" s="457"/>
      <c r="CF2722" s="458"/>
      <c r="DA2722" s="114" t="str">
        <f>$DB$66</f>
        <v>Select Equipment</v>
      </c>
      <c r="DB2722" s="456"/>
      <c r="DC2722" s="457"/>
      <c r="DD2722" s="457"/>
      <c r="DE2722" s="457"/>
      <c r="DF2722" s="458"/>
      <c r="EA2722" s="114" t="str">
        <f>$EB$68</f>
        <v>Wheel loader</v>
      </c>
      <c r="EB2722" s="456"/>
      <c r="EC2722" s="457"/>
      <c r="ED2722" s="457"/>
      <c r="EE2722" s="457"/>
      <c r="EF2722" s="458"/>
    </row>
    <row r="2723" spans="53:136">
      <c r="BA2723" s="114" t="str">
        <f>$BB$67</f>
        <v>Select Equipment</v>
      </c>
      <c r="BB2723" s="449" t="s">
        <v>471</v>
      </c>
      <c r="BC2723" s="120"/>
      <c r="BD2723" s="454"/>
      <c r="BE2723" s="120"/>
      <c r="BF2723" s="440"/>
      <c r="CA2723" s="114" t="str">
        <f>$CB$67</f>
        <v>Select Equipment</v>
      </c>
      <c r="CB2723" s="449" t="s">
        <v>471</v>
      </c>
      <c r="CC2723" s="120"/>
      <c r="CD2723" s="454"/>
      <c r="CE2723" s="120"/>
      <c r="CF2723" s="440"/>
      <c r="DA2723" s="114" t="str">
        <f>$DB$67</f>
        <v>Select Equipment</v>
      </c>
      <c r="DB2723" s="449" t="s">
        <v>471</v>
      </c>
      <c r="DC2723" s="120"/>
      <c r="DD2723" s="454"/>
      <c r="DE2723" s="120"/>
      <c r="DF2723" s="440"/>
      <c r="EA2723" s="114" t="str">
        <f>$EB$69</f>
        <v>Select Equipment</v>
      </c>
      <c r="EB2723" s="449" t="s">
        <v>471</v>
      </c>
      <c r="EC2723" s="120"/>
      <c r="ED2723" s="454"/>
      <c r="EE2723" s="120"/>
      <c r="EF2723" s="440"/>
    </row>
    <row r="2724" spans="53:136">
      <c r="BA2724" s="114" t="str">
        <f>$BB$68</f>
        <v>Select Equipment</v>
      </c>
      <c r="BB2724" s="436" t="s">
        <v>577</v>
      </c>
      <c r="BC2724" s="225">
        <f>BC2713*IF(BC2711&gt;1,1,BC2711)</f>
        <v>0</v>
      </c>
      <c r="BD2724" s="446" t="s">
        <v>454</v>
      </c>
      <c r="BE2724" s="120"/>
      <c r="BF2724" s="440"/>
      <c r="CA2724" s="114" t="str">
        <f>$CB$68</f>
        <v>Select Equipment</v>
      </c>
      <c r="CB2724" s="436" t="s">
        <v>577</v>
      </c>
      <c r="CC2724" s="225">
        <f>CC2713*IF(CC2711&gt;1,1,CC2711)</f>
        <v>0</v>
      </c>
      <c r="CD2724" s="446" t="s">
        <v>454</v>
      </c>
      <c r="CE2724" s="120"/>
      <c r="CF2724" s="440"/>
      <c r="DA2724" s="114" t="str">
        <f>$DB$68</f>
        <v>Select Equipment</v>
      </c>
      <c r="DB2724" s="436" t="s">
        <v>577</v>
      </c>
      <c r="DC2724" s="225">
        <f>DC2713*IF(DC2711&gt;1,1,DC2711)</f>
        <v>0</v>
      </c>
      <c r="DD2724" s="446" t="s">
        <v>454</v>
      </c>
      <c r="DE2724" s="120"/>
      <c r="DF2724" s="440"/>
      <c r="EA2724" s="114" t="str">
        <f>$EB$70</f>
        <v>Select Equipment</v>
      </c>
      <c r="EB2724" s="436" t="s">
        <v>577</v>
      </c>
      <c r="EC2724" s="225">
        <f>EC2713*IF(EC2711&gt;1,1,EC2711)</f>
        <v>0</v>
      </c>
      <c r="ED2724" s="446" t="s">
        <v>454</v>
      </c>
      <c r="EE2724" s="120"/>
      <c r="EF2724" s="440"/>
    </row>
    <row r="2725" spans="53:136">
      <c r="BA2725" s="114" t="str">
        <f>$BB$69</f>
        <v>Select Equipment</v>
      </c>
      <c r="BB2725" s="436" t="s">
        <v>578</v>
      </c>
      <c r="BC2725" s="225"/>
      <c r="BD2725" s="446" t="s">
        <v>579</v>
      </c>
      <c r="BE2725" s="120"/>
      <c r="BF2725" s="440"/>
      <c r="CA2725" s="114" t="str">
        <f>$CB$69</f>
        <v>Select Equipment</v>
      </c>
      <c r="CB2725" s="436" t="s">
        <v>578</v>
      </c>
      <c r="CC2725" s="225"/>
      <c r="CD2725" s="446" t="s">
        <v>579</v>
      </c>
      <c r="CE2725" s="120"/>
      <c r="CF2725" s="440"/>
      <c r="DA2725" s="114" t="str">
        <f>$DB$69</f>
        <v>Select Equipment</v>
      </c>
      <c r="DB2725" s="436" t="s">
        <v>578</v>
      </c>
      <c r="DC2725" s="225"/>
      <c r="DD2725" s="446" t="s">
        <v>579</v>
      </c>
      <c r="DE2725" s="120"/>
      <c r="DF2725" s="440"/>
      <c r="EA2725" s="114" t="str">
        <f>$EB$71</f>
        <v>Select Equipment</v>
      </c>
      <c r="EB2725" s="436" t="s">
        <v>578</v>
      </c>
      <c r="EC2725" s="225"/>
      <c r="ED2725" s="446" t="s">
        <v>579</v>
      </c>
      <c r="EE2725" s="120"/>
      <c r="EF2725" s="440"/>
    </row>
    <row r="2726" spans="53:136">
      <c r="BA2726" s="114" t="str">
        <f>$BB$70</f>
        <v>Select Equipment</v>
      </c>
      <c r="BB2726" s="436"/>
      <c r="BC2726" s="120"/>
      <c r="BD2726" s="446"/>
      <c r="BE2726" s="120"/>
      <c r="BF2726" s="440"/>
      <c r="CA2726" s="114" t="str">
        <f>$CB$70</f>
        <v>Select Equipment</v>
      </c>
      <c r="CB2726" s="436"/>
      <c r="CC2726" s="120"/>
      <c r="CD2726" s="446"/>
      <c r="CE2726" s="120"/>
      <c r="CF2726" s="440"/>
      <c r="DA2726" s="114" t="str">
        <f>$DB$70</f>
        <v>Select Equipment</v>
      </c>
      <c r="DB2726" s="436"/>
      <c r="DC2726" s="120"/>
      <c r="DD2726" s="446"/>
      <c r="DE2726" s="120"/>
      <c r="DF2726" s="440"/>
      <c r="EA2726" s="114" t="str">
        <f>$EB$72</f>
        <v>Select Equipment</v>
      </c>
      <c r="EB2726" s="436"/>
      <c r="EC2726" s="120"/>
      <c r="ED2726" s="446"/>
      <c r="EE2726" s="120"/>
      <c r="EF2726" s="440"/>
    </row>
    <row r="2727" spans="53:136">
      <c r="BA2727" s="114" t="str">
        <f>$BB$71</f>
        <v>Select Equipment</v>
      </c>
      <c r="BB2727" s="436" t="s">
        <v>8</v>
      </c>
      <c r="BC2727" s="120"/>
      <c r="BD2727" s="459" t="s">
        <v>564</v>
      </c>
      <c r="BE2727" s="120"/>
      <c r="BF2727" s="440"/>
      <c r="CA2727" s="114" t="str">
        <f>$CB$71</f>
        <v>Select Equipment</v>
      </c>
      <c r="CB2727" s="436" t="s">
        <v>8</v>
      </c>
      <c r="CC2727" s="120"/>
      <c r="CD2727" s="459" t="s">
        <v>564</v>
      </c>
      <c r="CE2727" s="120"/>
      <c r="CF2727" s="440"/>
      <c r="DA2727" s="114" t="str">
        <f>$DB$71</f>
        <v>Select Equipment</v>
      </c>
      <c r="DB2727" s="436" t="s">
        <v>8</v>
      </c>
      <c r="DC2727" s="120"/>
      <c r="DD2727" s="459" t="s">
        <v>564</v>
      </c>
      <c r="DE2727" s="120"/>
      <c r="DF2727" s="440"/>
      <c r="EA2727" s="114" t="str">
        <f>$EB$73</f>
        <v>Select Equipment</v>
      </c>
      <c r="EB2727" s="436" t="s">
        <v>8</v>
      </c>
      <c r="EC2727" s="120"/>
      <c r="ED2727" s="459" t="s">
        <v>564</v>
      </c>
      <c r="EE2727" s="120"/>
      <c r="EF2727" s="440"/>
    </row>
    <row r="2728" spans="53:136">
      <c r="BA2728" s="114" t="str">
        <f>$BB$72</f>
        <v>Select Equipment</v>
      </c>
      <c r="BB2728" s="436"/>
      <c r="BC2728" s="120"/>
      <c r="BD2728" s="459"/>
      <c r="BE2728" s="120"/>
      <c r="BF2728" s="440"/>
      <c r="CA2728" s="114" t="str">
        <f>$CB$72</f>
        <v>Select Equipment</v>
      </c>
      <c r="CB2728" s="436"/>
      <c r="CC2728" s="120"/>
      <c r="CD2728" s="459"/>
      <c r="CE2728" s="120"/>
      <c r="CF2728" s="440"/>
      <c r="DA2728" s="114" t="str">
        <f>$DB$72</f>
        <v>Select Equipment</v>
      </c>
      <c r="DB2728" s="436"/>
      <c r="DC2728" s="120"/>
      <c r="DD2728" s="459"/>
      <c r="DE2728" s="120"/>
      <c r="DF2728" s="440"/>
      <c r="EA2728" s="114" t="str">
        <f>$EB$74</f>
        <v>Select Equipment</v>
      </c>
      <c r="EB2728" s="436"/>
      <c r="EC2728" s="120"/>
      <c r="ED2728" s="459"/>
      <c r="EE2728" s="120"/>
      <c r="EF2728" s="440"/>
    </row>
    <row r="2729" spans="53:136">
      <c r="BA2729" s="114" t="str">
        <f>$BB$73</f>
        <v>Select Equipment</v>
      </c>
      <c r="BB2729" s="436" t="s">
        <v>7</v>
      </c>
      <c r="BC2729" s="120"/>
      <c r="BD2729" s="459" t="s">
        <v>564</v>
      </c>
      <c r="BE2729" s="120"/>
      <c r="BF2729" s="440"/>
      <c r="CA2729" s="114" t="str">
        <f>$CB$73</f>
        <v>Select Equipment</v>
      </c>
      <c r="CB2729" s="436" t="s">
        <v>7</v>
      </c>
      <c r="CC2729" s="120"/>
      <c r="CD2729" s="459" t="s">
        <v>564</v>
      </c>
      <c r="CE2729" s="120"/>
      <c r="CF2729" s="440"/>
      <c r="DA2729" s="114" t="str">
        <f>$DB$73</f>
        <v>Select Equipment</v>
      </c>
      <c r="DB2729" s="436" t="s">
        <v>7</v>
      </c>
      <c r="DC2729" s="120"/>
      <c r="DD2729" s="459" t="s">
        <v>564</v>
      </c>
      <c r="DE2729" s="120"/>
      <c r="DF2729" s="440"/>
      <c r="EA2729" s="114" t="str">
        <f>$EB$75</f>
        <v>Select Equipment</v>
      </c>
      <c r="EB2729" s="436" t="s">
        <v>7</v>
      </c>
      <c r="EC2729" s="120"/>
      <c r="ED2729" s="459" t="s">
        <v>564</v>
      </c>
      <c r="EE2729" s="120"/>
      <c r="EF2729" s="440"/>
    </row>
    <row r="2730" spans="53:136">
      <c r="BA2730" s="114" t="str">
        <f>$BB$74</f>
        <v>Select Equipment</v>
      </c>
      <c r="BB2730" s="436"/>
      <c r="BC2730" s="120"/>
      <c r="BD2730" s="459"/>
      <c r="BE2730" s="120"/>
      <c r="BF2730" s="440"/>
      <c r="CA2730" s="114" t="str">
        <f>$CB$74</f>
        <v>Select Equipment</v>
      </c>
      <c r="CB2730" s="436"/>
      <c r="CC2730" s="120"/>
      <c r="CD2730" s="459"/>
      <c r="CE2730" s="120"/>
      <c r="CF2730" s="440"/>
      <c r="DA2730" s="114" t="str">
        <f>$DB$74</f>
        <v>Select Equipment</v>
      </c>
      <c r="DB2730" s="436"/>
      <c r="DC2730" s="120"/>
      <c r="DD2730" s="459"/>
      <c r="DE2730" s="120"/>
      <c r="DF2730" s="440"/>
      <c r="EA2730" s="114" t="str">
        <f>$EB$76</f>
        <v>Select Equipment</v>
      </c>
      <c r="EB2730" s="436"/>
      <c r="EC2730" s="120"/>
      <c r="ED2730" s="459"/>
      <c r="EE2730" s="120"/>
      <c r="EF2730" s="440"/>
    </row>
    <row r="2731" spans="53:136">
      <c r="BA2731" s="114" t="str">
        <f>$BB$75</f>
        <v>Select Equipment</v>
      </c>
      <c r="BB2731" s="436" t="s">
        <v>9</v>
      </c>
      <c r="BC2731" s="120"/>
      <c r="BD2731" s="459" t="s">
        <v>564</v>
      </c>
      <c r="BE2731" s="120"/>
      <c r="BF2731" s="440"/>
      <c r="CA2731" s="114" t="str">
        <f>$CB$75</f>
        <v>Select Equipment</v>
      </c>
      <c r="CB2731" s="436" t="s">
        <v>9</v>
      </c>
      <c r="CC2731" s="120"/>
      <c r="CD2731" s="459" t="s">
        <v>564</v>
      </c>
      <c r="CE2731" s="120"/>
      <c r="CF2731" s="440"/>
      <c r="DA2731" s="114" t="str">
        <f>$DB$75</f>
        <v>Select Equipment</v>
      </c>
      <c r="DB2731" s="436" t="s">
        <v>9</v>
      </c>
      <c r="DC2731" s="120"/>
      <c r="DD2731" s="459" t="s">
        <v>564</v>
      </c>
      <c r="DE2731" s="120"/>
      <c r="DF2731" s="440"/>
      <c r="EA2731" s="114" t="str">
        <f>$EB$77</f>
        <v>Select Equipment</v>
      </c>
      <c r="EB2731" s="436" t="s">
        <v>9</v>
      </c>
      <c r="EC2731" s="120"/>
      <c r="ED2731" s="459" t="s">
        <v>564</v>
      </c>
      <c r="EE2731" s="120"/>
      <c r="EF2731" s="440"/>
    </row>
    <row r="2732" spans="53:136">
      <c r="BA2732" s="114" t="str">
        <f>$BB$76</f>
        <v>Select Equipment</v>
      </c>
      <c r="BB2732" s="436"/>
      <c r="BC2732" s="120"/>
      <c r="BD2732" s="459"/>
      <c r="BE2732" s="120"/>
      <c r="BF2732" s="440"/>
      <c r="CA2732" s="114" t="str">
        <f>$CB$76</f>
        <v>Select Equipment</v>
      </c>
      <c r="CB2732" s="436"/>
      <c r="CC2732" s="120"/>
      <c r="CD2732" s="459"/>
      <c r="CE2732" s="120"/>
      <c r="CF2732" s="440"/>
      <c r="DA2732" s="114" t="str">
        <f>$DB$76</f>
        <v>Select Equipment</v>
      </c>
      <c r="DB2732" s="436"/>
      <c r="DC2732" s="120"/>
      <c r="DD2732" s="459"/>
      <c r="DE2732" s="120"/>
      <c r="DF2732" s="440"/>
      <c r="EA2732" s="114" t="str">
        <f>$EB$78</f>
        <v>Select Equipment</v>
      </c>
      <c r="EB2732" s="436"/>
      <c r="EC2732" s="120"/>
      <c r="ED2732" s="459"/>
      <c r="EE2732" s="120"/>
      <c r="EF2732" s="440"/>
    </row>
    <row r="2733" spans="53:136">
      <c r="BA2733" s="114" t="str">
        <f>$BB$77</f>
        <v>Select Equipment</v>
      </c>
      <c r="BB2733" s="436" t="s">
        <v>324</v>
      </c>
      <c r="BC2733" s="120"/>
      <c r="BD2733" s="459" t="s">
        <v>564</v>
      </c>
      <c r="BE2733" s="120"/>
      <c r="BF2733" s="440" t="s">
        <v>569</v>
      </c>
      <c r="CA2733" s="114" t="str">
        <f>$CB$77</f>
        <v>Select Equipment</v>
      </c>
      <c r="CB2733" s="436" t="s">
        <v>324</v>
      </c>
      <c r="CC2733" s="120"/>
      <c r="CD2733" s="459" t="s">
        <v>564</v>
      </c>
      <c r="CE2733" s="120"/>
      <c r="CF2733" s="440" t="s">
        <v>569</v>
      </c>
      <c r="DA2733" s="114" t="str">
        <f>$DB$77</f>
        <v>Select Equipment</v>
      </c>
      <c r="DB2733" s="436" t="s">
        <v>324</v>
      </c>
      <c r="DC2733" s="120"/>
      <c r="DD2733" s="459" t="s">
        <v>564</v>
      </c>
      <c r="DE2733" s="120"/>
      <c r="DF2733" s="440" t="s">
        <v>569</v>
      </c>
      <c r="EA2733" s="114" t="str">
        <f>$EB$79</f>
        <v>Select Equipment</v>
      </c>
      <c r="EB2733" s="436" t="s">
        <v>324</v>
      </c>
      <c r="EC2733" s="120"/>
      <c r="ED2733" s="459" t="s">
        <v>564</v>
      </c>
      <c r="EE2733" s="120"/>
      <c r="EF2733" s="440" t="s">
        <v>569</v>
      </c>
    </row>
    <row r="2734" spans="53:136">
      <c r="BA2734" s="114" t="str">
        <f>$BB$78</f>
        <v>Select Equipment</v>
      </c>
      <c r="BB2734" s="436"/>
      <c r="BC2734" s="120"/>
      <c r="BD2734" s="468"/>
      <c r="BE2734" s="469"/>
      <c r="BF2734" s="440"/>
      <c r="CA2734" s="114" t="str">
        <f>$CB$78</f>
        <v>Select Equipment</v>
      </c>
      <c r="CB2734" s="436"/>
      <c r="CC2734" s="120"/>
      <c r="CD2734" s="468"/>
      <c r="CE2734" s="469"/>
      <c r="CF2734" s="440"/>
      <c r="DA2734" s="114" t="str">
        <f>$DB$78</f>
        <v>Select Equipment</v>
      </c>
      <c r="DB2734" s="436"/>
      <c r="DC2734" s="120"/>
      <c r="DD2734" s="468"/>
      <c r="DE2734" s="469"/>
      <c r="DF2734" s="440"/>
      <c r="EA2734" s="114" t="str">
        <f>$EB$80</f>
        <v>Select Equipment</v>
      </c>
      <c r="EB2734" s="436"/>
      <c r="EC2734" s="120"/>
      <c r="ED2734" s="468"/>
      <c r="EE2734" s="469"/>
      <c r="EF2734" s="440"/>
    </row>
    <row r="2735" spans="53:136">
      <c r="BA2735" s="114" t="str">
        <f>$BB$79</f>
        <v>Select Equipment</v>
      </c>
      <c r="BB2735" s="436" t="s">
        <v>374</v>
      </c>
      <c r="BC2735" s="120"/>
      <c r="BD2735" s="459" t="s">
        <v>564</v>
      </c>
      <c r="BE2735" s="469"/>
      <c r="BF2735" s="440" t="s">
        <v>569</v>
      </c>
      <c r="CA2735" s="114" t="str">
        <f>$CB$79</f>
        <v>Select Equipment</v>
      </c>
      <c r="CB2735" s="436" t="s">
        <v>374</v>
      </c>
      <c r="CC2735" s="120"/>
      <c r="CD2735" s="459" t="s">
        <v>564</v>
      </c>
      <c r="CE2735" s="469"/>
      <c r="CF2735" s="440" t="s">
        <v>569</v>
      </c>
      <c r="DA2735" s="114" t="str">
        <f>$DB$79</f>
        <v>Select Equipment</v>
      </c>
      <c r="DB2735" s="436" t="s">
        <v>374</v>
      </c>
      <c r="DC2735" s="120"/>
      <c r="DD2735" s="459" t="s">
        <v>564</v>
      </c>
      <c r="DE2735" s="469"/>
      <c r="DF2735" s="440" t="s">
        <v>569</v>
      </c>
      <c r="EA2735" s="114" t="str">
        <f>$EB$81</f>
        <v>Select Equipment</v>
      </c>
      <c r="EB2735" s="436" t="s">
        <v>374</v>
      </c>
      <c r="EC2735" s="120"/>
      <c r="ED2735" s="459" t="s">
        <v>564</v>
      </c>
      <c r="EE2735" s="469"/>
      <c r="EF2735" s="440" t="s">
        <v>569</v>
      </c>
    </row>
    <row r="2736" spans="53:136">
      <c r="BA2736" s="114" t="str">
        <f>$BB$80</f>
        <v>Select Equipment</v>
      </c>
      <c r="BB2736" s="436"/>
      <c r="BC2736" s="120"/>
      <c r="BD2736" s="472"/>
      <c r="BE2736" s="473"/>
      <c r="BF2736" s="440"/>
      <c r="CA2736" s="114" t="str">
        <f>$CB$80</f>
        <v>Select Equipment</v>
      </c>
      <c r="CB2736" s="436"/>
      <c r="CC2736" s="120"/>
      <c r="CD2736" s="472"/>
      <c r="CE2736" s="473"/>
      <c r="CF2736" s="440"/>
      <c r="DA2736" s="114" t="str">
        <f>$DB$80</f>
        <v>Select Equipment</v>
      </c>
      <c r="DB2736" s="436"/>
      <c r="DC2736" s="120"/>
      <c r="DD2736" s="472"/>
      <c r="DE2736" s="473"/>
      <c r="DF2736" s="440"/>
      <c r="EA2736" s="114" t="str">
        <f>$EB$82</f>
        <v>Select Equipment</v>
      </c>
      <c r="EB2736" s="436"/>
      <c r="EC2736" s="120"/>
      <c r="ED2736" s="472"/>
      <c r="EE2736" s="473"/>
      <c r="EF2736" s="440"/>
    </row>
    <row r="2737" spans="53:136">
      <c r="BA2737" s="114" t="str">
        <f>$BB$81</f>
        <v>Select Equipment</v>
      </c>
      <c r="BB2737" s="436" t="s">
        <v>580</v>
      </c>
      <c r="BC2737" s="120"/>
      <c r="BD2737" s="459" t="s">
        <v>564</v>
      </c>
      <c r="BE2737" s="473"/>
      <c r="BF2737" s="440" t="s">
        <v>569</v>
      </c>
      <c r="CA2737" s="114" t="str">
        <f>$CB$81</f>
        <v>Select Equipment</v>
      </c>
      <c r="CB2737" s="436" t="s">
        <v>580</v>
      </c>
      <c r="CC2737" s="120"/>
      <c r="CD2737" s="459" t="s">
        <v>564</v>
      </c>
      <c r="CE2737" s="473"/>
      <c r="CF2737" s="440" t="s">
        <v>569</v>
      </c>
      <c r="DA2737" s="114" t="str">
        <f>$DB$81</f>
        <v>Select Equipment</v>
      </c>
      <c r="DB2737" s="436" t="s">
        <v>580</v>
      </c>
      <c r="DC2737" s="120"/>
      <c r="DD2737" s="459" t="s">
        <v>564</v>
      </c>
      <c r="DE2737" s="473"/>
      <c r="DF2737" s="440" t="s">
        <v>569</v>
      </c>
      <c r="EA2737" s="114" t="str">
        <f>$EB$83</f>
        <v>Select Equipment</v>
      </c>
      <c r="EB2737" s="436" t="s">
        <v>580</v>
      </c>
      <c r="EC2737" s="120"/>
      <c r="ED2737" s="459" t="s">
        <v>564</v>
      </c>
      <c r="EE2737" s="473"/>
      <c r="EF2737" s="440" t="s">
        <v>569</v>
      </c>
    </row>
    <row r="2738" spans="53:136">
      <c r="BA2738" s="114" t="str">
        <f>$BB$82</f>
        <v>Select Equipment</v>
      </c>
      <c r="BB2738" s="476"/>
      <c r="BC2738" s="477"/>
      <c r="BD2738" s="478"/>
      <c r="BE2738" s="479"/>
      <c r="BF2738" s="458"/>
      <c r="CA2738" s="114" t="str">
        <f>$CB$82</f>
        <v>Select Equipment</v>
      </c>
      <c r="CB2738" s="476"/>
      <c r="CC2738" s="477"/>
      <c r="CD2738" s="478"/>
      <c r="CE2738" s="479"/>
      <c r="CF2738" s="458"/>
      <c r="DA2738" s="114" t="str">
        <f>$DB$82</f>
        <v>Select Equipment</v>
      </c>
      <c r="DB2738" s="476"/>
      <c r="DC2738" s="477"/>
      <c r="DD2738" s="478"/>
      <c r="DE2738" s="479"/>
      <c r="DF2738" s="458"/>
      <c r="EA2738" s="114" t="str">
        <f>$EB$84</f>
        <v>Select Equipment</v>
      </c>
      <c r="EB2738" s="476"/>
      <c r="EC2738" s="477"/>
      <c r="ED2738" s="478"/>
      <c r="EE2738" s="479"/>
      <c r="EF2738" s="458"/>
    </row>
    <row r="2739" spans="53:136">
      <c r="BA2739" s="114" t="str">
        <f>$BB$83</f>
        <v>Select Equipment</v>
      </c>
      <c r="BB2739" s="449" t="s">
        <v>473</v>
      </c>
      <c r="BC2739" s="467" t="s">
        <v>508</v>
      </c>
      <c r="BD2739" s="480"/>
      <c r="BE2739" s="481" t="s">
        <v>308</v>
      </c>
      <c r="BF2739" s="440"/>
      <c r="CA2739" s="114" t="str">
        <f>$CB$83</f>
        <v>Select Equipment</v>
      </c>
      <c r="CB2739" s="449" t="s">
        <v>473</v>
      </c>
      <c r="CC2739" s="467" t="s">
        <v>508</v>
      </c>
      <c r="CD2739" s="480"/>
      <c r="CE2739" s="481" t="s">
        <v>308</v>
      </c>
      <c r="CF2739" s="440"/>
      <c r="DA2739" s="114" t="str">
        <f>$DB$83</f>
        <v>Select Equipment</v>
      </c>
      <c r="DB2739" s="449" t="s">
        <v>473</v>
      </c>
      <c r="DC2739" s="467" t="s">
        <v>508</v>
      </c>
      <c r="DD2739" s="480"/>
      <c r="DE2739" s="481" t="s">
        <v>308</v>
      </c>
      <c r="DF2739" s="440"/>
      <c r="EA2739" s="114" t="str">
        <f>$EB$85</f>
        <v>Select Equipment</v>
      </c>
      <c r="EB2739" s="449" t="s">
        <v>473</v>
      </c>
      <c r="EC2739" s="467" t="s">
        <v>508</v>
      </c>
      <c r="ED2739" s="480"/>
      <c r="EE2739" s="481" t="s">
        <v>308</v>
      </c>
      <c r="EF2739" s="440"/>
    </row>
    <row r="2740" spans="53:136">
      <c r="BB2740" s="436"/>
      <c r="BC2740" s="483"/>
      <c r="BD2740" s="480"/>
      <c r="BE2740" s="484"/>
      <c r="BF2740" s="440"/>
      <c r="CB2740" s="436"/>
      <c r="CC2740" s="483"/>
      <c r="CD2740" s="480"/>
      <c r="CE2740" s="484"/>
      <c r="CF2740" s="440"/>
      <c r="DB2740" s="436"/>
      <c r="DC2740" s="483"/>
      <c r="DD2740" s="480"/>
      <c r="DE2740" s="484"/>
      <c r="DF2740" s="440"/>
      <c r="EB2740" s="436"/>
      <c r="EC2740" s="483"/>
      <c r="ED2740" s="480"/>
      <c r="EE2740" s="484"/>
      <c r="EF2740" s="440"/>
    </row>
    <row r="2741" spans="53:136">
      <c r="BB2741" s="436"/>
      <c r="BC2741" s="120"/>
      <c r="BD2741" s="223"/>
      <c r="BE2741" s="467"/>
      <c r="BF2741" s="440"/>
      <c r="CB2741" s="436"/>
      <c r="CC2741" s="120"/>
      <c r="CD2741" s="223"/>
      <c r="CE2741" s="467"/>
      <c r="CF2741" s="440"/>
      <c r="DB2741" s="436"/>
      <c r="DC2741" s="120"/>
      <c r="DD2741" s="223"/>
      <c r="DE2741" s="467"/>
      <c r="DF2741" s="440"/>
      <c r="EB2741" s="436"/>
      <c r="EC2741" s="120"/>
      <c r="ED2741" s="223"/>
      <c r="EE2741" s="467"/>
      <c r="EF2741" s="440"/>
    </row>
    <row r="2742" spans="53:136">
      <c r="BB2742" s="436"/>
      <c r="BC2742" s="120"/>
      <c r="BD2742" s="466"/>
      <c r="BE2742" s="467"/>
      <c r="BF2742" s="440"/>
      <c r="CB2742" s="436"/>
      <c r="CC2742" s="120"/>
      <c r="CD2742" s="466"/>
      <c r="CE2742" s="467"/>
      <c r="CF2742" s="440"/>
      <c r="DB2742" s="436"/>
      <c r="DC2742" s="120"/>
      <c r="DD2742" s="466"/>
      <c r="DE2742" s="467"/>
      <c r="DF2742" s="440"/>
      <c r="EB2742" s="436"/>
      <c r="EC2742" s="120"/>
      <c r="ED2742" s="466"/>
      <c r="EE2742" s="467"/>
      <c r="EF2742" s="440"/>
    </row>
    <row r="2743" spans="53:136">
      <c r="BB2743" s="436"/>
      <c r="BC2743" s="120"/>
      <c r="BD2743" s="223"/>
      <c r="BE2743" s="467"/>
      <c r="BF2743" s="440"/>
      <c r="CB2743" s="436"/>
      <c r="CC2743" s="120"/>
      <c r="CD2743" s="223"/>
      <c r="CE2743" s="467"/>
      <c r="CF2743" s="440"/>
      <c r="DB2743" s="436"/>
      <c r="DC2743" s="120"/>
      <c r="DD2743" s="223"/>
      <c r="DE2743" s="467"/>
      <c r="DF2743" s="440"/>
      <c r="EB2743" s="436"/>
      <c r="EC2743" s="120"/>
      <c r="ED2743" s="223"/>
      <c r="EE2743" s="467"/>
      <c r="EF2743" s="440"/>
    </row>
    <row r="2744" spans="53:136">
      <c r="BB2744" s="436"/>
      <c r="BC2744" s="120"/>
      <c r="BD2744" s="223"/>
      <c r="BE2744" s="467"/>
      <c r="BF2744" s="440"/>
      <c r="CB2744" s="436"/>
      <c r="CC2744" s="120"/>
      <c r="CD2744" s="223"/>
      <c r="CE2744" s="467"/>
      <c r="CF2744" s="440"/>
      <c r="DB2744" s="436"/>
      <c r="DC2744" s="120"/>
      <c r="DD2744" s="223"/>
      <c r="DE2744" s="467"/>
      <c r="DF2744" s="440"/>
      <c r="EB2744" s="436"/>
      <c r="EC2744" s="120"/>
      <c r="ED2744" s="223"/>
      <c r="EE2744" s="467"/>
      <c r="EF2744" s="440"/>
    </row>
    <row r="2745" spans="53:136">
      <c r="BB2745" s="436"/>
      <c r="BC2745" s="120"/>
      <c r="BD2745" s="471"/>
      <c r="BE2745" s="467"/>
      <c r="BF2745" s="440"/>
      <c r="CB2745" s="436"/>
      <c r="CC2745" s="120"/>
      <c r="CD2745" s="471"/>
      <c r="CE2745" s="467"/>
      <c r="CF2745" s="440"/>
      <c r="DB2745" s="436"/>
      <c r="DC2745" s="120"/>
      <c r="DD2745" s="471"/>
      <c r="DE2745" s="467"/>
      <c r="DF2745" s="440"/>
      <c r="EB2745" s="436"/>
      <c r="EC2745" s="120"/>
      <c r="ED2745" s="471"/>
      <c r="EE2745" s="467"/>
      <c r="EF2745" s="440"/>
    </row>
    <row r="2746" spans="53:136">
      <c r="BB2746" s="436"/>
      <c r="BC2746" s="120"/>
      <c r="BD2746" s="223"/>
      <c r="BE2746" s="467"/>
      <c r="BF2746" s="440"/>
      <c r="CB2746" s="436"/>
      <c r="CC2746" s="120"/>
      <c r="CD2746" s="223"/>
      <c r="CE2746" s="467"/>
      <c r="CF2746" s="440"/>
      <c r="DB2746" s="436"/>
      <c r="DC2746" s="120"/>
      <c r="DD2746" s="223"/>
      <c r="DE2746" s="467"/>
      <c r="DF2746" s="440"/>
      <c r="EB2746" s="436"/>
      <c r="EC2746" s="120"/>
      <c r="ED2746" s="223"/>
      <c r="EE2746" s="467"/>
      <c r="EF2746" s="440"/>
    </row>
    <row r="2747" spans="53:136">
      <c r="BB2747" s="436"/>
      <c r="BC2747" s="120"/>
      <c r="BD2747" s="475"/>
      <c r="BE2747" s="467"/>
      <c r="BF2747" s="440"/>
      <c r="CB2747" s="436"/>
      <c r="CC2747" s="120"/>
      <c r="CD2747" s="475"/>
      <c r="CE2747" s="467"/>
      <c r="CF2747" s="440"/>
      <c r="DB2747" s="436"/>
      <c r="DC2747" s="120"/>
      <c r="DD2747" s="475"/>
      <c r="DE2747" s="467"/>
      <c r="DF2747" s="440"/>
      <c r="EB2747" s="436"/>
      <c r="EC2747" s="120"/>
      <c r="ED2747" s="475"/>
      <c r="EE2747" s="467"/>
      <c r="EF2747" s="440"/>
    </row>
    <row r="2748" spans="53:136">
      <c r="BB2748" s="436"/>
      <c r="BC2748" s="120"/>
      <c r="BD2748" s="223"/>
      <c r="BE2748" s="467"/>
      <c r="BF2748" s="440"/>
      <c r="CB2748" s="436"/>
      <c r="CC2748" s="120"/>
      <c r="CD2748" s="223"/>
      <c r="CE2748" s="467"/>
      <c r="CF2748" s="440"/>
      <c r="DB2748" s="436"/>
      <c r="DC2748" s="120"/>
      <c r="DD2748" s="223"/>
      <c r="DE2748" s="467"/>
      <c r="DF2748" s="440"/>
      <c r="EB2748" s="436"/>
      <c r="EC2748" s="120"/>
      <c r="ED2748" s="223"/>
      <c r="EE2748" s="467"/>
      <c r="EF2748" s="440"/>
    </row>
    <row r="2749" spans="53:136">
      <c r="BB2749" s="436"/>
      <c r="BC2749" s="120"/>
      <c r="BD2749" s="223"/>
      <c r="BE2749" s="467"/>
      <c r="BF2749" s="440"/>
      <c r="CB2749" s="436"/>
      <c r="CC2749" s="120"/>
      <c r="CD2749" s="223"/>
      <c r="CE2749" s="467"/>
      <c r="CF2749" s="440"/>
      <c r="DB2749" s="436"/>
      <c r="DC2749" s="120"/>
      <c r="DD2749" s="223"/>
      <c r="DE2749" s="467"/>
      <c r="DF2749" s="440"/>
      <c r="EB2749" s="436"/>
      <c r="EC2749" s="120"/>
      <c r="ED2749" s="223"/>
      <c r="EE2749" s="467"/>
      <c r="EF2749" s="440"/>
    </row>
    <row r="2750" spans="53:136">
      <c r="BB2750" s="436"/>
      <c r="BC2750" s="120"/>
      <c r="BD2750" s="223"/>
      <c r="BE2750" s="467"/>
      <c r="BF2750" s="440"/>
      <c r="CB2750" s="436"/>
      <c r="CC2750" s="120"/>
      <c r="CD2750" s="223"/>
      <c r="CE2750" s="467"/>
      <c r="CF2750" s="440"/>
      <c r="DB2750" s="436"/>
      <c r="DC2750" s="120"/>
      <c r="DD2750" s="223"/>
      <c r="DE2750" s="467"/>
      <c r="DF2750" s="440"/>
      <c r="EB2750" s="436"/>
      <c r="EC2750" s="120"/>
      <c r="ED2750" s="223"/>
      <c r="EE2750" s="467"/>
      <c r="EF2750" s="440"/>
    </row>
    <row r="2751" spans="53:136">
      <c r="BB2751" s="436"/>
      <c r="BC2751" s="120"/>
      <c r="BD2751" s="223"/>
      <c r="BE2751" s="467"/>
      <c r="BF2751" s="440"/>
      <c r="CB2751" s="436"/>
      <c r="CC2751" s="120"/>
      <c r="CD2751" s="223"/>
      <c r="CE2751" s="467"/>
      <c r="CF2751" s="440"/>
      <c r="DB2751" s="436"/>
      <c r="DC2751" s="120"/>
      <c r="DD2751" s="223"/>
      <c r="DE2751" s="467"/>
      <c r="DF2751" s="440"/>
      <c r="EB2751" s="436"/>
      <c r="EC2751" s="120"/>
      <c r="ED2751" s="223"/>
      <c r="EE2751" s="467"/>
      <c r="EF2751" s="440"/>
    </row>
    <row r="2752" spans="53:136">
      <c r="BB2752" s="436"/>
      <c r="BC2752" s="120"/>
      <c r="BD2752" s="120"/>
      <c r="BE2752" s="467"/>
      <c r="BF2752" s="440"/>
      <c r="CB2752" s="436"/>
      <c r="CC2752" s="120"/>
      <c r="CD2752" s="120"/>
      <c r="CE2752" s="467"/>
      <c r="CF2752" s="440"/>
      <c r="DB2752" s="436"/>
      <c r="DC2752" s="120"/>
      <c r="DD2752" s="120"/>
      <c r="DE2752" s="467"/>
      <c r="DF2752" s="440"/>
      <c r="EB2752" s="436"/>
      <c r="EC2752" s="120"/>
      <c r="ED2752" s="120"/>
      <c r="EE2752" s="467"/>
      <c r="EF2752" s="440"/>
    </row>
    <row r="2753" spans="54:136">
      <c r="BB2753" s="456"/>
      <c r="BC2753" s="457"/>
      <c r="BD2753" s="457"/>
      <c r="BE2753" s="477"/>
      <c r="BF2753" s="458"/>
      <c r="CB2753" s="456"/>
      <c r="CC2753" s="457"/>
      <c r="CD2753" s="457"/>
      <c r="CE2753" s="477"/>
      <c r="CF2753" s="458"/>
      <c r="DB2753" s="456"/>
      <c r="DC2753" s="457"/>
      <c r="DD2753" s="457"/>
      <c r="DE2753" s="477"/>
      <c r="DF2753" s="458"/>
      <c r="EB2753" s="456"/>
      <c r="EC2753" s="457"/>
      <c r="ED2753" s="457"/>
      <c r="EE2753" s="477"/>
      <c r="EF2753" s="458"/>
    </row>
    <row r="2754" spans="54:136">
      <c r="BB2754" s="449" t="s">
        <v>474</v>
      </c>
      <c r="BC2754" s="120"/>
      <c r="BD2754" s="120" t="s">
        <v>1</v>
      </c>
      <c r="BE2754" s="310" t="s">
        <v>307</v>
      </c>
      <c r="BF2754" s="440"/>
      <c r="CB2754" s="449" t="s">
        <v>474</v>
      </c>
      <c r="CC2754" s="120"/>
      <c r="CD2754" s="120" t="s">
        <v>1</v>
      </c>
      <c r="CE2754" s="310" t="s">
        <v>307</v>
      </c>
      <c r="CF2754" s="440"/>
      <c r="DB2754" s="449" t="s">
        <v>474</v>
      </c>
      <c r="DC2754" s="120"/>
      <c r="DD2754" s="120" t="s">
        <v>1</v>
      </c>
      <c r="DE2754" s="310" t="s">
        <v>307</v>
      </c>
      <c r="DF2754" s="440"/>
      <c r="EB2754" s="449" t="s">
        <v>474</v>
      </c>
      <c r="EC2754" s="120"/>
      <c r="ED2754" s="120" t="s">
        <v>1</v>
      </c>
      <c r="EE2754" s="310" t="s">
        <v>307</v>
      </c>
      <c r="EF2754" s="440"/>
    </row>
    <row r="2755" spans="54:136">
      <c r="BB2755" s="436"/>
      <c r="BC2755" s="223"/>
      <c r="BD2755" s="480"/>
      <c r="BE2755" s="484"/>
      <c r="BF2755" s="440"/>
      <c r="CB2755" s="436"/>
      <c r="CC2755" s="223"/>
      <c r="CD2755" s="480"/>
      <c r="CE2755" s="484"/>
      <c r="CF2755" s="440"/>
      <c r="DB2755" s="436"/>
      <c r="DC2755" s="223"/>
      <c r="DD2755" s="480"/>
      <c r="DE2755" s="484"/>
      <c r="DF2755" s="440"/>
      <c r="EB2755" s="436"/>
      <c r="EC2755" s="223"/>
      <c r="ED2755" s="480"/>
      <c r="EE2755" s="484"/>
      <c r="EF2755" s="440"/>
    </row>
    <row r="2756" spans="54:136">
      <c r="BB2756" s="436"/>
      <c r="BC2756" s="120"/>
      <c r="BD2756" s="120"/>
      <c r="BE2756" s="467"/>
      <c r="BF2756" s="440"/>
      <c r="CB2756" s="436"/>
      <c r="CC2756" s="120"/>
      <c r="CD2756" s="120"/>
      <c r="CE2756" s="467"/>
      <c r="CF2756" s="440"/>
      <c r="DB2756" s="436"/>
      <c r="DC2756" s="120"/>
      <c r="DD2756" s="120"/>
      <c r="DE2756" s="467"/>
      <c r="DF2756" s="440"/>
      <c r="EB2756" s="436"/>
      <c r="EC2756" s="120"/>
      <c r="ED2756" s="120"/>
      <c r="EE2756" s="467"/>
      <c r="EF2756" s="440"/>
    </row>
    <row r="2757" spans="54:136">
      <c r="BB2757" s="436"/>
      <c r="BC2757" s="120"/>
      <c r="BD2757" s="120"/>
      <c r="BE2757" s="467"/>
      <c r="BF2757" s="440"/>
      <c r="CB2757" s="436"/>
      <c r="CC2757" s="120"/>
      <c r="CD2757" s="120"/>
      <c r="CE2757" s="467"/>
      <c r="CF2757" s="440"/>
      <c r="DB2757" s="436"/>
      <c r="DC2757" s="120"/>
      <c r="DD2757" s="120"/>
      <c r="DE2757" s="467"/>
      <c r="DF2757" s="440"/>
      <c r="EB2757" s="436"/>
      <c r="EC2757" s="120"/>
      <c r="ED2757" s="120"/>
      <c r="EE2757" s="467"/>
      <c r="EF2757" s="440"/>
    </row>
    <row r="2758" spans="54:136">
      <c r="BB2758" s="436"/>
      <c r="BC2758" s="120"/>
      <c r="BD2758" s="120"/>
      <c r="BE2758" s="467"/>
      <c r="BF2758" s="440"/>
      <c r="CB2758" s="436"/>
      <c r="CC2758" s="120"/>
      <c r="CD2758" s="120"/>
      <c r="CE2758" s="467"/>
      <c r="CF2758" s="440"/>
      <c r="DB2758" s="436"/>
      <c r="DC2758" s="120"/>
      <c r="DD2758" s="120"/>
      <c r="DE2758" s="467"/>
      <c r="DF2758" s="440"/>
      <c r="EB2758" s="436"/>
      <c r="EC2758" s="120"/>
      <c r="ED2758" s="120"/>
      <c r="EE2758" s="467"/>
      <c r="EF2758" s="440"/>
    </row>
    <row r="2759" spans="54:136">
      <c r="BB2759" s="436"/>
      <c r="BC2759" s="120"/>
      <c r="BD2759" s="120"/>
      <c r="BE2759" s="467"/>
      <c r="BF2759" s="440"/>
      <c r="CB2759" s="436"/>
      <c r="CC2759" s="120"/>
      <c r="CD2759" s="120"/>
      <c r="CE2759" s="467"/>
      <c r="CF2759" s="440"/>
      <c r="DB2759" s="436"/>
      <c r="DC2759" s="120"/>
      <c r="DD2759" s="120"/>
      <c r="DE2759" s="467"/>
      <c r="DF2759" s="440"/>
      <c r="EB2759" s="436"/>
      <c r="EC2759" s="120"/>
      <c r="ED2759" s="120"/>
      <c r="EE2759" s="467"/>
      <c r="EF2759" s="440"/>
    </row>
    <row r="2760" spans="54:136">
      <c r="BB2760" s="436"/>
      <c r="BC2760" s="120"/>
      <c r="BD2760" s="120"/>
      <c r="BE2760" s="467"/>
      <c r="BF2760" s="440"/>
      <c r="CB2760" s="436"/>
      <c r="CC2760" s="120"/>
      <c r="CD2760" s="120"/>
      <c r="CE2760" s="467"/>
      <c r="CF2760" s="440"/>
      <c r="DB2760" s="436"/>
      <c r="DC2760" s="120"/>
      <c r="DD2760" s="120"/>
      <c r="DE2760" s="467"/>
      <c r="DF2760" s="440"/>
      <c r="EB2760" s="436"/>
      <c r="EC2760" s="120"/>
      <c r="ED2760" s="120"/>
      <c r="EE2760" s="467"/>
      <c r="EF2760" s="440"/>
    </row>
    <row r="2761" spans="54:136">
      <c r="BB2761" s="436"/>
      <c r="BC2761" s="120"/>
      <c r="BD2761" s="120"/>
      <c r="BE2761" s="467"/>
      <c r="BF2761" s="440"/>
      <c r="CB2761" s="436"/>
      <c r="CC2761" s="120"/>
      <c r="CD2761" s="120"/>
      <c r="CE2761" s="467"/>
      <c r="CF2761" s="440"/>
      <c r="DB2761" s="436"/>
      <c r="DC2761" s="120"/>
      <c r="DD2761" s="120"/>
      <c r="DE2761" s="467"/>
      <c r="DF2761" s="440"/>
      <c r="EB2761" s="436"/>
      <c r="EC2761" s="120"/>
      <c r="ED2761" s="120"/>
      <c r="EE2761" s="467"/>
      <c r="EF2761" s="440"/>
    </row>
    <row r="2762" spans="54:136">
      <c r="BB2762" s="436"/>
      <c r="BC2762" s="120"/>
      <c r="BD2762" s="120"/>
      <c r="BE2762" s="467"/>
      <c r="BF2762" s="440"/>
      <c r="CB2762" s="436"/>
      <c r="CC2762" s="120"/>
      <c r="CD2762" s="120"/>
      <c r="CE2762" s="467"/>
      <c r="CF2762" s="440"/>
      <c r="DB2762" s="436"/>
      <c r="DC2762" s="120"/>
      <c r="DD2762" s="120"/>
      <c r="DE2762" s="467"/>
      <c r="DF2762" s="440"/>
      <c r="EB2762" s="436"/>
      <c r="EC2762" s="120"/>
      <c r="ED2762" s="120"/>
      <c r="EE2762" s="467"/>
      <c r="EF2762" s="440"/>
    </row>
    <row r="2763" spans="54:136">
      <c r="BB2763" s="436"/>
      <c r="BC2763" s="120"/>
      <c r="BD2763" s="120"/>
      <c r="BE2763" s="467"/>
      <c r="BF2763" s="440"/>
      <c r="CB2763" s="436"/>
      <c r="CC2763" s="120"/>
      <c r="CD2763" s="120"/>
      <c r="CE2763" s="467"/>
      <c r="CF2763" s="440"/>
      <c r="DB2763" s="436"/>
      <c r="DC2763" s="120"/>
      <c r="DD2763" s="120"/>
      <c r="DE2763" s="467"/>
      <c r="DF2763" s="440"/>
      <c r="EB2763" s="436"/>
      <c r="EC2763" s="120"/>
      <c r="ED2763" s="120"/>
      <c r="EE2763" s="467"/>
      <c r="EF2763" s="440"/>
    </row>
    <row r="2764" spans="54:136">
      <c r="BB2764" s="436"/>
      <c r="BC2764" s="120"/>
      <c r="BD2764" s="120"/>
      <c r="BE2764" s="467"/>
      <c r="BF2764" s="440"/>
      <c r="CB2764" s="436"/>
      <c r="CC2764" s="120"/>
      <c r="CD2764" s="120"/>
      <c r="CE2764" s="467"/>
      <c r="CF2764" s="440"/>
      <c r="DB2764" s="436"/>
      <c r="DC2764" s="120"/>
      <c r="DD2764" s="120"/>
      <c r="DE2764" s="467"/>
      <c r="DF2764" s="440"/>
      <c r="EB2764" s="436"/>
      <c r="EC2764" s="120"/>
      <c r="ED2764" s="120"/>
      <c r="EE2764" s="467"/>
      <c r="EF2764" s="440"/>
    </row>
    <row r="2765" spans="54:136">
      <c r="BB2765" s="436"/>
      <c r="BC2765" s="120"/>
      <c r="BD2765" s="120"/>
      <c r="BE2765" s="467"/>
      <c r="BF2765" s="440"/>
      <c r="CB2765" s="436"/>
      <c r="CC2765" s="120"/>
      <c r="CD2765" s="120"/>
      <c r="CE2765" s="467"/>
      <c r="CF2765" s="440"/>
      <c r="DB2765" s="436"/>
      <c r="DC2765" s="120"/>
      <c r="DD2765" s="120"/>
      <c r="DE2765" s="467"/>
      <c r="DF2765" s="440"/>
      <c r="EB2765" s="436"/>
      <c r="EC2765" s="120"/>
      <c r="ED2765" s="120"/>
      <c r="EE2765" s="467"/>
      <c r="EF2765" s="440"/>
    </row>
    <row r="2766" spans="54:136">
      <c r="BB2766" s="436"/>
      <c r="BC2766" s="120"/>
      <c r="BD2766" s="120"/>
      <c r="BE2766" s="467"/>
      <c r="BF2766" s="440"/>
      <c r="CB2766" s="436"/>
      <c r="CC2766" s="120"/>
      <c r="CD2766" s="120"/>
      <c r="CE2766" s="467"/>
      <c r="CF2766" s="440"/>
      <c r="DB2766" s="436"/>
      <c r="DC2766" s="120"/>
      <c r="DD2766" s="120"/>
      <c r="DE2766" s="467"/>
      <c r="DF2766" s="440"/>
      <c r="EB2766" s="436"/>
      <c r="EC2766" s="120"/>
      <c r="ED2766" s="120"/>
      <c r="EE2766" s="467"/>
      <c r="EF2766" s="440"/>
    </row>
    <row r="2767" spans="54:136">
      <c r="BB2767" s="456"/>
      <c r="BC2767" s="457"/>
      <c r="BD2767" s="457"/>
      <c r="BE2767" s="477"/>
      <c r="BF2767" s="458"/>
      <c r="CB2767" s="456"/>
      <c r="CC2767" s="457"/>
      <c r="CD2767" s="457"/>
      <c r="CE2767" s="477"/>
      <c r="CF2767" s="458"/>
      <c r="DB2767" s="456"/>
      <c r="DC2767" s="457"/>
      <c r="DD2767" s="457"/>
      <c r="DE2767" s="477"/>
      <c r="DF2767" s="458"/>
      <c r="EB2767" s="456"/>
      <c r="EC2767" s="457"/>
      <c r="ED2767" s="457"/>
      <c r="EE2767" s="477"/>
      <c r="EF2767" s="458"/>
    </row>
    <row r="2768" spans="54:136">
      <c r="BB2768" s="456"/>
      <c r="BC2768" s="457"/>
      <c r="BD2768" s="457"/>
      <c r="BE2768" s="457"/>
      <c r="BF2768" s="458"/>
      <c r="CB2768" s="456"/>
      <c r="CC2768" s="457"/>
      <c r="CD2768" s="457"/>
      <c r="CE2768" s="457"/>
      <c r="CF2768" s="458"/>
      <c r="DB2768" s="456"/>
      <c r="DC2768" s="457"/>
      <c r="DD2768" s="457"/>
      <c r="DE2768" s="457"/>
      <c r="DF2768" s="458"/>
      <c r="EB2768" s="456"/>
      <c r="EC2768" s="457"/>
      <c r="ED2768" s="457"/>
      <c r="EE2768" s="457"/>
      <c r="EF2768" s="458"/>
    </row>
    <row r="2769" spans="54:136">
      <c r="BB2769" s="449" t="s">
        <v>475</v>
      </c>
      <c r="BC2769" s="120"/>
      <c r="BD2769" s="120"/>
      <c r="BE2769" s="120"/>
      <c r="BF2769" s="440"/>
      <c r="CB2769" s="449" t="s">
        <v>475</v>
      </c>
      <c r="CC2769" s="120"/>
      <c r="CD2769" s="120"/>
      <c r="CE2769" s="120"/>
      <c r="CF2769" s="440"/>
      <c r="DB2769" s="449" t="s">
        <v>475</v>
      </c>
      <c r="DC2769" s="120"/>
      <c r="DD2769" s="120"/>
      <c r="DE2769" s="120"/>
      <c r="DF2769" s="440"/>
      <c r="EB2769" s="449" t="s">
        <v>475</v>
      </c>
      <c r="EC2769" s="120"/>
      <c r="ED2769" s="120"/>
      <c r="EE2769" s="120"/>
      <c r="EF2769" s="440"/>
    </row>
    <row r="2770" spans="54:136">
      <c r="BB2770" s="436" t="s">
        <v>509</v>
      </c>
      <c r="BC2770" s="120"/>
      <c r="BD2770" s="120"/>
      <c r="BE2770" s="120"/>
      <c r="BF2770" s="440"/>
      <c r="CB2770" s="436" t="s">
        <v>509</v>
      </c>
      <c r="CC2770" s="120"/>
      <c r="CD2770" s="120"/>
      <c r="CE2770" s="120"/>
      <c r="CF2770" s="440"/>
      <c r="DB2770" s="436" t="s">
        <v>509</v>
      </c>
      <c r="DC2770" s="120"/>
      <c r="DD2770" s="120"/>
      <c r="DE2770" s="120"/>
      <c r="DF2770" s="440"/>
      <c r="EB2770" s="436" t="s">
        <v>509</v>
      </c>
      <c r="EC2770" s="120"/>
      <c r="ED2770" s="120"/>
      <c r="EE2770" s="120"/>
      <c r="EF2770" s="440"/>
    </row>
    <row r="2771" spans="54:136">
      <c r="BB2771" s="436" t="s">
        <v>510</v>
      </c>
      <c r="BC2771" s="120"/>
      <c r="BD2771" s="120"/>
      <c r="BE2771" s="120"/>
      <c r="BF2771" s="440"/>
      <c r="CB2771" s="436" t="s">
        <v>510</v>
      </c>
      <c r="CC2771" s="120"/>
      <c r="CD2771" s="120"/>
      <c r="CE2771" s="120"/>
      <c r="CF2771" s="440"/>
      <c r="DB2771" s="436" t="s">
        <v>510</v>
      </c>
      <c r="DC2771" s="120"/>
      <c r="DD2771" s="120"/>
      <c r="DE2771" s="120"/>
      <c r="DF2771" s="440"/>
      <c r="EB2771" s="436" t="s">
        <v>510</v>
      </c>
      <c r="EC2771" s="120"/>
      <c r="ED2771" s="120"/>
      <c r="EE2771" s="120"/>
      <c r="EF2771" s="440"/>
    </row>
    <row r="2772" spans="54:136">
      <c r="BB2772" s="436"/>
      <c r="BC2772" s="120"/>
      <c r="BD2772" s="120"/>
      <c r="BE2772" s="120"/>
      <c r="BF2772" s="440"/>
      <c r="CB2772" s="436"/>
      <c r="CC2772" s="120"/>
      <c r="CD2772" s="120"/>
      <c r="CE2772" s="120"/>
      <c r="CF2772" s="440"/>
      <c r="DB2772" s="436"/>
      <c r="DC2772" s="120"/>
      <c r="DD2772" s="120"/>
      <c r="DE2772" s="120"/>
      <c r="DF2772" s="440"/>
      <c r="EB2772" s="436"/>
      <c r="EC2772" s="120"/>
      <c r="ED2772" s="120"/>
      <c r="EE2772" s="120"/>
      <c r="EF2772" s="440"/>
    </row>
    <row r="2773" spans="54:136">
      <c r="BB2773" s="436"/>
      <c r="BC2773" s="120"/>
      <c r="BD2773" s="120"/>
      <c r="BE2773" s="120"/>
      <c r="BF2773" s="440"/>
      <c r="CB2773" s="436"/>
      <c r="CC2773" s="120"/>
      <c r="CD2773" s="120"/>
      <c r="CE2773" s="120"/>
      <c r="CF2773" s="440"/>
      <c r="DB2773" s="436"/>
      <c r="DC2773" s="120"/>
      <c r="DD2773" s="120"/>
      <c r="DE2773" s="120"/>
      <c r="DF2773" s="440"/>
      <c r="EB2773" s="436"/>
      <c r="EC2773" s="120"/>
      <c r="ED2773" s="120"/>
      <c r="EE2773" s="120"/>
      <c r="EF2773" s="440"/>
    </row>
    <row r="2774" spans="54:136">
      <c r="BB2774" s="436"/>
      <c r="BC2774" s="120"/>
      <c r="BD2774" s="120"/>
      <c r="BE2774" s="120"/>
      <c r="BF2774" s="440"/>
      <c r="CB2774" s="436"/>
      <c r="CC2774" s="120"/>
      <c r="CD2774" s="120"/>
      <c r="CE2774" s="120"/>
      <c r="CF2774" s="440"/>
      <c r="DB2774" s="436"/>
      <c r="DC2774" s="120"/>
      <c r="DD2774" s="120"/>
      <c r="DE2774" s="120"/>
      <c r="DF2774" s="440"/>
      <c r="EB2774" s="436"/>
      <c r="EC2774" s="120"/>
      <c r="ED2774" s="120"/>
      <c r="EE2774" s="120"/>
      <c r="EF2774" s="440"/>
    </row>
    <row r="2775" spans="54:136">
      <c r="BB2775" s="436"/>
      <c r="BC2775" s="120"/>
      <c r="BD2775" s="120"/>
      <c r="BE2775" s="120"/>
      <c r="BF2775" s="440"/>
      <c r="CB2775" s="436"/>
      <c r="CC2775" s="120"/>
      <c r="CD2775" s="120"/>
      <c r="CE2775" s="120"/>
      <c r="CF2775" s="440"/>
      <c r="DB2775" s="436"/>
      <c r="DC2775" s="120"/>
      <c r="DD2775" s="120"/>
      <c r="DE2775" s="120"/>
      <c r="DF2775" s="440"/>
      <c r="EB2775" s="436"/>
      <c r="EC2775" s="120"/>
      <c r="ED2775" s="120"/>
      <c r="EE2775" s="120"/>
      <c r="EF2775" s="440"/>
    </row>
    <row r="2776" spans="54:136">
      <c r="BB2776" s="436" t="s">
        <v>511</v>
      </c>
      <c r="BC2776" s="120">
        <v>0</v>
      </c>
      <c r="BD2776" s="120" t="s">
        <v>512</v>
      </c>
      <c r="BE2776" s="120"/>
      <c r="BF2776" s="440"/>
      <c r="CB2776" s="436" t="s">
        <v>511</v>
      </c>
      <c r="CC2776" s="120">
        <v>0</v>
      </c>
      <c r="CD2776" s="120" t="s">
        <v>512</v>
      </c>
      <c r="CE2776" s="120"/>
      <c r="CF2776" s="440"/>
      <c r="DB2776" s="436" t="s">
        <v>511</v>
      </c>
      <c r="DC2776" s="120">
        <v>0</v>
      </c>
      <c r="DD2776" s="120" t="s">
        <v>512</v>
      </c>
      <c r="DE2776" s="120"/>
      <c r="DF2776" s="440"/>
      <c r="EB2776" s="436" t="s">
        <v>511</v>
      </c>
      <c r="EC2776" s="120">
        <v>0</v>
      </c>
      <c r="ED2776" s="120" t="s">
        <v>512</v>
      </c>
      <c r="EE2776" s="120"/>
      <c r="EF2776" s="440"/>
    </row>
    <row r="2777" spans="54:136">
      <c r="BB2777" s="436" t="s">
        <v>513</v>
      </c>
      <c r="BC2777" s="120">
        <v>0</v>
      </c>
      <c r="BD2777" s="120" t="s">
        <v>512</v>
      </c>
      <c r="BE2777" s="120"/>
      <c r="BF2777" s="440"/>
      <c r="CB2777" s="436" t="s">
        <v>513</v>
      </c>
      <c r="CC2777" s="120">
        <v>0</v>
      </c>
      <c r="CD2777" s="120" t="s">
        <v>512</v>
      </c>
      <c r="CE2777" s="120"/>
      <c r="CF2777" s="440"/>
      <c r="DB2777" s="436" t="s">
        <v>513</v>
      </c>
      <c r="DC2777" s="120">
        <v>0</v>
      </c>
      <c r="DD2777" s="120" t="s">
        <v>512</v>
      </c>
      <c r="DE2777" s="120"/>
      <c r="DF2777" s="440"/>
      <c r="EB2777" s="436" t="s">
        <v>513</v>
      </c>
      <c r="EC2777" s="120">
        <v>0</v>
      </c>
      <c r="ED2777" s="120" t="s">
        <v>512</v>
      </c>
      <c r="EE2777" s="120"/>
      <c r="EF2777" s="440"/>
    </row>
    <row r="2778" spans="54:136">
      <c r="BB2778" s="456"/>
      <c r="BC2778" s="457"/>
      <c r="BD2778" s="457"/>
      <c r="BE2778" s="457"/>
      <c r="BF2778" s="458"/>
      <c r="CB2778" s="456"/>
      <c r="CC2778" s="457"/>
      <c r="CD2778" s="457"/>
      <c r="CE2778" s="457"/>
      <c r="CF2778" s="458"/>
      <c r="DB2778" s="456"/>
      <c r="DC2778" s="457"/>
      <c r="DD2778" s="457"/>
      <c r="DE2778" s="457"/>
      <c r="DF2778" s="458"/>
      <c r="EB2778" s="456"/>
      <c r="EC2778" s="457"/>
      <c r="ED2778" s="457"/>
      <c r="EE2778" s="457"/>
      <c r="EF2778" s="458"/>
    </row>
    <row r="2779" spans="54:136">
      <c r="BB2779" s="449" t="s">
        <v>461</v>
      </c>
      <c r="BC2779" s="120"/>
      <c r="BD2779" s="120"/>
      <c r="BE2779" s="120"/>
      <c r="BF2779" s="440"/>
      <c r="CB2779" s="449" t="s">
        <v>461</v>
      </c>
      <c r="CC2779" s="120"/>
      <c r="CD2779" s="120"/>
      <c r="CE2779" s="120"/>
      <c r="CF2779" s="440"/>
      <c r="DB2779" s="449" t="s">
        <v>461</v>
      </c>
      <c r="DC2779" s="120"/>
      <c r="DD2779" s="120"/>
      <c r="DE2779" s="120"/>
      <c r="DF2779" s="440"/>
      <c r="EB2779" s="449" t="s">
        <v>461</v>
      </c>
      <c r="EC2779" s="120"/>
      <c r="ED2779" s="120"/>
      <c r="EE2779" s="120"/>
      <c r="EF2779" s="440"/>
    </row>
    <row r="2780" spans="54:136">
      <c r="BB2780" s="436" t="s">
        <v>514</v>
      </c>
      <c r="BC2780" s="120">
        <f>VLOOKUP(BB2708,'Unit Ops'!$B$140:$K$209,10,FALSE)</f>
        <v>0</v>
      </c>
      <c r="BD2780" s="120" t="s">
        <v>515</v>
      </c>
      <c r="BE2780" s="120"/>
      <c r="BF2780" s="440"/>
      <c r="CB2780" s="436" t="s">
        <v>514</v>
      </c>
      <c r="CC2780" s="120">
        <f>VLOOKUP(CB2708,'Unit Ops'!$B$140:$K$209,10,FALSE)</f>
        <v>0</v>
      </c>
      <c r="CD2780" s="120" t="s">
        <v>515</v>
      </c>
      <c r="CE2780" s="120"/>
      <c r="CF2780" s="440"/>
      <c r="DB2780" s="436" t="s">
        <v>514</v>
      </c>
      <c r="DC2780" s="120">
        <f>VLOOKUP(DB2708,'Unit Ops'!$B$140:$K$209,10,FALSE)</f>
        <v>0</v>
      </c>
      <c r="DD2780" s="120" t="s">
        <v>515</v>
      </c>
      <c r="DE2780" s="120"/>
      <c r="DF2780" s="440"/>
      <c r="EB2780" s="436" t="s">
        <v>514</v>
      </c>
      <c r="EC2780" s="120">
        <f>VLOOKUP(EB2708,'Unit Ops'!$B$140:$K$209,10,FALSE)</f>
        <v>0</v>
      </c>
      <c r="ED2780" s="120" t="s">
        <v>515</v>
      </c>
      <c r="EE2780" s="120"/>
      <c r="EF2780" s="440"/>
    </row>
    <row r="2781" spans="54:136">
      <c r="BB2781" s="436" t="s">
        <v>516</v>
      </c>
      <c r="BC2781" s="120">
        <v>0</v>
      </c>
      <c r="BD2781" s="120" t="s">
        <v>515</v>
      </c>
      <c r="BE2781" s="120"/>
      <c r="BF2781" s="440"/>
      <c r="CB2781" s="436" t="s">
        <v>516</v>
      </c>
      <c r="CC2781" s="120">
        <v>0</v>
      </c>
      <c r="CD2781" s="120" t="s">
        <v>515</v>
      </c>
      <c r="CE2781" s="120"/>
      <c r="CF2781" s="440"/>
      <c r="DB2781" s="436" t="s">
        <v>516</v>
      </c>
      <c r="DC2781" s="120">
        <v>0</v>
      </c>
      <c r="DD2781" s="120" t="s">
        <v>515</v>
      </c>
      <c r="DE2781" s="120"/>
      <c r="DF2781" s="440"/>
      <c r="EB2781" s="436" t="s">
        <v>516</v>
      </c>
      <c r="EC2781" s="120">
        <v>0</v>
      </c>
      <c r="ED2781" s="120" t="s">
        <v>515</v>
      </c>
      <c r="EE2781" s="120"/>
      <c r="EF2781" s="440"/>
    </row>
    <row r="2782" spans="54:136">
      <c r="BB2782" s="436"/>
      <c r="BC2782" s="120"/>
      <c r="BD2782" s="120"/>
      <c r="BE2782" s="120"/>
      <c r="BF2782" s="440"/>
      <c r="CB2782" s="436"/>
      <c r="CC2782" s="120"/>
      <c r="CD2782" s="120"/>
      <c r="CE2782" s="120"/>
      <c r="CF2782" s="440"/>
      <c r="DB2782" s="436"/>
      <c r="DC2782" s="120"/>
      <c r="DD2782" s="120"/>
      <c r="DE2782" s="120"/>
      <c r="DF2782" s="440"/>
      <c r="EB2782" s="436"/>
      <c r="EC2782" s="120"/>
      <c r="ED2782" s="120"/>
      <c r="EE2782" s="120"/>
      <c r="EF2782" s="440"/>
    </row>
    <row r="2783" spans="54:136">
      <c r="BB2783" s="436"/>
      <c r="BC2783" s="120"/>
      <c r="BD2783" s="120"/>
      <c r="BE2783" s="120"/>
      <c r="BF2783" s="440"/>
      <c r="CB2783" s="436"/>
      <c r="CC2783" s="120"/>
      <c r="CD2783" s="120"/>
      <c r="CE2783" s="120"/>
      <c r="CF2783" s="440"/>
      <c r="DB2783" s="436"/>
      <c r="DC2783" s="120"/>
      <c r="DD2783" s="120"/>
      <c r="DE2783" s="120"/>
      <c r="DF2783" s="440"/>
      <c r="EB2783" s="436"/>
      <c r="EC2783" s="120"/>
      <c r="ED2783" s="120"/>
      <c r="EE2783" s="120"/>
      <c r="EF2783" s="440"/>
    </row>
    <row r="2784" spans="54:136">
      <c r="BB2784" s="436"/>
      <c r="BC2784" s="120"/>
      <c r="BD2784" s="120"/>
      <c r="BE2784" s="120"/>
      <c r="BF2784" s="440"/>
      <c r="CB2784" s="436"/>
      <c r="CC2784" s="120"/>
      <c r="CD2784" s="120"/>
      <c r="CE2784" s="120"/>
      <c r="CF2784" s="440"/>
      <c r="DB2784" s="436"/>
      <c r="DC2784" s="120"/>
      <c r="DD2784" s="120"/>
      <c r="DE2784" s="120"/>
      <c r="DF2784" s="440"/>
      <c r="EB2784" s="436"/>
      <c r="EC2784" s="120"/>
      <c r="ED2784" s="120"/>
      <c r="EE2784" s="120"/>
      <c r="EF2784" s="440"/>
    </row>
    <row r="2785" spans="54:136">
      <c r="BB2785" s="436"/>
      <c r="BC2785" s="120"/>
      <c r="BD2785" s="120"/>
      <c r="BE2785" s="120"/>
      <c r="BF2785" s="440"/>
      <c r="CB2785" s="436"/>
      <c r="CC2785" s="120"/>
      <c r="CD2785" s="120"/>
      <c r="CE2785" s="120"/>
      <c r="CF2785" s="440"/>
      <c r="DB2785" s="436"/>
      <c r="DC2785" s="120"/>
      <c r="DD2785" s="120"/>
      <c r="DE2785" s="120"/>
      <c r="DF2785" s="440"/>
      <c r="EB2785" s="436"/>
      <c r="EC2785" s="120"/>
      <c r="ED2785" s="120"/>
      <c r="EE2785" s="120"/>
      <c r="EF2785" s="440"/>
    </row>
    <row r="2786" spans="54:136">
      <c r="BB2786" s="436"/>
      <c r="BC2786" s="120"/>
      <c r="BD2786" s="120"/>
      <c r="BE2786" s="120"/>
      <c r="BF2786" s="440"/>
      <c r="CB2786" s="436"/>
      <c r="CC2786" s="120"/>
      <c r="CD2786" s="120"/>
      <c r="CE2786" s="120"/>
      <c r="CF2786" s="440"/>
      <c r="DB2786" s="436"/>
      <c r="DC2786" s="120"/>
      <c r="DD2786" s="120"/>
      <c r="DE2786" s="120"/>
      <c r="DF2786" s="440"/>
      <c r="EB2786" s="436"/>
      <c r="EC2786" s="120"/>
      <c r="ED2786" s="120"/>
      <c r="EE2786" s="120"/>
      <c r="EF2786" s="440"/>
    </row>
    <row r="2787" spans="54:136">
      <c r="BB2787" s="436" t="s">
        <v>464</v>
      </c>
      <c r="BC2787" s="120"/>
      <c r="BD2787" s="120"/>
      <c r="BE2787" s="120"/>
      <c r="BF2787" s="440"/>
      <c r="CB2787" s="436" t="s">
        <v>464</v>
      </c>
      <c r="CC2787" s="120"/>
      <c r="CD2787" s="120"/>
      <c r="CE2787" s="120"/>
      <c r="CF2787" s="440"/>
      <c r="DB2787" s="436" t="s">
        <v>464</v>
      </c>
      <c r="DC2787" s="120"/>
      <c r="DD2787" s="120"/>
      <c r="DE2787" s="120"/>
      <c r="DF2787" s="440"/>
      <c r="EB2787" s="436" t="s">
        <v>464</v>
      </c>
      <c r="EC2787" s="120"/>
      <c r="ED2787" s="120"/>
      <c r="EE2787" s="120"/>
      <c r="EF2787" s="440"/>
    </row>
    <row r="2788" spans="54:136">
      <c r="BB2788" s="456"/>
      <c r="BC2788" s="457"/>
      <c r="BD2788" s="457"/>
      <c r="BE2788" s="457"/>
      <c r="BF2788" s="458"/>
      <c r="CB2788" s="456"/>
      <c r="CC2788" s="457"/>
      <c r="CD2788" s="457"/>
      <c r="CE2788" s="457"/>
      <c r="CF2788" s="458"/>
      <c r="DB2788" s="456"/>
      <c r="DC2788" s="457"/>
      <c r="DD2788" s="457"/>
      <c r="DE2788" s="457"/>
      <c r="DF2788" s="458"/>
      <c r="EB2788" s="456"/>
      <c r="EC2788" s="457"/>
      <c r="ED2788" s="457"/>
      <c r="EE2788" s="457"/>
      <c r="EF2788" s="458"/>
    </row>
    <row r="2789" spans="54:136">
      <c r="BB2789" s="449" t="s">
        <v>472</v>
      </c>
      <c r="BC2789" s="467" t="s">
        <v>517</v>
      </c>
      <c r="BD2789" s="120" t="s">
        <v>518</v>
      </c>
      <c r="BE2789" s="467" t="s">
        <v>519</v>
      </c>
      <c r="BF2789" s="440" t="s">
        <v>518</v>
      </c>
      <c r="CB2789" s="449" t="s">
        <v>472</v>
      </c>
      <c r="CC2789" s="467" t="s">
        <v>517</v>
      </c>
      <c r="CD2789" s="120" t="s">
        <v>518</v>
      </c>
      <c r="CE2789" s="467" t="s">
        <v>519</v>
      </c>
      <c r="CF2789" s="440" t="s">
        <v>518</v>
      </c>
      <c r="DB2789" s="449" t="s">
        <v>472</v>
      </c>
      <c r="DC2789" s="467" t="s">
        <v>517</v>
      </c>
      <c r="DD2789" s="120" t="s">
        <v>518</v>
      </c>
      <c r="DE2789" s="467" t="s">
        <v>519</v>
      </c>
      <c r="DF2789" s="440" t="s">
        <v>518</v>
      </c>
      <c r="EB2789" s="449" t="s">
        <v>472</v>
      </c>
      <c r="EC2789" s="467" t="s">
        <v>517</v>
      </c>
      <c r="ED2789" s="120" t="s">
        <v>518</v>
      </c>
      <c r="EE2789" s="467" t="s">
        <v>519</v>
      </c>
      <c r="EF2789" s="440" t="s">
        <v>518</v>
      </c>
    </row>
    <row r="2790" spans="54:136">
      <c r="BB2790" s="436" t="s">
        <v>520</v>
      </c>
      <c r="BC2790" s="120"/>
      <c r="BD2790" s="120"/>
      <c r="BE2790" s="472">
        <f>((VLOOKUP(BB2708,'Unit Ops'!$B$140:$J$209,3,FALSE)*BC2710^VLOOKUP(BB2708,'Unit Ops'!$B$140:$J$209,4,FALSE)+VLOOKUP(BB2708,'Unit Ops'!$B$140:$J$209,5,FALSE))*VLOOKUP(BB2708,'Unit Ops'!$B$140:$J$209,6,FALSE))*IF(VLOOKUP(BB2708,'Unit Ops'!$B$140:$L$209,11,FALSE)=1,1,2)</f>
        <v>0</v>
      </c>
      <c r="BF2790" s="490">
        <f>$C$7</f>
        <v>2022</v>
      </c>
      <c r="CB2790" s="436" t="s">
        <v>520</v>
      </c>
      <c r="CC2790" s="120"/>
      <c r="CD2790" s="120"/>
      <c r="CE2790" s="472">
        <f>((VLOOKUP(CB2708,'Unit Ops'!$B$140:$J$209,3,FALSE)*CC2710^VLOOKUP(CB2708,'Unit Ops'!$B$140:$J$209,4,FALSE)+VLOOKUP(CB2708,'Unit Ops'!$B$140:$J$209,5,FALSE))*VLOOKUP(CB2708,'Unit Ops'!$B$140:$J$209,6,FALSE))*IF(VLOOKUP(CB2708,'Unit Ops'!$B$140:$L$209,11,FALSE)=1,1,2)</f>
        <v>0</v>
      </c>
      <c r="CF2790" s="490">
        <f>$C$7</f>
        <v>2022</v>
      </c>
      <c r="DB2790" s="436" t="s">
        <v>520</v>
      </c>
      <c r="DC2790" s="120"/>
      <c r="DD2790" s="120"/>
      <c r="DE2790" s="472">
        <f>((VLOOKUP(DB2708,'Unit Ops'!$B$140:$J$209,3,FALSE)*DC2710^VLOOKUP(DB2708,'Unit Ops'!$B$140:$J$209,4,FALSE)+VLOOKUP(DB2708,'Unit Ops'!$B$140:$J$209,5,FALSE))*VLOOKUP(DB2708,'Unit Ops'!$B$140:$J$209,6,FALSE))*IF(VLOOKUP(DB2708,'Unit Ops'!$B$140:$L$209,11,FALSE)=1,1,2)</f>
        <v>0</v>
      </c>
      <c r="DF2790" s="490">
        <f>$C$7</f>
        <v>2022</v>
      </c>
      <c r="EB2790" s="436" t="s">
        <v>520</v>
      </c>
      <c r="EC2790" s="120"/>
      <c r="ED2790" s="120"/>
      <c r="EE2790" s="472">
        <f>((VLOOKUP(EB2708,'Unit Ops'!$B$140:$J$209,3,FALSE)*EC2710^VLOOKUP(EB2708,'Unit Ops'!$B$140:$J$209,4,FALSE)+VLOOKUP(EB2708,'Unit Ops'!$B$140:$J$209,5,FALSE))*VLOOKUP(EB2708,'Unit Ops'!$B$140:$J$209,6,FALSE))*IF(VLOOKUP(EB2708,'Unit Ops'!$B$140:$L$209,11,FALSE)=1,1,2)</f>
        <v>0</v>
      </c>
      <c r="EF2790" s="490">
        <f>$C$7</f>
        <v>2022</v>
      </c>
    </row>
    <row r="2791" spans="54:136">
      <c r="BB2791" s="436"/>
      <c r="BC2791" s="120"/>
      <c r="BD2791" s="120"/>
      <c r="BE2791" s="120"/>
      <c r="BF2791" s="440"/>
      <c r="CB2791" s="436"/>
      <c r="CC2791" s="120"/>
      <c r="CD2791" s="120"/>
      <c r="CE2791" s="120"/>
      <c r="CF2791" s="440"/>
      <c r="DB2791" s="436"/>
      <c r="DC2791" s="120"/>
      <c r="DD2791" s="120"/>
      <c r="DE2791" s="120"/>
      <c r="DF2791" s="440"/>
      <c r="EB2791" s="436"/>
      <c r="EC2791" s="120"/>
      <c r="ED2791" s="120"/>
      <c r="EE2791" s="120"/>
      <c r="EF2791" s="440"/>
    </row>
    <row r="2792" spans="54:136">
      <c r="BB2792" s="436"/>
      <c r="BC2792" s="120"/>
      <c r="BD2792" s="120"/>
      <c r="BE2792" s="120"/>
      <c r="BF2792" s="440"/>
      <c r="CB2792" s="436"/>
      <c r="CC2792" s="120"/>
      <c r="CD2792" s="120"/>
      <c r="CE2792" s="120"/>
      <c r="CF2792" s="440"/>
      <c r="DB2792" s="436"/>
      <c r="DC2792" s="120"/>
      <c r="DD2792" s="120"/>
      <c r="DE2792" s="120"/>
      <c r="DF2792" s="440"/>
      <c r="EB2792" s="436"/>
      <c r="EC2792" s="120"/>
      <c r="ED2792" s="120"/>
      <c r="EE2792" s="120"/>
      <c r="EF2792" s="440"/>
    </row>
    <row r="2793" spans="54:136">
      <c r="BB2793" s="436"/>
      <c r="BC2793" s="120"/>
      <c r="BD2793" s="120"/>
      <c r="BE2793" s="120"/>
      <c r="BF2793" s="440"/>
      <c r="CB2793" s="436"/>
      <c r="CC2793" s="120"/>
      <c r="CD2793" s="120"/>
      <c r="CE2793" s="120"/>
      <c r="CF2793" s="440"/>
      <c r="DB2793" s="436"/>
      <c r="DC2793" s="120"/>
      <c r="DD2793" s="120"/>
      <c r="DE2793" s="120"/>
      <c r="DF2793" s="440"/>
      <c r="EB2793" s="436"/>
      <c r="EC2793" s="120"/>
      <c r="ED2793" s="120"/>
      <c r="EE2793" s="120"/>
      <c r="EF2793" s="440"/>
    </row>
    <row r="2794" spans="54:136">
      <c r="BB2794" s="436"/>
      <c r="BC2794" s="120"/>
      <c r="BD2794" s="120"/>
      <c r="BE2794" s="120"/>
      <c r="BF2794" s="440"/>
      <c r="CB2794" s="436"/>
      <c r="CC2794" s="120"/>
      <c r="CD2794" s="120"/>
      <c r="CE2794" s="120"/>
      <c r="CF2794" s="440"/>
      <c r="DB2794" s="436"/>
      <c r="DC2794" s="120"/>
      <c r="DD2794" s="120"/>
      <c r="DE2794" s="120"/>
      <c r="DF2794" s="440"/>
      <c r="EB2794" s="436"/>
      <c r="EC2794" s="120"/>
      <c r="ED2794" s="120"/>
      <c r="EE2794" s="120"/>
      <c r="EF2794" s="440"/>
    </row>
    <row r="2795" spans="54:136">
      <c r="BB2795" s="436"/>
      <c r="BC2795" s="120"/>
      <c r="BD2795" s="120"/>
      <c r="BE2795" s="120"/>
      <c r="BF2795" s="440"/>
      <c r="CB2795" s="436"/>
      <c r="CC2795" s="120"/>
      <c r="CD2795" s="120"/>
      <c r="CE2795" s="120"/>
      <c r="CF2795" s="440"/>
      <c r="DB2795" s="436"/>
      <c r="DC2795" s="120"/>
      <c r="DD2795" s="120"/>
      <c r="DE2795" s="120"/>
      <c r="DF2795" s="440"/>
      <c r="EB2795" s="436"/>
      <c r="EC2795" s="120"/>
      <c r="ED2795" s="120"/>
      <c r="EE2795" s="120"/>
      <c r="EF2795" s="440"/>
    </row>
    <row r="2796" spans="54:136">
      <c r="BB2796" s="436"/>
      <c r="BC2796" s="120"/>
      <c r="BD2796" s="120"/>
      <c r="BE2796" s="120"/>
      <c r="BF2796" s="440"/>
      <c r="CB2796" s="436"/>
      <c r="CC2796" s="120"/>
      <c r="CD2796" s="120"/>
      <c r="CE2796" s="120"/>
      <c r="CF2796" s="440"/>
      <c r="DB2796" s="436"/>
      <c r="DC2796" s="120"/>
      <c r="DD2796" s="120"/>
      <c r="DE2796" s="120"/>
      <c r="DF2796" s="440"/>
      <c r="EB2796" s="436"/>
      <c r="EC2796" s="120"/>
      <c r="ED2796" s="120"/>
      <c r="EE2796" s="120"/>
      <c r="EF2796" s="440"/>
    </row>
    <row r="2797" spans="54:136">
      <c r="BB2797" s="436"/>
      <c r="BC2797" s="120"/>
      <c r="BD2797" s="120"/>
      <c r="BE2797" s="120"/>
      <c r="BF2797" s="440"/>
      <c r="CB2797" s="436"/>
      <c r="CC2797" s="120"/>
      <c r="CD2797" s="120"/>
      <c r="CE2797" s="120"/>
      <c r="CF2797" s="440"/>
      <c r="DB2797" s="436"/>
      <c r="DC2797" s="120"/>
      <c r="DD2797" s="120"/>
      <c r="DE2797" s="120"/>
      <c r="DF2797" s="440"/>
      <c r="EB2797" s="436"/>
      <c r="EC2797" s="120"/>
      <c r="ED2797" s="120"/>
      <c r="EE2797" s="120"/>
      <c r="EF2797" s="440"/>
    </row>
    <row r="2798" spans="54:136">
      <c r="BB2798" s="436"/>
      <c r="BC2798" s="120"/>
      <c r="BD2798" s="120"/>
      <c r="BE2798" s="120"/>
      <c r="BF2798" s="440"/>
      <c r="CB2798" s="436"/>
      <c r="CC2798" s="120"/>
      <c r="CD2798" s="120"/>
      <c r="CE2798" s="120"/>
      <c r="CF2798" s="440"/>
      <c r="DB2798" s="436"/>
      <c r="DC2798" s="120"/>
      <c r="DD2798" s="120"/>
      <c r="DE2798" s="120"/>
      <c r="DF2798" s="440"/>
      <c r="EB2798" s="436"/>
      <c r="EC2798" s="120"/>
      <c r="ED2798" s="120"/>
      <c r="EE2798" s="120"/>
      <c r="EF2798" s="440"/>
    </row>
    <row r="2799" spans="54:136">
      <c r="BB2799" s="436"/>
      <c r="BC2799" s="120"/>
      <c r="BD2799" s="120"/>
      <c r="BE2799" s="120"/>
      <c r="BF2799" s="440"/>
      <c r="CB2799" s="436"/>
      <c r="CC2799" s="120"/>
      <c r="CD2799" s="120"/>
      <c r="CE2799" s="120"/>
      <c r="CF2799" s="440"/>
      <c r="DB2799" s="436"/>
      <c r="DC2799" s="120"/>
      <c r="DD2799" s="120"/>
      <c r="DE2799" s="120"/>
      <c r="DF2799" s="440"/>
      <c r="EB2799" s="436"/>
      <c r="EC2799" s="120"/>
      <c r="ED2799" s="120"/>
      <c r="EE2799" s="120"/>
      <c r="EF2799" s="440"/>
    </row>
    <row r="2800" spans="54:136">
      <c r="BB2800" s="436"/>
      <c r="BC2800" s="120"/>
      <c r="BD2800" s="120"/>
      <c r="BE2800" s="120"/>
      <c r="BF2800" s="440"/>
      <c r="CB2800" s="436"/>
      <c r="CC2800" s="120"/>
      <c r="CD2800" s="120"/>
      <c r="CE2800" s="120"/>
      <c r="CF2800" s="440"/>
      <c r="DB2800" s="436"/>
      <c r="DC2800" s="120"/>
      <c r="DD2800" s="120"/>
      <c r="DE2800" s="120"/>
      <c r="DF2800" s="440"/>
      <c r="EB2800" s="436"/>
      <c r="EC2800" s="120"/>
      <c r="ED2800" s="120"/>
      <c r="EE2800" s="120"/>
      <c r="EF2800" s="440"/>
    </row>
    <row r="2801" spans="53:136">
      <c r="BB2801" s="436"/>
      <c r="BC2801" s="120"/>
      <c r="BD2801" s="120"/>
      <c r="BE2801" s="120"/>
      <c r="BF2801" s="440"/>
      <c r="CB2801" s="436"/>
      <c r="CC2801" s="120"/>
      <c r="CD2801" s="120"/>
      <c r="CE2801" s="120"/>
      <c r="CF2801" s="440"/>
      <c r="DB2801" s="436"/>
      <c r="DC2801" s="120"/>
      <c r="DD2801" s="120"/>
      <c r="DE2801" s="120"/>
      <c r="DF2801" s="440"/>
      <c r="EB2801" s="436"/>
      <c r="EC2801" s="120"/>
      <c r="ED2801" s="120"/>
      <c r="EE2801" s="120"/>
      <c r="EF2801" s="440"/>
    </row>
    <row r="2802" spans="53:136">
      <c r="BB2802" s="436"/>
      <c r="BC2802" s="120"/>
      <c r="BD2802" s="120"/>
      <c r="BE2802" s="120"/>
      <c r="BF2802" s="440"/>
      <c r="CB2802" s="436"/>
      <c r="CC2802" s="120"/>
      <c r="CD2802" s="120"/>
      <c r="CE2802" s="120"/>
      <c r="CF2802" s="440"/>
      <c r="DB2802" s="436"/>
      <c r="DC2802" s="120"/>
      <c r="DD2802" s="120"/>
      <c r="DE2802" s="120"/>
      <c r="DF2802" s="440"/>
      <c r="EB2802" s="436"/>
      <c r="EC2802" s="120"/>
      <c r="ED2802" s="120"/>
      <c r="EE2802" s="120"/>
      <c r="EF2802" s="440"/>
    </row>
    <row r="2803" spans="53:136">
      <c r="BB2803" s="436"/>
      <c r="BC2803" s="120"/>
      <c r="BD2803" s="120"/>
      <c r="BE2803" s="120"/>
      <c r="BF2803" s="440"/>
      <c r="CB2803" s="436"/>
      <c r="CC2803" s="120"/>
      <c r="CD2803" s="120"/>
      <c r="CE2803" s="120"/>
      <c r="CF2803" s="440"/>
      <c r="DB2803" s="436"/>
      <c r="DC2803" s="120"/>
      <c r="DD2803" s="120"/>
      <c r="DE2803" s="120"/>
      <c r="DF2803" s="440"/>
      <c r="EB2803" s="436"/>
      <c r="EC2803" s="120"/>
      <c r="ED2803" s="120"/>
      <c r="EE2803" s="120"/>
      <c r="EF2803" s="440"/>
    </row>
    <row r="2804" spans="53:136" ht="14.5" thickBot="1">
      <c r="BB2804" s="492"/>
      <c r="BC2804" s="493"/>
      <c r="BD2804" s="493"/>
      <c r="BE2804" s="493"/>
      <c r="BF2804" s="453"/>
      <c r="CB2804" s="492"/>
      <c r="CC2804" s="493"/>
      <c r="CD2804" s="493"/>
      <c r="CE2804" s="493"/>
      <c r="CF2804" s="453"/>
      <c r="DB2804" s="492"/>
      <c r="DC2804" s="493"/>
      <c r="DD2804" s="493"/>
      <c r="DE2804" s="493"/>
      <c r="DF2804" s="453"/>
      <c r="EB2804" s="492"/>
      <c r="EC2804" s="493"/>
      <c r="ED2804" s="493"/>
      <c r="EE2804" s="493"/>
      <c r="EF2804" s="453"/>
    </row>
    <row r="2807" spans="53:136" ht="14.5" thickBot="1"/>
    <row r="2808" spans="53:136">
      <c r="BA2808" s="114" t="s">
        <v>478</v>
      </c>
      <c r="BB2808" s="431" t="str">
        <f>BB77</f>
        <v>Select Equipment</v>
      </c>
      <c r="BC2808" s="432"/>
      <c r="BD2808" s="433"/>
      <c r="BE2808" s="434"/>
      <c r="BF2808" s="435"/>
      <c r="CA2808" s="114" t="s">
        <v>478</v>
      </c>
      <c r="CB2808" s="431" t="str">
        <f>CB77</f>
        <v>Select Equipment</v>
      </c>
      <c r="CC2808" s="432"/>
      <c r="CD2808" s="433"/>
      <c r="CE2808" s="434"/>
      <c r="CF2808" s="435"/>
      <c r="DA2808" s="114" t="s">
        <v>478</v>
      </c>
      <c r="DB2808" s="431" t="str">
        <f>DB77</f>
        <v>Select Equipment</v>
      </c>
      <c r="DC2808" s="432"/>
      <c r="DD2808" s="433"/>
      <c r="DE2808" s="434"/>
      <c r="DF2808" s="435"/>
      <c r="EA2808" s="114" t="s">
        <v>478</v>
      </c>
      <c r="EB2808" s="431" t="str">
        <f>EB79</f>
        <v>Select Equipment</v>
      </c>
      <c r="EC2808" s="432"/>
      <c r="ED2808" s="433"/>
      <c r="EE2808" s="434"/>
      <c r="EF2808" s="435"/>
    </row>
    <row r="2809" spans="53:136">
      <c r="BA2809" s="114" t="s">
        <v>5</v>
      </c>
      <c r="BB2809" s="436" t="s">
        <v>1</v>
      </c>
      <c r="BC2809" s="437">
        <f>BC$25/BC$22/BC$21*VLOOKUP(BB2808,'Unit Ops'!$B$140:$J$209,2,FALSE)</f>
        <v>0.92592592592592593</v>
      </c>
      <c r="BD2809" s="438" t="s">
        <v>586</v>
      </c>
      <c r="BE2809" s="1027">
        <f>BC2809*BC$310*BC$311</f>
        <v>10000</v>
      </c>
      <c r="BF2809" s="439" t="s">
        <v>585</v>
      </c>
      <c r="CA2809" s="114" t="s">
        <v>5</v>
      </c>
      <c r="CB2809" s="436" t="s">
        <v>1</v>
      </c>
      <c r="CC2809" s="437">
        <f>CC$25/CC$22/CC$21*VLOOKUP(CB2808,'Unit Ops'!$B$140:$J$209,2,FALSE)</f>
        <v>0.91324200913242004</v>
      </c>
      <c r="CD2809" s="438" t="s">
        <v>586</v>
      </c>
      <c r="CE2809" s="1027">
        <f>CC2809*CC$310*CC$311</f>
        <v>10000</v>
      </c>
      <c r="CF2809" s="439" t="s">
        <v>585</v>
      </c>
      <c r="DA2809" s="114" t="s">
        <v>5</v>
      </c>
      <c r="DB2809" s="436" t="s">
        <v>1</v>
      </c>
      <c r="DC2809" s="437">
        <f>DC$25/DC$22/DC$21*VLOOKUP(DB2808,'Unit Ops'!$B$140:$J$209,2,FALSE)</f>
        <v>0.92592592592592593</v>
      </c>
      <c r="DD2809" s="438" t="s">
        <v>586</v>
      </c>
      <c r="DE2809" s="1027">
        <f>DC2809*DC$310*DC$311</f>
        <v>10000</v>
      </c>
      <c r="DF2809" s="439" t="s">
        <v>585</v>
      </c>
      <c r="EA2809" s="114" t="s">
        <v>5</v>
      </c>
      <c r="EB2809" s="436" t="s">
        <v>1</v>
      </c>
      <c r="EC2809" s="437">
        <f>EC$26/EC$23/EC$22*VLOOKUP(EB2808,'Unit Ops'!$B$140:$J$209,2,FALSE)</f>
        <v>1.3020833333333333</v>
      </c>
      <c r="ED2809" s="438" t="s">
        <v>586</v>
      </c>
      <c r="EE2809" s="1027">
        <f>EC2809*EC$310*EC$311</f>
        <v>10000</v>
      </c>
      <c r="EF2809" s="439" t="s">
        <v>585</v>
      </c>
    </row>
    <row r="2810" spans="53:136">
      <c r="BA2810" s="114" t="str">
        <f>$BB$54</f>
        <v>Hopper</v>
      </c>
      <c r="BB2810" s="436" t="s">
        <v>505</v>
      </c>
      <c r="BC2810" s="437">
        <f>ROUNDUP(BC2809*IF(VLOOKUP(BB2808,'Unit Ops'!$B$140:$L$209,11,FALSE)=1,1.5,0.75),1)</f>
        <v>0.7</v>
      </c>
      <c r="BD2810" s="438" t="s">
        <v>586</v>
      </c>
      <c r="BE2810" s="120">
        <f>BC2810*BC$310*BC$311</f>
        <v>7560</v>
      </c>
      <c r="BF2810" s="439" t="s">
        <v>585</v>
      </c>
      <c r="CA2810" s="114" t="str">
        <f>$CB$54</f>
        <v>Conveyor</v>
      </c>
      <c r="CB2810" s="436" t="s">
        <v>505</v>
      </c>
      <c r="CC2810" s="437">
        <f>ROUNDUP(CC2809*IF(VLOOKUP(CB2808,'Unit Ops'!$B$140:$L$209,11,FALSE)=1,1.5,0.75),1)</f>
        <v>0.7</v>
      </c>
      <c r="CD2810" s="438" t="s">
        <v>586</v>
      </c>
      <c r="CE2810" s="120">
        <f>CC2810*CC$310*CC$311</f>
        <v>7665</v>
      </c>
      <c r="CF2810" s="439" t="s">
        <v>585</v>
      </c>
      <c r="DA2810" s="114" t="str">
        <f>$DB$54</f>
        <v>Conveyor</v>
      </c>
      <c r="DB2810" s="436" t="s">
        <v>505</v>
      </c>
      <c r="DC2810" s="437">
        <f>ROUNDUP(DC2809*IF(VLOOKUP(DB2808,'Unit Ops'!$B$140:$L$209,11,FALSE)=1,1.5,0.75),1)</f>
        <v>0.7</v>
      </c>
      <c r="DD2810" s="438" t="s">
        <v>586</v>
      </c>
      <c r="DE2810" s="120">
        <f>DC2810*DC$310*DC$311</f>
        <v>7560</v>
      </c>
      <c r="DF2810" s="439" t="s">
        <v>585</v>
      </c>
      <c r="EA2810" s="114" t="str">
        <f>$EB$56</f>
        <v>Conveyor</v>
      </c>
      <c r="EB2810" s="436" t="s">
        <v>505</v>
      </c>
      <c r="EC2810" s="437">
        <f>ROUNDUP(EC2809*IF(VLOOKUP(EB2808,'Unit Ops'!$B$140:$L$209,11,FALSE)=1,1.5,0.75),1)</f>
        <v>1</v>
      </c>
      <c r="ED2810" s="438" t="s">
        <v>586</v>
      </c>
      <c r="EE2810" s="120">
        <f>EC2810*EC$310*EC$311</f>
        <v>7680</v>
      </c>
      <c r="EF2810" s="439" t="s">
        <v>585</v>
      </c>
    </row>
    <row r="2811" spans="53:136">
      <c r="BA2811" s="114" t="str">
        <f>$BB$55</f>
        <v>Conveyor</v>
      </c>
      <c r="BB2811" s="441" t="s">
        <v>521</v>
      </c>
      <c r="BC2811" s="442">
        <f>BC2809/BC2810</f>
        <v>1.3227513227513228</v>
      </c>
      <c r="BD2811" s="438"/>
      <c r="BE2811" s="443"/>
      <c r="BF2811" s="440"/>
      <c r="CA2811" s="114" t="str">
        <f>$CB$55</f>
        <v>Leaching tank</v>
      </c>
      <c r="CB2811" s="441" t="s">
        <v>521</v>
      </c>
      <c r="CC2811" s="442">
        <f>CC2809/CC2810</f>
        <v>1.3046314416177429</v>
      </c>
      <c r="CD2811" s="438"/>
      <c r="CE2811" s="443"/>
      <c r="CF2811" s="440"/>
      <c r="DA2811" s="114" t="str">
        <f>$DB$55</f>
        <v>Froth flotation cell</v>
      </c>
      <c r="DB2811" s="441" t="s">
        <v>521</v>
      </c>
      <c r="DC2811" s="442">
        <f>DC2809/DC2810</f>
        <v>1.3227513227513228</v>
      </c>
      <c r="DD2811" s="438"/>
      <c r="DE2811" s="443"/>
      <c r="DF2811" s="440"/>
      <c r="EA2811" s="114" t="str">
        <f>$EB$57</f>
        <v>Leaching tank</v>
      </c>
      <c r="EB2811" s="441" t="s">
        <v>521</v>
      </c>
      <c r="EC2811" s="442">
        <f>EC2809/EC2810</f>
        <v>1.3020833333333333</v>
      </c>
      <c r="ED2811" s="438"/>
      <c r="EE2811" s="443"/>
      <c r="EF2811" s="440"/>
    </row>
    <row r="2812" spans="53:136">
      <c r="BA2812" s="114" t="str">
        <f>$BB$56</f>
        <v>Smelter</v>
      </c>
      <c r="BB2812" s="441" t="s">
        <v>506</v>
      </c>
      <c r="BC2812" s="445"/>
      <c r="BD2812" s="438" t="s">
        <v>454</v>
      </c>
      <c r="BE2812" s="443"/>
      <c r="BF2812" s="440"/>
      <c r="CA2812" s="114" t="str">
        <f>$CB$56</f>
        <v>Mixing tank</v>
      </c>
      <c r="CB2812" s="441" t="s">
        <v>506</v>
      </c>
      <c r="CC2812" s="445"/>
      <c r="CD2812" s="438" t="s">
        <v>454</v>
      </c>
      <c r="CE2812" s="443"/>
      <c r="CF2812" s="440"/>
      <c r="DA2812" s="114" t="str">
        <f>$DB$56</f>
        <v>Filter press</v>
      </c>
      <c r="DB2812" s="441" t="s">
        <v>506</v>
      </c>
      <c r="DC2812" s="445"/>
      <c r="DD2812" s="438" t="s">
        <v>454</v>
      </c>
      <c r="DE2812" s="443"/>
      <c r="DF2812" s="440"/>
      <c r="EA2812" s="114" t="str">
        <f>$EB$58</f>
        <v>Mixing tank</v>
      </c>
      <c r="EB2812" s="441" t="s">
        <v>506</v>
      </c>
      <c r="EC2812" s="445"/>
      <c r="ED2812" s="438" t="s">
        <v>454</v>
      </c>
      <c r="EE2812" s="443"/>
      <c r="EF2812" s="440"/>
    </row>
    <row r="2813" spans="53:136">
      <c r="BA2813" s="114" t="str">
        <f>$BB$57</f>
        <v>Gas treatment</v>
      </c>
      <c r="BB2813" s="436" t="s">
        <v>507</v>
      </c>
      <c r="BC2813" s="225">
        <f>(VLOOKUP(BB2808,'Unit Ops'!$B$140:$J$209,7,FALSE)*BC2810^VLOOKUP(BB2808,'Unit Ops'!$B$140:$J$209,8,FALSE)+VLOOKUP(BB2808,'Unit Ops'!$B$140:$J$209,9,FALSE))*IF(VLOOKUP(BB2808,'Unit Ops'!$B$140:$L$209,11,FALSE)=1,1,2)</f>
        <v>0</v>
      </c>
      <c r="BD2813" s="446" t="s">
        <v>454</v>
      </c>
      <c r="BE2813" s="443"/>
      <c r="BF2813" s="440"/>
      <c r="CA2813" s="114" t="str">
        <f>$CB$57</f>
        <v>Filter press</v>
      </c>
      <c r="CB2813" s="436" t="s">
        <v>507</v>
      </c>
      <c r="CC2813" s="225">
        <f>(VLOOKUP(CB2808,'Unit Ops'!$B$140:$J$209,7,FALSE)*CC2810^VLOOKUP(CB2808,'Unit Ops'!$B$140:$J$209,8,FALSE)+VLOOKUP(CB2808,'Unit Ops'!$B$140:$J$209,9,FALSE))*IF(VLOOKUP(CB2808,'Unit Ops'!$B$140:$L$209,11,FALSE)=1,1,2)</f>
        <v>0</v>
      </c>
      <c r="CD2813" s="446" t="s">
        <v>454</v>
      </c>
      <c r="CE2813" s="443"/>
      <c r="CF2813" s="440"/>
      <c r="DA2813" s="114" t="str">
        <f>$DB$57</f>
        <v>Froth flotation cell</v>
      </c>
      <c r="DB2813" s="436" t="s">
        <v>507</v>
      </c>
      <c r="DC2813" s="225">
        <f>(VLOOKUP(DB2808,'Unit Ops'!$B$140:$J$209,7,FALSE)*DC2810^VLOOKUP(DB2808,'Unit Ops'!$B$140:$J$209,8,FALSE)+VLOOKUP(DB2808,'Unit Ops'!$B$140:$J$209,9,FALSE))*IF(VLOOKUP(DB2808,'Unit Ops'!$B$140:$L$209,11,FALSE)=1,1,2)</f>
        <v>0</v>
      </c>
      <c r="DD2813" s="446" t="s">
        <v>454</v>
      </c>
      <c r="DE2813" s="443"/>
      <c r="DF2813" s="440"/>
      <c r="EA2813" s="114" t="str">
        <f>$EB$59</f>
        <v>Filter press</v>
      </c>
      <c r="EB2813" s="436" t="s">
        <v>507</v>
      </c>
      <c r="EC2813" s="225">
        <f>(VLOOKUP(EB2808,'Unit Ops'!$B$140:$J$209,7,FALSE)*EC2810^VLOOKUP(EB2808,'Unit Ops'!$B$140:$J$209,8,FALSE)+VLOOKUP(EB2808,'Unit Ops'!$B$140:$J$209,9,FALSE))*IF(VLOOKUP(EB2808,'Unit Ops'!$B$140:$L$209,11,FALSE)=1,1,2)</f>
        <v>0</v>
      </c>
      <c r="ED2813" s="446" t="s">
        <v>454</v>
      </c>
      <c r="EE2813" s="443"/>
      <c r="EF2813" s="440"/>
    </row>
    <row r="2814" spans="53:136">
      <c r="BA2814" s="114" t="str">
        <f>$BB$58</f>
        <v>Conveyor</v>
      </c>
      <c r="BB2814" s="441"/>
      <c r="BC2814" s="445"/>
      <c r="BD2814" s="447"/>
      <c r="BE2814" s="443"/>
      <c r="BF2814" s="440"/>
      <c r="CA2814" s="114" t="str">
        <f>$CB$58</f>
        <v>Solvent extraction unit</v>
      </c>
      <c r="CB2814" s="441"/>
      <c r="CC2814" s="445"/>
      <c r="CD2814" s="447"/>
      <c r="CE2814" s="443"/>
      <c r="CF2814" s="440"/>
      <c r="DA2814" s="114" t="str">
        <f>$DB$58</f>
        <v>Filter press</v>
      </c>
      <c r="DB2814" s="441"/>
      <c r="DC2814" s="445"/>
      <c r="DD2814" s="447"/>
      <c r="DE2814" s="443"/>
      <c r="DF2814" s="440"/>
      <c r="EA2814" s="114" t="str">
        <f>$EB$60</f>
        <v>Solvent extraction unit</v>
      </c>
      <c r="EB2814" s="441"/>
      <c r="EC2814" s="445"/>
      <c r="ED2814" s="447"/>
      <c r="EE2814" s="443"/>
      <c r="EF2814" s="440"/>
    </row>
    <row r="2815" spans="53:136">
      <c r="BA2815" s="114" t="str">
        <f>$BB$59</f>
        <v>Granulator</v>
      </c>
      <c r="BB2815" s="441"/>
      <c r="BC2815" s="445"/>
      <c r="BD2815" s="447"/>
      <c r="BE2815" s="443"/>
      <c r="BF2815" s="440"/>
      <c r="CA2815" s="114" t="str">
        <f>$CB$59</f>
        <v>Solvent extraction unit</v>
      </c>
      <c r="CB2815" s="441"/>
      <c r="CC2815" s="445"/>
      <c r="CD2815" s="447"/>
      <c r="CE2815" s="443"/>
      <c r="CF2815" s="440"/>
      <c r="DA2815" s="114" t="str">
        <f>$DB$59</f>
        <v>Dryer</v>
      </c>
      <c r="DB2815" s="441"/>
      <c r="DC2815" s="445"/>
      <c r="DD2815" s="447"/>
      <c r="DE2815" s="443"/>
      <c r="DF2815" s="440"/>
      <c r="EA2815" s="114" t="str">
        <f>$EB$61</f>
        <v>Solvent extraction unit</v>
      </c>
      <c r="EB2815" s="441"/>
      <c r="EC2815" s="445"/>
      <c r="ED2815" s="447"/>
      <c r="EE2815" s="443"/>
      <c r="EF2815" s="440"/>
    </row>
    <row r="2816" spans="53:136">
      <c r="BA2816" s="114" t="str">
        <f>$BB$60</f>
        <v>Leaching tank</v>
      </c>
      <c r="BB2816" s="449"/>
      <c r="BC2816" s="445"/>
      <c r="BD2816" s="447"/>
      <c r="BE2816" s="443"/>
      <c r="BF2816" s="440"/>
      <c r="CA2816" s="114" t="str">
        <f>$CB$60</f>
        <v>Solvent extraction unit</v>
      </c>
      <c r="CB2816" s="449"/>
      <c r="CC2816" s="445"/>
      <c r="CD2816" s="447"/>
      <c r="CE2816" s="443"/>
      <c r="CF2816" s="440"/>
      <c r="DA2816" s="114" t="str">
        <f>$DB$60</f>
        <v>Ball mill</v>
      </c>
      <c r="DB2816" s="449"/>
      <c r="DC2816" s="445"/>
      <c r="DD2816" s="447"/>
      <c r="DE2816" s="443"/>
      <c r="DF2816" s="440"/>
      <c r="EA2816" s="114" t="str">
        <f>$EB$62</f>
        <v>Solvent extraction unit</v>
      </c>
      <c r="EB2816" s="449"/>
      <c r="EC2816" s="445"/>
      <c r="ED2816" s="447"/>
      <c r="EE2816" s="443"/>
      <c r="EF2816" s="440"/>
    </row>
    <row r="2817" spans="53:136" ht="14.5" thickBot="1">
      <c r="BA2817" s="114" t="str">
        <f>$BB$61</f>
        <v>Solvent extraction unit</v>
      </c>
      <c r="BB2817" s="450"/>
      <c r="BC2817" s="451"/>
      <c r="BD2817" s="451"/>
      <c r="BE2817" s="452"/>
      <c r="BF2817" s="453"/>
      <c r="CA2817" s="114" t="str">
        <f>$CB$61</f>
        <v>Evaporator</v>
      </c>
      <c r="CB2817" s="450"/>
      <c r="CC2817" s="451"/>
      <c r="CD2817" s="451"/>
      <c r="CE2817" s="452"/>
      <c r="CF2817" s="453"/>
      <c r="DA2817" s="114" t="str">
        <f>$DB$61</f>
        <v>Furnace+saggar handling system</v>
      </c>
      <c r="DB2817" s="450"/>
      <c r="DC2817" s="451"/>
      <c r="DD2817" s="451"/>
      <c r="DE2817" s="452"/>
      <c r="DF2817" s="453"/>
      <c r="EA2817" s="114" t="str">
        <f>$EB$63</f>
        <v>Evaporator</v>
      </c>
      <c r="EB2817" s="450"/>
      <c r="EC2817" s="451"/>
      <c r="ED2817" s="451"/>
      <c r="EE2817" s="452"/>
      <c r="EF2817" s="453"/>
    </row>
    <row r="2818" spans="53:136">
      <c r="BA2818" s="114" t="str">
        <f>$BB$62</f>
        <v>Electrowinning cell</v>
      </c>
      <c r="BB2818" s="449" t="s">
        <v>470</v>
      </c>
      <c r="BC2818" s="120"/>
      <c r="BD2818" s="454"/>
      <c r="BE2818" s="120"/>
      <c r="BF2818" s="440"/>
      <c r="CA2818" s="114" t="str">
        <f>$CB$62</f>
        <v>Precipitation tank</v>
      </c>
      <c r="CB2818" s="449" t="s">
        <v>470</v>
      </c>
      <c r="CC2818" s="120"/>
      <c r="CD2818" s="454"/>
      <c r="CE2818" s="120"/>
      <c r="CF2818" s="440"/>
      <c r="DA2818" s="114" t="str">
        <f>$DB$62</f>
        <v>Water treatment</v>
      </c>
      <c r="DB2818" s="449" t="s">
        <v>470</v>
      </c>
      <c r="DC2818" s="120"/>
      <c r="DD2818" s="454"/>
      <c r="DE2818" s="120"/>
      <c r="DF2818" s="440"/>
      <c r="EA2818" s="114" t="str">
        <f>$EB$64</f>
        <v>Precipitation tank</v>
      </c>
      <c r="EB2818" s="449" t="s">
        <v>470</v>
      </c>
      <c r="EC2818" s="120"/>
      <c r="ED2818" s="454"/>
      <c r="EE2818" s="120"/>
      <c r="EF2818" s="440"/>
    </row>
    <row r="2819" spans="53:136" ht="14.5" customHeight="1">
      <c r="BA2819" s="114" t="str">
        <f>$BB$63</f>
        <v>Solvent extraction unit</v>
      </c>
      <c r="BB2819" s="1698"/>
      <c r="BC2819" s="1699"/>
      <c r="BD2819" s="1699"/>
      <c r="BE2819" s="1699"/>
      <c r="BF2819" s="1700"/>
      <c r="CA2819" s="114" t="str">
        <f>$CB$63</f>
        <v>Centrifuge</v>
      </c>
      <c r="CB2819" s="1698"/>
      <c r="CC2819" s="1699"/>
      <c r="CD2819" s="1699"/>
      <c r="CE2819" s="1699"/>
      <c r="CF2819" s="1700"/>
      <c r="DA2819" s="114" t="str">
        <f>$DB$63</f>
        <v>Wheel loader</v>
      </c>
      <c r="DB2819" s="1698"/>
      <c r="DC2819" s="1699"/>
      <c r="DD2819" s="1699"/>
      <c r="DE2819" s="1699"/>
      <c r="DF2819" s="1700"/>
      <c r="EA2819" s="114" t="str">
        <f>$EB$65</f>
        <v>Centrifuge</v>
      </c>
      <c r="EB2819" s="1698"/>
      <c r="EC2819" s="1699"/>
      <c r="ED2819" s="1699"/>
      <c r="EE2819" s="1699"/>
      <c r="EF2819" s="1700"/>
    </row>
    <row r="2820" spans="53:136">
      <c r="BA2820" s="114" t="str">
        <f>$BB$64</f>
        <v>Solvent extraction unit</v>
      </c>
      <c r="BB2820" s="436"/>
      <c r="BC2820" s="120"/>
      <c r="BD2820" s="455"/>
      <c r="BE2820" s="120"/>
      <c r="BF2820" s="440"/>
      <c r="CA2820" s="114" t="str">
        <f>$CB$64</f>
        <v>Dryer</v>
      </c>
      <c r="CB2820" s="436"/>
      <c r="CC2820" s="120"/>
      <c r="CD2820" s="455"/>
      <c r="CE2820" s="120"/>
      <c r="CF2820" s="440"/>
      <c r="DA2820" s="114" t="str">
        <f>$DB$64</f>
        <v>Select Equipment</v>
      </c>
      <c r="DB2820" s="436"/>
      <c r="DC2820" s="120"/>
      <c r="DD2820" s="455"/>
      <c r="DE2820" s="120"/>
      <c r="DF2820" s="440"/>
      <c r="EA2820" s="114" t="str">
        <f>$EB$66</f>
        <v>Dryer</v>
      </c>
      <c r="EB2820" s="436"/>
      <c r="EC2820" s="120"/>
      <c r="ED2820" s="455"/>
      <c r="EE2820" s="120"/>
      <c r="EF2820" s="440"/>
    </row>
    <row r="2821" spans="53:136">
      <c r="BA2821" s="114" t="str">
        <f>$BB$65</f>
        <v>Wheel loader</v>
      </c>
      <c r="BB2821" s="436"/>
      <c r="BC2821" s="120"/>
      <c r="BD2821" s="455"/>
      <c r="BE2821" s="120"/>
      <c r="BF2821" s="440"/>
      <c r="CA2821" s="114" t="str">
        <f>$CB$65</f>
        <v>Water treatment</v>
      </c>
      <c r="CB2821" s="436"/>
      <c r="CC2821" s="120"/>
      <c r="CD2821" s="455"/>
      <c r="CE2821" s="120"/>
      <c r="CF2821" s="440"/>
      <c r="DA2821" s="114" t="str">
        <f>$DB$65</f>
        <v>Select Equipment</v>
      </c>
      <c r="DB2821" s="436"/>
      <c r="DC2821" s="120"/>
      <c r="DD2821" s="455"/>
      <c r="DE2821" s="120"/>
      <c r="DF2821" s="440"/>
      <c r="EA2821" s="114" t="str">
        <f>$EB$67</f>
        <v>Water treatment</v>
      </c>
      <c r="EB2821" s="436"/>
      <c r="EC2821" s="120"/>
      <c r="ED2821" s="455"/>
      <c r="EE2821" s="120"/>
      <c r="EF2821" s="440"/>
    </row>
    <row r="2822" spans="53:136">
      <c r="BA2822" s="114" t="str">
        <f>$BB$66</f>
        <v>Water treatment</v>
      </c>
      <c r="BB2822" s="456"/>
      <c r="BC2822" s="457"/>
      <c r="BD2822" s="457"/>
      <c r="BE2822" s="457"/>
      <c r="BF2822" s="458"/>
      <c r="CA2822" s="114" t="str">
        <f>$CB$66</f>
        <v>Wheel loader</v>
      </c>
      <c r="CB2822" s="456"/>
      <c r="CC2822" s="457"/>
      <c r="CD2822" s="457"/>
      <c r="CE2822" s="457"/>
      <c r="CF2822" s="458"/>
      <c r="DA2822" s="114" t="str">
        <f>$DB$66</f>
        <v>Select Equipment</v>
      </c>
      <c r="DB2822" s="456"/>
      <c r="DC2822" s="457"/>
      <c r="DD2822" s="457"/>
      <c r="DE2822" s="457"/>
      <c r="DF2822" s="458"/>
      <c r="EA2822" s="114" t="str">
        <f>$EB$68</f>
        <v>Wheel loader</v>
      </c>
      <c r="EB2822" s="456"/>
      <c r="EC2822" s="457"/>
      <c r="ED2822" s="457"/>
      <c r="EE2822" s="457"/>
      <c r="EF2822" s="458"/>
    </row>
    <row r="2823" spans="53:136">
      <c r="BA2823" s="114" t="str">
        <f>$BB$67</f>
        <v>Select Equipment</v>
      </c>
      <c r="BB2823" s="449" t="s">
        <v>471</v>
      </c>
      <c r="BC2823" s="120"/>
      <c r="BD2823" s="454"/>
      <c r="BE2823" s="120"/>
      <c r="BF2823" s="440"/>
      <c r="CA2823" s="114" t="str">
        <f>$CB$67</f>
        <v>Select Equipment</v>
      </c>
      <c r="CB2823" s="449" t="s">
        <v>471</v>
      </c>
      <c r="CC2823" s="120"/>
      <c r="CD2823" s="454"/>
      <c r="CE2823" s="120"/>
      <c r="CF2823" s="440"/>
      <c r="DA2823" s="114" t="str">
        <f>$DB$67</f>
        <v>Select Equipment</v>
      </c>
      <c r="DB2823" s="449" t="s">
        <v>471</v>
      </c>
      <c r="DC2823" s="120"/>
      <c r="DD2823" s="454"/>
      <c r="DE2823" s="120"/>
      <c r="DF2823" s="440"/>
      <c r="EA2823" s="114" t="str">
        <f>$EB$69</f>
        <v>Select Equipment</v>
      </c>
      <c r="EB2823" s="449" t="s">
        <v>471</v>
      </c>
      <c r="EC2823" s="120"/>
      <c r="ED2823" s="454"/>
      <c r="EE2823" s="120"/>
      <c r="EF2823" s="440"/>
    </row>
    <row r="2824" spans="53:136">
      <c r="BA2824" s="114" t="str">
        <f>$BB$68</f>
        <v>Select Equipment</v>
      </c>
      <c r="BB2824" s="436" t="s">
        <v>577</v>
      </c>
      <c r="BC2824" s="225">
        <f>BC2813*IF(BC2811&gt;1,1,BC2811)</f>
        <v>0</v>
      </c>
      <c r="BD2824" s="446" t="s">
        <v>454</v>
      </c>
      <c r="BE2824" s="120"/>
      <c r="BF2824" s="440"/>
      <c r="CA2824" s="114" t="str">
        <f>$CB$68</f>
        <v>Select Equipment</v>
      </c>
      <c r="CB2824" s="436" t="s">
        <v>577</v>
      </c>
      <c r="CC2824" s="225">
        <f>CC2813*IF(CC2811&gt;1,1,CC2811)</f>
        <v>0</v>
      </c>
      <c r="CD2824" s="446" t="s">
        <v>454</v>
      </c>
      <c r="CE2824" s="120"/>
      <c r="CF2824" s="440"/>
      <c r="DA2824" s="114" t="str">
        <f>$DB$68</f>
        <v>Select Equipment</v>
      </c>
      <c r="DB2824" s="436" t="s">
        <v>577</v>
      </c>
      <c r="DC2824" s="225">
        <f>DC2813*IF(DC2811&gt;1,1,DC2811)</f>
        <v>0</v>
      </c>
      <c r="DD2824" s="446" t="s">
        <v>454</v>
      </c>
      <c r="DE2824" s="120"/>
      <c r="DF2824" s="440"/>
      <c r="EA2824" s="114" t="str">
        <f>$EB$70</f>
        <v>Select Equipment</v>
      </c>
      <c r="EB2824" s="436" t="s">
        <v>577</v>
      </c>
      <c r="EC2824" s="225">
        <f>EC2813*IF(EC2811&gt;1,1,EC2811)</f>
        <v>0</v>
      </c>
      <c r="ED2824" s="446" t="s">
        <v>454</v>
      </c>
      <c r="EE2824" s="120"/>
      <c r="EF2824" s="440"/>
    </row>
    <row r="2825" spans="53:136">
      <c r="BA2825" s="114" t="str">
        <f>$BB$69</f>
        <v>Select Equipment</v>
      </c>
      <c r="BB2825" s="436" t="s">
        <v>578</v>
      </c>
      <c r="BC2825" s="225"/>
      <c r="BD2825" s="446" t="s">
        <v>579</v>
      </c>
      <c r="BE2825" s="120"/>
      <c r="BF2825" s="440"/>
      <c r="CA2825" s="114" t="str">
        <f>$CB$69</f>
        <v>Select Equipment</v>
      </c>
      <c r="CB2825" s="436" t="s">
        <v>578</v>
      </c>
      <c r="CC2825" s="225"/>
      <c r="CD2825" s="446" t="s">
        <v>579</v>
      </c>
      <c r="CE2825" s="120"/>
      <c r="CF2825" s="440"/>
      <c r="DA2825" s="114" t="str">
        <f>$DB$69</f>
        <v>Select Equipment</v>
      </c>
      <c r="DB2825" s="436" t="s">
        <v>578</v>
      </c>
      <c r="DC2825" s="225"/>
      <c r="DD2825" s="446" t="s">
        <v>579</v>
      </c>
      <c r="DE2825" s="120"/>
      <c r="DF2825" s="440"/>
      <c r="EA2825" s="114" t="str">
        <f>$EB$71</f>
        <v>Select Equipment</v>
      </c>
      <c r="EB2825" s="436" t="s">
        <v>578</v>
      </c>
      <c r="EC2825" s="225"/>
      <c r="ED2825" s="446" t="s">
        <v>579</v>
      </c>
      <c r="EE2825" s="120"/>
      <c r="EF2825" s="440"/>
    </row>
    <row r="2826" spans="53:136">
      <c r="BA2826" s="114" t="str">
        <f>$BB$70</f>
        <v>Select Equipment</v>
      </c>
      <c r="BB2826" s="436"/>
      <c r="BC2826" s="120"/>
      <c r="BD2826" s="446"/>
      <c r="BE2826" s="120"/>
      <c r="BF2826" s="440"/>
      <c r="CA2826" s="114" t="str">
        <f>$CB$70</f>
        <v>Select Equipment</v>
      </c>
      <c r="CB2826" s="436"/>
      <c r="CC2826" s="120"/>
      <c r="CD2826" s="446"/>
      <c r="CE2826" s="120"/>
      <c r="CF2826" s="440"/>
      <c r="DA2826" s="114" t="str">
        <f>$DB$70</f>
        <v>Select Equipment</v>
      </c>
      <c r="DB2826" s="436"/>
      <c r="DC2826" s="120"/>
      <c r="DD2826" s="446"/>
      <c r="DE2826" s="120"/>
      <c r="DF2826" s="440"/>
      <c r="EA2826" s="114" t="str">
        <f>$EB$72</f>
        <v>Select Equipment</v>
      </c>
      <c r="EB2826" s="436"/>
      <c r="EC2826" s="120"/>
      <c r="ED2826" s="446"/>
      <c r="EE2826" s="120"/>
      <c r="EF2826" s="440"/>
    </row>
    <row r="2827" spans="53:136">
      <c r="BA2827" s="114" t="str">
        <f>$BB$71</f>
        <v>Select Equipment</v>
      </c>
      <c r="BB2827" s="436" t="s">
        <v>8</v>
      </c>
      <c r="BC2827" s="120"/>
      <c r="BD2827" s="459" t="s">
        <v>564</v>
      </c>
      <c r="BE2827" s="120"/>
      <c r="BF2827" s="440"/>
      <c r="CA2827" s="114" t="str">
        <f>$CB$71</f>
        <v>Select Equipment</v>
      </c>
      <c r="CB2827" s="436" t="s">
        <v>8</v>
      </c>
      <c r="CC2827" s="120"/>
      <c r="CD2827" s="459" t="s">
        <v>564</v>
      </c>
      <c r="CE2827" s="120"/>
      <c r="CF2827" s="440"/>
      <c r="DA2827" s="114" t="str">
        <f>$DB$71</f>
        <v>Select Equipment</v>
      </c>
      <c r="DB2827" s="436" t="s">
        <v>8</v>
      </c>
      <c r="DC2827" s="120"/>
      <c r="DD2827" s="459" t="s">
        <v>564</v>
      </c>
      <c r="DE2827" s="120"/>
      <c r="DF2827" s="440"/>
      <c r="EA2827" s="114" t="str">
        <f>$EB$73</f>
        <v>Select Equipment</v>
      </c>
      <c r="EB2827" s="436" t="s">
        <v>8</v>
      </c>
      <c r="EC2827" s="120"/>
      <c r="ED2827" s="459" t="s">
        <v>564</v>
      </c>
      <c r="EE2827" s="120"/>
      <c r="EF2827" s="440"/>
    </row>
    <row r="2828" spans="53:136">
      <c r="BA2828" s="114" t="str">
        <f>$BB$72</f>
        <v>Select Equipment</v>
      </c>
      <c r="BB2828" s="436"/>
      <c r="BC2828" s="120"/>
      <c r="BD2828" s="459"/>
      <c r="BE2828" s="120"/>
      <c r="BF2828" s="440"/>
      <c r="CA2828" s="114" t="str">
        <f>$CB$72</f>
        <v>Select Equipment</v>
      </c>
      <c r="CB2828" s="436"/>
      <c r="CC2828" s="120"/>
      <c r="CD2828" s="459"/>
      <c r="CE2828" s="120"/>
      <c r="CF2828" s="440"/>
      <c r="DA2828" s="114" t="str">
        <f>$DB$72</f>
        <v>Select Equipment</v>
      </c>
      <c r="DB2828" s="436"/>
      <c r="DC2828" s="120"/>
      <c r="DD2828" s="459"/>
      <c r="DE2828" s="120"/>
      <c r="DF2828" s="440"/>
      <c r="EA2828" s="114" t="str">
        <f>$EB$74</f>
        <v>Select Equipment</v>
      </c>
      <c r="EB2828" s="436"/>
      <c r="EC2828" s="120"/>
      <c r="ED2828" s="459"/>
      <c r="EE2828" s="120"/>
      <c r="EF2828" s="440"/>
    </row>
    <row r="2829" spans="53:136">
      <c r="BA2829" s="114" t="str">
        <f>$BB$73</f>
        <v>Select Equipment</v>
      </c>
      <c r="BB2829" s="436" t="s">
        <v>7</v>
      </c>
      <c r="BC2829" s="120"/>
      <c r="BD2829" s="459" t="s">
        <v>564</v>
      </c>
      <c r="BE2829" s="120"/>
      <c r="BF2829" s="440"/>
      <c r="CA2829" s="114" t="str">
        <f>$CB$73</f>
        <v>Select Equipment</v>
      </c>
      <c r="CB2829" s="436" t="s">
        <v>7</v>
      </c>
      <c r="CC2829" s="120"/>
      <c r="CD2829" s="459" t="s">
        <v>564</v>
      </c>
      <c r="CE2829" s="120"/>
      <c r="CF2829" s="440"/>
      <c r="DA2829" s="114" t="str">
        <f>$DB$73</f>
        <v>Select Equipment</v>
      </c>
      <c r="DB2829" s="436" t="s">
        <v>7</v>
      </c>
      <c r="DC2829" s="120"/>
      <c r="DD2829" s="459" t="s">
        <v>564</v>
      </c>
      <c r="DE2829" s="120"/>
      <c r="DF2829" s="440"/>
      <c r="EA2829" s="114" t="str">
        <f>$EB$75</f>
        <v>Select Equipment</v>
      </c>
      <c r="EB2829" s="436" t="s">
        <v>7</v>
      </c>
      <c r="EC2829" s="120"/>
      <c r="ED2829" s="459" t="s">
        <v>564</v>
      </c>
      <c r="EE2829" s="120"/>
      <c r="EF2829" s="440"/>
    </row>
    <row r="2830" spans="53:136">
      <c r="BA2830" s="114" t="str">
        <f>$BB$74</f>
        <v>Select Equipment</v>
      </c>
      <c r="BB2830" s="436"/>
      <c r="BC2830" s="120"/>
      <c r="BD2830" s="459"/>
      <c r="BE2830" s="120"/>
      <c r="BF2830" s="440"/>
      <c r="CA2830" s="114" t="str">
        <f>$CB$74</f>
        <v>Select Equipment</v>
      </c>
      <c r="CB2830" s="436"/>
      <c r="CC2830" s="120"/>
      <c r="CD2830" s="459"/>
      <c r="CE2830" s="120"/>
      <c r="CF2830" s="440"/>
      <c r="DA2830" s="114" t="str">
        <f>$DB$74</f>
        <v>Select Equipment</v>
      </c>
      <c r="DB2830" s="436"/>
      <c r="DC2830" s="120"/>
      <c r="DD2830" s="459"/>
      <c r="DE2830" s="120"/>
      <c r="DF2830" s="440"/>
      <c r="EA2830" s="114" t="str">
        <f>$EB$76</f>
        <v>Select Equipment</v>
      </c>
      <c r="EB2830" s="436"/>
      <c r="EC2830" s="120"/>
      <c r="ED2830" s="459"/>
      <c r="EE2830" s="120"/>
      <c r="EF2830" s="440"/>
    </row>
    <row r="2831" spans="53:136">
      <c r="BA2831" s="114" t="str">
        <f>$BB$75</f>
        <v>Select Equipment</v>
      </c>
      <c r="BB2831" s="436" t="s">
        <v>9</v>
      </c>
      <c r="BC2831" s="120"/>
      <c r="BD2831" s="459" t="s">
        <v>564</v>
      </c>
      <c r="BE2831" s="120"/>
      <c r="BF2831" s="440"/>
      <c r="CA2831" s="114" t="str">
        <f>$CB$75</f>
        <v>Select Equipment</v>
      </c>
      <c r="CB2831" s="436" t="s">
        <v>9</v>
      </c>
      <c r="CC2831" s="120"/>
      <c r="CD2831" s="459" t="s">
        <v>564</v>
      </c>
      <c r="CE2831" s="120"/>
      <c r="CF2831" s="440"/>
      <c r="DA2831" s="114" t="str">
        <f>$DB$75</f>
        <v>Select Equipment</v>
      </c>
      <c r="DB2831" s="436" t="s">
        <v>9</v>
      </c>
      <c r="DC2831" s="120"/>
      <c r="DD2831" s="459" t="s">
        <v>564</v>
      </c>
      <c r="DE2831" s="120"/>
      <c r="DF2831" s="440"/>
      <c r="EA2831" s="114" t="str">
        <f>$EB$77</f>
        <v>Select Equipment</v>
      </c>
      <c r="EB2831" s="436" t="s">
        <v>9</v>
      </c>
      <c r="EC2831" s="120"/>
      <c r="ED2831" s="459" t="s">
        <v>564</v>
      </c>
      <c r="EE2831" s="120"/>
      <c r="EF2831" s="440"/>
    </row>
    <row r="2832" spans="53:136">
      <c r="BA2832" s="114" t="str">
        <f>$BB$76</f>
        <v>Select Equipment</v>
      </c>
      <c r="BB2832" s="436"/>
      <c r="BC2832" s="120"/>
      <c r="BD2832" s="459"/>
      <c r="BE2832" s="120"/>
      <c r="BF2832" s="440"/>
      <c r="CA2832" s="114" t="str">
        <f>$CB$76</f>
        <v>Select Equipment</v>
      </c>
      <c r="CB2832" s="436"/>
      <c r="CC2832" s="120"/>
      <c r="CD2832" s="459"/>
      <c r="CE2832" s="120"/>
      <c r="CF2832" s="440"/>
      <c r="DA2832" s="114" t="str">
        <f>$DB$76</f>
        <v>Select Equipment</v>
      </c>
      <c r="DB2832" s="436"/>
      <c r="DC2832" s="120"/>
      <c r="DD2832" s="459"/>
      <c r="DE2832" s="120"/>
      <c r="DF2832" s="440"/>
      <c r="EA2832" s="114" t="str">
        <f>$EB$78</f>
        <v>Select Equipment</v>
      </c>
      <c r="EB2832" s="436"/>
      <c r="EC2832" s="120"/>
      <c r="ED2832" s="459"/>
      <c r="EE2832" s="120"/>
      <c r="EF2832" s="440"/>
    </row>
    <row r="2833" spans="53:136">
      <c r="BA2833" s="114" t="str">
        <f>$BB$77</f>
        <v>Select Equipment</v>
      </c>
      <c r="BB2833" s="436" t="s">
        <v>324</v>
      </c>
      <c r="BC2833" s="120"/>
      <c r="BD2833" s="459" t="s">
        <v>564</v>
      </c>
      <c r="BE2833" s="120"/>
      <c r="BF2833" s="440" t="s">
        <v>569</v>
      </c>
      <c r="CA2833" s="114" t="str">
        <f>$CB$77</f>
        <v>Select Equipment</v>
      </c>
      <c r="CB2833" s="436" t="s">
        <v>324</v>
      </c>
      <c r="CC2833" s="120"/>
      <c r="CD2833" s="459" t="s">
        <v>564</v>
      </c>
      <c r="CE2833" s="120"/>
      <c r="CF2833" s="440" t="s">
        <v>569</v>
      </c>
      <c r="DA2833" s="114" t="str">
        <f>$DB$77</f>
        <v>Select Equipment</v>
      </c>
      <c r="DB2833" s="436" t="s">
        <v>324</v>
      </c>
      <c r="DC2833" s="120"/>
      <c r="DD2833" s="459" t="s">
        <v>564</v>
      </c>
      <c r="DE2833" s="120"/>
      <c r="DF2833" s="440" t="s">
        <v>569</v>
      </c>
      <c r="EA2833" s="114" t="str">
        <f>$EB$79</f>
        <v>Select Equipment</v>
      </c>
      <c r="EB2833" s="436" t="s">
        <v>324</v>
      </c>
      <c r="EC2833" s="120"/>
      <c r="ED2833" s="459" t="s">
        <v>564</v>
      </c>
      <c r="EE2833" s="120"/>
      <c r="EF2833" s="440" t="s">
        <v>569</v>
      </c>
    </row>
    <row r="2834" spans="53:136">
      <c r="BA2834" s="114" t="str">
        <f>$BB$78</f>
        <v>Select Equipment</v>
      </c>
      <c r="BB2834" s="436"/>
      <c r="BC2834" s="120"/>
      <c r="BD2834" s="468"/>
      <c r="BE2834" s="469"/>
      <c r="BF2834" s="440"/>
      <c r="CA2834" s="114" t="str">
        <f>$CB$78</f>
        <v>Select Equipment</v>
      </c>
      <c r="CB2834" s="436"/>
      <c r="CC2834" s="120"/>
      <c r="CD2834" s="468"/>
      <c r="CE2834" s="469"/>
      <c r="CF2834" s="440"/>
      <c r="DA2834" s="114" t="str">
        <f>$DB$78</f>
        <v>Select Equipment</v>
      </c>
      <c r="DB2834" s="436"/>
      <c r="DC2834" s="120"/>
      <c r="DD2834" s="468"/>
      <c r="DE2834" s="469"/>
      <c r="DF2834" s="440"/>
      <c r="EA2834" s="114" t="str">
        <f>$EB$80</f>
        <v>Select Equipment</v>
      </c>
      <c r="EB2834" s="436"/>
      <c r="EC2834" s="120"/>
      <c r="ED2834" s="468"/>
      <c r="EE2834" s="469"/>
      <c r="EF2834" s="440"/>
    </row>
    <row r="2835" spans="53:136">
      <c r="BA2835" s="114" t="str">
        <f>$BB$79</f>
        <v>Select Equipment</v>
      </c>
      <c r="BB2835" s="436" t="s">
        <v>374</v>
      </c>
      <c r="BC2835" s="120"/>
      <c r="BD2835" s="459" t="s">
        <v>564</v>
      </c>
      <c r="BE2835" s="469"/>
      <c r="BF2835" s="440" t="s">
        <v>569</v>
      </c>
      <c r="CA2835" s="114" t="str">
        <f>$CB$79</f>
        <v>Select Equipment</v>
      </c>
      <c r="CB2835" s="436" t="s">
        <v>374</v>
      </c>
      <c r="CC2835" s="120"/>
      <c r="CD2835" s="459" t="s">
        <v>564</v>
      </c>
      <c r="CE2835" s="469"/>
      <c r="CF2835" s="440" t="s">
        <v>569</v>
      </c>
      <c r="DA2835" s="114" t="str">
        <f>$DB$79</f>
        <v>Select Equipment</v>
      </c>
      <c r="DB2835" s="436" t="s">
        <v>374</v>
      </c>
      <c r="DC2835" s="120"/>
      <c r="DD2835" s="459" t="s">
        <v>564</v>
      </c>
      <c r="DE2835" s="469"/>
      <c r="DF2835" s="440" t="s">
        <v>569</v>
      </c>
      <c r="EA2835" s="114" t="str">
        <f>$EB$81</f>
        <v>Select Equipment</v>
      </c>
      <c r="EB2835" s="436" t="s">
        <v>374</v>
      </c>
      <c r="EC2835" s="120"/>
      <c r="ED2835" s="459" t="s">
        <v>564</v>
      </c>
      <c r="EE2835" s="469"/>
      <c r="EF2835" s="440" t="s">
        <v>569</v>
      </c>
    </row>
    <row r="2836" spans="53:136">
      <c r="BA2836" s="114" t="str">
        <f>$BB$80</f>
        <v>Select Equipment</v>
      </c>
      <c r="BB2836" s="436"/>
      <c r="BC2836" s="120"/>
      <c r="BD2836" s="472"/>
      <c r="BE2836" s="473"/>
      <c r="BF2836" s="440"/>
      <c r="CA2836" s="114" t="str">
        <f>$CB$80</f>
        <v>Select Equipment</v>
      </c>
      <c r="CB2836" s="436"/>
      <c r="CC2836" s="120"/>
      <c r="CD2836" s="472"/>
      <c r="CE2836" s="473"/>
      <c r="CF2836" s="440"/>
      <c r="DA2836" s="114" t="str">
        <f>$DB$80</f>
        <v>Select Equipment</v>
      </c>
      <c r="DB2836" s="436"/>
      <c r="DC2836" s="120"/>
      <c r="DD2836" s="472"/>
      <c r="DE2836" s="473"/>
      <c r="DF2836" s="440"/>
      <c r="EA2836" s="114" t="str">
        <f>$EB$82</f>
        <v>Select Equipment</v>
      </c>
      <c r="EB2836" s="436"/>
      <c r="EC2836" s="120"/>
      <c r="ED2836" s="472"/>
      <c r="EE2836" s="473"/>
      <c r="EF2836" s="440"/>
    </row>
    <row r="2837" spans="53:136">
      <c r="BA2837" s="114" t="str">
        <f>$BB$81</f>
        <v>Select Equipment</v>
      </c>
      <c r="BB2837" s="436" t="s">
        <v>580</v>
      </c>
      <c r="BC2837" s="120"/>
      <c r="BD2837" s="459" t="s">
        <v>564</v>
      </c>
      <c r="BE2837" s="473"/>
      <c r="BF2837" s="440" t="s">
        <v>569</v>
      </c>
      <c r="CA2837" s="114" t="str">
        <f>$CB$81</f>
        <v>Select Equipment</v>
      </c>
      <c r="CB2837" s="436" t="s">
        <v>580</v>
      </c>
      <c r="CC2837" s="120"/>
      <c r="CD2837" s="459" t="s">
        <v>564</v>
      </c>
      <c r="CE2837" s="473"/>
      <c r="CF2837" s="440" t="s">
        <v>569</v>
      </c>
      <c r="DA2837" s="114" t="str">
        <f>$DB$81</f>
        <v>Select Equipment</v>
      </c>
      <c r="DB2837" s="436" t="s">
        <v>580</v>
      </c>
      <c r="DC2837" s="120"/>
      <c r="DD2837" s="459" t="s">
        <v>564</v>
      </c>
      <c r="DE2837" s="473"/>
      <c r="DF2837" s="440" t="s">
        <v>569</v>
      </c>
      <c r="EA2837" s="114" t="str">
        <f>$EB$83</f>
        <v>Select Equipment</v>
      </c>
      <c r="EB2837" s="436" t="s">
        <v>580</v>
      </c>
      <c r="EC2837" s="120"/>
      <c r="ED2837" s="459" t="s">
        <v>564</v>
      </c>
      <c r="EE2837" s="473"/>
      <c r="EF2837" s="440" t="s">
        <v>569</v>
      </c>
    </row>
    <row r="2838" spans="53:136">
      <c r="BA2838" s="114" t="str">
        <f>$BB$82</f>
        <v>Select Equipment</v>
      </c>
      <c r="BB2838" s="476"/>
      <c r="BC2838" s="477"/>
      <c r="BD2838" s="478"/>
      <c r="BE2838" s="479"/>
      <c r="BF2838" s="458"/>
      <c r="CA2838" s="114" t="str">
        <f>$CB$82</f>
        <v>Select Equipment</v>
      </c>
      <c r="CB2838" s="476"/>
      <c r="CC2838" s="477"/>
      <c r="CD2838" s="478"/>
      <c r="CE2838" s="479"/>
      <c r="CF2838" s="458"/>
      <c r="DA2838" s="114" t="str">
        <f>$DB$82</f>
        <v>Select Equipment</v>
      </c>
      <c r="DB2838" s="476"/>
      <c r="DC2838" s="477"/>
      <c r="DD2838" s="478"/>
      <c r="DE2838" s="479"/>
      <c r="DF2838" s="458"/>
      <c r="EA2838" s="114" t="str">
        <f>$EB$84</f>
        <v>Select Equipment</v>
      </c>
      <c r="EB2838" s="476"/>
      <c r="EC2838" s="477"/>
      <c r="ED2838" s="478"/>
      <c r="EE2838" s="479"/>
      <c r="EF2838" s="458"/>
    </row>
    <row r="2839" spans="53:136">
      <c r="BA2839" s="114" t="str">
        <f>$BB$83</f>
        <v>Select Equipment</v>
      </c>
      <c r="BB2839" s="449" t="s">
        <v>473</v>
      </c>
      <c r="BC2839" s="467" t="s">
        <v>508</v>
      </c>
      <c r="BD2839" s="480"/>
      <c r="BE2839" s="481" t="s">
        <v>308</v>
      </c>
      <c r="BF2839" s="440"/>
      <c r="CA2839" s="114" t="str">
        <f>$CB$83</f>
        <v>Select Equipment</v>
      </c>
      <c r="CB2839" s="449" t="s">
        <v>473</v>
      </c>
      <c r="CC2839" s="467" t="s">
        <v>508</v>
      </c>
      <c r="CD2839" s="480"/>
      <c r="CE2839" s="481" t="s">
        <v>308</v>
      </c>
      <c r="CF2839" s="440"/>
      <c r="DA2839" s="114" t="str">
        <f>$DB$83</f>
        <v>Select Equipment</v>
      </c>
      <c r="DB2839" s="449" t="s">
        <v>473</v>
      </c>
      <c r="DC2839" s="467" t="s">
        <v>508</v>
      </c>
      <c r="DD2839" s="480"/>
      <c r="DE2839" s="481" t="s">
        <v>308</v>
      </c>
      <c r="DF2839" s="440"/>
      <c r="EA2839" s="114" t="str">
        <f>$EB$85</f>
        <v>Select Equipment</v>
      </c>
      <c r="EB2839" s="449" t="s">
        <v>473</v>
      </c>
      <c r="EC2839" s="467" t="s">
        <v>508</v>
      </c>
      <c r="ED2839" s="480"/>
      <c r="EE2839" s="481" t="s">
        <v>308</v>
      </c>
      <c r="EF2839" s="440"/>
    </row>
    <row r="2840" spans="53:136">
      <c r="BB2840" s="436"/>
      <c r="BC2840" s="483"/>
      <c r="BD2840" s="480"/>
      <c r="BE2840" s="484"/>
      <c r="BF2840" s="440"/>
      <c r="CB2840" s="436"/>
      <c r="CC2840" s="483"/>
      <c r="CD2840" s="480"/>
      <c r="CE2840" s="484"/>
      <c r="CF2840" s="440"/>
      <c r="DB2840" s="436"/>
      <c r="DC2840" s="483"/>
      <c r="DD2840" s="480"/>
      <c r="DE2840" s="484"/>
      <c r="DF2840" s="440"/>
      <c r="EB2840" s="436"/>
      <c r="EC2840" s="483"/>
      <c r="ED2840" s="480"/>
      <c r="EE2840" s="484"/>
      <c r="EF2840" s="440"/>
    </row>
    <row r="2841" spans="53:136">
      <c r="BB2841" s="436"/>
      <c r="BC2841" s="120"/>
      <c r="BD2841" s="223"/>
      <c r="BE2841" s="467"/>
      <c r="BF2841" s="440"/>
      <c r="CB2841" s="436"/>
      <c r="CC2841" s="120"/>
      <c r="CD2841" s="223"/>
      <c r="CE2841" s="467"/>
      <c r="CF2841" s="440"/>
      <c r="DB2841" s="436"/>
      <c r="DC2841" s="120"/>
      <c r="DD2841" s="223"/>
      <c r="DE2841" s="467"/>
      <c r="DF2841" s="440"/>
      <c r="EB2841" s="436"/>
      <c r="EC2841" s="120"/>
      <c r="ED2841" s="223"/>
      <c r="EE2841" s="467"/>
      <c r="EF2841" s="440"/>
    </row>
    <row r="2842" spans="53:136">
      <c r="BB2842" s="436"/>
      <c r="BC2842" s="120"/>
      <c r="BD2842" s="466"/>
      <c r="BE2842" s="467"/>
      <c r="BF2842" s="440"/>
      <c r="CB2842" s="436"/>
      <c r="CC2842" s="120"/>
      <c r="CD2842" s="466"/>
      <c r="CE2842" s="467"/>
      <c r="CF2842" s="440"/>
      <c r="DB2842" s="436"/>
      <c r="DC2842" s="120"/>
      <c r="DD2842" s="466"/>
      <c r="DE2842" s="467"/>
      <c r="DF2842" s="440"/>
      <c r="EB2842" s="436"/>
      <c r="EC2842" s="120"/>
      <c r="ED2842" s="466"/>
      <c r="EE2842" s="467"/>
      <c r="EF2842" s="440"/>
    </row>
    <row r="2843" spans="53:136">
      <c r="BB2843" s="436"/>
      <c r="BC2843" s="120"/>
      <c r="BD2843" s="223"/>
      <c r="BE2843" s="467"/>
      <c r="BF2843" s="440"/>
      <c r="CB2843" s="436"/>
      <c r="CC2843" s="120"/>
      <c r="CD2843" s="223"/>
      <c r="CE2843" s="467"/>
      <c r="CF2843" s="440"/>
      <c r="DB2843" s="436"/>
      <c r="DC2843" s="120"/>
      <c r="DD2843" s="223"/>
      <c r="DE2843" s="467"/>
      <c r="DF2843" s="440"/>
      <c r="EB2843" s="436"/>
      <c r="EC2843" s="120"/>
      <c r="ED2843" s="223"/>
      <c r="EE2843" s="467"/>
      <c r="EF2843" s="440"/>
    </row>
    <row r="2844" spans="53:136">
      <c r="BB2844" s="436"/>
      <c r="BC2844" s="120"/>
      <c r="BD2844" s="223"/>
      <c r="BE2844" s="467"/>
      <c r="BF2844" s="440"/>
      <c r="CB2844" s="436"/>
      <c r="CC2844" s="120"/>
      <c r="CD2844" s="223"/>
      <c r="CE2844" s="467"/>
      <c r="CF2844" s="440"/>
      <c r="DB2844" s="436"/>
      <c r="DC2844" s="120"/>
      <c r="DD2844" s="223"/>
      <c r="DE2844" s="467"/>
      <c r="DF2844" s="440"/>
      <c r="EB2844" s="436"/>
      <c r="EC2844" s="120"/>
      <c r="ED2844" s="223"/>
      <c r="EE2844" s="467"/>
      <c r="EF2844" s="440"/>
    </row>
    <row r="2845" spans="53:136">
      <c r="BB2845" s="436"/>
      <c r="BC2845" s="120"/>
      <c r="BD2845" s="471"/>
      <c r="BE2845" s="467"/>
      <c r="BF2845" s="440"/>
      <c r="CB2845" s="436"/>
      <c r="CC2845" s="120"/>
      <c r="CD2845" s="471"/>
      <c r="CE2845" s="467"/>
      <c r="CF2845" s="440"/>
      <c r="DB2845" s="436"/>
      <c r="DC2845" s="120"/>
      <c r="DD2845" s="471"/>
      <c r="DE2845" s="467"/>
      <c r="DF2845" s="440"/>
      <c r="EB2845" s="436"/>
      <c r="EC2845" s="120"/>
      <c r="ED2845" s="471"/>
      <c r="EE2845" s="467"/>
      <c r="EF2845" s="440"/>
    </row>
    <row r="2846" spans="53:136">
      <c r="BB2846" s="436"/>
      <c r="BC2846" s="120"/>
      <c r="BD2846" s="223"/>
      <c r="BE2846" s="467"/>
      <c r="BF2846" s="440"/>
      <c r="CB2846" s="436"/>
      <c r="CC2846" s="120"/>
      <c r="CD2846" s="223"/>
      <c r="CE2846" s="467"/>
      <c r="CF2846" s="440"/>
      <c r="DB2846" s="436"/>
      <c r="DC2846" s="120"/>
      <c r="DD2846" s="223"/>
      <c r="DE2846" s="467"/>
      <c r="DF2846" s="440"/>
      <c r="EB2846" s="436"/>
      <c r="EC2846" s="120"/>
      <c r="ED2846" s="223"/>
      <c r="EE2846" s="467"/>
      <c r="EF2846" s="440"/>
    </row>
    <row r="2847" spans="53:136">
      <c r="BB2847" s="436"/>
      <c r="BC2847" s="120"/>
      <c r="BD2847" s="475"/>
      <c r="BE2847" s="467"/>
      <c r="BF2847" s="440"/>
      <c r="CB2847" s="436"/>
      <c r="CC2847" s="120"/>
      <c r="CD2847" s="475"/>
      <c r="CE2847" s="467"/>
      <c r="CF2847" s="440"/>
      <c r="DB2847" s="436"/>
      <c r="DC2847" s="120"/>
      <c r="DD2847" s="475"/>
      <c r="DE2847" s="467"/>
      <c r="DF2847" s="440"/>
      <c r="EB2847" s="436"/>
      <c r="EC2847" s="120"/>
      <c r="ED2847" s="475"/>
      <c r="EE2847" s="467"/>
      <c r="EF2847" s="440"/>
    </row>
    <row r="2848" spans="53:136">
      <c r="BB2848" s="436"/>
      <c r="BC2848" s="120"/>
      <c r="BD2848" s="223"/>
      <c r="BE2848" s="467"/>
      <c r="BF2848" s="440"/>
      <c r="CB2848" s="436"/>
      <c r="CC2848" s="120"/>
      <c r="CD2848" s="223"/>
      <c r="CE2848" s="467"/>
      <c r="CF2848" s="440"/>
      <c r="DB2848" s="436"/>
      <c r="DC2848" s="120"/>
      <c r="DD2848" s="223"/>
      <c r="DE2848" s="467"/>
      <c r="DF2848" s="440"/>
      <c r="EB2848" s="436"/>
      <c r="EC2848" s="120"/>
      <c r="ED2848" s="223"/>
      <c r="EE2848" s="467"/>
      <c r="EF2848" s="440"/>
    </row>
    <row r="2849" spans="54:136">
      <c r="BB2849" s="436"/>
      <c r="BC2849" s="120"/>
      <c r="BD2849" s="223"/>
      <c r="BE2849" s="467"/>
      <c r="BF2849" s="440"/>
      <c r="CB2849" s="436"/>
      <c r="CC2849" s="120"/>
      <c r="CD2849" s="223"/>
      <c r="CE2849" s="467"/>
      <c r="CF2849" s="440"/>
      <c r="DB2849" s="436"/>
      <c r="DC2849" s="120"/>
      <c r="DD2849" s="223"/>
      <c r="DE2849" s="467"/>
      <c r="DF2849" s="440"/>
      <c r="EB2849" s="436"/>
      <c r="EC2849" s="120"/>
      <c r="ED2849" s="223"/>
      <c r="EE2849" s="467"/>
      <c r="EF2849" s="440"/>
    </row>
    <row r="2850" spans="54:136">
      <c r="BB2850" s="436"/>
      <c r="BC2850" s="120"/>
      <c r="BD2850" s="223"/>
      <c r="BE2850" s="467"/>
      <c r="BF2850" s="440"/>
      <c r="CB2850" s="436"/>
      <c r="CC2850" s="120"/>
      <c r="CD2850" s="223"/>
      <c r="CE2850" s="467"/>
      <c r="CF2850" s="440"/>
      <c r="DB2850" s="436"/>
      <c r="DC2850" s="120"/>
      <c r="DD2850" s="223"/>
      <c r="DE2850" s="467"/>
      <c r="DF2850" s="440"/>
      <c r="EB2850" s="436"/>
      <c r="EC2850" s="120"/>
      <c r="ED2850" s="223"/>
      <c r="EE2850" s="467"/>
      <c r="EF2850" s="440"/>
    </row>
    <row r="2851" spans="54:136">
      <c r="BB2851" s="436"/>
      <c r="BC2851" s="120"/>
      <c r="BD2851" s="223"/>
      <c r="BE2851" s="467"/>
      <c r="BF2851" s="440"/>
      <c r="CB2851" s="436"/>
      <c r="CC2851" s="120"/>
      <c r="CD2851" s="223"/>
      <c r="CE2851" s="467"/>
      <c r="CF2851" s="440"/>
      <c r="DB2851" s="436"/>
      <c r="DC2851" s="120"/>
      <c r="DD2851" s="223"/>
      <c r="DE2851" s="467"/>
      <c r="DF2851" s="440"/>
      <c r="EB2851" s="436"/>
      <c r="EC2851" s="120"/>
      <c r="ED2851" s="223"/>
      <c r="EE2851" s="467"/>
      <c r="EF2851" s="440"/>
    </row>
    <row r="2852" spans="54:136">
      <c r="BB2852" s="436"/>
      <c r="BC2852" s="120"/>
      <c r="BD2852" s="120"/>
      <c r="BE2852" s="467"/>
      <c r="BF2852" s="440"/>
      <c r="CB2852" s="436"/>
      <c r="CC2852" s="120"/>
      <c r="CD2852" s="120"/>
      <c r="CE2852" s="467"/>
      <c r="CF2852" s="440"/>
      <c r="DB2852" s="436"/>
      <c r="DC2852" s="120"/>
      <c r="DD2852" s="120"/>
      <c r="DE2852" s="467"/>
      <c r="DF2852" s="440"/>
      <c r="EB2852" s="436"/>
      <c r="EC2852" s="120"/>
      <c r="ED2852" s="120"/>
      <c r="EE2852" s="467"/>
      <c r="EF2852" s="440"/>
    </row>
    <row r="2853" spans="54:136">
      <c r="BB2853" s="456"/>
      <c r="BC2853" s="457"/>
      <c r="BD2853" s="457"/>
      <c r="BE2853" s="477"/>
      <c r="BF2853" s="458"/>
      <c r="CB2853" s="456"/>
      <c r="CC2853" s="457"/>
      <c r="CD2853" s="457"/>
      <c r="CE2853" s="477"/>
      <c r="CF2853" s="458"/>
      <c r="DB2853" s="456"/>
      <c r="DC2853" s="457"/>
      <c r="DD2853" s="457"/>
      <c r="DE2853" s="477"/>
      <c r="DF2853" s="458"/>
      <c r="EB2853" s="456"/>
      <c r="EC2853" s="457"/>
      <c r="ED2853" s="457"/>
      <c r="EE2853" s="477"/>
      <c r="EF2853" s="458"/>
    </row>
    <row r="2854" spans="54:136">
      <c r="BB2854" s="449" t="s">
        <v>474</v>
      </c>
      <c r="BC2854" s="120"/>
      <c r="BD2854" s="120" t="s">
        <v>1</v>
      </c>
      <c r="BE2854" s="310" t="s">
        <v>307</v>
      </c>
      <c r="BF2854" s="440"/>
      <c r="CB2854" s="449" t="s">
        <v>474</v>
      </c>
      <c r="CC2854" s="120"/>
      <c r="CD2854" s="120" t="s">
        <v>1</v>
      </c>
      <c r="CE2854" s="310" t="s">
        <v>307</v>
      </c>
      <c r="CF2854" s="440"/>
      <c r="DB2854" s="449" t="s">
        <v>474</v>
      </c>
      <c r="DC2854" s="120"/>
      <c r="DD2854" s="120" t="s">
        <v>1</v>
      </c>
      <c r="DE2854" s="310" t="s">
        <v>307</v>
      </c>
      <c r="DF2854" s="440"/>
      <c r="EB2854" s="449" t="s">
        <v>474</v>
      </c>
      <c r="EC2854" s="120"/>
      <c r="ED2854" s="120" t="s">
        <v>1</v>
      </c>
      <c r="EE2854" s="310" t="s">
        <v>307</v>
      </c>
      <c r="EF2854" s="440"/>
    </row>
    <row r="2855" spans="54:136">
      <c r="BB2855" s="436"/>
      <c r="BC2855" s="223"/>
      <c r="BD2855" s="480"/>
      <c r="BE2855" s="484"/>
      <c r="BF2855" s="440"/>
      <c r="CB2855" s="436"/>
      <c r="CC2855" s="223"/>
      <c r="CD2855" s="480"/>
      <c r="CE2855" s="484"/>
      <c r="CF2855" s="440"/>
      <c r="DB2855" s="436"/>
      <c r="DC2855" s="223"/>
      <c r="DD2855" s="480"/>
      <c r="DE2855" s="484"/>
      <c r="DF2855" s="440"/>
      <c r="EB2855" s="436"/>
      <c r="EC2855" s="223"/>
      <c r="ED2855" s="480"/>
      <c r="EE2855" s="484"/>
      <c r="EF2855" s="440"/>
    </row>
    <row r="2856" spans="54:136">
      <c r="BB2856" s="436"/>
      <c r="BC2856" s="120"/>
      <c r="BD2856" s="120"/>
      <c r="BE2856" s="467"/>
      <c r="BF2856" s="440"/>
      <c r="CB2856" s="436"/>
      <c r="CC2856" s="120"/>
      <c r="CD2856" s="120"/>
      <c r="CE2856" s="467"/>
      <c r="CF2856" s="440"/>
      <c r="DB2856" s="436"/>
      <c r="DC2856" s="120"/>
      <c r="DD2856" s="120"/>
      <c r="DE2856" s="467"/>
      <c r="DF2856" s="440"/>
      <c r="EB2856" s="436"/>
      <c r="EC2856" s="120"/>
      <c r="ED2856" s="120"/>
      <c r="EE2856" s="467"/>
      <c r="EF2856" s="440"/>
    </row>
    <row r="2857" spans="54:136">
      <c r="BB2857" s="436"/>
      <c r="BC2857" s="120"/>
      <c r="BD2857" s="120"/>
      <c r="BE2857" s="467"/>
      <c r="BF2857" s="440"/>
      <c r="CB2857" s="436"/>
      <c r="CC2857" s="120"/>
      <c r="CD2857" s="120"/>
      <c r="CE2857" s="467"/>
      <c r="CF2857" s="440"/>
      <c r="DB2857" s="436"/>
      <c r="DC2857" s="120"/>
      <c r="DD2857" s="120"/>
      <c r="DE2857" s="467"/>
      <c r="DF2857" s="440"/>
      <c r="EB2857" s="436"/>
      <c r="EC2857" s="120"/>
      <c r="ED2857" s="120"/>
      <c r="EE2857" s="467"/>
      <c r="EF2857" s="440"/>
    </row>
    <row r="2858" spans="54:136">
      <c r="BB2858" s="436"/>
      <c r="BC2858" s="120"/>
      <c r="BD2858" s="120"/>
      <c r="BE2858" s="467"/>
      <c r="BF2858" s="440"/>
      <c r="CB2858" s="436"/>
      <c r="CC2858" s="120"/>
      <c r="CD2858" s="120"/>
      <c r="CE2858" s="467"/>
      <c r="CF2858" s="440"/>
      <c r="DB2858" s="436"/>
      <c r="DC2858" s="120"/>
      <c r="DD2858" s="120"/>
      <c r="DE2858" s="467"/>
      <c r="DF2858" s="440"/>
      <c r="EB2858" s="436"/>
      <c r="EC2858" s="120"/>
      <c r="ED2858" s="120"/>
      <c r="EE2858" s="467"/>
      <c r="EF2858" s="440"/>
    </row>
    <row r="2859" spans="54:136">
      <c r="BB2859" s="436"/>
      <c r="BC2859" s="120"/>
      <c r="BD2859" s="120"/>
      <c r="BE2859" s="467"/>
      <c r="BF2859" s="440"/>
      <c r="CB2859" s="436"/>
      <c r="CC2859" s="120"/>
      <c r="CD2859" s="120"/>
      <c r="CE2859" s="467"/>
      <c r="CF2859" s="440"/>
      <c r="DB2859" s="436"/>
      <c r="DC2859" s="120"/>
      <c r="DD2859" s="120"/>
      <c r="DE2859" s="467"/>
      <c r="DF2859" s="440"/>
      <c r="EB2859" s="436"/>
      <c r="EC2859" s="120"/>
      <c r="ED2859" s="120"/>
      <c r="EE2859" s="467"/>
      <c r="EF2859" s="440"/>
    </row>
    <row r="2860" spans="54:136">
      <c r="BB2860" s="436"/>
      <c r="BC2860" s="120"/>
      <c r="BD2860" s="120"/>
      <c r="BE2860" s="467"/>
      <c r="BF2860" s="440"/>
      <c r="CB2860" s="436"/>
      <c r="CC2860" s="120"/>
      <c r="CD2860" s="120"/>
      <c r="CE2860" s="467"/>
      <c r="CF2860" s="440"/>
      <c r="DB2860" s="436"/>
      <c r="DC2860" s="120"/>
      <c r="DD2860" s="120"/>
      <c r="DE2860" s="467"/>
      <c r="DF2860" s="440"/>
      <c r="EB2860" s="436"/>
      <c r="EC2860" s="120"/>
      <c r="ED2860" s="120"/>
      <c r="EE2860" s="467"/>
      <c r="EF2860" s="440"/>
    </row>
    <row r="2861" spans="54:136">
      <c r="BB2861" s="436"/>
      <c r="BC2861" s="120"/>
      <c r="BD2861" s="120"/>
      <c r="BE2861" s="467"/>
      <c r="BF2861" s="440"/>
      <c r="CB2861" s="436"/>
      <c r="CC2861" s="120"/>
      <c r="CD2861" s="120"/>
      <c r="CE2861" s="467"/>
      <c r="CF2861" s="440"/>
      <c r="DB2861" s="436"/>
      <c r="DC2861" s="120"/>
      <c r="DD2861" s="120"/>
      <c r="DE2861" s="467"/>
      <c r="DF2861" s="440"/>
      <c r="EB2861" s="436"/>
      <c r="EC2861" s="120"/>
      <c r="ED2861" s="120"/>
      <c r="EE2861" s="467"/>
      <c r="EF2861" s="440"/>
    </row>
    <row r="2862" spans="54:136">
      <c r="BB2862" s="436"/>
      <c r="BC2862" s="120"/>
      <c r="BD2862" s="120"/>
      <c r="BE2862" s="467"/>
      <c r="BF2862" s="440"/>
      <c r="CB2862" s="436"/>
      <c r="CC2862" s="120"/>
      <c r="CD2862" s="120"/>
      <c r="CE2862" s="467"/>
      <c r="CF2862" s="440"/>
      <c r="DB2862" s="436"/>
      <c r="DC2862" s="120"/>
      <c r="DD2862" s="120"/>
      <c r="DE2862" s="467"/>
      <c r="DF2862" s="440"/>
      <c r="EB2862" s="436"/>
      <c r="EC2862" s="120"/>
      <c r="ED2862" s="120"/>
      <c r="EE2862" s="467"/>
      <c r="EF2862" s="440"/>
    </row>
    <row r="2863" spans="54:136">
      <c r="BB2863" s="436"/>
      <c r="BC2863" s="120"/>
      <c r="BD2863" s="120"/>
      <c r="BE2863" s="467"/>
      <c r="BF2863" s="440"/>
      <c r="CB2863" s="436"/>
      <c r="CC2863" s="120"/>
      <c r="CD2863" s="120"/>
      <c r="CE2863" s="467"/>
      <c r="CF2863" s="440"/>
      <c r="DB2863" s="436"/>
      <c r="DC2863" s="120"/>
      <c r="DD2863" s="120"/>
      <c r="DE2863" s="467"/>
      <c r="DF2863" s="440"/>
      <c r="EB2863" s="436"/>
      <c r="EC2863" s="120"/>
      <c r="ED2863" s="120"/>
      <c r="EE2863" s="467"/>
      <c r="EF2863" s="440"/>
    </row>
    <row r="2864" spans="54:136">
      <c r="BB2864" s="436"/>
      <c r="BC2864" s="120"/>
      <c r="BD2864" s="120"/>
      <c r="BE2864" s="467"/>
      <c r="BF2864" s="440"/>
      <c r="CB2864" s="436"/>
      <c r="CC2864" s="120"/>
      <c r="CD2864" s="120"/>
      <c r="CE2864" s="467"/>
      <c r="CF2864" s="440"/>
      <c r="DB2864" s="436"/>
      <c r="DC2864" s="120"/>
      <c r="DD2864" s="120"/>
      <c r="DE2864" s="467"/>
      <c r="DF2864" s="440"/>
      <c r="EB2864" s="436"/>
      <c r="EC2864" s="120"/>
      <c r="ED2864" s="120"/>
      <c r="EE2864" s="467"/>
      <c r="EF2864" s="440"/>
    </row>
    <row r="2865" spans="54:136">
      <c r="BB2865" s="436"/>
      <c r="BC2865" s="120"/>
      <c r="BD2865" s="120"/>
      <c r="BE2865" s="467"/>
      <c r="BF2865" s="440"/>
      <c r="CB2865" s="436"/>
      <c r="CC2865" s="120"/>
      <c r="CD2865" s="120"/>
      <c r="CE2865" s="467"/>
      <c r="CF2865" s="440"/>
      <c r="DB2865" s="436"/>
      <c r="DC2865" s="120"/>
      <c r="DD2865" s="120"/>
      <c r="DE2865" s="467"/>
      <c r="DF2865" s="440"/>
      <c r="EB2865" s="436"/>
      <c r="EC2865" s="120"/>
      <c r="ED2865" s="120"/>
      <c r="EE2865" s="467"/>
      <c r="EF2865" s="440"/>
    </row>
    <row r="2866" spans="54:136">
      <c r="BB2866" s="436"/>
      <c r="BC2866" s="120"/>
      <c r="BD2866" s="120"/>
      <c r="BE2866" s="467"/>
      <c r="BF2866" s="440"/>
      <c r="CB2866" s="436"/>
      <c r="CC2866" s="120"/>
      <c r="CD2866" s="120"/>
      <c r="CE2866" s="467"/>
      <c r="CF2866" s="440"/>
      <c r="DB2866" s="436"/>
      <c r="DC2866" s="120"/>
      <c r="DD2866" s="120"/>
      <c r="DE2866" s="467"/>
      <c r="DF2866" s="440"/>
      <c r="EB2866" s="436"/>
      <c r="EC2866" s="120"/>
      <c r="ED2866" s="120"/>
      <c r="EE2866" s="467"/>
      <c r="EF2866" s="440"/>
    </row>
    <row r="2867" spans="54:136">
      <c r="BB2867" s="456"/>
      <c r="BC2867" s="457"/>
      <c r="BD2867" s="457"/>
      <c r="BE2867" s="477"/>
      <c r="BF2867" s="458"/>
      <c r="CB2867" s="456"/>
      <c r="CC2867" s="457"/>
      <c r="CD2867" s="457"/>
      <c r="CE2867" s="477"/>
      <c r="CF2867" s="458"/>
      <c r="DB2867" s="456"/>
      <c r="DC2867" s="457"/>
      <c r="DD2867" s="457"/>
      <c r="DE2867" s="477"/>
      <c r="DF2867" s="458"/>
      <c r="EB2867" s="456"/>
      <c r="EC2867" s="457"/>
      <c r="ED2867" s="457"/>
      <c r="EE2867" s="477"/>
      <c r="EF2867" s="458"/>
    </row>
    <row r="2868" spans="54:136">
      <c r="BB2868" s="456"/>
      <c r="BC2868" s="457"/>
      <c r="BD2868" s="457"/>
      <c r="BE2868" s="457"/>
      <c r="BF2868" s="458"/>
      <c r="CB2868" s="456"/>
      <c r="CC2868" s="457"/>
      <c r="CD2868" s="457"/>
      <c r="CE2868" s="457"/>
      <c r="CF2868" s="458"/>
      <c r="DB2868" s="456"/>
      <c r="DC2868" s="457"/>
      <c r="DD2868" s="457"/>
      <c r="DE2868" s="457"/>
      <c r="DF2868" s="458"/>
      <c r="EB2868" s="456"/>
      <c r="EC2868" s="457"/>
      <c r="ED2868" s="457"/>
      <c r="EE2868" s="457"/>
      <c r="EF2868" s="458"/>
    </row>
    <row r="2869" spans="54:136">
      <c r="BB2869" s="449" t="s">
        <v>475</v>
      </c>
      <c r="BC2869" s="120"/>
      <c r="BD2869" s="120"/>
      <c r="BE2869" s="120"/>
      <c r="BF2869" s="440"/>
      <c r="CB2869" s="449" t="s">
        <v>475</v>
      </c>
      <c r="CC2869" s="120"/>
      <c r="CD2869" s="120"/>
      <c r="CE2869" s="120"/>
      <c r="CF2869" s="440"/>
      <c r="DB2869" s="449" t="s">
        <v>475</v>
      </c>
      <c r="DC2869" s="120"/>
      <c r="DD2869" s="120"/>
      <c r="DE2869" s="120"/>
      <c r="DF2869" s="440"/>
      <c r="EB2869" s="449" t="s">
        <v>475</v>
      </c>
      <c r="EC2869" s="120"/>
      <c r="ED2869" s="120"/>
      <c r="EE2869" s="120"/>
      <c r="EF2869" s="440"/>
    </row>
    <row r="2870" spans="54:136">
      <c r="BB2870" s="436" t="s">
        <v>509</v>
      </c>
      <c r="BC2870" s="120"/>
      <c r="BD2870" s="120"/>
      <c r="BE2870" s="120"/>
      <c r="BF2870" s="440"/>
      <c r="CB2870" s="436" t="s">
        <v>509</v>
      </c>
      <c r="CC2870" s="120"/>
      <c r="CD2870" s="120"/>
      <c r="CE2870" s="120"/>
      <c r="CF2870" s="440"/>
      <c r="DB2870" s="436" t="s">
        <v>509</v>
      </c>
      <c r="DC2870" s="120"/>
      <c r="DD2870" s="120"/>
      <c r="DE2870" s="120"/>
      <c r="DF2870" s="440"/>
      <c r="EB2870" s="436" t="s">
        <v>509</v>
      </c>
      <c r="EC2870" s="120"/>
      <c r="ED2870" s="120"/>
      <c r="EE2870" s="120"/>
      <c r="EF2870" s="440"/>
    </row>
    <row r="2871" spans="54:136">
      <c r="BB2871" s="436" t="s">
        <v>510</v>
      </c>
      <c r="BC2871" s="120"/>
      <c r="BD2871" s="120"/>
      <c r="BE2871" s="120"/>
      <c r="BF2871" s="440"/>
      <c r="CB2871" s="436" t="s">
        <v>510</v>
      </c>
      <c r="CC2871" s="120"/>
      <c r="CD2871" s="120"/>
      <c r="CE2871" s="120"/>
      <c r="CF2871" s="440"/>
      <c r="DB2871" s="436" t="s">
        <v>510</v>
      </c>
      <c r="DC2871" s="120"/>
      <c r="DD2871" s="120"/>
      <c r="DE2871" s="120"/>
      <c r="DF2871" s="440"/>
      <c r="EB2871" s="436" t="s">
        <v>510</v>
      </c>
      <c r="EC2871" s="120"/>
      <c r="ED2871" s="120"/>
      <c r="EE2871" s="120"/>
      <c r="EF2871" s="440"/>
    </row>
    <row r="2872" spans="54:136">
      <c r="BB2872" s="436"/>
      <c r="BC2872" s="120"/>
      <c r="BD2872" s="120"/>
      <c r="BE2872" s="120"/>
      <c r="BF2872" s="440"/>
      <c r="CB2872" s="436"/>
      <c r="CC2872" s="120"/>
      <c r="CD2872" s="120"/>
      <c r="CE2872" s="120"/>
      <c r="CF2872" s="440"/>
      <c r="DB2872" s="436"/>
      <c r="DC2872" s="120"/>
      <c r="DD2872" s="120"/>
      <c r="DE2872" s="120"/>
      <c r="DF2872" s="440"/>
      <c r="EB2872" s="436"/>
      <c r="EC2872" s="120"/>
      <c r="ED2872" s="120"/>
      <c r="EE2872" s="120"/>
      <c r="EF2872" s="440"/>
    </row>
    <row r="2873" spans="54:136">
      <c r="BB2873" s="436"/>
      <c r="BC2873" s="120"/>
      <c r="BD2873" s="120"/>
      <c r="BE2873" s="120"/>
      <c r="BF2873" s="440"/>
      <c r="CB2873" s="436"/>
      <c r="CC2873" s="120"/>
      <c r="CD2873" s="120"/>
      <c r="CE2873" s="120"/>
      <c r="CF2873" s="440"/>
      <c r="DB2873" s="436"/>
      <c r="DC2873" s="120"/>
      <c r="DD2873" s="120"/>
      <c r="DE2873" s="120"/>
      <c r="DF2873" s="440"/>
      <c r="EB2873" s="436"/>
      <c r="EC2873" s="120"/>
      <c r="ED2873" s="120"/>
      <c r="EE2873" s="120"/>
      <c r="EF2873" s="440"/>
    </row>
    <row r="2874" spans="54:136">
      <c r="BB2874" s="436"/>
      <c r="BC2874" s="120"/>
      <c r="BD2874" s="120"/>
      <c r="BE2874" s="120"/>
      <c r="BF2874" s="440"/>
      <c r="CB2874" s="436"/>
      <c r="CC2874" s="120"/>
      <c r="CD2874" s="120"/>
      <c r="CE2874" s="120"/>
      <c r="CF2874" s="440"/>
      <c r="DB2874" s="436"/>
      <c r="DC2874" s="120"/>
      <c r="DD2874" s="120"/>
      <c r="DE2874" s="120"/>
      <c r="DF2874" s="440"/>
      <c r="EB2874" s="436"/>
      <c r="EC2874" s="120"/>
      <c r="ED2874" s="120"/>
      <c r="EE2874" s="120"/>
      <c r="EF2874" s="440"/>
    </row>
    <row r="2875" spans="54:136">
      <c r="BB2875" s="436"/>
      <c r="BC2875" s="120"/>
      <c r="BD2875" s="120"/>
      <c r="BE2875" s="120"/>
      <c r="BF2875" s="440"/>
      <c r="CB2875" s="436"/>
      <c r="CC2875" s="120"/>
      <c r="CD2875" s="120"/>
      <c r="CE2875" s="120"/>
      <c r="CF2875" s="440"/>
      <c r="DB2875" s="436"/>
      <c r="DC2875" s="120"/>
      <c r="DD2875" s="120"/>
      <c r="DE2875" s="120"/>
      <c r="DF2875" s="440"/>
      <c r="EB2875" s="436"/>
      <c r="EC2875" s="120"/>
      <c r="ED2875" s="120"/>
      <c r="EE2875" s="120"/>
      <c r="EF2875" s="440"/>
    </row>
    <row r="2876" spans="54:136">
      <c r="BB2876" s="436" t="s">
        <v>511</v>
      </c>
      <c r="BC2876" s="120">
        <v>0</v>
      </c>
      <c r="BD2876" s="120" t="s">
        <v>512</v>
      </c>
      <c r="BE2876" s="120"/>
      <c r="BF2876" s="440"/>
      <c r="CB2876" s="436" t="s">
        <v>511</v>
      </c>
      <c r="CC2876" s="120">
        <v>0</v>
      </c>
      <c r="CD2876" s="120" t="s">
        <v>512</v>
      </c>
      <c r="CE2876" s="120"/>
      <c r="CF2876" s="440"/>
      <c r="DB2876" s="436" t="s">
        <v>511</v>
      </c>
      <c r="DC2876" s="120">
        <v>0</v>
      </c>
      <c r="DD2876" s="120" t="s">
        <v>512</v>
      </c>
      <c r="DE2876" s="120"/>
      <c r="DF2876" s="440"/>
      <c r="EB2876" s="436" t="s">
        <v>511</v>
      </c>
      <c r="EC2876" s="120">
        <v>0</v>
      </c>
      <c r="ED2876" s="120" t="s">
        <v>512</v>
      </c>
      <c r="EE2876" s="120"/>
      <c r="EF2876" s="440"/>
    </row>
    <row r="2877" spans="54:136">
      <c r="BB2877" s="436" t="s">
        <v>513</v>
      </c>
      <c r="BC2877" s="120">
        <v>0</v>
      </c>
      <c r="BD2877" s="120" t="s">
        <v>512</v>
      </c>
      <c r="BE2877" s="120"/>
      <c r="BF2877" s="440"/>
      <c r="CB2877" s="436" t="s">
        <v>513</v>
      </c>
      <c r="CC2877" s="120">
        <v>0</v>
      </c>
      <c r="CD2877" s="120" t="s">
        <v>512</v>
      </c>
      <c r="CE2877" s="120"/>
      <c r="CF2877" s="440"/>
      <c r="DB2877" s="436" t="s">
        <v>513</v>
      </c>
      <c r="DC2877" s="120">
        <v>0</v>
      </c>
      <c r="DD2877" s="120" t="s">
        <v>512</v>
      </c>
      <c r="DE2877" s="120"/>
      <c r="DF2877" s="440"/>
      <c r="EB2877" s="436" t="s">
        <v>513</v>
      </c>
      <c r="EC2877" s="120">
        <v>0</v>
      </c>
      <c r="ED2877" s="120" t="s">
        <v>512</v>
      </c>
      <c r="EE2877" s="120"/>
      <c r="EF2877" s="440"/>
    </row>
    <row r="2878" spans="54:136">
      <c r="BB2878" s="456"/>
      <c r="BC2878" s="457"/>
      <c r="BD2878" s="457"/>
      <c r="BE2878" s="457"/>
      <c r="BF2878" s="458"/>
      <c r="CB2878" s="456"/>
      <c r="CC2878" s="457"/>
      <c r="CD2878" s="457"/>
      <c r="CE2878" s="457"/>
      <c r="CF2878" s="458"/>
      <c r="DB2878" s="456"/>
      <c r="DC2878" s="457"/>
      <c r="DD2878" s="457"/>
      <c r="DE2878" s="457"/>
      <c r="DF2878" s="458"/>
      <c r="EB2878" s="456"/>
      <c r="EC2878" s="457"/>
      <c r="ED2878" s="457"/>
      <c r="EE2878" s="457"/>
      <c r="EF2878" s="458"/>
    </row>
    <row r="2879" spans="54:136">
      <c r="BB2879" s="449" t="s">
        <v>461</v>
      </c>
      <c r="BC2879" s="120"/>
      <c r="BD2879" s="120"/>
      <c r="BE2879" s="120"/>
      <c r="BF2879" s="440"/>
      <c r="CB2879" s="449" t="s">
        <v>461</v>
      </c>
      <c r="CC2879" s="120"/>
      <c r="CD2879" s="120"/>
      <c r="CE2879" s="120"/>
      <c r="CF2879" s="440"/>
      <c r="DB2879" s="449" t="s">
        <v>461</v>
      </c>
      <c r="DC2879" s="120"/>
      <c r="DD2879" s="120"/>
      <c r="DE2879" s="120"/>
      <c r="DF2879" s="440"/>
      <c r="EB2879" s="449" t="s">
        <v>461</v>
      </c>
      <c r="EC2879" s="120"/>
      <c r="ED2879" s="120"/>
      <c r="EE2879" s="120"/>
      <c r="EF2879" s="440"/>
    </row>
    <row r="2880" spans="54:136">
      <c r="BB2880" s="436" t="s">
        <v>514</v>
      </c>
      <c r="BC2880" s="120">
        <f>VLOOKUP(BB2808,'Unit Ops'!$B$140:$K$209,10,FALSE)</f>
        <v>0</v>
      </c>
      <c r="BD2880" s="120" t="s">
        <v>515</v>
      </c>
      <c r="BE2880" s="120"/>
      <c r="BF2880" s="440"/>
      <c r="CB2880" s="436" t="s">
        <v>514</v>
      </c>
      <c r="CC2880" s="120">
        <f>VLOOKUP(CB2808,'Unit Ops'!$B$140:$K$209,10,FALSE)</f>
        <v>0</v>
      </c>
      <c r="CD2880" s="120" t="s">
        <v>515</v>
      </c>
      <c r="CE2880" s="120"/>
      <c r="CF2880" s="440"/>
      <c r="DB2880" s="436" t="s">
        <v>514</v>
      </c>
      <c r="DC2880" s="120">
        <f>VLOOKUP(DB2808,'Unit Ops'!$B$140:$K$209,10,FALSE)</f>
        <v>0</v>
      </c>
      <c r="DD2880" s="120" t="s">
        <v>515</v>
      </c>
      <c r="DE2880" s="120"/>
      <c r="DF2880" s="440"/>
      <c r="EB2880" s="436" t="s">
        <v>514</v>
      </c>
      <c r="EC2880" s="120">
        <f>VLOOKUP(EB2808,'Unit Ops'!$B$140:$K$209,10,FALSE)</f>
        <v>0</v>
      </c>
      <c r="ED2880" s="120" t="s">
        <v>515</v>
      </c>
      <c r="EE2880" s="120"/>
      <c r="EF2880" s="440"/>
    </row>
    <row r="2881" spans="54:136">
      <c r="BB2881" s="436" t="s">
        <v>516</v>
      </c>
      <c r="BC2881" s="120">
        <v>0</v>
      </c>
      <c r="BD2881" s="120" t="s">
        <v>515</v>
      </c>
      <c r="BE2881" s="120"/>
      <c r="BF2881" s="440"/>
      <c r="CB2881" s="436" t="s">
        <v>516</v>
      </c>
      <c r="CC2881" s="120">
        <v>0</v>
      </c>
      <c r="CD2881" s="120" t="s">
        <v>515</v>
      </c>
      <c r="CE2881" s="120"/>
      <c r="CF2881" s="440"/>
      <c r="DB2881" s="436" t="s">
        <v>516</v>
      </c>
      <c r="DC2881" s="120">
        <v>0</v>
      </c>
      <c r="DD2881" s="120" t="s">
        <v>515</v>
      </c>
      <c r="DE2881" s="120"/>
      <c r="DF2881" s="440"/>
      <c r="EB2881" s="436" t="s">
        <v>516</v>
      </c>
      <c r="EC2881" s="120">
        <v>0</v>
      </c>
      <c r="ED2881" s="120" t="s">
        <v>515</v>
      </c>
      <c r="EE2881" s="120"/>
      <c r="EF2881" s="440"/>
    </row>
    <row r="2882" spans="54:136">
      <c r="BB2882" s="436"/>
      <c r="BC2882" s="120"/>
      <c r="BD2882" s="120"/>
      <c r="BE2882" s="120"/>
      <c r="BF2882" s="440"/>
      <c r="CB2882" s="436"/>
      <c r="CC2882" s="120"/>
      <c r="CD2882" s="120"/>
      <c r="CE2882" s="120"/>
      <c r="CF2882" s="440"/>
      <c r="DB2882" s="436"/>
      <c r="DC2882" s="120"/>
      <c r="DD2882" s="120"/>
      <c r="DE2882" s="120"/>
      <c r="DF2882" s="440"/>
      <c r="EB2882" s="436"/>
      <c r="EC2882" s="120"/>
      <c r="ED2882" s="120"/>
      <c r="EE2882" s="120"/>
      <c r="EF2882" s="440"/>
    </row>
    <row r="2883" spans="54:136">
      <c r="BB2883" s="436"/>
      <c r="BC2883" s="120"/>
      <c r="BD2883" s="120"/>
      <c r="BE2883" s="120"/>
      <c r="BF2883" s="440"/>
      <c r="CB2883" s="436"/>
      <c r="CC2883" s="120"/>
      <c r="CD2883" s="120"/>
      <c r="CE2883" s="120"/>
      <c r="CF2883" s="440"/>
      <c r="DB2883" s="436"/>
      <c r="DC2883" s="120"/>
      <c r="DD2883" s="120"/>
      <c r="DE2883" s="120"/>
      <c r="DF2883" s="440"/>
      <c r="EB2883" s="436"/>
      <c r="EC2883" s="120"/>
      <c r="ED2883" s="120"/>
      <c r="EE2883" s="120"/>
      <c r="EF2883" s="440"/>
    </row>
    <row r="2884" spans="54:136">
      <c r="BB2884" s="436"/>
      <c r="BC2884" s="120"/>
      <c r="BD2884" s="120"/>
      <c r="BE2884" s="120"/>
      <c r="BF2884" s="440"/>
      <c r="CB2884" s="436"/>
      <c r="CC2884" s="120"/>
      <c r="CD2884" s="120"/>
      <c r="CE2884" s="120"/>
      <c r="CF2884" s="440"/>
      <c r="DB2884" s="436"/>
      <c r="DC2884" s="120"/>
      <c r="DD2884" s="120"/>
      <c r="DE2884" s="120"/>
      <c r="DF2884" s="440"/>
      <c r="EB2884" s="436"/>
      <c r="EC2884" s="120"/>
      <c r="ED2884" s="120"/>
      <c r="EE2884" s="120"/>
      <c r="EF2884" s="440"/>
    </row>
    <row r="2885" spans="54:136">
      <c r="BB2885" s="436"/>
      <c r="BC2885" s="120"/>
      <c r="BD2885" s="120"/>
      <c r="BE2885" s="120"/>
      <c r="BF2885" s="440"/>
      <c r="CB2885" s="436"/>
      <c r="CC2885" s="120"/>
      <c r="CD2885" s="120"/>
      <c r="CE2885" s="120"/>
      <c r="CF2885" s="440"/>
      <c r="DB2885" s="436"/>
      <c r="DC2885" s="120"/>
      <c r="DD2885" s="120"/>
      <c r="DE2885" s="120"/>
      <c r="DF2885" s="440"/>
      <c r="EB2885" s="436"/>
      <c r="EC2885" s="120"/>
      <c r="ED2885" s="120"/>
      <c r="EE2885" s="120"/>
      <c r="EF2885" s="440"/>
    </row>
    <row r="2886" spans="54:136">
      <c r="BB2886" s="436"/>
      <c r="BC2886" s="120"/>
      <c r="BD2886" s="120"/>
      <c r="BE2886" s="120"/>
      <c r="BF2886" s="440"/>
      <c r="CB2886" s="436"/>
      <c r="CC2886" s="120"/>
      <c r="CD2886" s="120"/>
      <c r="CE2886" s="120"/>
      <c r="CF2886" s="440"/>
      <c r="DB2886" s="436"/>
      <c r="DC2886" s="120"/>
      <c r="DD2886" s="120"/>
      <c r="DE2886" s="120"/>
      <c r="DF2886" s="440"/>
      <c r="EB2886" s="436"/>
      <c r="EC2886" s="120"/>
      <c r="ED2886" s="120"/>
      <c r="EE2886" s="120"/>
      <c r="EF2886" s="440"/>
    </row>
    <row r="2887" spans="54:136">
      <c r="BB2887" s="436" t="s">
        <v>464</v>
      </c>
      <c r="BC2887" s="120"/>
      <c r="BD2887" s="120"/>
      <c r="BE2887" s="120"/>
      <c r="BF2887" s="440"/>
      <c r="CB2887" s="436" t="s">
        <v>464</v>
      </c>
      <c r="CC2887" s="120"/>
      <c r="CD2887" s="120"/>
      <c r="CE2887" s="120"/>
      <c r="CF2887" s="440"/>
      <c r="DB2887" s="436" t="s">
        <v>464</v>
      </c>
      <c r="DC2887" s="120"/>
      <c r="DD2887" s="120"/>
      <c r="DE2887" s="120"/>
      <c r="DF2887" s="440"/>
      <c r="EB2887" s="436" t="s">
        <v>464</v>
      </c>
      <c r="EC2887" s="120"/>
      <c r="ED2887" s="120"/>
      <c r="EE2887" s="120"/>
      <c r="EF2887" s="440"/>
    </row>
    <row r="2888" spans="54:136">
      <c r="BB2888" s="456"/>
      <c r="BC2888" s="457"/>
      <c r="BD2888" s="457"/>
      <c r="BE2888" s="457"/>
      <c r="BF2888" s="458"/>
      <c r="CB2888" s="456"/>
      <c r="CC2888" s="457"/>
      <c r="CD2888" s="457"/>
      <c r="CE2888" s="457"/>
      <c r="CF2888" s="458"/>
      <c r="DB2888" s="456"/>
      <c r="DC2888" s="457"/>
      <c r="DD2888" s="457"/>
      <c r="DE2888" s="457"/>
      <c r="DF2888" s="458"/>
      <c r="EB2888" s="456"/>
      <c r="EC2888" s="457"/>
      <c r="ED2888" s="457"/>
      <c r="EE2888" s="457"/>
      <c r="EF2888" s="458"/>
    </row>
    <row r="2889" spans="54:136">
      <c r="BB2889" s="449" t="s">
        <v>472</v>
      </c>
      <c r="BC2889" s="467" t="s">
        <v>517</v>
      </c>
      <c r="BD2889" s="120" t="s">
        <v>518</v>
      </c>
      <c r="BE2889" s="467" t="s">
        <v>519</v>
      </c>
      <c r="BF2889" s="440" t="s">
        <v>518</v>
      </c>
      <c r="CB2889" s="449" t="s">
        <v>472</v>
      </c>
      <c r="CC2889" s="467" t="s">
        <v>517</v>
      </c>
      <c r="CD2889" s="120" t="s">
        <v>518</v>
      </c>
      <c r="CE2889" s="467" t="s">
        <v>519</v>
      </c>
      <c r="CF2889" s="440" t="s">
        <v>518</v>
      </c>
      <c r="DB2889" s="449" t="s">
        <v>472</v>
      </c>
      <c r="DC2889" s="467" t="s">
        <v>517</v>
      </c>
      <c r="DD2889" s="120" t="s">
        <v>518</v>
      </c>
      <c r="DE2889" s="467" t="s">
        <v>519</v>
      </c>
      <c r="DF2889" s="440" t="s">
        <v>518</v>
      </c>
      <c r="EB2889" s="449" t="s">
        <v>472</v>
      </c>
      <c r="EC2889" s="467" t="s">
        <v>517</v>
      </c>
      <c r="ED2889" s="120" t="s">
        <v>518</v>
      </c>
      <c r="EE2889" s="467" t="s">
        <v>519</v>
      </c>
      <c r="EF2889" s="440" t="s">
        <v>518</v>
      </c>
    </row>
    <row r="2890" spans="54:136">
      <c r="BB2890" s="436" t="s">
        <v>520</v>
      </c>
      <c r="BC2890" s="120"/>
      <c r="BD2890" s="120"/>
      <c r="BE2890" s="472">
        <f>((VLOOKUP(BB2808,'Unit Ops'!$B$140:$J$209,3,FALSE)*BC2810^VLOOKUP(BB2808,'Unit Ops'!$B$140:$J$209,4,FALSE)+VLOOKUP(BB2808,'Unit Ops'!$B$140:$J$209,5,FALSE))*VLOOKUP(BB2808,'Unit Ops'!$B$140:$J$209,6,FALSE))*IF(VLOOKUP(BB2808,'Unit Ops'!$B$140:$L$209,11,FALSE)=1,1,2)</f>
        <v>0</v>
      </c>
      <c r="BF2890" s="490">
        <f>$C$7</f>
        <v>2022</v>
      </c>
      <c r="CB2890" s="436" t="s">
        <v>520</v>
      </c>
      <c r="CC2890" s="120"/>
      <c r="CD2890" s="120"/>
      <c r="CE2890" s="472">
        <f>((VLOOKUP(CB2808,'Unit Ops'!$B$140:$J$209,3,FALSE)*CC2810^VLOOKUP(CB2808,'Unit Ops'!$B$140:$J$209,4,FALSE)+VLOOKUP(CB2808,'Unit Ops'!$B$140:$J$209,5,FALSE))*VLOOKUP(CB2808,'Unit Ops'!$B$140:$J$209,6,FALSE))*IF(VLOOKUP(CB2808,'Unit Ops'!$B$140:$L$209,11,FALSE)=1,1,2)</f>
        <v>0</v>
      </c>
      <c r="CF2890" s="490">
        <f>$C$7</f>
        <v>2022</v>
      </c>
      <c r="DB2890" s="436" t="s">
        <v>520</v>
      </c>
      <c r="DC2890" s="120"/>
      <c r="DD2890" s="120"/>
      <c r="DE2890" s="472">
        <f>((VLOOKUP(DB2808,'Unit Ops'!$B$140:$J$209,3,FALSE)*DC2810^VLOOKUP(DB2808,'Unit Ops'!$B$140:$J$209,4,FALSE)+VLOOKUP(DB2808,'Unit Ops'!$B$140:$J$209,5,FALSE))*VLOOKUP(DB2808,'Unit Ops'!$B$140:$J$209,6,FALSE))*IF(VLOOKUP(DB2808,'Unit Ops'!$B$140:$L$209,11,FALSE)=1,1,2)</f>
        <v>0</v>
      </c>
      <c r="DF2890" s="490">
        <f>$C$7</f>
        <v>2022</v>
      </c>
      <c r="EB2890" s="436" t="s">
        <v>520</v>
      </c>
      <c r="EC2890" s="120"/>
      <c r="ED2890" s="120"/>
      <c r="EE2890" s="472">
        <f>((VLOOKUP(EB2808,'Unit Ops'!$B$140:$J$209,3,FALSE)*EC2810^VLOOKUP(EB2808,'Unit Ops'!$B$140:$J$209,4,FALSE)+VLOOKUP(EB2808,'Unit Ops'!$B$140:$J$209,5,FALSE))*VLOOKUP(EB2808,'Unit Ops'!$B$140:$J$209,6,FALSE))*IF(VLOOKUP(EB2808,'Unit Ops'!$B$140:$L$209,11,FALSE)=1,1,2)</f>
        <v>0</v>
      </c>
      <c r="EF2890" s="490">
        <f>$C$7</f>
        <v>2022</v>
      </c>
    </row>
    <row r="2891" spans="54:136">
      <c r="BB2891" s="436"/>
      <c r="BC2891" s="120"/>
      <c r="BD2891" s="120"/>
      <c r="BE2891" s="120"/>
      <c r="BF2891" s="440"/>
      <c r="CB2891" s="436"/>
      <c r="CC2891" s="120"/>
      <c r="CD2891" s="120"/>
      <c r="CE2891" s="120"/>
      <c r="CF2891" s="440"/>
      <c r="DB2891" s="436"/>
      <c r="DC2891" s="120"/>
      <c r="DD2891" s="120"/>
      <c r="DE2891" s="120"/>
      <c r="DF2891" s="440"/>
      <c r="EB2891" s="436"/>
      <c r="EC2891" s="120"/>
      <c r="ED2891" s="120"/>
      <c r="EE2891" s="120"/>
      <c r="EF2891" s="440"/>
    </row>
    <row r="2892" spans="54:136">
      <c r="BB2892" s="436"/>
      <c r="BC2892" s="120"/>
      <c r="BD2892" s="120"/>
      <c r="BE2892" s="120"/>
      <c r="BF2892" s="440"/>
      <c r="CB2892" s="436"/>
      <c r="CC2892" s="120"/>
      <c r="CD2892" s="120"/>
      <c r="CE2892" s="120"/>
      <c r="CF2892" s="440"/>
      <c r="DB2892" s="436"/>
      <c r="DC2892" s="120"/>
      <c r="DD2892" s="120"/>
      <c r="DE2892" s="120"/>
      <c r="DF2892" s="440"/>
      <c r="EB2892" s="436"/>
      <c r="EC2892" s="120"/>
      <c r="ED2892" s="120"/>
      <c r="EE2892" s="120"/>
      <c r="EF2892" s="440"/>
    </row>
    <row r="2893" spans="54:136">
      <c r="BB2893" s="436"/>
      <c r="BC2893" s="120"/>
      <c r="BD2893" s="120"/>
      <c r="BE2893" s="120"/>
      <c r="BF2893" s="440"/>
      <c r="CB2893" s="436"/>
      <c r="CC2893" s="120"/>
      <c r="CD2893" s="120"/>
      <c r="CE2893" s="120"/>
      <c r="CF2893" s="440"/>
      <c r="DB2893" s="436"/>
      <c r="DC2893" s="120"/>
      <c r="DD2893" s="120"/>
      <c r="DE2893" s="120"/>
      <c r="DF2893" s="440"/>
      <c r="EB2893" s="436"/>
      <c r="EC2893" s="120"/>
      <c r="ED2893" s="120"/>
      <c r="EE2893" s="120"/>
      <c r="EF2893" s="440"/>
    </row>
    <row r="2894" spans="54:136">
      <c r="BB2894" s="436"/>
      <c r="BC2894" s="120"/>
      <c r="BD2894" s="120"/>
      <c r="BE2894" s="120"/>
      <c r="BF2894" s="440"/>
      <c r="CB2894" s="436"/>
      <c r="CC2894" s="120"/>
      <c r="CD2894" s="120"/>
      <c r="CE2894" s="120"/>
      <c r="CF2894" s="440"/>
      <c r="DB2894" s="436"/>
      <c r="DC2894" s="120"/>
      <c r="DD2894" s="120"/>
      <c r="DE2894" s="120"/>
      <c r="DF2894" s="440"/>
      <c r="EB2894" s="436"/>
      <c r="EC2894" s="120"/>
      <c r="ED2894" s="120"/>
      <c r="EE2894" s="120"/>
      <c r="EF2894" s="440"/>
    </row>
    <row r="2895" spans="54:136">
      <c r="BB2895" s="436"/>
      <c r="BC2895" s="120"/>
      <c r="BD2895" s="120"/>
      <c r="BE2895" s="120"/>
      <c r="BF2895" s="440"/>
      <c r="CB2895" s="436"/>
      <c r="CC2895" s="120"/>
      <c r="CD2895" s="120"/>
      <c r="CE2895" s="120"/>
      <c r="CF2895" s="440"/>
      <c r="DB2895" s="436"/>
      <c r="DC2895" s="120"/>
      <c r="DD2895" s="120"/>
      <c r="DE2895" s="120"/>
      <c r="DF2895" s="440"/>
      <c r="EB2895" s="436"/>
      <c r="EC2895" s="120"/>
      <c r="ED2895" s="120"/>
      <c r="EE2895" s="120"/>
      <c r="EF2895" s="440"/>
    </row>
    <row r="2896" spans="54:136">
      <c r="BB2896" s="436"/>
      <c r="BC2896" s="120"/>
      <c r="BD2896" s="120"/>
      <c r="BE2896" s="120"/>
      <c r="BF2896" s="440"/>
      <c r="CB2896" s="436"/>
      <c r="CC2896" s="120"/>
      <c r="CD2896" s="120"/>
      <c r="CE2896" s="120"/>
      <c r="CF2896" s="440"/>
      <c r="DB2896" s="436"/>
      <c r="DC2896" s="120"/>
      <c r="DD2896" s="120"/>
      <c r="DE2896" s="120"/>
      <c r="DF2896" s="440"/>
      <c r="EB2896" s="436"/>
      <c r="EC2896" s="120"/>
      <c r="ED2896" s="120"/>
      <c r="EE2896" s="120"/>
      <c r="EF2896" s="440"/>
    </row>
    <row r="2897" spans="53:136">
      <c r="BB2897" s="436"/>
      <c r="BC2897" s="120"/>
      <c r="BD2897" s="120"/>
      <c r="BE2897" s="120"/>
      <c r="BF2897" s="440"/>
      <c r="CB2897" s="436"/>
      <c r="CC2897" s="120"/>
      <c r="CD2897" s="120"/>
      <c r="CE2897" s="120"/>
      <c r="CF2897" s="440"/>
      <c r="DB2897" s="436"/>
      <c r="DC2897" s="120"/>
      <c r="DD2897" s="120"/>
      <c r="DE2897" s="120"/>
      <c r="DF2897" s="440"/>
      <c r="EB2897" s="436"/>
      <c r="EC2897" s="120"/>
      <c r="ED2897" s="120"/>
      <c r="EE2897" s="120"/>
      <c r="EF2897" s="440"/>
    </row>
    <row r="2898" spans="53:136">
      <c r="BB2898" s="436"/>
      <c r="BC2898" s="120"/>
      <c r="BD2898" s="120"/>
      <c r="BE2898" s="120"/>
      <c r="BF2898" s="440"/>
      <c r="CB2898" s="436"/>
      <c r="CC2898" s="120"/>
      <c r="CD2898" s="120"/>
      <c r="CE2898" s="120"/>
      <c r="CF2898" s="440"/>
      <c r="DB2898" s="436"/>
      <c r="DC2898" s="120"/>
      <c r="DD2898" s="120"/>
      <c r="DE2898" s="120"/>
      <c r="DF2898" s="440"/>
      <c r="EB2898" s="436"/>
      <c r="EC2898" s="120"/>
      <c r="ED2898" s="120"/>
      <c r="EE2898" s="120"/>
      <c r="EF2898" s="440"/>
    </row>
    <row r="2899" spans="53:136">
      <c r="BB2899" s="436"/>
      <c r="BC2899" s="120"/>
      <c r="BD2899" s="120"/>
      <c r="BE2899" s="120"/>
      <c r="BF2899" s="440"/>
      <c r="CB2899" s="436"/>
      <c r="CC2899" s="120"/>
      <c r="CD2899" s="120"/>
      <c r="CE2899" s="120"/>
      <c r="CF2899" s="440"/>
      <c r="DB2899" s="436"/>
      <c r="DC2899" s="120"/>
      <c r="DD2899" s="120"/>
      <c r="DE2899" s="120"/>
      <c r="DF2899" s="440"/>
      <c r="EB2899" s="436"/>
      <c r="EC2899" s="120"/>
      <c r="ED2899" s="120"/>
      <c r="EE2899" s="120"/>
      <c r="EF2899" s="440"/>
    </row>
    <row r="2900" spans="53:136">
      <c r="BB2900" s="436"/>
      <c r="BC2900" s="120"/>
      <c r="BD2900" s="120"/>
      <c r="BE2900" s="120"/>
      <c r="BF2900" s="440"/>
      <c r="CB2900" s="436"/>
      <c r="CC2900" s="120"/>
      <c r="CD2900" s="120"/>
      <c r="CE2900" s="120"/>
      <c r="CF2900" s="440"/>
      <c r="DB2900" s="436"/>
      <c r="DC2900" s="120"/>
      <c r="DD2900" s="120"/>
      <c r="DE2900" s="120"/>
      <c r="DF2900" s="440"/>
      <c r="EB2900" s="436"/>
      <c r="EC2900" s="120"/>
      <c r="ED2900" s="120"/>
      <c r="EE2900" s="120"/>
      <c r="EF2900" s="440"/>
    </row>
    <row r="2901" spans="53:136">
      <c r="BB2901" s="436"/>
      <c r="BC2901" s="120"/>
      <c r="BD2901" s="120"/>
      <c r="BE2901" s="120"/>
      <c r="BF2901" s="440"/>
      <c r="CB2901" s="436"/>
      <c r="CC2901" s="120"/>
      <c r="CD2901" s="120"/>
      <c r="CE2901" s="120"/>
      <c r="CF2901" s="440"/>
      <c r="DB2901" s="436"/>
      <c r="DC2901" s="120"/>
      <c r="DD2901" s="120"/>
      <c r="DE2901" s="120"/>
      <c r="DF2901" s="440"/>
      <c r="EB2901" s="436"/>
      <c r="EC2901" s="120"/>
      <c r="ED2901" s="120"/>
      <c r="EE2901" s="120"/>
      <c r="EF2901" s="440"/>
    </row>
    <row r="2902" spans="53:136">
      <c r="BB2902" s="436"/>
      <c r="BC2902" s="120"/>
      <c r="BD2902" s="120"/>
      <c r="BE2902" s="120"/>
      <c r="BF2902" s="440"/>
      <c r="CB2902" s="436"/>
      <c r="CC2902" s="120"/>
      <c r="CD2902" s="120"/>
      <c r="CE2902" s="120"/>
      <c r="CF2902" s="440"/>
      <c r="DB2902" s="436"/>
      <c r="DC2902" s="120"/>
      <c r="DD2902" s="120"/>
      <c r="DE2902" s="120"/>
      <c r="DF2902" s="440"/>
      <c r="EB2902" s="436"/>
      <c r="EC2902" s="120"/>
      <c r="ED2902" s="120"/>
      <c r="EE2902" s="120"/>
      <c r="EF2902" s="440"/>
    </row>
    <row r="2903" spans="53:136">
      <c r="BB2903" s="436"/>
      <c r="BC2903" s="120"/>
      <c r="BD2903" s="120"/>
      <c r="BE2903" s="120"/>
      <c r="BF2903" s="440"/>
      <c r="CB2903" s="436"/>
      <c r="CC2903" s="120"/>
      <c r="CD2903" s="120"/>
      <c r="CE2903" s="120"/>
      <c r="CF2903" s="440"/>
      <c r="DB2903" s="436"/>
      <c r="DC2903" s="120"/>
      <c r="DD2903" s="120"/>
      <c r="DE2903" s="120"/>
      <c r="DF2903" s="440"/>
      <c r="EB2903" s="436"/>
      <c r="EC2903" s="120"/>
      <c r="ED2903" s="120"/>
      <c r="EE2903" s="120"/>
      <c r="EF2903" s="440"/>
    </row>
    <row r="2904" spans="53:136" ht="14.5" thickBot="1">
      <c r="BB2904" s="492"/>
      <c r="BC2904" s="493"/>
      <c r="BD2904" s="493"/>
      <c r="BE2904" s="493"/>
      <c r="BF2904" s="453"/>
      <c r="CB2904" s="492"/>
      <c r="CC2904" s="493"/>
      <c r="CD2904" s="493"/>
      <c r="CE2904" s="493"/>
      <c r="CF2904" s="453"/>
      <c r="DB2904" s="492"/>
      <c r="DC2904" s="493"/>
      <c r="DD2904" s="493"/>
      <c r="DE2904" s="493"/>
      <c r="DF2904" s="453"/>
      <c r="EB2904" s="492"/>
      <c r="EC2904" s="493"/>
      <c r="ED2904" s="493"/>
      <c r="EE2904" s="493"/>
      <c r="EF2904" s="453"/>
    </row>
    <row r="2907" spans="53:136" ht="14.5" thickBot="1"/>
    <row r="2908" spans="53:136">
      <c r="BA2908" s="114" t="s">
        <v>478</v>
      </c>
      <c r="BB2908" s="431" t="str">
        <f>BB78</f>
        <v>Select Equipment</v>
      </c>
      <c r="BC2908" s="432"/>
      <c r="BD2908" s="433"/>
      <c r="BE2908" s="434"/>
      <c r="BF2908" s="435"/>
      <c r="CA2908" s="114" t="s">
        <v>478</v>
      </c>
      <c r="CB2908" s="431" t="str">
        <f>CB78</f>
        <v>Select Equipment</v>
      </c>
      <c r="CC2908" s="432"/>
      <c r="CD2908" s="433"/>
      <c r="CE2908" s="434"/>
      <c r="CF2908" s="435"/>
      <c r="DA2908" s="114" t="s">
        <v>478</v>
      </c>
      <c r="DB2908" s="431" t="str">
        <f>DB78</f>
        <v>Select Equipment</v>
      </c>
      <c r="DC2908" s="432"/>
      <c r="DD2908" s="433"/>
      <c r="DE2908" s="434"/>
      <c r="DF2908" s="435"/>
      <c r="EA2908" s="114" t="s">
        <v>478</v>
      </c>
      <c r="EB2908" s="431" t="str">
        <f>EB80</f>
        <v>Select Equipment</v>
      </c>
      <c r="EC2908" s="432"/>
      <c r="ED2908" s="433"/>
      <c r="EE2908" s="434"/>
      <c r="EF2908" s="435"/>
    </row>
    <row r="2909" spans="53:136">
      <c r="BA2909" s="114" t="s">
        <v>5</v>
      </c>
      <c r="BB2909" s="436" t="s">
        <v>1</v>
      </c>
      <c r="BC2909" s="437">
        <f>BC$25/BC$22/BC$21*VLOOKUP(BB2908,'Unit Ops'!$B$140:$J$209,2,FALSE)</f>
        <v>0.92592592592592593</v>
      </c>
      <c r="BD2909" s="438" t="s">
        <v>586</v>
      </c>
      <c r="BE2909" s="1027">
        <f>BC2909*BC$310*BC$311</f>
        <v>10000</v>
      </c>
      <c r="BF2909" s="439" t="s">
        <v>585</v>
      </c>
      <c r="CA2909" s="114" t="s">
        <v>5</v>
      </c>
      <c r="CB2909" s="436" t="s">
        <v>1</v>
      </c>
      <c r="CC2909" s="437">
        <f>CC$25/CC$22/CC$21*VLOOKUP(CB2908,'Unit Ops'!$B$140:$J$209,2,FALSE)</f>
        <v>0.91324200913242004</v>
      </c>
      <c r="CD2909" s="438" t="s">
        <v>586</v>
      </c>
      <c r="CE2909" s="1027">
        <f>CC2909*CC$310*CC$311</f>
        <v>10000</v>
      </c>
      <c r="CF2909" s="439" t="s">
        <v>585</v>
      </c>
      <c r="DA2909" s="114" t="s">
        <v>5</v>
      </c>
      <c r="DB2909" s="436" t="s">
        <v>1</v>
      </c>
      <c r="DC2909" s="437">
        <f>DC$25/DC$22/DC$21*VLOOKUP(DB2908,'Unit Ops'!$B$140:$J$209,2,FALSE)</f>
        <v>0.92592592592592593</v>
      </c>
      <c r="DD2909" s="438" t="s">
        <v>586</v>
      </c>
      <c r="DE2909" s="1027">
        <f>DC2909*DC$310*DC$311</f>
        <v>10000</v>
      </c>
      <c r="DF2909" s="439" t="s">
        <v>585</v>
      </c>
      <c r="EA2909" s="114" t="s">
        <v>5</v>
      </c>
      <c r="EB2909" s="436" t="s">
        <v>1</v>
      </c>
      <c r="EC2909" s="437">
        <f>EC$26/EC$23/EC$22*VLOOKUP(EB2908,'Unit Ops'!$B$140:$J$209,2,FALSE)</f>
        <v>1.3020833333333333</v>
      </c>
      <c r="ED2909" s="438" t="s">
        <v>586</v>
      </c>
      <c r="EE2909" s="1027">
        <f>EC2909*EC$310*EC$311</f>
        <v>10000</v>
      </c>
      <c r="EF2909" s="439" t="s">
        <v>585</v>
      </c>
    </row>
    <row r="2910" spans="53:136">
      <c r="BA2910" s="114" t="str">
        <f>$BB$54</f>
        <v>Hopper</v>
      </c>
      <c r="BB2910" s="436" t="s">
        <v>505</v>
      </c>
      <c r="BC2910" s="437">
        <f>ROUNDUP(BC2909*IF(VLOOKUP(BB2908,'Unit Ops'!$B$140:$L$209,11,FALSE)=1,1.5,0.75),1)</f>
        <v>0.7</v>
      </c>
      <c r="BD2910" s="438" t="s">
        <v>586</v>
      </c>
      <c r="BE2910" s="120">
        <f>BC2910*BC$310*BC$311</f>
        <v>7560</v>
      </c>
      <c r="BF2910" s="439" t="s">
        <v>585</v>
      </c>
      <c r="CA2910" s="114" t="str">
        <f>$CB$54</f>
        <v>Conveyor</v>
      </c>
      <c r="CB2910" s="436" t="s">
        <v>505</v>
      </c>
      <c r="CC2910" s="437">
        <f>ROUNDUP(CC2909*IF(VLOOKUP(CB2908,'Unit Ops'!$B$140:$L$209,11,FALSE)=1,1.5,0.75),1)</f>
        <v>0.7</v>
      </c>
      <c r="CD2910" s="438" t="s">
        <v>586</v>
      </c>
      <c r="CE2910" s="120">
        <f>CC2910*CC$310*CC$311</f>
        <v>7665</v>
      </c>
      <c r="CF2910" s="439" t="s">
        <v>585</v>
      </c>
      <c r="DA2910" s="114" t="str">
        <f>$DB$54</f>
        <v>Conveyor</v>
      </c>
      <c r="DB2910" s="436" t="s">
        <v>505</v>
      </c>
      <c r="DC2910" s="437">
        <f>ROUNDUP(DC2909*IF(VLOOKUP(DB2908,'Unit Ops'!$B$140:$L$209,11,FALSE)=1,1.5,0.75),1)</f>
        <v>0.7</v>
      </c>
      <c r="DD2910" s="438" t="s">
        <v>586</v>
      </c>
      <c r="DE2910" s="120">
        <f>DC2910*DC$310*DC$311</f>
        <v>7560</v>
      </c>
      <c r="DF2910" s="439" t="s">
        <v>585</v>
      </c>
      <c r="EA2910" s="114" t="str">
        <f>$EB$56</f>
        <v>Conveyor</v>
      </c>
      <c r="EB2910" s="436" t="s">
        <v>505</v>
      </c>
      <c r="EC2910" s="437">
        <f>ROUNDUP(EC2909*IF(VLOOKUP(EB2908,'Unit Ops'!$B$140:$L$209,11,FALSE)=1,1.5,0.75),1)</f>
        <v>1</v>
      </c>
      <c r="ED2910" s="438" t="s">
        <v>586</v>
      </c>
      <c r="EE2910" s="120">
        <f>EC2910*EC$310*EC$311</f>
        <v>7680</v>
      </c>
      <c r="EF2910" s="439" t="s">
        <v>585</v>
      </c>
    </row>
    <row r="2911" spans="53:136">
      <c r="BA2911" s="114" t="str">
        <f>$BB$55</f>
        <v>Conveyor</v>
      </c>
      <c r="BB2911" s="441" t="s">
        <v>521</v>
      </c>
      <c r="BC2911" s="442">
        <f>BC2909/BC2910</f>
        <v>1.3227513227513228</v>
      </c>
      <c r="BD2911" s="438"/>
      <c r="BE2911" s="443"/>
      <c r="BF2911" s="440"/>
      <c r="CA2911" s="114" t="str">
        <f>$CB$55</f>
        <v>Leaching tank</v>
      </c>
      <c r="CB2911" s="441" t="s">
        <v>521</v>
      </c>
      <c r="CC2911" s="442">
        <f>CC2909/CC2910</f>
        <v>1.3046314416177429</v>
      </c>
      <c r="CD2911" s="438"/>
      <c r="CE2911" s="443"/>
      <c r="CF2911" s="440"/>
      <c r="DA2911" s="114" t="str">
        <f>$DB$55</f>
        <v>Froth flotation cell</v>
      </c>
      <c r="DB2911" s="441" t="s">
        <v>521</v>
      </c>
      <c r="DC2911" s="442">
        <f>DC2909/DC2910</f>
        <v>1.3227513227513228</v>
      </c>
      <c r="DD2911" s="438"/>
      <c r="DE2911" s="443"/>
      <c r="DF2911" s="440"/>
      <c r="EA2911" s="114" t="str">
        <f>$EB$57</f>
        <v>Leaching tank</v>
      </c>
      <c r="EB2911" s="441" t="s">
        <v>521</v>
      </c>
      <c r="EC2911" s="442">
        <f>EC2909/EC2910</f>
        <v>1.3020833333333333</v>
      </c>
      <c r="ED2911" s="438"/>
      <c r="EE2911" s="443"/>
      <c r="EF2911" s="440"/>
    </row>
    <row r="2912" spans="53:136">
      <c r="BA2912" s="114" t="str">
        <f>$BB$56</f>
        <v>Smelter</v>
      </c>
      <c r="BB2912" s="441" t="s">
        <v>506</v>
      </c>
      <c r="BC2912" s="445"/>
      <c r="BD2912" s="438" t="s">
        <v>454</v>
      </c>
      <c r="BE2912" s="443"/>
      <c r="BF2912" s="440"/>
      <c r="CA2912" s="114" t="str">
        <f>$CB$56</f>
        <v>Mixing tank</v>
      </c>
      <c r="CB2912" s="441" t="s">
        <v>506</v>
      </c>
      <c r="CC2912" s="445"/>
      <c r="CD2912" s="438" t="s">
        <v>454</v>
      </c>
      <c r="CE2912" s="443"/>
      <c r="CF2912" s="440"/>
      <c r="DA2912" s="114" t="str">
        <f>$DB$56</f>
        <v>Filter press</v>
      </c>
      <c r="DB2912" s="441" t="s">
        <v>506</v>
      </c>
      <c r="DC2912" s="445"/>
      <c r="DD2912" s="438" t="s">
        <v>454</v>
      </c>
      <c r="DE2912" s="443"/>
      <c r="DF2912" s="440"/>
      <c r="EA2912" s="114" t="str">
        <f>$EB$58</f>
        <v>Mixing tank</v>
      </c>
      <c r="EB2912" s="441" t="s">
        <v>506</v>
      </c>
      <c r="EC2912" s="445"/>
      <c r="ED2912" s="438" t="s">
        <v>454</v>
      </c>
      <c r="EE2912" s="443"/>
      <c r="EF2912" s="440"/>
    </row>
    <row r="2913" spans="53:136">
      <c r="BA2913" s="114" t="str">
        <f>$BB$57</f>
        <v>Gas treatment</v>
      </c>
      <c r="BB2913" s="436" t="s">
        <v>507</v>
      </c>
      <c r="BC2913" s="225">
        <f>(VLOOKUP(BB2908,'Unit Ops'!$B$140:$J$209,7,FALSE)*BC2910^VLOOKUP(BB2908,'Unit Ops'!$B$140:$J$209,8,FALSE)+VLOOKUP(BB2908,'Unit Ops'!$B$140:$J$209,9,FALSE))*IF(VLOOKUP(BB2908,'Unit Ops'!$B$140:$L$209,11,FALSE)=1,1,2)</f>
        <v>0</v>
      </c>
      <c r="BD2913" s="446" t="s">
        <v>454</v>
      </c>
      <c r="BE2913" s="443"/>
      <c r="BF2913" s="440"/>
      <c r="CA2913" s="114" t="str">
        <f>$CB$57</f>
        <v>Filter press</v>
      </c>
      <c r="CB2913" s="436" t="s">
        <v>507</v>
      </c>
      <c r="CC2913" s="225">
        <f>(VLOOKUP(CB2908,'Unit Ops'!$B$140:$J$209,7,FALSE)*CC2910^VLOOKUP(CB2908,'Unit Ops'!$B$140:$J$209,8,FALSE)+VLOOKUP(CB2908,'Unit Ops'!$B$140:$J$209,9,FALSE))*IF(VLOOKUP(CB2908,'Unit Ops'!$B$140:$L$209,11,FALSE)=1,1,2)</f>
        <v>0</v>
      </c>
      <c r="CD2913" s="446" t="s">
        <v>454</v>
      </c>
      <c r="CE2913" s="443"/>
      <c r="CF2913" s="440"/>
      <c r="DA2913" s="114" t="str">
        <f>$DB$57</f>
        <v>Froth flotation cell</v>
      </c>
      <c r="DB2913" s="436" t="s">
        <v>507</v>
      </c>
      <c r="DC2913" s="225">
        <f>(VLOOKUP(DB2908,'Unit Ops'!$B$140:$J$209,7,FALSE)*DC2910^VLOOKUP(DB2908,'Unit Ops'!$B$140:$J$209,8,FALSE)+VLOOKUP(DB2908,'Unit Ops'!$B$140:$J$209,9,FALSE))*IF(VLOOKUP(DB2908,'Unit Ops'!$B$140:$L$209,11,FALSE)=1,1,2)</f>
        <v>0</v>
      </c>
      <c r="DD2913" s="446" t="s">
        <v>454</v>
      </c>
      <c r="DE2913" s="443"/>
      <c r="DF2913" s="440"/>
      <c r="EA2913" s="114" t="str">
        <f>$EB$59</f>
        <v>Filter press</v>
      </c>
      <c r="EB2913" s="436" t="s">
        <v>507</v>
      </c>
      <c r="EC2913" s="225">
        <f>(VLOOKUP(EB2908,'Unit Ops'!$B$140:$J$209,7,FALSE)*EC2910^VLOOKUP(EB2908,'Unit Ops'!$B$140:$J$209,8,FALSE)+VLOOKUP(EB2908,'Unit Ops'!$B$140:$J$209,9,FALSE))*IF(VLOOKUP(EB2908,'Unit Ops'!$B$140:$L$209,11,FALSE)=1,1,2)</f>
        <v>0</v>
      </c>
      <c r="ED2913" s="446" t="s">
        <v>454</v>
      </c>
      <c r="EE2913" s="443"/>
      <c r="EF2913" s="440"/>
    </row>
    <row r="2914" spans="53:136">
      <c r="BA2914" s="114" t="str">
        <f>$BB$58</f>
        <v>Conveyor</v>
      </c>
      <c r="BB2914" s="441"/>
      <c r="BC2914" s="445"/>
      <c r="BD2914" s="447"/>
      <c r="BE2914" s="443"/>
      <c r="BF2914" s="440"/>
      <c r="CA2914" s="114" t="str">
        <f>$CB$58</f>
        <v>Solvent extraction unit</v>
      </c>
      <c r="CB2914" s="441"/>
      <c r="CC2914" s="445"/>
      <c r="CD2914" s="447"/>
      <c r="CE2914" s="443"/>
      <c r="CF2914" s="440"/>
      <c r="DA2914" s="114" t="str">
        <f>$DB$58</f>
        <v>Filter press</v>
      </c>
      <c r="DB2914" s="441"/>
      <c r="DC2914" s="445"/>
      <c r="DD2914" s="447"/>
      <c r="DE2914" s="443"/>
      <c r="DF2914" s="440"/>
      <c r="EA2914" s="114" t="str">
        <f>$EB$60</f>
        <v>Solvent extraction unit</v>
      </c>
      <c r="EB2914" s="441"/>
      <c r="EC2914" s="445"/>
      <c r="ED2914" s="447"/>
      <c r="EE2914" s="443"/>
      <c r="EF2914" s="440"/>
    </row>
    <row r="2915" spans="53:136">
      <c r="BA2915" s="114" t="str">
        <f>$BB$59</f>
        <v>Granulator</v>
      </c>
      <c r="BB2915" s="441"/>
      <c r="BC2915" s="445"/>
      <c r="BD2915" s="447"/>
      <c r="BE2915" s="443"/>
      <c r="BF2915" s="440"/>
      <c r="CA2915" s="114" t="str">
        <f>$CB$59</f>
        <v>Solvent extraction unit</v>
      </c>
      <c r="CB2915" s="441"/>
      <c r="CC2915" s="445"/>
      <c r="CD2915" s="447"/>
      <c r="CE2915" s="443"/>
      <c r="CF2915" s="440"/>
      <c r="DA2915" s="114" t="str">
        <f>$DB$59</f>
        <v>Dryer</v>
      </c>
      <c r="DB2915" s="441"/>
      <c r="DC2915" s="445"/>
      <c r="DD2915" s="447"/>
      <c r="DE2915" s="443"/>
      <c r="DF2915" s="440"/>
      <c r="EA2915" s="114" t="str">
        <f>$EB$61</f>
        <v>Solvent extraction unit</v>
      </c>
      <c r="EB2915" s="441"/>
      <c r="EC2915" s="445"/>
      <c r="ED2915" s="447"/>
      <c r="EE2915" s="443"/>
      <c r="EF2915" s="440"/>
    </row>
    <row r="2916" spans="53:136">
      <c r="BA2916" s="114" t="str">
        <f>$BB$60</f>
        <v>Leaching tank</v>
      </c>
      <c r="BB2916" s="449"/>
      <c r="BC2916" s="445"/>
      <c r="BD2916" s="447"/>
      <c r="BE2916" s="443"/>
      <c r="BF2916" s="440"/>
      <c r="CA2916" s="114" t="str">
        <f>$CB$60</f>
        <v>Solvent extraction unit</v>
      </c>
      <c r="CB2916" s="449"/>
      <c r="CC2916" s="445"/>
      <c r="CD2916" s="447"/>
      <c r="CE2916" s="443"/>
      <c r="CF2916" s="440"/>
      <c r="DA2916" s="114" t="str">
        <f>$DB$60</f>
        <v>Ball mill</v>
      </c>
      <c r="DB2916" s="449"/>
      <c r="DC2916" s="445"/>
      <c r="DD2916" s="447"/>
      <c r="DE2916" s="443"/>
      <c r="DF2916" s="440"/>
      <c r="EA2916" s="114" t="str">
        <f>$EB$62</f>
        <v>Solvent extraction unit</v>
      </c>
      <c r="EB2916" s="449"/>
      <c r="EC2916" s="445"/>
      <c r="ED2916" s="447"/>
      <c r="EE2916" s="443"/>
      <c r="EF2916" s="440"/>
    </row>
    <row r="2917" spans="53:136" ht="14.5" thickBot="1">
      <c r="BA2917" s="114" t="str">
        <f>$BB$61</f>
        <v>Solvent extraction unit</v>
      </c>
      <c r="BB2917" s="450"/>
      <c r="BC2917" s="451"/>
      <c r="BD2917" s="451"/>
      <c r="BE2917" s="452"/>
      <c r="BF2917" s="453"/>
      <c r="CA2917" s="114" t="str">
        <f>$CB$61</f>
        <v>Evaporator</v>
      </c>
      <c r="CB2917" s="450"/>
      <c r="CC2917" s="451"/>
      <c r="CD2917" s="451"/>
      <c r="CE2917" s="452"/>
      <c r="CF2917" s="453"/>
      <c r="DA2917" s="114" t="str">
        <f>$DB$61</f>
        <v>Furnace+saggar handling system</v>
      </c>
      <c r="DB2917" s="450"/>
      <c r="DC2917" s="451"/>
      <c r="DD2917" s="451"/>
      <c r="DE2917" s="452"/>
      <c r="DF2917" s="453"/>
      <c r="EA2917" s="114" t="str">
        <f>$EB$63</f>
        <v>Evaporator</v>
      </c>
      <c r="EB2917" s="450"/>
      <c r="EC2917" s="451"/>
      <c r="ED2917" s="451"/>
      <c r="EE2917" s="452"/>
      <c r="EF2917" s="453"/>
    </row>
    <row r="2918" spans="53:136">
      <c r="BA2918" s="114" t="str">
        <f>$BB$62</f>
        <v>Electrowinning cell</v>
      </c>
      <c r="BB2918" s="449" t="s">
        <v>470</v>
      </c>
      <c r="BC2918" s="120"/>
      <c r="BD2918" s="454"/>
      <c r="BE2918" s="120"/>
      <c r="BF2918" s="440"/>
      <c r="CA2918" s="114" t="str">
        <f>$CB$62</f>
        <v>Precipitation tank</v>
      </c>
      <c r="CB2918" s="449" t="s">
        <v>470</v>
      </c>
      <c r="CC2918" s="120"/>
      <c r="CD2918" s="454"/>
      <c r="CE2918" s="120"/>
      <c r="CF2918" s="440"/>
      <c r="DA2918" s="114" t="str">
        <f>$DB$62</f>
        <v>Water treatment</v>
      </c>
      <c r="DB2918" s="449" t="s">
        <v>470</v>
      </c>
      <c r="DC2918" s="120"/>
      <c r="DD2918" s="454"/>
      <c r="DE2918" s="120"/>
      <c r="DF2918" s="440"/>
      <c r="EA2918" s="114" t="str">
        <f>$EB$64</f>
        <v>Precipitation tank</v>
      </c>
      <c r="EB2918" s="449" t="s">
        <v>470</v>
      </c>
      <c r="EC2918" s="120"/>
      <c r="ED2918" s="454"/>
      <c r="EE2918" s="120"/>
      <c r="EF2918" s="440"/>
    </row>
    <row r="2919" spans="53:136" ht="14.5" customHeight="1">
      <c r="BA2919" s="114" t="str">
        <f>$BB$63</f>
        <v>Solvent extraction unit</v>
      </c>
      <c r="BB2919" s="1698"/>
      <c r="BC2919" s="1699"/>
      <c r="BD2919" s="1699"/>
      <c r="BE2919" s="1699"/>
      <c r="BF2919" s="1700"/>
      <c r="CA2919" s="114" t="str">
        <f>$CB$63</f>
        <v>Centrifuge</v>
      </c>
      <c r="CB2919" s="1698"/>
      <c r="CC2919" s="1699"/>
      <c r="CD2919" s="1699"/>
      <c r="CE2919" s="1699"/>
      <c r="CF2919" s="1700"/>
      <c r="DA2919" s="114" t="str">
        <f>$DB$63</f>
        <v>Wheel loader</v>
      </c>
      <c r="DB2919" s="1698"/>
      <c r="DC2919" s="1699"/>
      <c r="DD2919" s="1699"/>
      <c r="DE2919" s="1699"/>
      <c r="DF2919" s="1700"/>
      <c r="EA2919" s="114" t="str">
        <f>$EB$65</f>
        <v>Centrifuge</v>
      </c>
      <c r="EB2919" s="1698"/>
      <c r="EC2919" s="1699"/>
      <c r="ED2919" s="1699"/>
      <c r="EE2919" s="1699"/>
      <c r="EF2919" s="1700"/>
    </row>
    <row r="2920" spans="53:136">
      <c r="BA2920" s="114" t="str">
        <f>$BB$64</f>
        <v>Solvent extraction unit</v>
      </c>
      <c r="BB2920" s="436"/>
      <c r="BC2920" s="120"/>
      <c r="BD2920" s="455"/>
      <c r="BE2920" s="120"/>
      <c r="BF2920" s="440"/>
      <c r="CA2920" s="114" t="str">
        <f>$CB$64</f>
        <v>Dryer</v>
      </c>
      <c r="CB2920" s="436"/>
      <c r="CC2920" s="120"/>
      <c r="CD2920" s="455"/>
      <c r="CE2920" s="120"/>
      <c r="CF2920" s="440"/>
      <c r="DA2920" s="114" t="str">
        <f>$DB$64</f>
        <v>Select Equipment</v>
      </c>
      <c r="DB2920" s="436"/>
      <c r="DC2920" s="120"/>
      <c r="DD2920" s="455"/>
      <c r="DE2920" s="120"/>
      <c r="DF2920" s="440"/>
      <c r="EA2920" s="114" t="str">
        <f>$EB$66</f>
        <v>Dryer</v>
      </c>
      <c r="EB2920" s="436"/>
      <c r="EC2920" s="120"/>
      <c r="ED2920" s="455"/>
      <c r="EE2920" s="120"/>
      <c r="EF2920" s="440"/>
    </row>
    <row r="2921" spans="53:136">
      <c r="BA2921" s="114" t="str">
        <f>$BB$65</f>
        <v>Wheel loader</v>
      </c>
      <c r="BB2921" s="436"/>
      <c r="BC2921" s="120"/>
      <c r="BD2921" s="455"/>
      <c r="BE2921" s="120"/>
      <c r="BF2921" s="440"/>
      <c r="CA2921" s="114" t="str">
        <f>$CB$65</f>
        <v>Water treatment</v>
      </c>
      <c r="CB2921" s="436"/>
      <c r="CC2921" s="120"/>
      <c r="CD2921" s="455"/>
      <c r="CE2921" s="120"/>
      <c r="CF2921" s="440"/>
      <c r="DA2921" s="114" t="str">
        <f>$DB$65</f>
        <v>Select Equipment</v>
      </c>
      <c r="DB2921" s="436"/>
      <c r="DC2921" s="120"/>
      <c r="DD2921" s="455"/>
      <c r="DE2921" s="120"/>
      <c r="DF2921" s="440"/>
      <c r="EA2921" s="114" t="str">
        <f>$EB$67</f>
        <v>Water treatment</v>
      </c>
      <c r="EB2921" s="436"/>
      <c r="EC2921" s="120"/>
      <c r="ED2921" s="455"/>
      <c r="EE2921" s="120"/>
      <c r="EF2921" s="440"/>
    </row>
    <row r="2922" spans="53:136">
      <c r="BA2922" s="114" t="str">
        <f>$BB$66</f>
        <v>Water treatment</v>
      </c>
      <c r="BB2922" s="456"/>
      <c r="BC2922" s="457"/>
      <c r="BD2922" s="457"/>
      <c r="BE2922" s="457"/>
      <c r="BF2922" s="458"/>
      <c r="CA2922" s="114" t="str">
        <f>$CB$66</f>
        <v>Wheel loader</v>
      </c>
      <c r="CB2922" s="456"/>
      <c r="CC2922" s="457"/>
      <c r="CD2922" s="457"/>
      <c r="CE2922" s="457"/>
      <c r="CF2922" s="458"/>
      <c r="DA2922" s="114" t="str">
        <f>$DB$66</f>
        <v>Select Equipment</v>
      </c>
      <c r="DB2922" s="456"/>
      <c r="DC2922" s="457"/>
      <c r="DD2922" s="457"/>
      <c r="DE2922" s="457"/>
      <c r="DF2922" s="458"/>
      <c r="EA2922" s="114" t="str">
        <f>$EB$68</f>
        <v>Wheel loader</v>
      </c>
      <c r="EB2922" s="456"/>
      <c r="EC2922" s="457"/>
      <c r="ED2922" s="457"/>
      <c r="EE2922" s="457"/>
      <c r="EF2922" s="458"/>
    </row>
    <row r="2923" spans="53:136">
      <c r="BA2923" s="114" t="str">
        <f>$BB$67</f>
        <v>Select Equipment</v>
      </c>
      <c r="BB2923" s="449" t="s">
        <v>471</v>
      </c>
      <c r="BC2923" s="120"/>
      <c r="BD2923" s="454"/>
      <c r="BE2923" s="120"/>
      <c r="BF2923" s="440"/>
      <c r="CA2923" s="114" t="str">
        <f>$CB$67</f>
        <v>Select Equipment</v>
      </c>
      <c r="CB2923" s="449" t="s">
        <v>471</v>
      </c>
      <c r="CC2923" s="120"/>
      <c r="CD2923" s="454"/>
      <c r="CE2923" s="120"/>
      <c r="CF2923" s="440"/>
      <c r="DA2923" s="114" t="str">
        <f>$DB$67</f>
        <v>Select Equipment</v>
      </c>
      <c r="DB2923" s="449" t="s">
        <v>471</v>
      </c>
      <c r="DC2923" s="120"/>
      <c r="DD2923" s="454"/>
      <c r="DE2923" s="120"/>
      <c r="DF2923" s="440"/>
      <c r="EA2923" s="114" t="str">
        <f>$EB$69</f>
        <v>Select Equipment</v>
      </c>
      <c r="EB2923" s="449" t="s">
        <v>471</v>
      </c>
      <c r="EC2923" s="120"/>
      <c r="ED2923" s="454"/>
      <c r="EE2923" s="120"/>
      <c r="EF2923" s="440"/>
    </row>
    <row r="2924" spans="53:136">
      <c r="BA2924" s="114" t="str">
        <f>$BB$68</f>
        <v>Select Equipment</v>
      </c>
      <c r="BB2924" s="436" t="s">
        <v>577</v>
      </c>
      <c r="BC2924" s="225">
        <f>BC2913*IF(BC2911&gt;1,1,BC2911)</f>
        <v>0</v>
      </c>
      <c r="BD2924" s="446" t="s">
        <v>454</v>
      </c>
      <c r="BE2924" s="120"/>
      <c r="BF2924" s="440"/>
      <c r="CA2924" s="114" t="str">
        <f>$CB$68</f>
        <v>Select Equipment</v>
      </c>
      <c r="CB2924" s="436" t="s">
        <v>577</v>
      </c>
      <c r="CC2924" s="225">
        <f>CC2913*IF(CC2911&gt;1,1,CC2911)</f>
        <v>0</v>
      </c>
      <c r="CD2924" s="446" t="s">
        <v>454</v>
      </c>
      <c r="CE2924" s="120"/>
      <c r="CF2924" s="440"/>
      <c r="DA2924" s="114" t="str">
        <f>$DB$68</f>
        <v>Select Equipment</v>
      </c>
      <c r="DB2924" s="436" t="s">
        <v>577</v>
      </c>
      <c r="DC2924" s="225">
        <f>DC2913*IF(DC2911&gt;1,1,DC2911)</f>
        <v>0</v>
      </c>
      <c r="DD2924" s="446" t="s">
        <v>454</v>
      </c>
      <c r="DE2924" s="120"/>
      <c r="DF2924" s="440"/>
      <c r="EA2924" s="114" t="str">
        <f>$EB$70</f>
        <v>Select Equipment</v>
      </c>
      <c r="EB2924" s="436" t="s">
        <v>577</v>
      </c>
      <c r="EC2924" s="225">
        <f>EC2913*IF(EC2911&gt;1,1,EC2911)</f>
        <v>0</v>
      </c>
      <c r="ED2924" s="446" t="s">
        <v>454</v>
      </c>
      <c r="EE2924" s="120"/>
      <c r="EF2924" s="440"/>
    </row>
    <row r="2925" spans="53:136">
      <c r="BA2925" s="114" t="str">
        <f>$BB$69</f>
        <v>Select Equipment</v>
      </c>
      <c r="BB2925" s="436" t="s">
        <v>578</v>
      </c>
      <c r="BC2925" s="225"/>
      <c r="BD2925" s="446" t="s">
        <v>579</v>
      </c>
      <c r="BE2925" s="120"/>
      <c r="BF2925" s="440"/>
      <c r="CA2925" s="114" t="str">
        <f>$CB$69</f>
        <v>Select Equipment</v>
      </c>
      <c r="CB2925" s="436" t="s">
        <v>578</v>
      </c>
      <c r="CC2925" s="225"/>
      <c r="CD2925" s="446" t="s">
        <v>579</v>
      </c>
      <c r="CE2925" s="120"/>
      <c r="CF2925" s="440"/>
      <c r="DA2925" s="114" t="str">
        <f>$DB$69</f>
        <v>Select Equipment</v>
      </c>
      <c r="DB2925" s="436" t="s">
        <v>578</v>
      </c>
      <c r="DC2925" s="225"/>
      <c r="DD2925" s="446" t="s">
        <v>579</v>
      </c>
      <c r="DE2925" s="120"/>
      <c r="DF2925" s="440"/>
      <c r="EA2925" s="114" t="str">
        <f>$EB$71</f>
        <v>Select Equipment</v>
      </c>
      <c r="EB2925" s="436" t="s">
        <v>578</v>
      </c>
      <c r="EC2925" s="225"/>
      <c r="ED2925" s="446" t="s">
        <v>579</v>
      </c>
      <c r="EE2925" s="120"/>
      <c r="EF2925" s="440"/>
    </row>
    <row r="2926" spans="53:136">
      <c r="BA2926" s="114" t="str">
        <f>$BB$70</f>
        <v>Select Equipment</v>
      </c>
      <c r="BB2926" s="436"/>
      <c r="BC2926" s="120"/>
      <c r="BD2926" s="446"/>
      <c r="BE2926" s="120"/>
      <c r="BF2926" s="440"/>
      <c r="CA2926" s="114" t="str">
        <f>$CB$70</f>
        <v>Select Equipment</v>
      </c>
      <c r="CB2926" s="436"/>
      <c r="CC2926" s="120"/>
      <c r="CD2926" s="446"/>
      <c r="CE2926" s="120"/>
      <c r="CF2926" s="440"/>
      <c r="DA2926" s="114" t="str">
        <f>$DB$70</f>
        <v>Select Equipment</v>
      </c>
      <c r="DB2926" s="436"/>
      <c r="DC2926" s="120"/>
      <c r="DD2926" s="446"/>
      <c r="DE2926" s="120"/>
      <c r="DF2926" s="440"/>
      <c r="EA2926" s="114" t="str">
        <f>$EB$72</f>
        <v>Select Equipment</v>
      </c>
      <c r="EB2926" s="436"/>
      <c r="EC2926" s="120"/>
      <c r="ED2926" s="446"/>
      <c r="EE2926" s="120"/>
      <c r="EF2926" s="440"/>
    </row>
    <row r="2927" spans="53:136">
      <c r="BA2927" s="114" t="str">
        <f>$BB$71</f>
        <v>Select Equipment</v>
      </c>
      <c r="BB2927" s="436" t="s">
        <v>8</v>
      </c>
      <c r="BC2927" s="120"/>
      <c r="BD2927" s="459" t="s">
        <v>564</v>
      </c>
      <c r="BE2927" s="120"/>
      <c r="BF2927" s="440"/>
      <c r="CA2927" s="114" t="str">
        <f>$CB$71</f>
        <v>Select Equipment</v>
      </c>
      <c r="CB2927" s="436" t="s">
        <v>8</v>
      </c>
      <c r="CC2927" s="120"/>
      <c r="CD2927" s="459" t="s">
        <v>564</v>
      </c>
      <c r="CE2927" s="120"/>
      <c r="CF2927" s="440"/>
      <c r="DA2927" s="114" t="str">
        <f>$DB$71</f>
        <v>Select Equipment</v>
      </c>
      <c r="DB2927" s="436" t="s">
        <v>8</v>
      </c>
      <c r="DC2927" s="120"/>
      <c r="DD2927" s="459" t="s">
        <v>564</v>
      </c>
      <c r="DE2927" s="120"/>
      <c r="DF2927" s="440"/>
      <c r="EA2927" s="114" t="str">
        <f>$EB$73</f>
        <v>Select Equipment</v>
      </c>
      <c r="EB2927" s="436" t="s">
        <v>8</v>
      </c>
      <c r="EC2927" s="120"/>
      <c r="ED2927" s="459" t="s">
        <v>564</v>
      </c>
      <c r="EE2927" s="120"/>
      <c r="EF2927" s="440"/>
    </row>
    <row r="2928" spans="53:136">
      <c r="BA2928" s="114" t="str">
        <f>$BB$72</f>
        <v>Select Equipment</v>
      </c>
      <c r="BB2928" s="436"/>
      <c r="BC2928" s="120"/>
      <c r="BD2928" s="459"/>
      <c r="BE2928" s="120"/>
      <c r="BF2928" s="440"/>
      <c r="CA2928" s="114" t="str">
        <f>$CB$72</f>
        <v>Select Equipment</v>
      </c>
      <c r="CB2928" s="436"/>
      <c r="CC2928" s="120"/>
      <c r="CD2928" s="459"/>
      <c r="CE2928" s="120"/>
      <c r="CF2928" s="440"/>
      <c r="DA2928" s="114" t="str">
        <f>$DB$72</f>
        <v>Select Equipment</v>
      </c>
      <c r="DB2928" s="436"/>
      <c r="DC2928" s="120"/>
      <c r="DD2928" s="459"/>
      <c r="DE2928" s="120"/>
      <c r="DF2928" s="440"/>
      <c r="EA2928" s="114" t="str">
        <f>$EB$74</f>
        <v>Select Equipment</v>
      </c>
      <c r="EB2928" s="436"/>
      <c r="EC2928" s="120"/>
      <c r="ED2928" s="459"/>
      <c r="EE2928" s="120"/>
      <c r="EF2928" s="440"/>
    </row>
    <row r="2929" spans="53:136">
      <c r="BA2929" s="114" t="str">
        <f>$BB$73</f>
        <v>Select Equipment</v>
      </c>
      <c r="BB2929" s="436" t="s">
        <v>7</v>
      </c>
      <c r="BC2929" s="120"/>
      <c r="BD2929" s="459" t="s">
        <v>564</v>
      </c>
      <c r="BE2929" s="120"/>
      <c r="BF2929" s="440"/>
      <c r="CA2929" s="114" t="str">
        <f>$CB$73</f>
        <v>Select Equipment</v>
      </c>
      <c r="CB2929" s="436" t="s">
        <v>7</v>
      </c>
      <c r="CC2929" s="120"/>
      <c r="CD2929" s="459" t="s">
        <v>564</v>
      </c>
      <c r="CE2929" s="120"/>
      <c r="CF2929" s="440"/>
      <c r="DA2929" s="114" t="str">
        <f>$DB$73</f>
        <v>Select Equipment</v>
      </c>
      <c r="DB2929" s="436" t="s">
        <v>7</v>
      </c>
      <c r="DC2929" s="120"/>
      <c r="DD2929" s="459" t="s">
        <v>564</v>
      </c>
      <c r="DE2929" s="120"/>
      <c r="DF2929" s="440"/>
      <c r="EA2929" s="114" t="str">
        <f>$EB$75</f>
        <v>Select Equipment</v>
      </c>
      <c r="EB2929" s="436" t="s">
        <v>7</v>
      </c>
      <c r="EC2929" s="120"/>
      <c r="ED2929" s="459" t="s">
        <v>564</v>
      </c>
      <c r="EE2929" s="120"/>
      <c r="EF2929" s="440"/>
    </row>
    <row r="2930" spans="53:136">
      <c r="BA2930" s="114" t="str">
        <f>$BB$74</f>
        <v>Select Equipment</v>
      </c>
      <c r="BB2930" s="436"/>
      <c r="BC2930" s="120"/>
      <c r="BD2930" s="459"/>
      <c r="BE2930" s="120"/>
      <c r="BF2930" s="440"/>
      <c r="CA2930" s="114" t="str">
        <f>$CB$74</f>
        <v>Select Equipment</v>
      </c>
      <c r="CB2930" s="436"/>
      <c r="CC2930" s="120"/>
      <c r="CD2930" s="459"/>
      <c r="CE2930" s="120"/>
      <c r="CF2930" s="440"/>
      <c r="DA2930" s="114" t="str">
        <f>$DB$74</f>
        <v>Select Equipment</v>
      </c>
      <c r="DB2930" s="436"/>
      <c r="DC2930" s="120"/>
      <c r="DD2930" s="459"/>
      <c r="DE2930" s="120"/>
      <c r="DF2930" s="440"/>
      <c r="EA2930" s="114" t="str">
        <f>$EB$76</f>
        <v>Select Equipment</v>
      </c>
      <c r="EB2930" s="436"/>
      <c r="EC2930" s="120"/>
      <c r="ED2930" s="459"/>
      <c r="EE2930" s="120"/>
      <c r="EF2930" s="440"/>
    </row>
    <row r="2931" spans="53:136">
      <c r="BA2931" s="114" t="str">
        <f>$BB$75</f>
        <v>Select Equipment</v>
      </c>
      <c r="BB2931" s="436" t="s">
        <v>9</v>
      </c>
      <c r="BC2931" s="120"/>
      <c r="BD2931" s="459" t="s">
        <v>564</v>
      </c>
      <c r="BE2931" s="120"/>
      <c r="BF2931" s="440"/>
      <c r="CA2931" s="114" t="str">
        <f>$CB$75</f>
        <v>Select Equipment</v>
      </c>
      <c r="CB2931" s="436" t="s">
        <v>9</v>
      </c>
      <c r="CC2931" s="120"/>
      <c r="CD2931" s="459" t="s">
        <v>564</v>
      </c>
      <c r="CE2931" s="120"/>
      <c r="CF2931" s="440"/>
      <c r="DA2931" s="114" t="str">
        <f>$DB$75</f>
        <v>Select Equipment</v>
      </c>
      <c r="DB2931" s="436" t="s">
        <v>9</v>
      </c>
      <c r="DC2931" s="120"/>
      <c r="DD2931" s="459" t="s">
        <v>564</v>
      </c>
      <c r="DE2931" s="120"/>
      <c r="DF2931" s="440"/>
      <c r="EA2931" s="114" t="str">
        <f>$EB$77</f>
        <v>Select Equipment</v>
      </c>
      <c r="EB2931" s="436" t="s">
        <v>9</v>
      </c>
      <c r="EC2931" s="120"/>
      <c r="ED2931" s="459" t="s">
        <v>564</v>
      </c>
      <c r="EE2931" s="120"/>
      <c r="EF2931" s="440"/>
    </row>
    <row r="2932" spans="53:136">
      <c r="BA2932" s="114" t="str">
        <f>$BB$76</f>
        <v>Select Equipment</v>
      </c>
      <c r="BB2932" s="436"/>
      <c r="BC2932" s="120"/>
      <c r="BD2932" s="459"/>
      <c r="BE2932" s="120"/>
      <c r="BF2932" s="440"/>
      <c r="CA2932" s="114" t="str">
        <f>$CB$76</f>
        <v>Select Equipment</v>
      </c>
      <c r="CB2932" s="436"/>
      <c r="CC2932" s="120"/>
      <c r="CD2932" s="459"/>
      <c r="CE2932" s="120"/>
      <c r="CF2932" s="440"/>
      <c r="DA2932" s="114" t="str">
        <f>$DB$76</f>
        <v>Select Equipment</v>
      </c>
      <c r="DB2932" s="436"/>
      <c r="DC2932" s="120"/>
      <c r="DD2932" s="459"/>
      <c r="DE2932" s="120"/>
      <c r="DF2932" s="440"/>
      <c r="EA2932" s="114" t="str">
        <f>$EB$78</f>
        <v>Select Equipment</v>
      </c>
      <c r="EB2932" s="436"/>
      <c r="EC2932" s="120"/>
      <c r="ED2932" s="459"/>
      <c r="EE2932" s="120"/>
      <c r="EF2932" s="440"/>
    </row>
    <row r="2933" spans="53:136">
      <c r="BA2933" s="114" t="str">
        <f>$BB$77</f>
        <v>Select Equipment</v>
      </c>
      <c r="BB2933" s="436" t="s">
        <v>324</v>
      </c>
      <c r="BC2933" s="120"/>
      <c r="BD2933" s="459" t="s">
        <v>564</v>
      </c>
      <c r="BE2933" s="120"/>
      <c r="BF2933" s="440" t="s">
        <v>569</v>
      </c>
      <c r="CA2933" s="114" t="str">
        <f>$CB$77</f>
        <v>Select Equipment</v>
      </c>
      <c r="CB2933" s="436" t="s">
        <v>324</v>
      </c>
      <c r="CC2933" s="120"/>
      <c r="CD2933" s="459" t="s">
        <v>564</v>
      </c>
      <c r="CE2933" s="120"/>
      <c r="CF2933" s="440" t="s">
        <v>569</v>
      </c>
      <c r="DA2933" s="114" t="str">
        <f>$DB$77</f>
        <v>Select Equipment</v>
      </c>
      <c r="DB2933" s="436" t="s">
        <v>324</v>
      </c>
      <c r="DC2933" s="120"/>
      <c r="DD2933" s="459" t="s">
        <v>564</v>
      </c>
      <c r="DE2933" s="120"/>
      <c r="DF2933" s="440" t="s">
        <v>569</v>
      </c>
      <c r="EA2933" s="114" t="str">
        <f>$EB$79</f>
        <v>Select Equipment</v>
      </c>
      <c r="EB2933" s="436" t="s">
        <v>324</v>
      </c>
      <c r="EC2933" s="120"/>
      <c r="ED2933" s="459" t="s">
        <v>564</v>
      </c>
      <c r="EE2933" s="120"/>
      <c r="EF2933" s="440" t="s">
        <v>569</v>
      </c>
    </row>
    <row r="2934" spans="53:136">
      <c r="BA2934" s="114" t="str">
        <f>$BB$78</f>
        <v>Select Equipment</v>
      </c>
      <c r="BB2934" s="436"/>
      <c r="BC2934" s="120"/>
      <c r="BD2934" s="468"/>
      <c r="BE2934" s="469"/>
      <c r="BF2934" s="440"/>
      <c r="CA2934" s="114" t="str">
        <f>$CB$78</f>
        <v>Select Equipment</v>
      </c>
      <c r="CB2934" s="436"/>
      <c r="CC2934" s="120"/>
      <c r="CD2934" s="468"/>
      <c r="CE2934" s="469"/>
      <c r="CF2934" s="440"/>
      <c r="DA2934" s="114" t="str">
        <f>$DB$78</f>
        <v>Select Equipment</v>
      </c>
      <c r="DB2934" s="436"/>
      <c r="DC2934" s="120"/>
      <c r="DD2934" s="468"/>
      <c r="DE2934" s="469"/>
      <c r="DF2934" s="440"/>
      <c r="EA2934" s="114" t="str">
        <f>$EB$80</f>
        <v>Select Equipment</v>
      </c>
      <c r="EB2934" s="436"/>
      <c r="EC2934" s="120"/>
      <c r="ED2934" s="468"/>
      <c r="EE2934" s="469"/>
      <c r="EF2934" s="440"/>
    </row>
    <row r="2935" spans="53:136">
      <c r="BA2935" s="114" t="str">
        <f>$BB$79</f>
        <v>Select Equipment</v>
      </c>
      <c r="BB2935" s="436" t="s">
        <v>374</v>
      </c>
      <c r="BC2935" s="120"/>
      <c r="BD2935" s="459" t="s">
        <v>564</v>
      </c>
      <c r="BE2935" s="469"/>
      <c r="BF2935" s="440" t="s">
        <v>569</v>
      </c>
      <c r="CA2935" s="114" t="str">
        <f>$CB$79</f>
        <v>Select Equipment</v>
      </c>
      <c r="CB2935" s="436" t="s">
        <v>374</v>
      </c>
      <c r="CC2935" s="120"/>
      <c r="CD2935" s="459" t="s">
        <v>564</v>
      </c>
      <c r="CE2935" s="469"/>
      <c r="CF2935" s="440" t="s">
        <v>569</v>
      </c>
      <c r="DA2935" s="114" t="str">
        <f>$DB$79</f>
        <v>Select Equipment</v>
      </c>
      <c r="DB2935" s="436" t="s">
        <v>374</v>
      </c>
      <c r="DC2935" s="120"/>
      <c r="DD2935" s="459" t="s">
        <v>564</v>
      </c>
      <c r="DE2935" s="469"/>
      <c r="DF2935" s="440" t="s">
        <v>569</v>
      </c>
      <c r="EA2935" s="114" t="str">
        <f>$EB$81</f>
        <v>Select Equipment</v>
      </c>
      <c r="EB2935" s="436" t="s">
        <v>374</v>
      </c>
      <c r="EC2935" s="120"/>
      <c r="ED2935" s="459" t="s">
        <v>564</v>
      </c>
      <c r="EE2935" s="469"/>
      <c r="EF2935" s="440" t="s">
        <v>569</v>
      </c>
    </row>
    <row r="2936" spans="53:136">
      <c r="BA2936" s="114" t="str">
        <f>$BB$80</f>
        <v>Select Equipment</v>
      </c>
      <c r="BB2936" s="436"/>
      <c r="BC2936" s="120"/>
      <c r="BD2936" s="472"/>
      <c r="BE2936" s="473"/>
      <c r="BF2936" s="440"/>
      <c r="CA2936" s="114" t="str">
        <f>$CB$80</f>
        <v>Select Equipment</v>
      </c>
      <c r="CB2936" s="436"/>
      <c r="CC2936" s="120"/>
      <c r="CD2936" s="472"/>
      <c r="CE2936" s="473"/>
      <c r="CF2936" s="440"/>
      <c r="DA2936" s="114" t="str">
        <f>$DB$80</f>
        <v>Select Equipment</v>
      </c>
      <c r="DB2936" s="436"/>
      <c r="DC2936" s="120"/>
      <c r="DD2936" s="472"/>
      <c r="DE2936" s="473"/>
      <c r="DF2936" s="440"/>
      <c r="EA2936" s="114" t="str">
        <f>$EB$82</f>
        <v>Select Equipment</v>
      </c>
      <c r="EB2936" s="436"/>
      <c r="EC2936" s="120"/>
      <c r="ED2936" s="472"/>
      <c r="EE2936" s="473"/>
      <c r="EF2936" s="440"/>
    </row>
    <row r="2937" spans="53:136">
      <c r="BA2937" s="114" t="str">
        <f>$BB$81</f>
        <v>Select Equipment</v>
      </c>
      <c r="BB2937" s="436" t="s">
        <v>580</v>
      </c>
      <c r="BC2937" s="120"/>
      <c r="BD2937" s="459" t="s">
        <v>564</v>
      </c>
      <c r="BE2937" s="473"/>
      <c r="BF2937" s="440" t="s">
        <v>569</v>
      </c>
      <c r="CA2937" s="114" t="str">
        <f>$CB$81</f>
        <v>Select Equipment</v>
      </c>
      <c r="CB2937" s="436" t="s">
        <v>580</v>
      </c>
      <c r="CC2937" s="120"/>
      <c r="CD2937" s="459" t="s">
        <v>564</v>
      </c>
      <c r="CE2937" s="473"/>
      <c r="CF2937" s="440" t="s">
        <v>569</v>
      </c>
      <c r="DA2937" s="114" t="str">
        <f>$DB$81</f>
        <v>Select Equipment</v>
      </c>
      <c r="DB2937" s="436" t="s">
        <v>580</v>
      </c>
      <c r="DC2937" s="120"/>
      <c r="DD2937" s="459" t="s">
        <v>564</v>
      </c>
      <c r="DE2937" s="473"/>
      <c r="DF2937" s="440" t="s">
        <v>569</v>
      </c>
      <c r="EA2937" s="114" t="str">
        <f>$EB$83</f>
        <v>Select Equipment</v>
      </c>
      <c r="EB2937" s="436" t="s">
        <v>580</v>
      </c>
      <c r="EC2937" s="120"/>
      <c r="ED2937" s="459" t="s">
        <v>564</v>
      </c>
      <c r="EE2937" s="473"/>
      <c r="EF2937" s="440" t="s">
        <v>569</v>
      </c>
    </row>
    <row r="2938" spans="53:136">
      <c r="BA2938" s="114" t="str">
        <f>$BB$82</f>
        <v>Select Equipment</v>
      </c>
      <c r="BB2938" s="476"/>
      <c r="BC2938" s="477"/>
      <c r="BD2938" s="478"/>
      <c r="BE2938" s="479"/>
      <c r="BF2938" s="458"/>
      <c r="CA2938" s="114" t="str">
        <f>$CB$82</f>
        <v>Select Equipment</v>
      </c>
      <c r="CB2938" s="476"/>
      <c r="CC2938" s="477"/>
      <c r="CD2938" s="478"/>
      <c r="CE2938" s="479"/>
      <c r="CF2938" s="458"/>
      <c r="DA2938" s="114" t="str">
        <f>$DB$82</f>
        <v>Select Equipment</v>
      </c>
      <c r="DB2938" s="476"/>
      <c r="DC2938" s="477"/>
      <c r="DD2938" s="478"/>
      <c r="DE2938" s="479"/>
      <c r="DF2938" s="458"/>
      <c r="EA2938" s="114" t="str">
        <f>$EB$84</f>
        <v>Select Equipment</v>
      </c>
      <c r="EB2938" s="476"/>
      <c r="EC2938" s="477"/>
      <c r="ED2938" s="478"/>
      <c r="EE2938" s="479"/>
      <c r="EF2938" s="458"/>
    </row>
    <row r="2939" spans="53:136">
      <c r="BA2939" s="114" t="str">
        <f>$BB$83</f>
        <v>Select Equipment</v>
      </c>
      <c r="BB2939" s="449" t="s">
        <v>473</v>
      </c>
      <c r="BC2939" s="467" t="s">
        <v>508</v>
      </c>
      <c r="BD2939" s="480"/>
      <c r="BE2939" s="481" t="s">
        <v>308</v>
      </c>
      <c r="BF2939" s="440"/>
      <c r="CA2939" s="114" t="str">
        <f>$CB$83</f>
        <v>Select Equipment</v>
      </c>
      <c r="CB2939" s="449" t="s">
        <v>473</v>
      </c>
      <c r="CC2939" s="467" t="s">
        <v>508</v>
      </c>
      <c r="CD2939" s="480"/>
      <c r="CE2939" s="481" t="s">
        <v>308</v>
      </c>
      <c r="CF2939" s="440"/>
      <c r="DA2939" s="114" t="str">
        <f>$DB$83</f>
        <v>Select Equipment</v>
      </c>
      <c r="DB2939" s="449" t="s">
        <v>473</v>
      </c>
      <c r="DC2939" s="467" t="s">
        <v>508</v>
      </c>
      <c r="DD2939" s="480"/>
      <c r="DE2939" s="481" t="s">
        <v>308</v>
      </c>
      <c r="DF2939" s="440"/>
      <c r="EA2939" s="114" t="str">
        <f>$EB$85</f>
        <v>Select Equipment</v>
      </c>
      <c r="EB2939" s="449" t="s">
        <v>473</v>
      </c>
      <c r="EC2939" s="467" t="s">
        <v>508</v>
      </c>
      <c r="ED2939" s="480"/>
      <c r="EE2939" s="481" t="s">
        <v>308</v>
      </c>
      <c r="EF2939" s="440"/>
    </row>
    <row r="2940" spans="53:136">
      <c r="BB2940" s="436"/>
      <c r="BC2940" s="483"/>
      <c r="BD2940" s="480"/>
      <c r="BE2940" s="484"/>
      <c r="BF2940" s="440"/>
      <c r="CB2940" s="436"/>
      <c r="CC2940" s="483"/>
      <c r="CD2940" s="480"/>
      <c r="CE2940" s="484"/>
      <c r="CF2940" s="440"/>
      <c r="DB2940" s="436"/>
      <c r="DC2940" s="483"/>
      <c r="DD2940" s="480"/>
      <c r="DE2940" s="484"/>
      <c r="DF2940" s="440"/>
      <c r="EB2940" s="436"/>
      <c r="EC2940" s="483"/>
      <c r="ED2940" s="480"/>
      <c r="EE2940" s="484"/>
      <c r="EF2940" s="440"/>
    </row>
    <row r="2941" spans="53:136">
      <c r="BB2941" s="436"/>
      <c r="BC2941" s="120"/>
      <c r="BD2941" s="223"/>
      <c r="BE2941" s="467"/>
      <c r="BF2941" s="440"/>
      <c r="CB2941" s="436"/>
      <c r="CC2941" s="120"/>
      <c r="CD2941" s="223"/>
      <c r="CE2941" s="467"/>
      <c r="CF2941" s="440"/>
      <c r="DB2941" s="436"/>
      <c r="DC2941" s="120"/>
      <c r="DD2941" s="223"/>
      <c r="DE2941" s="467"/>
      <c r="DF2941" s="440"/>
      <c r="EB2941" s="436"/>
      <c r="EC2941" s="120"/>
      <c r="ED2941" s="223"/>
      <c r="EE2941" s="467"/>
      <c r="EF2941" s="440"/>
    </row>
    <row r="2942" spans="53:136">
      <c r="BB2942" s="436"/>
      <c r="BC2942" s="120"/>
      <c r="BD2942" s="466"/>
      <c r="BE2942" s="467"/>
      <c r="BF2942" s="440"/>
      <c r="CB2942" s="436"/>
      <c r="CC2942" s="120"/>
      <c r="CD2942" s="466"/>
      <c r="CE2942" s="467"/>
      <c r="CF2942" s="440"/>
      <c r="DB2942" s="436"/>
      <c r="DC2942" s="120"/>
      <c r="DD2942" s="466"/>
      <c r="DE2942" s="467"/>
      <c r="DF2942" s="440"/>
      <c r="EB2942" s="436"/>
      <c r="EC2942" s="120"/>
      <c r="ED2942" s="466"/>
      <c r="EE2942" s="467"/>
      <c r="EF2942" s="440"/>
    </row>
    <row r="2943" spans="53:136">
      <c r="BB2943" s="436"/>
      <c r="BC2943" s="120"/>
      <c r="BD2943" s="223"/>
      <c r="BE2943" s="467"/>
      <c r="BF2943" s="440"/>
      <c r="CB2943" s="436"/>
      <c r="CC2943" s="120"/>
      <c r="CD2943" s="223"/>
      <c r="CE2943" s="467"/>
      <c r="CF2943" s="440"/>
      <c r="DB2943" s="436"/>
      <c r="DC2943" s="120"/>
      <c r="DD2943" s="223"/>
      <c r="DE2943" s="467"/>
      <c r="DF2943" s="440"/>
      <c r="EB2943" s="436"/>
      <c r="EC2943" s="120"/>
      <c r="ED2943" s="223"/>
      <c r="EE2943" s="467"/>
      <c r="EF2943" s="440"/>
    </row>
    <row r="2944" spans="53:136">
      <c r="BB2944" s="436"/>
      <c r="BC2944" s="120"/>
      <c r="BD2944" s="223"/>
      <c r="BE2944" s="467"/>
      <c r="BF2944" s="440"/>
      <c r="CB2944" s="436"/>
      <c r="CC2944" s="120"/>
      <c r="CD2944" s="223"/>
      <c r="CE2944" s="467"/>
      <c r="CF2944" s="440"/>
      <c r="DB2944" s="436"/>
      <c r="DC2944" s="120"/>
      <c r="DD2944" s="223"/>
      <c r="DE2944" s="467"/>
      <c r="DF2944" s="440"/>
      <c r="EB2944" s="436"/>
      <c r="EC2944" s="120"/>
      <c r="ED2944" s="223"/>
      <c r="EE2944" s="467"/>
      <c r="EF2944" s="440"/>
    </row>
    <row r="2945" spans="54:136">
      <c r="BB2945" s="436"/>
      <c r="BC2945" s="120"/>
      <c r="BD2945" s="471"/>
      <c r="BE2945" s="467"/>
      <c r="BF2945" s="440"/>
      <c r="CB2945" s="436"/>
      <c r="CC2945" s="120"/>
      <c r="CD2945" s="471"/>
      <c r="CE2945" s="467"/>
      <c r="CF2945" s="440"/>
      <c r="DB2945" s="436"/>
      <c r="DC2945" s="120"/>
      <c r="DD2945" s="471"/>
      <c r="DE2945" s="467"/>
      <c r="DF2945" s="440"/>
      <c r="EB2945" s="436"/>
      <c r="EC2945" s="120"/>
      <c r="ED2945" s="471"/>
      <c r="EE2945" s="467"/>
      <c r="EF2945" s="440"/>
    </row>
    <row r="2946" spans="54:136">
      <c r="BB2946" s="436"/>
      <c r="BC2946" s="120"/>
      <c r="BD2946" s="223"/>
      <c r="BE2946" s="467"/>
      <c r="BF2946" s="440"/>
      <c r="CB2946" s="436"/>
      <c r="CC2946" s="120"/>
      <c r="CD2946" s="223"/>
      <c r="CE2946" s="467"/>
      <c r="CF2946" s="440"/>
      <c r="DB2946" s="436"/>
      <c r="DC2946" s="120"/>
      <c r="DD2946" s="223"/>
      <c r="DE2946" s="467"/>
      <c r="DF2946" s="440"/>
      <c r="EB2946" s="436"/>
      <c r="EC2946" s="120"/>
      <c r="ED2946" s="223"/>
      <c r="EE2946" s="467"/>
      <c r="EF2946" s="440"/>
    </row>
    <row r="2947" spans="54:136">
      <c r="BB2947" s="436"/>
      <c r="BC2947" s="120"/>
      <c r="BD2947" s="475"/>
      <c r="BE2947" s="467"/>
      <c r="BF2947" s="440"/>
      <c r="CB2947" s="436"/>
      <c r="CC2947" s="120"/>
      <c r="CD2947" s="475"/>
      <c r="CE2947" s="467"/>
      <c r="CF2947" s="440"/>
      <c r="DB2947" s="436"/>
      <c r="DC2947" s="120"/>
      <c r="DD2947" s="475"/>
      <c r="DE2947" s="467"/>
      <c r="DF2947" s="440"/>
      <c r="EB2947" s="436"/>
      <c r="EC2947" s="120"/>
      <c r="ED2947" s="475"/>
      <c r="EE2947" s="467"/>
      <c r="EF2947" s="440"/>
    </row>
    <row r="2948" spans="54:136">
      <c r="BB2948" s="436"/>
      <c r="BC2948" s="120"/>
      <c r="BD2948" s="223"/>
      <c r="BE2948" s="467"/>
      <c r="BF2948" s="440"/>
      <c r="CB2948" s="436"/>
      <c r="CC2948" s="120"/>
      <c r="CD2948" s="223"/>
      <c r="CE2948" s="467"/>
      <c r="CF2948" s="440"/>
      <c r="DB2948" s="436"/>
      <c r="DC2948" s="120"/>
      <c r="DD2948" s="223"/>
      <c r="DE2948" s="467"/>
      <c r="DF2948" s="440"/>
      <c r="EB2948" s="436"/>
      <c r="EC2948" s="120"/>
      <c r="ED2948" s="223"/>
      <c r="EE2948" s="467"/>
      <c r="EF2948" s="440"/>
    </row>
    <row r="2949" spans="54:136">
      <c r="BB2949" s="436"/>
      <c r="BC2949" s="120"/>
      <c r="BD2949" s="223"/>
      <c r="BE2949" s="467"/>
      <c r="BF2949" s="440"/>
      <c r="CB2949" s="436"/>
      <c r="CC2949" s="120"/>
      <c r="CD2949" s="223"/>
      <c r="CE2949" s="467"/>
      <c r="CF2949" s="440"/>
      <c r="DB2949" s="436"/>
      <c r="DC2949" s="120"/>
      <c r="DD2949" s="223"/>
      <c r="DE2949" s="467"/>
      <c r="DF2949" s="440"/>
      <c r="EB2949" s="436"/>
      <c r="EC2949" s="120"/>
      <c r="ED2949" s="223"/>
      <c r="EE2949" s="467"/>
      <c r="EF2949" s="440"/>
    </row>
    <row r="2950" spans="54:136">
      <c r="BB2950" s="436"/>
      <c r="BC2950" s="120"/>
      <c r="BD2950" s="223"/>
      <c r="BE2950" s="467"/>
      <c r="BF2950" s="440"/>
      <c r="CB2950" s="436"/>
      <c r="CC2950" s="120"/>
      <c r="CD2950" s="223"/>
      <c r="CE2950" s="467"/>
      <c r="CF2950" s="440"/>
      <c r="DB2950" s="436"/>
      <c r="DC2950" s="120"/>
      <c r="DD2950" s="223"/>
      <c r="DE2950" s="467"/>
      <c r="DF2950" s="440"/>
      <c r="EB2950" s="436"/>
      <c r="EC2950" s="120"/>
      <c r="ED2950" s="223"/>
      <c r="EE2950" s="467"/>
      <c r="EF2950" s="440"/>
    </row>
    <row r="2951" spans="54:136">
      <c r="BB2951" s="436"/>
      <c r="BC2951" s="120"/>
      <c r="BD2951" s="223"/>
      <c r="BE2951" s="467"/>
      <c r="BF2951" s="440"/>
      <c r="CB2951" s="436"/>
      <c r="CC2951" s="120"/>
      <c r="CD2951" s="223"/>
      <c r="CE2951" s="467"/>
      <c r="CF2951" s="440"/>
      <c r="DB2951" s="436"/>
      <c r="DC2951" s="120"/>
      <c r="DD2951" s="223"/>
      <c r="DE2951" s="467"/>
      <c r="DF2951" s="440"/>
      <c r="EB2951" s="436"/>
      <c r="EC2951" s="120"/>
      <c r="ED2951" s="223"/>
      <c r="EE2951" s="467"/>
      <c r="EF2951" s="440"/>
    </row>
    <row r="2952" spans="54:136">
      <c r="BB2952" s="436"/>
      <c r="BC2952" s="120"/>
      <c r="BD2952" s="120"/>
      <c r="BE2952" s="467"/>
      <c r="BF2952" s="440"/>
      <c r="CB2952" s="436"/>
      <c r="CC2952" s="120"/>
      <c r="CD2952" s="120"/>
      <c r="CE2952" s="467"/>
      <c r="CF2952" s="440"/>
      <c r="DB2952" s="436"/>
      <c r="DC2952" s="120"/>
      <c r="DD2952" s="120"/>
      <c r="DE2952" s="467"/>
      <c r="DF2952" s="440"/>
      <c r="EB2952" s="436"/>
      <c r="EC2952" s="120"/>
      <c r="ED2952" s="120"/>
      <c r="EE2952" s="467"/>
      <c r="EF2952" s="440"/>
    </row>
    <row r="2953" spans="54:136">
      <c r="BB2953" s="456"/>
      <c r="BC2953" s="457"/>
      <c r="BD2953" s="457"/>
      <c r="BE2953" s="477"/>
      <c r="BF2953" s="458"/>
      <c r="CB2953" s="456"/>
      <c r="CC2953" s="457"/>
      <c r="CD2953" s="457"/>
      <c r="CE2953" s="477"/>
      <c r="CF2953" s="458"/>
      <c r="DB2953" s="456"/>
      <c r="DC2953" s="457"/>
      <c r="DD2953" s="457"/>
      <c r="DE2953" s="477"/>
      <c r="DF2953" s="458"/>
      <c r="EB2953" s="456"/>
      <c r="EC2953" s="457"/>
      <c r="ED2953" s="457"/>
      <c r="EE2953" s="477"/>
      <c r="EF2953" s="458"/>
    </row>
    <row r="2954" spans="54:136">
      <c r="BB2954" s="449" t="s">
        <v>474</v>
      </c>
      <c r="BC2954" s="120"/>
      <c r="BD2954" s="120" t="s">
        <v>1</v>
      </c>
      <c r="BE2954" s="310" t="s">
        <v>307</v>
      </c>
      <c r="BF2954" s="440"/>
      <c r="CB2954" s="449" t="s">
        <v>474</v>
      </c>
      <c r="CC2954" s="120"/>
      <c r="CD2954" s="120" t="s">
        <v>1</v>
      </c>
      <c r="CE2954" s="310" t="s">
        <v>307</v>
      </c>
      <c r="CF2954" s="440"/>
      <c r="DB2954" s="449" t="s">
        <v>474</v>
      </c>
      <c r="DC2954" s="120"/>
      <c r="DD2954" s="120" t="s">
        <v>1</v>
      </c>
      <c r="DE2954" s="310" t="s">
        <v>307</v>
      </c>
      <c r="DF2954" s="440"/>
      <c r="EB2954" s="449" t="s">
        <v>474</v>
      </c>
      <c r="EC2954" s="120"/>
      <c r="ED2954" s="120" t="s">
        <v>1</v>
      </c>
      <c r="EE2954" s="310" t="s">
        <v>307</v>
      </c>
      <c r="EF2954" s="440"/>
    </row>
    <row r="2955" spans="54:136">
      <c r="BB2955" s="436"/>
      <c r="BC2955" s="223"/>
      <c r="BD2955" s="480"/>
      <c r="BE2955" s="484"/>
      <c r="BF2955" s="440"/>
      <c r="CB2955" s="436"/>
      <c r="CC2955" s="223"/>
      <c r="CD2955" s="480"/>
      <c r="CE2955" s="484"/>
      <c r="CF2955" s="440"/>
      <c r="DB2955" s="436"/>
      <c r="DC2955" s="223"/>
      <c r="DD2955" s="480"/>
      <c r="DE2955" s="484"/>
      <c r="DF2955" s="440"/>
      <c r="EB2955" s="436"/>
      <c r="EC2955" s="223"/>
      <c r="ED2955" s="480"/>
      <c r="EE2955" s="484"/>
      <c r="EF2955" s="440"/>
    </row>
    <row r="2956" spans="54:136">
      <c r="BB2956" s="436"/>
      <c r="BC2956" s="120"/>
      <c r="BD2956" s="120"/>
      <c r="BE2956" s="467"/>
      <c r="BF2956" s="440"/>
      <c r="CB2956" s="436"/>
      <c r="CC2956" s="120"/>
      <c r="CD2956" s="120"/>
      <c r="CE2956" s="467"/>
      <c r="CF2956" s="440"/>
      <c r="DB2956" s="436"/>
      <c r="DC2956" s="120"/>
      <c r="DD2956" s="120"/>
      <c r="DE2956" s="467"/>
      <c r="DF2956" s="440"/>
      <c r="EB2956" s="436"/>
      <c r="EC2956" s="120"/>
      <c r="ED2956" s="120"/>
      <c r="EE2956" s="467"/>
      <c r="EF2956" s="440"/>
    </row>
    <row r="2957" spans="54:136">
      <c r="BB2957" s="436"/>
      <c r="BC2957" s="120"/>
      <c r="BD2957" s="120"/>
      <c r="BE2957" s="467"/>
      <c r="BF2957" s="440"/>
      <c r="CB2957" s="436"/>
      <c r="CC2957" s="120"/>
      <c r="CD2957" s="120"/>
      <c r="CE2957" s="467"/>
      <c r="CF2957" s="440"/>
      <c r="DB2957" s="436"/>
      <c r="DC2957" s="120"/>
      <c r="DD2957" s="120"/>
      <c r="DE2957" s="467"/>
      <c r="DF2957" s="440"/>
      <c r="EB2957" s="436"/>
      <c r="EC2957" s="120"/>
      <c r="ED2957" s="120"/>
      <c r="EE2957" s="467"/>
      <c r="EF2957" s="440"/>
    </row>
    <row r="2958" spans="54:136">
      <c r="BB2958" s="436"/>
      <c r="BC2958" s="120"/>
      <c r="BD2958" s="120"/>
      <c r="BE2958" s="467"/>
      <c r="BF2958" s="440"/>
      <c r="CB2958" s="436"/>
      <c r="CC2958" s="120"/>
      <c r="CD2958" s="120"/>
      <c r="CE2958" s="467"/>
      <c r="CF2958" s="440"/>
      <c r="DB2958" s="436"/>
      <c r="DC2958" s="120"/>
      <c r="DD2958" s="120"/>
      <c r="DE2958" s="467"/>
      <c r="DF2958" s="440"/>
      <c r="EB2958" s="436"/>
      <c r="EC2958" s="120"/>
      <c r="ED2958" s="120"/>
      <c r="EE2958" s="467"/>
      <c r="EF2958" s="440"/>
    </row>
    <row r="2959" spans="54:136">
      <c r="BB2959" s="436"/>
      <c r="BC2959" s="120"/>
      <c r="BD2959" s="120"/>
      <c r="BE2959" s="467"/>
      <c r="BF2959" s="440"/>
      <c r="CB2959" s="436"/>
      <c r="CC2959" s="120"/>
      <c r="CD2959" s="120"/>
      <c r="CE2959" s="467"/>
      <c r="CF2959" s="440"/>
      <c r="DB2959" s="436"/>
      <c r="DC2959" s="120"/>
      <c r="DD2959" s="120"/>
      <c r="DE2959" s="467"/>
      <c r="DF2959" s="440"/>
      <c r="EB2959" s="436"/>
      <c r="EC2959" s="120"/>
      <c r="ED2959" s="120"/>
      <c r="EE2959" s="467"/>
      <c r="EF2959" s="440"/>
    </row>
    <row r="2960" spans="54:136">
      <c r="BB2960" s="436"/>
      <c r="BC2960" s="120"/>
      <c r="BD2960" s="120"/>
      <c r="BE2960" s="467"/>
      <c r="BF2960" s="440"/>
      <c r="CB2960" s="436"/>
      <c r="CC2960" s="120"/>
      <c r="CD2960" s="120"/>
      <c r="CE2960" s="467"/>
      <c r="CF2960" s="440"/>
      <c r="DB2960" s="436"/>
      <c r="DC2960" s="120"/>
      <c r="DD2960" s="120"/>
      <c r="DE2960" s="467"/>
      <c r="DF2960" s="440"/>
      <c r="EB2960" s="436"/>
      <c r="EC2960" s="120"/>
      <c r="ED2960" s="120"/>
      <c r="EE2960" s="467"/>
      <c r="EF2960" s="440"/>
    </row>
    <row r="2961" spans="54:136">
      <c r="BB2961" s="436"/>
      <c r="BC2961" s="120"/>
      <c r="BD2961" s="120"/>
      <c r="BE2961" s="467"/>
      <c r="BF2961" s="440"/>
      <c r="CB2961" s="436"/>
      <c r="CC2961" s="120"/>
      <c r="CD2961" s="120"/>
      <c r="CE2961" s="467"/>
      <c r="CF2961" s="440"/>
      <c r="DB2961" s="436"/>
      <c r="DC2961" s="120"/>
      <c r="DD2961" s="120"/>
      <c r="DE2961" s="467"/>
      <c r="DF2961" s="440"/>
      <c r="EB2961" s="436"/>
      <c r="EC2961" s="120"/>
      <c r="ED2961" s="120"/>
      <c r="EE2961" s="467"/>
      <c r="EF2961" s="440"/>
    </row>
    <row r="2962" spans="54:136">
      <c r="BB2962" s="436"/>
      <c r="BC2962" s="120"/>
      <c r="BD2962" s="120"/>
      <c r="BE2962" s="467"/>
      <c r="BF2962" s="440"/>
      <c r="CB2962" s="436"/>
      <c r="CC2962" s="120"/>
      <c r="CD2962" s="120"/>
      <c r="CE2962" s="467"/>
      <c r="CF2962" s="440"/>
      <c r="DB2962" s="436"/>
      <c r="DC2962" s="120"/>
      <c r="DD2962" s="120"/>
      <c r="DE2962" s="467"/>
      <c r="DF2962" s="440"/>
      <c r="EB2962" s="436"/>
      <c r="EC2962" s="120"/>
      <c r="ED2962" s="120"/>
      <c r="EE2962" s="467"/>
      <c r="EF2962" s="440"/>
    </row>
    <row r="2963" spans="54:136">
      <c r="BB2963" s="436"/>
      <c r="BC2963" s="120"/>
      <c r="BD2963" s="120"/>
      <c r="BE2963" s="467"/>
      <c r="BF2963" s="440"/>
      <c r="CB2963" s="436"/>
      <c r="CC2963" s="120"/>
      <c r="CD2963" s="120"/>
      <c r="CE2963" s="467"/>
      <c r="CF2963" s="440"/>
      <c r="DB2963" s="436"/>
      <c r="DC2963" s="120"/>
      <c r="DD2963" s="120"/>
      <c r="DE2963" s="467"/>
      <c r="DF2963" s="440"/>
      <c r="EB2963" s="436"/>
      <c r="EC2963" s="120"/>
      <c r="ED2963" s="120"/>
      <c r="EE2963" s="467"/>
      <c r="EF2963" s="440"/>
    </row>
    <row r="2964" spans="54:136">
      <c r="BB2964" s="436"/>
      <c r="BC2964" s="120"/>
      <c r="BD2964" s="120"/>
      <c r="BE2964" s="467"/>
      <c r="BF2964" s="440"/>
      <c r="CB2964" s="436"/>
      <c r="CC2964" s="120"/>
      <c r="CD2964" s="120"/>
      <c r="CE2964" s="467"/>
      <c r="CF2964" s="440"/>
      <c r="DB2964" s="436"/>
      <c r="DC2964" s="120"/>
      <c r="DD2964" s="120"/>
      <c r="DE2964" s="467"/>
      <c r="DF2964" s="440"/>
      <c r="EB2964" s="436"/>
      <c r="EC2964" s="120"/>
      <c r="ED2964" s="120"/>
      <c r="EE2964" s="467"/>
      <c r="EF2964" s="440"/>
    </row>
    <row r="2965" spans="54:136">
      <c r="BB2965" s="436"/>
      <c r="BC2965" s="120"/>
      <c r="BD2965" s="120"/>
      <c r="BE2965" s="467"/>
      <c r="BF2965" s="440"/>
      <c r="CB2965" s="436"/>
      <c r="CC2965" s="120"/>
      <c r="CD2965" s="120"/>
      <c r="CE2965" s="467"/>
      <c r="CF2965" s="440"/>
      <c r="DB2965" s="436"/>
      <c r="DC2965" s="120"/>
      <c r="DD2965" s="120"/>
      <c r="DE2965" s="467"/>
      <c r="DF2965" s="440"/>
      <c r="EB2965" s="436"/>
      <c r="EC2965" s="120"/>
      <c r="ED2965" s="120"/>
      <c r="EE2965" s="467"/>
      <c r="EF2965" s="440"/>
    </row>
    <row r="2966" spans="54:136">
      <c r="BB2966" s="436"/>
      <c r="BC2966" s="120"/>
      <c r="BD2966" s="120"/>
      <c r="BE2966" s="467"/>
      <c r="BF2966" s="440"/>
      <c r="CB2966" s="436"/>
      <c r="CC2966" s="120"/>
      <c r="CD2966" s="120"/>
      <c r="CE2966" s="467"/>
      <c r="CF2966" s="440"/>
      <c r="DB2966" s="436"/>
      <c r="DC2966" s="120"/>
      <c r="DD2966" s="120"/>
      <c r="DE2966" s="467"/>
      <c r="DF2966" s="440"/>
      <c r="EB2966" s="436"/>
      <c r="EC2966" s="120"/>
      <c r="ED2966" s="120"/>
      <c r="EE2966" s="467"/>
      <c r="EF2966" s="440"/>
    </row>
    <row r="2967" spans="54:136">
      <c r="BB2967" s="456"/>
      <c r="BC2967" s="457"/>
      <c r="BD2967" s="457"/>
      <c r="BE2967" s="477"/>
      <c r="BF2967" s="458"/>
      <c r="CB2967" s="456"/>
      <c r="CC2967" s="457"/>
      <c r="CD2967" s="457"/>
      <c r="CE2967" s="477"/>
      <c r="CF2967" s="458"/>
      <c r="DB2967" s="456"/>
      <c r="DC2967" s="457"/>
      <c r="DD2967" s="457"/>
      <c r="DE2967" s="477"/>
      <c r="DF2967" s="458"/>
      <c r="EB2967" s="456"/>
      <c r="EC2967" s="457"/>
      <c r="ED2967" s="457"/>
      <c r="EE2967" s="477"/>
      <c r="EF2967" s="458"/>
    </row>
    <row r="2968" spans="54:136">
      <c r="BB2968" s="456"/>
      <c r="BC2968" s="457"/>
      <c r="BD2968" s="457"/>
      <c r="BE2968" s="457"/>
      <c r="BF2968" s="458"/>
      <c r="CB2968" s="456"/>
      <c r="CC2968" s="457"/>
      <c r="CD2968" s="457"/>
      <c r="CE2968" s="457"/>
      <c r="CF2968" s="458"/>
      <c r="DB2968" s="456"/>
      <c r="DC2968" s="457"/>
      <c r="DD2968" s="457"/>
      <c r="DE2968" s="457"/>
      <c r="DF2968" s="458"/>
      <c r="EB2968" s="456"/>
      <c r="EC2968" s="457"/>
      <c r="ED2968" s="457"/>
      <c r="EE2968" s="457"/>
      <c r="EF2968" s="458"/>
    </row>
    <row r="2969" spans="54:136">
      <c r="BB2969" s="449" t="s">
        <v>475</v>
      </c>
      <c r="BC2969" s="120"/>
      <c r="BD2969" s="120"/>
      <c r="BE2969" s="120"/>
      <c r="BF2969" s="440"/>
      <c r="CB2969" s="449" t="s">
        <v>475</v>
      </c>
      <c r="CC2969" s="120"/>
      <c r="CD2969" s="120"/>
      <c r="CE2969" s="120"/>
      <c r="CF2969" s="440"/>
      <c r="DB2969" s="449" t="s">
        <v>475</v>
      </c>
      <c r="DC2969" s="120"/>
      <c r="DD2969" s="120"/>
      <c r="DE2969" s="120"/>
      <c r="DF2969" s="440"/>
      <c r="EB2969" s="449" t="s">
        <v>475</v>
      </c>
      <c r="EC2969" s="120"/>
      <c r="ED2969" s="120"/>
      <c r="EE2969" s="120"/>
      <c r="EF2969" s="440"/>
    </row>
    <row r="2970" spans="54:136">
      <c r="BB2970" s="436" t="s">
        <v>509</v>
      </c>
      <c r="BC2970" s="120"/>
      <c r="BD2970" s="120"/>
      <c r="BE2970" s="120"/>
      <c r="BF2970" s="440"/>
      <c r="CB2970" s="436" t="s">
        <v>509</v>
      </c>
      <c r="CC2970" s="120"/>
      <c r="CD2970" s="120"/>
      <c r="CE2970" s="120"/>
      <c r="CF2970" s="440"/>
      <c r="DB2970" s="436" t="s">
        <v>509</v>
      </c>
      <c r="DC2970" s="120"/>
      <c r="DD2970" s="120"/>
      <c r="DE2970" s="120"/>
      <c r="DF2970" s="440"/>
      <c r="EB2970" s="436" t="s">
        <v>509</v>
      </c>
      <c r="EC2970" s="120"/>
      <c r="ED2970" s="120"/>
      <c r="EE2970" s="120"/>
      <c r="EF2970" s="440"/>
    </row>
    <row r="2971" spans="54:136">
      <c r="BB2971" s="436" t="s">
        <v>510</v>
      </c>
      <c r="BC2971" s="120"/>
      <c r="BD2971" s="120"/>
      <c r="BE2971" s="120"/>
      <c r="BF2971" s="440"/>
      <c r="CB2971" s="436" t="s">
        <v>510</v>
      </c>
      <c r="CC2971" s="120"/>
      <c r="CD2971" s="120"/>
      <c r="CE2971" s="120"/>
      <c r="CF2971" s="440"/>
      <c r="DB2971" s="436" t="s">
        <v>510</v>
      </c>
      <c r="DC2971" s="120"/>
      <c r="DD2971" s="120"/>
      <c r="DE2971" s="120"/>
      <c r="DF2971" s="440"/>
      <c r="EB2971" s="436" t="s">
        <v>510</v>
      </c>
      <c r="EC2971" s="120"/>
      <c r="ED2971" s="120"/>
      <c r="EE2971" s="120"/>
      <c r="EF2971" s="440"/>
    </row>
    <row r="2972" spans="54:136">
      <c r="BB2972" s="436"/>
      <c r="BC2972" s="120"/>
      <c r="BD2972" s="120"/>
      <c r="BE2972" s="120"/>
      <c r="BF2972" s="440"/>
      <c r="CB2972" s="436"/>
      <c r="CC2972" s="120"/>
      <c r="CD2972" s="120"/>
      <c r="CE2972" s="120"/>
      <c r="CF2972" s="440"/>
      <c r="DB2972" s="436"/>
      <c r="DC2972" s="120"/>
      <c r="DD2972" s="120"/>
      <c r="DE2972" s="120"/>
      <c r="DF2972" s="440"/>
      <c r="EB2972" s="436"/>
      <c r="EC2972" s="120"/>
      <c r="ED2972" s="120"/>
      <c r="EE2972" s="120"/>
      <c r="EF2972" s="440"/>
    </row>
    <row r="2973" spans="54:136">
      <c r="BB2973" s="436"/>
      <c r="BC2973" s="120"/>
      <c r="BD2973" s="120"/>
      <c r="BE2973" s="120"/>
      <c r="BF2973" s="440"/>
      <c r="CB2973" s="436"/>
      <c r="CC2973" s="120"/>
      <c r="CD2973" s="120"/>
      <c r="CE2973" s="120"/>
      <c r="CF2973" s="440"/>
      <c r="DB2973" s="436"/>
      <c r="DC2973" s="120"/>
      <c r="DD2973" s="120"/>
      <c r="DE2973" s="120"/>
      <c r="DF2973" s="440"/>
      <c r="EB2973" s="436"/>
      <c r="EC2973" s="120"/>
      <c r="ED2973" s="120"/>
      <c r="EE2973" s="120"/>
      <c r="EF2973" s="440"/>
    </row>
    <row r="2974" spans="54:136">
      <c r="BB2974" s="436"/>
      <c r="BC2974" s="120"/>
      <c r="BD2974" s="120"/>
      <c r="BE2974" s="120"/>
      <c r="BF2974" s="440"/>
      <c r="CB2974" s="436"/>
      <c r="CC2974" s="120"/>
      <c r="CD2974" s="120"/>
      <c r="CE2974" s="120"/>
      <c r="CF2974" s="440"/>
      <c r="DB2974" s="436"/>
      <c r="DC2974" s="120"/>
      <c r="DD2974" s="120"/>
      <c r="DE2974" s="120"/>
      <c r="DF2974" s="440"/>
      <c r="EB2974" s="436"/>
      <c r="EC2974" s="120"/>
      <c r="ED2974" s="120"/>
      <c r="EE2974" s="120"/>
      <c r="EF2974" s="440"/>
    </row>
    <row r="2975" spans="54:136">
      <c r="BB2975" s="436"/>
      <c r="BC2975" s="120"/>
      <c r="BD2975" s="120"/>
      <c r="BE2975" s="120"/>
      <c r="BF2975" s="440"/>
      <c r="CB2975" s="436"/>
      <c r="CC2975" s="120"/>
      <c r="CD2975" s="120"/>
      <c r="CE2975" s="120"/>
      <c r="CF2975" s="440"/>
      <c r="DB2975" s="436"/>
      <c r="DC2975" s="120"/>
      <c r="DD2975" s="120"/>
      <c r="DE2975" s="120"/>
      <c r="DF2975" s="440"/>
      <c r="EB2975" s="436"/>
      <c r="EC2975" s="120"/>
      <c r="ED2975" s="120"/>
      <c r="EE2975" s="120"/>
      <c r="EF2975" s="440"/>
    </row>
    <row r="2976" spans="54:136">
      <c r="BB2976" s="436" t="s">
        <v>511</v>
      </c>
      <c r="BC2976" s="120">
        <v>0</v>
      </c>
      <c r="BD2976" s="120" t="s">
        <v>512</v>
      </c>
      <c r="BE2976" s="120"/>
      <c r="BF2976" s="440"/>
      <c r="CB2976" s="436" t="s">
        <v>511</v>
      </c>
      <c r="CC2976" s="120">
        <v>0</v>
      </c>
      <c r="CD2976" s="120" t="s">
        <v>512</v>
      </c>
      <c r="CE2976" s="120"/>
      <c r="CF2976" s="440"/>
      <c r="DB2976" s="436" t="s">
        <v>511</v>
      </c>
      <c r="DC2976" s="120">
        <v>0</v>
      </c>
      <c r="DD2976" s="120" t="s">
        <v>512</v>
      </c>
      <c r="DE2976" s="120"/>
      <c r="DF2976" s="440"/>
      <c r="EB2976" s="436" t="s">
        <v>511</v>
      </c>
      <c r="EC2976" s="120">
        <v>0</v>
      </c>
      <c r="ED2976" s="120" t="s">
        <v>512</v>
      </c>
      <c r="EE2976" s="120"/>
      <c r="EF2976" s="440"/>
    </row>
    <row r="2977" spans="54:136">
      <c r="BB2977" s="436" t="s">
        <v>513</v>
      </c>
      <c r="BC2977" s="120">
        <v>0</v>
      </c>
      <c r="BD2977" s="120" t="s">
        <v>512</v>
      </c>
      <c r="BE2977" s="120"/>
      <c r="BF2977" s="440"/>
      <c r="CB2977" s="436" t="s">
        <v>513</v>
      </c>
      <c r="CC2977" s="120">
        <v>0</v>
      </c>
      <c r="CD2977" s="120" t="s">
        <v>512</v>
      </c>
      <c r="CE2977" s="120"/>
      <c r="CF2977" s="440"/>
      <c r="DB2977" s="436" t="s">
        <v>513</v>
      </c>
      <c r="DC2977" s="120">
        <v>0</v>
      </c>
      <c r="DD2977" s="120" t="s">
        <v>512</v>
      </c>
      <c r="DE2977" s="120"/>
      <c r="DF2977" s="440"/>
      <c r="EB2977" s="436" t="s">
        <v>513</v>
      </c>
      <c r="EC2977" s="120">
        <v>0</v>
      </c>
      <c r="ED2977" s="120" t="s">
        <v>512</v>
      </c>
      <c r="EE2977" s="120"/>
      <c r="EF2977" s="440"/>
    </row>
    <row r="2978" spans="54:136">
      <c r="BB2978" s="456"/>
      <c r="BC2978" s="457"/>
      <c r="BD2978" s="457"/>
      <c r="BE2978" s="457"/>
      <c r="BF2978" s="458"/>
      <c r="CB2978" s="456"/>
      <c r="CC2978" s="457"/>
      <c r="CD2978" s="457"/>
      <c r="CE2978" s="457"/>
      <c r="CF2978" s="458"/>
      <c r="DB2978" s="456"/>
      <c r="DC2978" s="457"/>
      <c r="DD2978" s="457"/>
      <c r="DE2978" s="457"/>
      <c r="DF2978" s="458"/>
      <c r="EB2978" s="456"/>
      <c r="EC2978" s="457"/>
      <c r="ED2978" s="457"/>
      <c r="EE2978" s="457"/>
      <c r="EF2978" s="458"/>
    </row>
    <row r="2979" spans="54:136">
      <c r="BB2979" s="449" t="s">
        <v>461</v>
      </c>
      <c r="BC2979" s="120"/>
      <c r="BD2979" s="120"/>
      <c r="BE2979" s="120"/>
      <c r="BF2979" s="440"/>
      <c r="CB2979" s="449" t="s">
        <v>461</v>
      </c>
      <c r="CC2979" s="120"/>
      <c r="CD2979" s="120"/>
      <c r="CE2979" s="120"/>
      <c r="CF2979" s="440"/>
      <c r="DB2979" s="449" t="s">
        <v>461</v>
      </c>
      <c r="DC2979" s="120"/>
      <c r="DD2979" s="120"/>
      <c r="DE2979" s="120"/>
      <c r="DF2979" s="440"/>
      <c r="EB2979" s="449" t="s">
        <v>461</v>
      </c>
      <c r="EC2979" s="120"/>
      <c r="ED2979" s="120"/>
      <c r="EE2979" s="120"/>
      <c r="EF2979" s="440"/>
    </row>
    <row r="2980" spans="54:136">
      <c r="BB2980" s="436" t="s">
        <v>514</v>
      </c>
      <c r="BC2980" s="120">
        <f>VLOOKUP(BB2908,'Unit Ops'!$B$140:$K$209,10,FALSE)</f>
        <v>0</v>
      </c>
      <c r="BD2980" s="120" t="s">
        <v>515</v>
      </c>
      <c r="BE2980" s="120"/>
      <c r="BF2980" s="440"/>
      <c r="CB2980" s="436" t="s">
        <v>514</v>
      </c>
      <c r="CC2980" s="120">
        <f>VLOOKUP(CB2908,'Unit Ops'!$B$140:$K$209,10,FALSE)</f>
        <v>0</v>
      </c>
      <c r="CD2980" s="120" t="s">
        <v>515</v>
      </c>
      <c r="CE2980" s="120"/>
      <c r="CF2980" s="440"/>
      <c r="DB2980" s="436" t="s">
        <v>514</v>
      </c>
      <c r="DC2980" s="120">
        <f>VLOOKUP(DB2908,'Unit Ops'!$B$140:$K$209,10,FALSE)</f>
        <v>0</v>
      </c>
      <c r="DD2980" s="120" t="s">
        <v>515</v>
      </c>
      <c r="DE2980" s="120"/>
      <c r="DF2980" s="440"/>
      <c r="EB2980" s="436" t="s">
        <v>514</v>
      </c>
      <c r="EC2980" s="120">
        <f>VLOOKUP(EB2908,'Unit Ops'!$B$140:$K$209,10,FALSE)</f>
        <v>0</v>
      </c>
      <c r="ED2980" s="120" t="s">
        <v>515</v>
      </c>
      <c r="EE2980" s="120"/>
      <c r="EF2980" s="440"/>
    </row>
    <row r="2981" spans="54:136">
      <c r="BB2981" s="436" t="s">
        <v>516</v>
      </c>
      <c r="BC2981" s="120">
        <v>0</v>
      </c>
      <c r="BD2981" s="120" t="s">
        <v>515</v>
      </c>
      <c r="BE2981" s="120"/>
      <c r="BF2981" s="440"/>
      <c r="CB2981" s="436" t="s">
        <v>516</v>
      </c>
      <c r="CC2981" s="120">
        <v>0</v>
      </c>
      <c r="CD2981" s="120" t="s">
        <v>515</v>
      </c>
      <c r="CE2981" s="120"/>
      <c r="CF2981" s="440"/>
      <c r="DB2981" s="436" t="s">
        <v>516</v>
      </c>
      <c r="DC2981" s="120">
        <v>0</v>
      </c>
      <c r="DD2981" s="120" t="s">
        <v>515</v>
      </c>
      <c r="DE2981" s="120"/>
      <c r="DF2981" s="440"/>
      <c r="EB2981" s="436" t="s">
        <v>516</v>
      </c>
      <c r="EC2981" s="120">
        <v>0</v>
      </c>
      <c r="ED2981" s="120" t="s">
        <v>515</v>
      </c>
      <c r="EE2981" s="120"/>
      <c r="EF2981" s="440"/>
    </row>
    <row r="2982" spans="54:136">
      <c r="BB2982" s="436"/>
      <c r="BC2982" s="120"/>
      <c r="BD2982" s="120"/>
      <c r="BE2982" s="120"/>
      <c r="BF2982" s="440"/>
      <c r="CB2982" s="436"/>
      <c r="CC2982" s="120"/>
      <c r="CD2982" s="120"/>
      <c r="CE2982" s="120"/>
      <c r="CF2982" s="440"/>
      <c r="DB2982" s="436"/>
      <c r="DC2982" s="120"/>
      <c r="DD2982" s="120"/>
      <c r="DE2982" s="120"/>
      <c r="DF2982" s="440"/>
      <c r="EB2982" s="436"/>
      <c r="EC2982" s="120"/>
      <c r="ED2982" s="120"/>
      <c r="EE2982" s="120"/>
      <c r="EF2982" s="440"/>
    </row>
    <row r="2983" spans="54:136">
      <c r="BB2983" s="436"/>
      <c r="BC2983" s="120"/>
      <c r="BD2983" s="120"/>
      <c r="BE2983" s="120"/>
      <c r="BF2983" s="440"/>
      <c r="CB2983" s="436"/>
      <c r="CC2983" s="120"/>
      <c r="CD2983" s="120"/>
      <c r="CE2983" s="120"/>
      <c r="CF2983" s="440"/>
      <c r="DB2983" s="436"/>
      <c r="DC2983" s="120"/>
      <c r="DD2983" s="120"/>
      <c r="DE2983" s="120"/>
      <c r="DF2983" s="440"/>
      <c r="EB2983" s="436"/>
      <c r="EC2983" s="120"/>
      <c r="ED2983" s="120"/>
      <c r="EE2983" s="120"/>
      <c r="EF2983" s="440"/>
    </row>
    <row r="2984" spans="54:136">
      <c r="BB2984" s="436"/>
      <c r="BC2984" s="120"/>
      <c r="BD2984" s="120"/>
      <c r="BE2984" s="120"/>
      <c r="BF2984" s="440"/>
      <c r="CB2984" s="436"/>
      <c r="CC2984" s="120"/>
      <c r="CD2984" s="120"/>
      <c r="CE2984" s="120"/>
      <c r="CF2984" s="440"/>
      <c r="DB2984" s="436"/>
      <c r="DC2984" s="120"/>
      <c r="DD2984" s="120"/>
      <c r="DE2984" s="120"/>
      <c r="DF2984" s="440"/>
      <c r="EB2984" s="436"/>
      <c r="EC2984" s="120"/>
      <c r="ED2984" s="120"/>
      <c r="EE2984" s="120"/>
      <c r="EF2984" s="440"/>
    </row>
    <row r="2985" spans="54:136">
      <c r="BB2985" s="436"/>
      <c r="BC2985" s="120"/>
      <c r="BD2985" s="120"/>
      <c r="BE2985" s="120"/>
      <c r="BF2985" s="440"/>
      <c r="CB2985" s="436"/>
      <c r="CC2985" s="120"/>
      <c r="CD2985" s="120"/>
      <c r="CE2985" s="120"/>
      <c r="CF2985" s="440"/>
      <c r="DB2985" s="436"/>
      <c r="DC2985" s="120"/>
      <c r="DD2985" s="120"/>
      <c r="DE2985" s="120"/>
      <c r="DF2985" s="440"/>
      <c r="EB2985" s="436"/>
      <c r="EC2985" s="120"/>
      <c r="ED2985" s="120"/>
      <c r="EE2985" s="120"/>
      <c r="EF2985" s="440"/>
    </row>
    <row r="2986" spans="54:136">
      <c r="BB2986" s="436"/>
      <c r="BC2986" s="120"/>
      <c r="BD2986" s="120"/>
      <c r="BE2986" s="120"/>
      <c r="BF2986" s="440"/>
      <c r="CB2986" s="436"/>
      <c r="CC2986" s="120"/>
      <c r="CD2986" s="120"/>
      <c r="CE2986" s="120"/>
      <c r="CF2986" s="440"/>
      <c r="DB2986" s="436"/>
      <c r="DC2986" s="120"/>
      <c r="DD2986" s="120"/>
      <c r="DE2986" s="120"/>
      <c r="DF2986" s="440"/>
      <c r="EB2986" s="436"/>
      <c r="EC2986" s="120"/>
      <c r="ED2986" s="120"/>
      <c r="EE2986" s="120"/>
      <c r="EF2986" s="440"/>
    </row>
    <row r="2987" spans="54:136">
      <c r="BB2987" s="436" t="s">
        <v>464</v>
      </c>
      <c r="BC2987" s="120"/>
      <c r="BD2987" s="120"/>
      <c r="BE2987" s="120"/>
      <c r="BF2987" s="440"/>
      <c r="CB2987" s="436" t="s">
        <v>464</v>
      </c>
      <c r="CC2987" s="120"/>
      <c r="CD2987" s="120"/>
      <c r="CE2987" s="120"/>
      <c r="CF2987" s="440"/>
      <c r="DB2987" s="436" t="s">
        <v>464</v>
      </c>
      <c r="DC2987" s="120"/>
      <c r="DD2987" s="120"/>
      <c r="DE2987" s="120"/>
      <c r="DF2987" s="440"/>
      <c r="EB2987" s="436" t="s">
        <v>464</v>
      </c>
      <c r="EC2987" s="120"/>
      <c r="ED2987" s="120"/>
      <c r="EE2987" s="120"/>
      <c r="EF2987" s="440"/>
    </row>
    <row r="2988" spans="54:136">
      <c r="BB2988" s="456"/>
      <c r="BC2988" s="457"/>
      <c r="BD2988" s="457"/>
      <c r="BE2988" s="457"/>
      <c r="BF2988" s="458"/>
      <c r="CB2988" s="456"/>
      <c r="CC2988" s="457"/>
      <c r="CD2988" s="457"/>
      <c r="CE2988" s="457"/>
      <c r="CF2988" s="458"/>
      <c r="DB2988" s="456"/>
      <c r="DC2988" s="457"/>
      <c r="DD2988" s="457"/>
      <c r="DE2988" s="457"/>
      <c r="DF2988" s="458"/>
      <c r="EB2988" s="456"/>
      <c r="EC2988" s="457"/>
      <c r="ED2988" s="457"/>
      <c r="EE2988" s="457"/>
      <c r="EF2988" s="458"/>
    </row>
    <row r="2989" spans="54:136">
      <c r="BB2989" s="449" t="s">
        <v>472</v>
      </c>
      <c r="BC2989" s="467" t="s">
        <v>517</v>
      </c>
      <c r="BD2989" s="120" t="s">
        <v>518</v>
      </c>
      <c r="BE2989" s="467" t="s">
        <v>519</v>
      </c>
      <c r="BF2989" s="440" t="s">
        <v>518</v>
      </c>
      <c r="CB2989" s="449" t="s">
        <v>472</v>
      </c>
      <c r="CC2989" s="467" t="s">
        <v>517</v>
      </c>
      <c r="CD2989" s="120" t="s">
        <v>518</v>
      </c>
      <c r="CE2989" s="467" t="s">
        <v>519</v>
      </c>
      <c r="CF2989" s="440" t="s">
        <v>518</v>
      </c>
      <c r="DB2989" s="449" t="s">
        <v>472</v>
      </c>
      <c r="DC2989" s="467" t="s">
        <v>517</v>
      </c>
      <c r="DD2989" s="120" t="s">
        <v>518</v>
      </c>
      <c r="DE2989" s="467" t="s">
        <v>519</v>
      </c>
      <c r="DF2989" s="440" t="s">
        <v>518</v>
      </c>
      <c r="EB2989" s="449" t="s">
        <v>472</v>
      </c>
      <c r="EC2989" s="467" t="s">
        <v>517</v>
      </c>
      <c r="ED2989" s="120" t="s">
        <v>518</v>
      </c>
      <c r="EE2989" s="467" t="s">
        <v>519</v>
      </c>
      <c r="EF2989" s="440" t="s">
        <v>518</v>
      </c>
    </row>
    <row r="2990" spans="54:136">
      <c r="BB2990" s="436" t="s">
        <v>520</v>
      </c>
      <c r="BC2990" s="120"/>
      <c r="BD2990" s="120"/>
      <c r="BE2990" s="472">
        <f>((VLOOKUP(BB2908,'Unit Ops'!$B$140:$J$209,3,FALSE)*BC2910^VLOOKUP(BB2908,'Unit Ops'!$B$140:$J$209,4,FALSE)+VLOOKUP(BB2908,'Unit Ops'!$B$140:$J$209,5,FALSE))*VLOOKUP(BB2908,'Unit Ops'!$B$140:$J$209,6,FALSE))*IF(VLOOKUP(BB2908,'Unit Ops'!$B$140:$L$209,11,FALSE)=1,1,2)</f>
        <v>0</v>
      </c>
      <c r="BF2990" s="490">
        <f>$C$7</f>
        <v>2022</v>
      </c>
      <c r="CB2990" s="436" t="s">
        <v>520</v>
      </c>
      <c r="CC2990" s="120"/>
      <c r="CD2990" s="120"/>
      <c r="CE2990" s="472">
        <f>((VLOOKUP(CB2908,'Unit Ops'!$B$140:$J$209,3,FALSE)*CC2910^VLOOKUP(CB2908,'Unit Ops'!$B$140:$J$209,4,FALSE)+VLOOKUP(CB2908,'Unit Ops'!$B$140:$J$209,5,FALSE))*VLOOKUP(CB2908,'Unit Ops'!$B$140:$J$209,6,FALSE))*IF(VLOOKUP(CB2908,'Unit Ops'!$B$140:$L$209,11,FALSE)=1,1,2)</f>
        <v>0</v>
      </c>
      <c r="CF2990" s="490">
        <f>$C$7</f>
        <v>2022</v>
      </c>
      <c r="DB2990" s="436" t="s">
        <v>520</v>
      </c>
      <c r="DC2990" s="120"/>
      <c r="DD2990" s="120"/>
      <c r="DE2990" s="472">
        <f>((VLOOKUP(DB2908,'Unit Ops'!$B$140:$J$209,3,FALSE)*DC2910^VLOOKUP(DB2908,'Unit Ops'!$B$140:$J$209,4,FALSE)+VLOOKUP(DB2908,'Unit Ops'!$B$140:$J$209,5,FALSE))*VLOOKUP(DB2908,'Unit Ops'!$B$140:$J$209,6,FALSE))*IF(VLOOKUP(DB2908,'Unit Ops'!$B$140:$L$209,11,FALSE)=1,1,2)</f>
        <v>0</v>
      </c>
      <c r="DF2990" s="490">
        <f>$C$7</f>
        <v>2022</v>
      </c>
      <c r="EB2990" s="436" t="s">
        <v>520</v>
      </c>
      <c r="EC2990" s="120"/>
      <c r="ED2990" s="120"/>
      <c r="EE2990" s="472">
        <f>((VLOOKUP(EB2908,'Unit Ops'!$B$140:$J$209,3,FALSE)*EC2910^VLOOKUP(EB2908,'Unit Ops'!$B$140:$J$209,4,FALSE)+VLOOKUP(EB2908,'Unit Ops'!$B$140:$J$209,5,FALSE))*VLOOKUP(EB2908,'Unit Ops'!$B$140:$J$209,6,FALSE))*IF(VLOOKUP(EB2908,'Unit Ops'!$B$140:$L$209,11,FALSE)=1,1,2)</f>
        <v>0</v>
      </c>
      <c r="EF2990" s="490">
        <f>$C$7</f>
        <v>2022</v>
      </c>
    </row>
    <row r="2991" spans="54:136">
      <c r="BB2991" s="436"/>
      <c r="BC2991" s="120"/>
      <c r="BD2991" s="120"/>
      <c r="BE2991" s="120"/>
      <c r="BF2991" s="440"/>
      <c r="CB2991" s="436"/>
      <c r="CC2991" s="120"/>
      <c r="CD2991" s="120"/>
      <c r="CE2991" s="120"/>
      <c r="CF2991" s="440"/>
      <c r="DB2991" s="436"/>
      <c r="DC2991" s="120"/>
      <c r="DD2991" s="120"/>
      <c r="DE2991" s="120"/>
      <c r="DF2991" s="440"/>
      <c r="EB2991" s="436"/>
      <c r="EC2991" s="120"/>
      <c r="ED2991" s="120"/>
      <c r="EE2991" s="120"/>
      <c r="EF2991" s="440"/>
    </row>
    <row r="2992" spans="54:136">
      <c r="BB2992" s="436"/>
      <c r="BC2992" s="120"/>
      <c r="BD2992" s="120"/>
      <c r="BE2992" s="120"/>
      <c r="BF2992" s="440"/>
      <c r="CB2992" s="436"/>
      <c r="CC2992" s="120"/>
      <c r="CD2992" s="120"/>
      <c r="CE2992" s="120"/>
      <c r="CF2992" s="440"/>
      <c r="DB2992" s="436"/>
      <c r="DC2992" s="120"/>
      <c r="DD2992" s="120"/>
      <c r="DE2992" s="120"/>
      <c r="DF2992" s="440"/>
      <c r="EB2992" s="436"/>
      <c r="EC2992" s="120"/>
      <c r="ED2992" s="120"/>
      <c r="EE2992" s="120"/>
      <c r="EF2992" s="440"/>
    </row>
    <row r="2993" spans="53:136">
      <c r="BB2993" s="436"/>
      <c r="BC2993" s="120"/>
      <c r="BD2993" s="120"/>
      <c r="BE2993" s="120"/>
      <c r="BF2993" s="440"/>
      <c r="CB2993" s="436"/>
      <c r="CC2993" s="120"/>
      <c r="CD2993" s="120"/>
      <c r="CE2993" s="120"/>
      <c r="CF2993" s="440"/>
      <c r="DB2993" s="436"/>
      <c r="DC2993" s="120"/>
      <c r="DD2993" s="120"/>
      <c r="DE2993" s="120"/>
      <c r="DF2993" s="440"/>
      <c r="EB2993" s="436"/>
      <c r="EC2993" s="120"/>
      <c r="ED2993" s="120"/>
      <c r="EE2993" s="120"/>
      <c r="EF2993" s="440"/>
    </row>
    <row r="2994" spans="53:136">
      <c r="BB2994" s="436"/>
      <c r="BC2994" s="120"/>
      <c r="BD2994" s="120"/>
      <c r="BE2994" s="120"/>
      <c r="BF2994" s="440"/>
      <c r="CB2994" s="436"/>
      <c r="CC2994" s="120"/>
      <c r="CD2994" s="120"/>
      <c r="CE2994" s="120"/>
      <c r="CF2994" s="440"/>
      <c r="DB2994" s="436"/>
      <c r="DC2994" s="120"/>
      <c r="DD2994" s="120"/>
      <c r="DE2994" s="120"/>
      <c r="DF2994" s="440"/>
      <c r="EB2994" s="436"/>
      <c r="EC2994" s="120"/>
      <c r="ED2994" s="120"/>
      <c r="EE2994" s="120"/>
      <c r="EF2994" s="440"/>
    </row>
    <row r="2995" spans="53:136">
      <c r="BB2995" s="436"/>
      <c r="BC2995" s="120"/>
      <c r="BD2995" s="120"/>
      <c r="BE2995" s="120"/>
      <c r="BF2995" s="440"/>
      <c r="CB2995" s="436"/>
      <c r="CC2995" s="120"/>
      <c r="CD2995" s="120"/>
      <c r="CE2995" s="120"/>
      <c r="CF2995" s="440"/>
      <c r="DB2995" s="436"/>
      <c r="DC2995" s="120"/>
      <c r="DD2995" s="120"/>
      <c r="DE2995" s="120"/>
      <c r="DF2995" s="440"/>
      <c r="EB2995" s="436"/>
      <c r="EC2995" s="120"/>
      <c r="ED2995" s="120"/>
      <c r="EE2995" s="120"/>
      <c r="EF2995" s="440"/>
    </row>
    <row r="2996" spans="53:136">
      <c r="BB2996" s="436"/>
      <c r="BC2996" s="120"/>
      <c r="BD2996" s="120"/>
      <c r="BE2996" s="120"/>
      <c r="BF2996" s="440"/>
      <c r="CB2996" s="436"/>
      <c r="CC2996" s="120"/>
      <c r="CD2996" s="120"/>
      <c r="CE2996" s="120"/>
      <c r="CF2996" s="440"/>
      <c r="DB2996" s="436"/>
      <c r="DC2996" s="120"/>
      <c r="DD2996" s="120"/>
      <c r="DE2996" s="120"/>
      <c r="DF2996" s="440"/>
      <c r="EB2996" s="436"/>
      <c r="EC2996" s="120"/>
      <c r="ED2996" s="120"/>
      <c r="EE2996" s="120"/>
      <c r="EF2996" s="440"/>
    </row>
    <row r="2997" spans="53:136">
      <c r="BB2997" s="436"/>
      <c r="BC2997" s="120"/>
      <c r="BD2997" s="120"/>
      <c r="BE2997" s="120"/>
      <c r="BF2997" s="440"/>
      <c r="CB2997" s="436"/>
      <c r="CC2997" s="120"/>
      <c r="CD2997" s="120"/>
      <c r="CE2997" s="120"/>
      <c r="CF2997" s="440"/>
      <c r="DB2997" s="436"/>
      <c r="DC2997" s="120"/>
      <c r="DD2997" s="120"/>
      <c r="DE2997" s="120"/>
      <c r="DF2997" s="440"/>
      <c r="EB2997" s="436"/>
      <c r="EC2997" s="120"/>
      <c r="ED2997" s="120"/>
      <c r="EE2997" s="120"/>
      <c r="EF2997" s="440"/>
    </row>
    <row r="2998" spans="53:136">
      <c r="BB2998" s="436"/>
      <c r="BC2998" s="120"/>
      <c r="BD2998" s="120"/>
      <c r="BE2998" s="120"/>
      <c r="BF2998" s="440"/>
      <c r="CB2998" s="436"/>
      <c r="CC2998" s="120"/>
      <c r="CD2998" s="120"/>
      <c r="CE2998" s="120"/>
      <c r="CF2998" s="440"/>
      <c r="DB2998" s="436"/>
      <c r="DC2998" s="120"/>
      <c r="DD2998" s="120"/>
      <c r="DE2998" s="120"/>
      <c r="DF2998" s="440"/>
      <c r="EB2998" s="436"/>
      <c r="EC2998" s="120"/>
      <c r="ED2998" s="120"/>
      <c r="EE2998" s="120"/>
      <c r="EF2998" s="440"/>
    </row>
    <row r="2999" spans="53:136">
      <c r="BB2999" s="436"/>
      <c r="BC2999" s="120"/>
      <c r="BD2999" s="120"/>
      <c r="BE2999" s="120"/>
      <c r="BF2999" s="440"/>
      <c r="CB2999" s="436"/>
      <c r="CC2999" s="120"/>
      <c r="CD2999" s="120"/>
      <c r="CE2999" s="120"/>
      <c r="CF2999" s="440"/>
      <c r="DB2999" s="436"/>
      <c r="DC2999" s="120"/>
      <c r="DD2999" s="120"/>
      <c r="DE2999" s="120"/>
      <c r="DF2999" s="440"/>
      <c r="EB2999" s="436"/>
      <c r="EC2999" s="120"/>
      <c r="ED2999" s="120"/>
      <c r="EE2999" s="120"/>
      <c r="EF2999" s="440"/>
    </row>
    <row r="3000" spans="53:136">
      <c r="BB3000" s="436"/>
      <c r="BC3000" s="120"/>
      <c r="BD3000" s="120"/>
      <c r="BE3000" s="120"/>
      <c r="BF3000" s="440"/>
      <c r="CB3000" s="436"/>
      <c r="CC3000" s="120"/>
      <c r="CD3000" s="120"/>
      <c r="CE3000" s="120"/>
      <c r="CF3000" s="440"/>
      <c r="DB3000" s="436"/>
      <c r="DC3000" s="120"/>
      <c r="DD3000" s="120"/>
      <c r="DE3000" s="120"/>
      <c r="DF3000" s="440"/>
      <c r="EB3000" s="436"/>
      <c r="EC3000" s="120"/>
      <c r="ED3000" s="120"/>
      <c r="EE3000" s="120"/>
      <c r="EF3000" s="440"/>
    </row>
    <row r="3001" spans="53:136">
      <c r="BB3001" s="436"/>
      <c r="BC3001" s="120"/>
      <c r="BD3001" s="120"/>
      <c r="BE3001" s="120"/>
      <c r="BF3001" s="440"/>
      <c r="CB3001" s="436"/>
      <c r="CC3001" s="120"/>
      <c r="CD3001" s="120"/>
      <c r="CE3001" s="120"/>
      <c r="CF3001" s="440"/>
      <c r="DB3001" s="436"/>
      <c r="DC3001" s="120"/>
      <c r="DD3001" s="120"/>
      <c r="DE3001" s="120"/>
      <c r="DF3001" s="440"/>
      <c r="EB3001" s="436"/>
      <c r="EC3001" s="120"/>
      <c r="ED3001" s="120"/>
      <c r="EE3001" s="120"/>
      <c r="EF3001" s="440"/>
    </row>
    <row r="3002" spans="53:136">
      <c r="BB3002" s="436"/>
      <c r="BC3002" s="120"/>
      <c r="BD3002" s="120"/>
      <c r="BE3002" s="120"/>
      <c r="BF3002" s="440"/>
      <c r="CB3002" s="436"/>
      <c r="CC3002" s="120"/>
      <c r="CD3002" s="120"/>
      <c r="CE3002" s="120"/>
      <c r="CF3002" s="440"/>
      <c r="DB3002" s="436"/>
      <c r="DC3002" s="120"/>
      <c r="DD3002" s="120"/>
      <c r="DE3002" s="120"/>
      <c r="DF3002" s="440"/>
      <c r="EB3002" s="436"/>
      <c r="EC3002" s="120"/>
      <c r="ED3002" s="120"/>
      <c r="EE3002" s="120"/>
      <c r="EF3002" s="440"/>
    </row>
    <row r="3003" spans="53:136">
      <c r="BB3003" s="436"/>
      <c r="BC3003" s="120"/>
      <c r="BD3003" s="120"/>
      <c r="BE3003" s="120"/>
      <c r="BF3003" s="440"/>
      <c r="CB3003" s="436"/>
      <c r="CC3003" s="120"/>
      <c r="CD3003" s="120"/>
      <c r="CE3003" s="120"/>
      <c r="CF3003" s="440"/>
      <c r="DB3003" s="436"/>
      <c r="DC3003" s="120"/>
      <c r="DD3003" s="120"/>
      <c r="DE3003" s="120"/>
      <c r="DF3003" s="440"/>
      <c r="EB3003" s="436"/>
      <c r="EC3003" s="120"/>
      <c r="ED3003" s="120"/>
      <c r="EE3003" s="120"/>
      <c r="EF3003" s="440"/>
    </row>
    <row r="3004" spans="53:136" ht="14.5" thickBot="1">
      <c r="BB3004" s="492"/>
      <c r="BC3004" s="493"/>
      <c r="BD3004" s="493"/>
      <c r="BE3004" s="493"/>
      <c r="BF3004" s="453"/>
      <c r="CB3004" s="492"/>
      <c r="CC3004" s="493"/>
      <c r="CD3004" s="493"/>
      <c r="CE3004" s="493"/>
      <c r="CF3004" s="453"/>
      <c r="DB3004" s="492"/>
      <c r="DC3004" s="493"/>
      <c r="DD3004" s="493"/>
      <c r="DE3004" s="493"/>
      <c r="DF3004" s="453"/>
      <c r="EB3004" s="492"/>
      <c r="EC3004" s="493"/>
      <c r="ED3004" s="493"/>
      <c r="EE3004" s="493"/>
      <c r="EF3004" s="453"/>
    </row>
    <row r="3007" spans="53:136" ht="14.5" thickBot="1"/>
    <row r="3008" spans="53:136">
      <c r="BA3008" s="114" t="s">
        <v>478</v>
      </c>
      <c r="BB3008" s="431" t="str">
        <f>BB79</f>
        <v>Select Equipment</v>
      </c>
      <c r="BC3008" s="432"/>
      <c r="BD3008" s="433"/>
      <c r="BE3008" s="434"/>
      <c r="BF3008" s="435"/>
      <c r="CA3008" s="114" t="s">
        <v>478</v>
      </c>
      <c r="CB3008" s="431" t="str">
        <f>CB79</f>
        <v>Select Equipment</v>
      </c>
      <c r="CC3008" s="432"/>
      <c r="CD3008" s="433"/>
      <c r="CE3008" s="434"/>
      <c r="CF3008" s="435"/>
      <c r="DA3008" s="114" t="s">
        <v>478</v>
      </c>
      <c r="DB3008" s="431" t="str">
        <f>DB79</f>
        <v>Select Equipment</v>
      </c>
      <c r="DC3008" s="432"/>
      <c r="DD3008" s="433"/>
      <c r="DE3008" s="434"/>
      <c r="DF3008" s="435"/>
      <c r="EA3008" s="114" t="s">
        <v>478</v>
      </c>
      <c r="EB3008" s="431" t="str">
        <f>EB81</f>
        <v>Select Equipment</v>
      </c>
      <c r="EC3008" s="432"/>
      <c r="ED3008" s="433"/>
      <c r="EE3008" s="434"/>
      <c r="EF3008" s="435"/>
    </row>
    <row r="3009" spans="53:136">
      <c r="BA3009" s="114" t="s">
        <v>5</v>
      </c>
      <c r="BB3009" s="436" t="s">
        <v>1</v>
      </c>
      <c r="BC3009" s="437">
        <f>BC$25/BC$22/BC$21*VLOOKUP(BB3008,'Unit Ops'!$B$140:$J$209,2,FALSE)</f>
        <v>0.92592592592592593</v>
      </c>
      <c r="BD3009" s="438" t="s">
        <v>586</v>
      </c>
      <c r="BE3009" s="1027">
        <f>BC3009*BC$310*BC$311</f>
        <v>10000</v>
      </c>
      <c r="BF3009" s="439" t="s">
        <v>585</v>
      </c>
      <c r="CA3009" s="114" t="s">
        <v>5</v>
      </c>
      <c r="CB3009" s="436" t="s">
        <v>1</v>
      </c>
      <c r="CC3009" s="437">
        <f>CC$25/CC$22/CC$21*VLOOKUP(CB3008,'Unit Ops'!$B$140:$J$209,2,FALSE)</f>
        <v>0.91324200913242004</v>
      </c>
      <c r="CD3009" s="438" t="s">
        <v>586</v>
      </c>
      <c r="CE3009" s="1027">
        <f>CC3009*CC$310*CC$311</f>
        <v>10000</v>
      </c>
      <c r="CF3009" s="439" t="s">
        <v>585</v>
      </c>
      <c r="DA3009" s="114" t="s">
        <v>5</v>
      </c>
      <c r="DB3009" s="436" t="s">
        <v>1</v>
      </c>
      <c r="DC3009" s="437">
        <f>DC$25/DC$22/DC$21*VLOOKUP(DB3008,'Unit Ops'!$B$140:$J$209,2,FALSE)</f>
        <v>0.92592592592592593</v>
      </c>
      <c r="DD3009" s="438" t="s">
        <v>586</v>
      </c>
      <c r="DE3009" s="1027">
        <f>DC3009*DC$310*DC$311</f>
        <v>10000</v>
      </c>
      <c r="DF3009" s="439" t="s">
        <v>585</v>
      </c>
      <c r="EA3009" s="114" t="s">
        <v>5</v>
      </c>
      <c r="EB3009" s="436" t="s">
        <v>1</v>
      </c>
      <c r="EC3009" s="437">
        <f>EC$26/EC$23/EC$22*VLOOKUP(EB3008,'Unit Ops'!$B$140:$J$209,2,FALSE)</f>
        <v>1.3020833333333333</v>
      </c>
      <c r="ED3009" s="438" t="s">
        <v>586</v>
      </c>
      <c r="EE3009" s="1027">
        <f>EC3009*EC$310*EC$311</f>
        <v>10000</v>
      </c>
      <c r="EF3009" s="439" t="s">
        <v>585</v>
      </c>
    </row>
    <row r="3010" spans="53:136">
      <c r="BA3010" s="114" t="str">
        <f>$BB$54</f>
        <v>Hopper</v>
      </c>
      <c r="BB3010" s="436" t="s">
        <v>505</v>
      </c>
      <c r="BC3010" s="437">
        <f>ROUNDUP(BC3009*IF(VLOOKUP(BB3008,'Unit Ops'!$B$140:$L$209,11,FALSE)=1,1.5,0.75),1)</f>
        <v>0.7</v>
      </c>
      <c r="BD3010" s="438" t="s">
        <v>586</v>
      </c>
      <c r="BE3010" s="120">
        <f>BC3010*BC$310*BC$311</f>
        <v>7560</v>
      </c>
      <c r="BF3010" s="439" t="s">
        <v>585</v>
      </c>
      <c r="CA3010" s="114" t="str">
        <f>$CB$54</f>
        <v>Conveyor</v>
      </c>
      <c r="CB3010" s="436" t="s">
        <v>505</v>
      </c>
      <c r="CC3010" s="437">
        <f>ROUNDUP(CC3009*IF(VLOOKUP(CB3008,'Unit Ops'!$B$140:$L$209,11,FALSE)=1,1.5,0.75),1)</f>
        <v>0.7</v>
      </c>
      <c r="CD3010" s="438" t="s">
        <v>586</v>
      </c>
      <c r="CE3010" s="120">
        <f>CC3010*CC$310*CC$311</f>
        <v>7665</v>
      </c>
      <c r="CF3010" s="439" t="s">
        <v>585</v>
      </c>
      <c r="DA3010" s="114" t="str">
        <f>$DB$54</f>
        <v>Conveyor</v>
      </c>
      <c r="DB3010" s="436" t="s">
        <v>505</v>
      </c>
      <c r="DC3010" s="437">
        <f>ROUNDUP(DC3009*IF(VLOOKUP(DB3008,'Unit Ops'!$B$140:$L$209,11,FALSE)=1,1.5,0.75),1)</f>
        <v>0.7</v>
      </c>
      <c r="DD3010" s="438" t="s">
        <v>586</v>
      </c>
      <c r="DE3010" s="120">
        <f>DC3010*DC$310*DC$311</f>
        <v>7560</v>
      </c>
      <c r="DF3010" s="439" t="s">
        <v>585</v>
      </c>
      <c r="EA3010" s="114" t="str">
        <f>$EB$56</f>
        <v>Conveyor</v>
      </c>
      <c r="EB3010" s="436" t="s">
        <v>505</v>
      </c>
      <c r="EC3010" s="437">
        <f>ROUNDUP(EC3009*IF(VLOOKUP(EB3008,'Unit Ops'!$B$140:$L$209,11,FALSE)=1,1.5,0.75),1)</f>
        <v>1</v>
      </c>
      <c r="ED3010" s="438" t="s">
        <v>586</v>
      </c>
      <c r="EE3010" s="120">
        <f>EC3010*EC$310*EC$311</f>
        <v>7680</v>
      </c>
      <c r="EF3010" s="439" t="s">
        <v>585</v>
      </c>
    </row>
    <row r="3011" spans="53:136">
      <c r="BA3011" s="114" t="str">
        <f>$BB$55</f>
        <v>Conveyor</v>
      </c>
      <c r="BB3011" s="441" t="s">
        <v>521</v>
      </c>
      <c r="BC3011" s="442">
        <f>BC3009/BC3010</f>
        <v>1.3227513227513228</v>
      </c>
      <c r="BD3011" s="438"/>
      <c r="BE3011" s="443"/>
      <c r="BF3011" s="440"/>
      <c r="CA3011" s="114" t="str">
        <f>$CB$55</f>
        <v>Leaching tank</v>
      </c>
      <c r="CB3011" s="441" t="s">
        <v>521</v>
      </c>
      <c r="CC3011" s="442">
        <f>CC3009/CC3010</f>
        <v>1.3046314416177429</v>
      </c>
      <c r="CD3011" s="438"/>
      <c r="CE3011" s="443"/>
      <c r="CF3011" s="440"/>
      <c r="DA3011" s="114" t="str">
        <f>$DB$55</f>
        <v>Froth flotation cell</v>
      </c>
      <c r="DB3011" s="441" t="s">
        <v>521</v>
      </c>
      <c r="DC3011" s="442">
        <f>DC3009/DC3010</f>
        <v>1.3227513227513228</v>
      </c>
      <c r="DD3011" s="438"/>
      <c r="DE3011" s="443"/>
      <c r="DF3011" s="440"/>
      <c r="EA3011" s="114" t="str">
        <f>$EB$57</f>
        <v>Leaching tank</v>
      </c>
      <c r="EB3011" s="441" t="s">
        <v>521</v>
      </c>
      <c r="EC3011" s="442">
        <f>EC3009/EC3010</f>
        <v>1.3020833333333333</v>
      </c>
      <c r="ED3011" s="438"/>
      <c r="EE3011" s="443"/>
      <c r="EF3011" s="440"/>
    </row>
    <row r="3012" spans="53:136">
      <c r="BA3012" s="114" t="str">
        <f>$BB$56</f>
        <v>Smelter</v>
      </c>
      <c r="BB3012" s="441" t="s">
        <v>506</v>
      </c>
      <c r="BC3012" s="445"/>
      <c r="BD3012" s="438" t="s">
        <v>454</v>
      </c>
      <c r="BE3012" s="443"/>
      <c r="BF3012" s="440"/>
      <c r="CA3012" s="114" t="str">
        <f>$CB$56</f>
        <v>Mixing tank</v>
      </c>
      <c r="CB3012" s="441" t="s">
        <v>506</v>
      </c>
      <c r="CC3012" s="445"/>
      <c r="CD3012" s="438" t="s">
        <v>454</v>
      </c>
      <c r="CE3012" s="443"/>
      <c r="CF3012" s="440"/>
      <c r="DA3012" s="114" t="str">
        <f>$DB$56</f>
        <v>Filter press</v>
      </c>
      <c r="DB3012" s="441" t="s">
        <v>506</v>
      </c>
      <c r="DC3012" s="445"/>
      <c r="DD3012" s="438" t="s">
        <v>454</v>
      </c>
      <c r="DE3012" s="443"/>
      <c r="DF3012" s="440"/>
      <c r="EA3012" s="114" t="str">
        <f>$EB$58</f>
        <v>Mixing tank</v>
      </c>
      <c r="EB3012" s="441" t="s">
        <v>506</v>
      </c>
      <c r="EC3012" s="445"/>
      <c r="ED3012" s="438" t="s">
        <v>454</v>
      </c>
      <c r="EE3012" s="443"/>
      <c r="EF3012" s="440"/>
    </row>
    <row r="3013" spans="53:136">
      <c r="BA3013" s="114" t="str">
        <f>$BB$57</f>
        <v>Gas treatment</v>
      </c>
      <c r="BB3013" s="436" t="s">
        <v>507</v>
      </c>
      <c r="BC3013" s="225">
        <f>(VLOOKUP(BB3008,'Unit Ops'!$B$140:$J$209,7,FALSE)*BC3010^VLOOKUP(BB3008,'Unit Ops'!$B$140:$J$209,8,FALSE)+VLOOKUP(BB3008,'Unit Ops'!$B$140:$J$209,9,FALSE))*IF(VLOOKUP(BB3008,'Unit Ops'!$B$140:$L$209,11,FALSE)=1,1,2)</f>
        <v>0</v>
      </c>
      <c r="BD3013" s="446" t="s">
        <v>454</v>
      </c>
      <c r="BE3013" s="443"/>
      <c r="BF3013" s="440"/>
      <c r="CA3013" s="114" t="str">
        <f>$CB$57</f>
        <v>Filter press</v>
      </c>
      <c r="CB3013" s="436" t="s">
        <v>507</v>
      </c>
      <c r="CC3013" s="225">
        <f>(VLOOKUP(CB3008,'Unit Ops'!$B$140:$J$209,7,FALSE)*CC3010^VLOOKUP(CB3008,'Unit Ops'!$B$140:$J$209,8,FALSE)+VLOOKUP(CB3008,'Unit Ops'!$B$140:$J$209,9,FALSE))*IF(VLOOKUP(CB3008,'Unit Ops'!$B$140:$L$209,11,FALSE)=1,1,2)</f>
        <v>0</v>
      </c>
      <c r="CD3013" s="446" t="s">
        <v>454</v>
      </c>
      <c r="CE3013" s="443"/>
      <c r="CF3013" s="440"/>
      <c r="DA3013" s="114" t="str">
        <f>$DB$57</f>
        <v>Froth flotation cell</v>
      </c>
      <c r="DB3013" s="436" t="s">
        <v>507</v>
      </c>
      <c r="DC3013" s="225">
        <f>(VLOOKUP(DB3008,'Unit Ops'!$B$140:$J$209,7,FALSE)*DC3010^VLOOKUP(DB3008,'Unit Ops'!$B$140:$J$209,8,FALSE)+VLOOKUP(DB3008,'Unit Ops'!$B$140:$J$209,9,FALSE))*IF(VLOOKUP(DB3008,'Unit Ops'!$B$140:$L$209,11,FALSE)=1,1,2)</f>
        <v>0</v>
      </c>
      <c r="DD3013" s="446" t="s">
        <v>454</v>
      </c>
      <c r="DE3013" s="443"/>
      <c r="DF3013" s="440"/>
      <c r="EA3013" s="114" t="str">
        <f>$EB$59</f>
        <v>Filter press</v>
      </c>
      <c r="EB3013" s="436" t="s">
        <v>507</v>
      </c>
      <c r="EC3013" s="225">
        <f>(VLOOKUP(EB3008,'Unit Ops'!$B$140:$J$209,7,FALSE)*EC3010^VLOOKUP(EB3008,'Unit Ops'!$B$140:$J$209,8,FALSE)+VLOOKUP(EB3008,'Unit Ops'!$B$140:$J$209,9,FALSE))*IF(VLOOKUP(EB3008,'Unit Ops'!$B$140:$L$209,11,FALSE)=1,1,2)</f>
        <v>0</v>
      </c>
      <c r="ED3013" s="446" t="s">
        <v>454</v>
      </c>
      <c r="EE3013" s="443"/>
      <c r="EF3013" s="440"/>
    </row>
    <row r="3014" spans="53:136">
      <c r="BA3014" s="114" t="str">
        <f>$BB$58</f>
        <v>Conveyor</v>
      </c>
      <c r="BB3014" s="441"/>
      <c r="BC3014" s="445"/>
      <c r="BD3014" s="447"/>
      <c r="BE3014" s="443"/>
      <c r="BF3014" s="440"/>
      <c r="CA3014" s="114" t="str">
        <f>$CB$58</f>
        <v>Solvent extraction unit</v>
      </c>
      <c r="CB3014" s="441"/>
      <c r="CC3014" s="445"/>
      <c r="CD3014" s="447"/>
      <c r="CE3014" s="443"/>
      <c r="CF3014" s="440"/>
      <c r="DA3014" s="114" t="str">
        <f>$DB$58</f>
        <v>Filter press</v>
      </c>
      <c r="DB3014" s="441"/>
      <c r="DC3014" s="445"/>
      <c r="DD3014" s="447"/>
      <c r="DE3014" s="443"/>
      <c r="DF3014" s="440"/>
      <c r="EA3014" s="114" t="str">
        <f>$EB$60</f>
        <v>Solvent extraction unit</v>
      </c>
      <c r="EB3014" s="441"/>
      <c r="EC3014" s="445"/>
      <c r="ED3014" s="447"/>
      <c r="EE3014" s="443"/>
      <c r="EF3014" s="440"/>
    </row>
    <row r="3015" spans="53:136">
      <c r="BA3015" s="114" t="str">
        <f>$BB$59</f>
        <v>Granulator</v>
      </c>
      <c r="BB3015" s="441"/>
      <c r="BC3015" s="445"/>
      <c r="BD3015" s="447"/>
      <c r="BE3015" s="443"/>
      <c r="BF3015" s="440"/>
      <c r="CA3015" s="114" t="str">
        <f>$CB$59</f>
        <v>Solvent extraction unit</v>
      </c>
      <c r="CB3015" s="441"/>
      <c r="CC3015" s="445"/>
      <c r="CD3015" s="447"/>
      <c r="CE3015" s="443"/>
      <c r="CF3015" s="440"/>
      <c r="DA3015" s="114" t="str">
        <f>$DB$59</f>
        <v>Dryer</v>
      </c>
      <c r="DB3015" s="441"/>
      <c r="DC3015" s="445"/>
      <c r="DD3015" s="447"/>
      <c r="DE3015" s="443"/>
      <c r="DF3015" s="440"/>
      <c r="EA3015" s="114" t="str">
        <f>$EB$61</f>
        <v>Solvent extraction unit</v>
      </c>
      <c r="EB3015" s="441"/>
      <c r="EC3015" s="445"/>
      <c r="ED3015" s="447"/>
      <c r="EE3015" s="443"/>
      <c r="EF3015" s="440"/>
    </row>
    <row r="3016" spans="53:136">
      <c r="BA3016" s="114" t="str">
        <f>$BB$60</f>
        <v>Leaching tank</v>
      </c>
      <c r="BB3016" s="449"/>
      <c r="BC3016" s="445"/>
      <c r="BD3016" s="447"/>
      <c r="BE3016" s="443"/>
      <c r="BF3016" s="440"/>
      <c r="CA3016" s="114" t="str">
        <f>$CB$60</f>
        <v>Solvent extraction unit</v>
      </c>
      <c r="CB3016" s="449"/>
      <c r="CC3016" s="445"/>
      <c r="CD3016" s="447"/>
      <c r="CE3016" s="443"/>
      <c r="CF3016" s="440"/>
      <c r="DA3016" s="114" t="str">
        <f>$DB$60</f>
        <v>Ball mill</v>
      </c>
      <c r="DB3016" s="449"/>
      <c r="DC3016" s="445"/>
      <c r="DD3016" s="447"/>
      <c r="DE3016" s="443"/>
      <c r="DF3016" s="440"/>
      <c r="EA3016" s="114" t="str">
        <f>$EB$62</f>
        <v>Solvent extraction unit</v>
      </c>
      <c r="EB3016" s="449"/>
      <c r="EC3016" s="445"/>
      <c r="ED3016" s="447"/>
      <c r="EE3016" s="443"/>
      <c r="EF3016" s="440"/>
    </row>
    <row r="3017" spans="53:136" ht="14.5" thickBot="1">
      <c r="BA3017" s="114" t="str">
        <f>$BB$61</f>
        <v>Solvent extraction unit</v>
      </c>
      <c r="BB3017" s="450"/>
      <c r="BC3017" s="451"/>
      <c r="BD3017" s="451"/>
      <c r="BE3017" s="452"/>
      <c r="BF3017" s="453"/>
      <c r="CA3017" s="114" t="str">
        <f>$CB$61</f>
        <v>Evaporator</v>
      </c>
      <c r="CB3017" s="450"/>
      <c r="CC3017" s="451"/>
      <c r="CD3017" s="451"/>
      <c r="CE3017" s="452"/>
      <c r="CF3017" s="453"/>
      <c r="DA3017" s="114" t="str">
        <f>$DB$61</f>
        <v>Furnace+saggar handling system</v>
      </c>
      <c r="DB3017" s="450"/>
      <c r="DC3017" s="451"/>
      <c r="DD3017" s="451"/>
      <c r="DE3017" s="452"/>
      <c r="DF3017" s="453"/>
      <c r="EA3017" s="114" t="str">
        <f>$EB$63</f>
        <v>Evaporator</v>
      </c>
      <c r="EB3017" s="450"/>
      <c r="EC3017" s="451"/>
      <c r="ED3017" s="451"/>
      <c r="EE3017" s="452"/>
      <c r="EF3017" s="453"/>
    </row>
    <row r="3018" spans="53:136">
      <c r="BA3018" s="114" t="str">
        <f>$BB$62</f>
        <v>Electrowinning cell</v>
      </c>
      <c r="BB3018" s="449" t="s">
        <v>470</v>
      </c>
      <c r="BC3018" s="120"/>
      <c r="BD3018" s="454"/>
      <c r="BE3018" s="120"/>
      <c r="BF3018" s="440"/>
      <c r="CA3018" s="114" t="str">
        <f>$CB$62</f>
        <v>Precipitation tank</v>
      </c>
      <c r="CB3018" s="449" t="s">
        <v>470</v>
      </c>
      <c r="CC3018" s="120"/>
      <c r="CD3018" s="454"/>
      <c r="CE3018" s="120"/>
      <c r="CF3018" s="440"/>
      <c r="DA3018" s="114" t="str">
        <f>$DB$62</f>
        <v>Water treatment</v>
      </c>
      <c r="DB3018" s="449" t="s">
        <v>470</v>
      </c>
      <c r="DC3018" s="120"/>
      <c r="DD3018" s="454"/>
      <c r="DE3018" s="120"/>
      <c r="DF3018" s="440"/>
      <c r="EA3018" s="114" t="str">
        <f>$EB$64</f>
        <v>Precipitation tank</v>
      </c>
      <c r="EB3018" s="449" t="s">
        <v>470</v>
      </c>
      <c r="EC3018" s="120"/>
      <c r="ED3018" s="454"/>
      <c r="EE3018" s="120"/>
      <c r="EF3018" s="440"/>
    </row>
    <row r="3019" spans="53:136" ht="14.5" customHeight="1">
      <c r="BA3019" s="114" t="str">
        <f>$BB$63</f>
        <v>Solvent extraction unit</v>
      </c>
      <c r="BB3019" s="1698"/>
      <c r="BC3019" s="1699"/>
      <c r="BD3019" s="1699"/>
      <c r="BE3019" s="1699"/>
      <c r="BF3019" s="1700"/>
      <c r="CA3019" s="114" t="str">
        <f>$CB$63</f>
        <v>Centrifuge</v>
      </c>
      <c r="CB3019" s="1698"/>
      <c r="CC3019" s="1699"/>
      <c r="CD3019" s="1699"/>
      <c r="CE3019" s="1699"/>
      <c r="CF3019" s="1700"/>
      <c r="DA3019" s="114" t="str">
        <f>$DB$63</f>
        <v>Wheel loader</v>
      </c>
      <c r="DB3019" s="1698"/>
      <c r="DC3019" s="1699"/>
      <c r="DD3019" s="1699"/>
      <c r="DE3019" s="1699"/>
      <c r="DF3019" s="1700"/>
      <c r="EA3019" s="114" t="str">
        <f>$EB$65</f>
        <v>Centrifuge</v>
      </c>
      <c r="EB3019" s="1698"/>
      <c r="EC3019" s="1699"/>
      <c r="ED3019" s="1699"/>
      <c r="EE3019" s="1699"/>
      <c r="EF3019" s="1700"/>
    </row>
    <row r="3020" spans="53:136">
      <c r="BA3020" s="114" t="str">
        <f>$BB$64</f>
        <v>Solvent extraction unit</v>
      </c>
      <c r="BB3020" s="436"/>
      <c r="BC3020" s="120"/>
      <c r="BD3020" s="455"/>
      <c r="BE3020" s="120"/>
      <c r="BF3020" s="440"/>
      <c r="CA3020" s="114" t="str">
        <f>$CB$64</f>
        <v>Dryer</v>
      </c>
      <c r="CB3020" s="436"/>
      <c r="CC3020" s="120"/>
      <c r="CD3020" s="455"/>
      <c r="CE3020" s="120"/>
      <c r="CF3020" s="440"/>
      <c r="DA3020" s="114" t="str">
        <f>$DB$64</f>
        <v>Select Equipment</v>
      </c>
      <c r="DB3020" s="436"/>
      <c r="DC3020" s="120"/>
      <c r="DD3020" s="455"/>
      <c r="DE3020" s="120"/>
      <c r="DF3020" s="440"/>
      <c r="EA3020" s="114" t="str">
        <f>$EB$66</f>
        <v>Dryer</v>
      </c>
      <c r="EB3020" s="436"/>
      <c r="EC3020" s="120"/>
      <c r="ED3020" s="455"/>
      <c r="EE3020" s="120"/>
      <c r="EF3020" s="440"/>
    </row>
    <row r="3021" spans="53:136">
      <c r="BA3021" s="114" t="str">
        <f>$BB$65</f>
        <v>Wheel loader</v>
      </c>
      <c r="BB3021" s="436"/>
      <c r="BC3021" s="120"/>
      <c r="BD3021" s="455"/>
      <c r="BE3021" s="120"/>
      <c r="BF3021" s="440"/>
      <c r="CA3021" s="114" t="str">
        <f>$CB$65</f>
        <v>Water treatment</v>
      </c>
      <c r="CB3021" s="436"/>
      <c r="CC3021" s="120"/>
      <c r="CD3021" s="455"/>
      <c r="CE3021" s="120"/>
      <c r="CF3021" s="440"/>
      <c r="DA3021" s="114" t="str">
        <f>$DB$65</f>
        <v>Select Equipment</v>
      </c>
      <c r="DB3021" s="436"/>
      <c r="DC3021" s="120"/>
      <c r="DD3021" s="455"/>
      <c r="DE3021" s="120"/>
      <c r="DF3021" s="440"/>
      <c r="EA3021" s="114" t="str">
        <f>$EB$67</f>
        <v>Water treatment</v>
      </c>
      <c r="EB3021" s="436"/>
      <c r="EC3021" s="120"/>
      <c r="ED3021" s="455"/>
      <c r="EE3021" s="120"/>
      <c r="EF3021" s="440"/>
    </row>
    <row r="3022" spans="53:136">
      <c r="BA3022" s="114" t="str">
        <f>$BB$66</f>
        <v>Water treatment</v>
      </c>
      <c r="BB3022" s="456"/>
      <c r="BC3022" s="457"/>
      <c r="BD3022" s="457"/>
      <c r="BE3022" s="457"/>
      <c r="BF3022" s="458"/>
      <c r="CA3022" s="114" t="str">
        <f>$CB$66</f>
        <v>Wheel loader</v>
      </c>
      <c r="CB3022" s="456"/>
      <c r="CC3022" s="457"/>
      <c r="CD3022" s="457"/>
      <c r="CE3022" s="457"/>
      <c r="CF3022" s="458"/>
      <c r="DA3022" s="114" t="str">
        <f>$DB$66</f>
        <v>Select Equipment</v>
      </c>
      <c r="DB3022" s="456"/>
      <c r="DC3022" s="457"/>
      <c r="DD3022" s="457"/>
      <c r="DE3022" s="457"/>
      <c r="DF3022" s="458"/>
      <c r="EA3022" s="114" t="str">
        <f>$EB$68</f>
        <v>Wheel loader</v>
      </c>
      <c r="EB3022" s="456"/>
      <c r="EC3022" s="457"/>
      <c r="ED3022" s="457"/>
      <c r="EE3022" s="457"/>
      <c r="EF3022" s="458"/>
    </row>
    <row r="3023" spans="53:136">
      <c r="BA3023" s="114" t="str">
        <f>$BB$67</f>
        <v>Select Equipment</v>
      </c>
      <c r="BB3023" s="449" t="s">
        <v>471</v>
      </c>
      <c r="BC3023" s="120"/>
      <c r="BD3023" s="454"/>
      <c r="BE3023" s="120"/>
      <c r="BF3023" s="440"/>
      <c r="CA3023" s="114" t="str">
        <f>$CB$67</f>
        <v>Select Equipment</v>
      </c>
      <c r="CB3023" s="449" t="s">
        <v>471</v>
      </c>
      <c r="CC3023" s="120"/>
      <c r="CD3023" s="454"/>
      <c r="CE3023" s="120"/>
      <c r="CF3023" s="440"/>
      <c r="DA3023" s="114" t="str">
        <f>$DB$67</f>
        <v>Select Equipment</v>
      </c>
      <c r="DB3023" s="449" t="s">
        <v>471</v>
      </c>
      <c r="DC3023" s="120"/>
      <c r="DD3023" s="454"/>
      <c r="DE3023" s="120"/>
      <c r="DF3023" s="440"/>
      <c r="EA3023" s="114" t="str">
        <f>$EB$69</f>
        <v>Select Equipment</v>
      </c>
      <c r="EB3023" s="449" t="s">
        <v>471</v>
      </c>
      <c r="EC3023" s="120"/>
      <c r="ED3023" s="454"/>
      <c r="EE3023" s="120"/>
      <c r="EF3023" s="440"/>
    </row>
    <row r="3024" spans="53:136">
      <c r="BA3024" s="114" t="str">
        <f>$BB$68</f>
        <v>Select Equipment</v>
      </c>
      <c r="BB3024" s="436" t="s">
        <v>577</v>
      </c>
      <c r="BC3024" s="225">
        <f>BC3013*IF(BC3011&gt;1,1,BC3011)</f>
        <v>0</v>
      </c>
      <c r="BD3024" s="446" t="s">
        <v>454</v>
      </c>
      <c r="BE3024" s="120"/>
      <c r="BF3024" s="440"/>
      <c r="CA3024" s="114" t="str">
        <f>$CB$68</f>
        <v>Select Equipment</v>
      </c>
      <c r="CB3024" s="436" t="s">
        <v>577</v>
      </c>
      <c r="CC3024" s="225">
        <f>CC3013*IF(CC3011&gt;1,1,CC3011)</f>
        <v>0</v>
      </c>
      <c r="CD3024" s="446" t="s">
        <v>454</v>
      </c>
      <c r="CE3024" s="120"/>
      <c r="CF3024" s="440"/>
      <c r="DA3024" s="114" t="str">
        <f>$DB$68</f>
        <v>Select Equipment</v>
      </c>
      <c r="DB3024" s="436" t="s">
        <v>577</v>
      </c>
      <c r="DC3024" s="225">
        <f>DC3013*IF(DC3011&gt;1,1,DC3011)</f>
        <v>0</v>
      </c>
      <c r="DD3024" s="446" t="s">
        <v>454</v>
      </c>
      <c r="DE3024" s="120"/>
      <c r="DF3024" s="440"/>
      <c r="EA3024" s="114" t="str">
        <f>$EB$70</f>
        <v>Select Equipment</v>
      </c>
      <c r="EB3024" s="436" t="s">
        <v>577</v>
      </c>
      <c r="EC3024" s="225">
        <f>EC3013*IF(EC3011&gt;1,1,EC3011)</f>
        <v>0</v>
      </c>
      <c r="ED3024" s="446" t="s">
        <v>454</v>
      </c>
      <c r="EE3024" s="120"/>
      <c r="EF3024" s="440"/>
    </row>
    <row r="3025" spans="53:136">
      <c r="BA3025" s="114" t="str">
        <f>$BB$69</f>
        <v>Select Equipment</v>
      </c>
      <c r="BB3025" s="436" t="s">
        <v>578</v>
      </c>
      <c r="BC3025" s="225"/>
      <c r="BD3025" s="446" t="s">
        <v>579</v>
      </c>
      <c r="BE3025" s="120"/>
      <c r="BF3025" s="440"/>
      <c r="CA3025" s="114" t="str">
        <f>$CB$69</f>
        <v>Select Equipment</v>
      </c>
      <c r="CB3025" s="436" t="s">
        <v>578</v>
      </c>
      <c r="CC3025" s="225"/>
      <c r="CD3025" s="446" t="s">
        <v>579</v>
      </c>
      <c r="CE3025" s="120"/>
      <c r="CF3025" s="440"/>
      <c r="DA3025" s="114" t="str">
        <f>$DB$69</f>
        <v>Select Equipment</v>
      </c>
      <c r="DB3025" s="436" t="s">
        <v>578</v>
      </c>
      <c r="DC3025" s="225"/>
      <c r="DD3025" s="446" t="s">
        <v>579</v>
      </c>
      <c r="DE3025" s="120"/>
      <c r="DF3025" s="440"/>
      <c r="EA3025" s="114" t="str">
        <f>$EB$71</f>
        <v>Select Equipment</v>
      </c>
      <c r="EB3025" s="436" t="s">
        <v>578</v>
      </c>
      <c r="EC3025" s="225"/>
      <c r="ED3025" s="446" t="s">
        <v>579</v>
      </c>
      <c r="EE3025" s="120"/>
      <c r="EF3025" s="440"/>
    </row>
    <row r="3026" spans="53:136">
      <c r="BA3026" s="114" t="str">
        <f>$BB$70</f>
        <v>Select Equipment</v>
      </c>
      <c r="BB3026" s="436"/>
      <c r="BC3026" s="120"/>
      <c r="BD3026" s="446"/>
      <c r="BE3026" s="120"/>
      <c r="BF3026" s="440"/>
      <c r="CA3026" s="114" t="str">
        <f>$CB$70</f>
        <v>Select Equipment</v>
      </c>
      <c r="CB3026" s="436"/>
      <c r="CC3026" s="120"/>
      <c r="CD3026" s="446"/>
      <c r="CE3026" s="120"/>
      <c r="CF3026" s="440"/>
      <c r="DA3026" s="114" t="str">
        <f>$DB$70</f>
        <v>Select Equipment</v>
      </c>
      <c r="DB3026" s="436"/>
      <c r="DC3026" s="120"/>
      <c r="DD3026" s="446"/>
      <c r="DE3026" s="120"/>
      <c r="DF3026" s="440"/>
      <c r="EA3026" s="114" t="str">
        <f>$EB$72</f>
        <v>Select Equipment</v>
      </c>
      <c r="EB3026" s="436"/>
      <c r="EC3026" s="120"/>
      <c r="ED3026" s="446"/>
      <c r="EE3026" s="120"/>
      <c r="EF3026" s="440"/>
    </row>
    <row r="3027" spans="53:136">
      <c r="BA3027" s="114" t="str">
        <f>$BB$71</f>
        <v>Select Equipment</v>
      </c>
      <c r="BB3027" s="436" t="s">
        <v>8</v>
      </c>
      <c r="BC3027" s="120"/>
      <c r="BD3027" s="459" t="s">
        <v>564</v>
      </c>
      <c r="BE3027" s="120"/>
      <c r="BF3027" s="440"/>
      <c r="CA3027" s="114" t="str">
        <f>$CB$71</f>
        <v>Select Equipment</v>
      </c>
      <c r="CB3027" s="436" t="s">
        <v>8</v>
      </c>
      <c r="CC3027" s="120"/>
      <c r="CD3027" s="459" t="s">
        <v>564</v>
      </c>
      <c r="CE3027" s="120"/>
      <c r="CF3027" s="440"/>
      <c r="DA3027" s="114" t="str">
        <f>$DB$71</f>
        <v>Select Equipment</v>
      </c>
      <c r="DB3027" s="436" t="s">
        <v>8</v>
      </c>
      <c r="DC3027" s="120"/>
      <c r="DD3027" s="459" t="s">
        <v>564</v>
      </c>
      <c r="DE3027" s="120"/>
      <c r="DF3027" s="440"/>
      <c r="EA3027" s="114" t="str">
        <f>$EB$73</f>
        <v>Select Equipment</v>
      </c>
      <c r="EB3027" s="436" t="s">
        <v>8</v>
      </c>
      <c r="EC3027" s="120"/>
      <c r="ED3027" s="459" t="s">
        <v>564</v>
      </c>
      <c r="EE3027" s="120"/>
      <c r="EF3027" s="440"/>
    </row>
    <row r="3028" spans="53:136">
      <c r="BA3028" s="114" t="str">
        <f>$BB$72</f>
        <v>Select Equipment</v>
      </c>
      <c r="BB3028" s="436"/>
      <c r="BC3028" s="120"/>
      <c r="BD3028" s="459"/>
      <c r="BE3028" s="120"/>
      <c r="BF3028" s="440"/>
      <c r="CA3028" s="114" t="str">
        <f>$CB$72</f>
        <v>Select Equipment</v>
      </c>
      <c r="CB3028" s="436"/>
      <c r="CC3028" s="120"/>
      <c r="CD3028" s="459"/>
      <c r="CE3028" s="120"/>
      <c r="CF3028" s="440"/>
      <c r="DA3028" s="114" t="str">
        <f>$DB$72</f>
        <v>Select Equipment</v>
      </c>
      <c r="DB3028" s="436"/>
      <c r="DC3028" s="120"/>
      <c r="DD3028" s="459"/>
      <c r="DE3028" s="120"/>
      <c r="DF3028" s="440"/>
      <c r="EA3028" s="114" t="str">
        <f>$EB$74</f>
        <v>Select Equipment</v>
      </c>
      <c r="EB3028" s="436"/>
      <c r="EC3028" s="120"/>
      <c r="ED3028" s="459"/>
      <c r="EE3028" s="120"/>
      <c r="EF3028" s="440"/>
    </row>
    <row r="3029" spans="53:136">
      <c r="BA3029" s="114" t="str">
        <f>$BB$73</f>
        <v>Select Equipment</v>
      </c>
      <c r="BB3029" s="436" t="s">
        <v>7</v>
      </c>
      <c r="BC3029" s="120"/>
      <c r="BD3029" s="459" t="s">
        <v>564</v>
      </c>
      <c r="BE3029" s="120"/>
      <c r="BF3029" s="440"/>
      <c r="CA3029" s="114" t="str">
        <f>$CB$73</f>
        <v>Select Equipment</v>
      </c>
      <c r="CB3029" s="436" t="s">
        <v>7</v>
      </c>
      <c r="CC3029" s="120"/>
      <c r="CD3029" s="459" t="s">
        <v>564</v>
      </c>
      <c r="CE3029" s="120"/>
      <c r="CF3029" s="440"/>
      <c r="DA3029" s="114" t="str">
        <f>$DB$73</f>
        <v>Select Equipment</v>
      </c>
      <c r="DB3029" s="436" t="s">
        <v>7</v>
      </c>
      <c r="DC3029" s="120"/>
      <c r="DD3029" s="459" t="s">
        <v>564</v>
      </c>
      <c r="DE3029" s="120"/>
      <c r="DF3029" s="440"/>
      <c r="EA3029" s="114" t="str">
        <f>$EB$75</f>
        <v>Select Equipment</v>
      </c>
      <c r="EB3029" s="436" t="s">
        <v>7</v>
      </c>
      <c r="EC3029" s="120"/>
      <c r="ED3029" s="459" t="s">
        <v>564</v>
      </c>
      <c r="EE3029" s="120"/>
      <c r="EF3029" s="440"/>
    </row>
    <row r="3030" spans="53:136">
      <c r="BA3030" s="114" t="str">
        <f>$BB$74</f>
        <v>Select Equipment</v>
      </c>
      <c r="BB3030" s="436"/>
      <c r="BC3030" s="120"/>
      <c r="BD3030" s="459"/>
      <c r="BE3030" s="120"/>
      <c r="BF3030" s="440"/>
      <c r="CA3030" s="114" t="str">
        <f>$CB$74</f>
        <v>Select Equipment</v>
      </c>
      <c r="CB3030" s="436"/>
      <c r="CC3030" s="120"/>
      <c r="CD3030" s="459"/>
      <c r="CE3030" s="120"/>
      <c r="CF3030" s="440"/>
      <c r="DA3030" s="114" t="str">
        <f>$DB$74</f>
        <v>Select Equipment</v>
      </c>
      <c r="DB3030" s="436"/>
      <c r="DC3030" s="120"/>
      <c r="DD3030" s="459"/>
      <c r="DE3030" s="120"/>
      <c r="DF3030" s="440"/>
      <c r="EA3030" s="114" t="str">
        <f>$EB$76</f>
        <v>Select Equipment</v>
      </c>
      <c r="EB3030" s="436"/>
      <c r="EC3030" s="120"/>
      <c r="ED3030" s="459"/>
      <c r="EE3030" s="120"/>
      <c r="EF3030" s="440"/>
    </row>
    <row r="3031" spans="53:136">
      <c r="BA3031" s="114" t="str">
        <f>$BB$75</f>
        <v>Select Equipment</v>
      </c>
      <c r="BB3031" s="436" t="s">
        <v>9</v>
      </c>
      <c r="BC3031" s="120"/>
      <c r="BD3031" s="459" t="s">
        <v>564</v>
      </c>
      <c r="BE3031" s="120"/>
      <c r="BF3031" s="440"/>
      <c r="CA3031" s="114" t="str">
        <f>$CB$75</f>
        <v>Select Equipment</v>
      </c>
      <c r="CB3031" s="436" t="s">
        <v>9</v>
      </c>
      <c r="CC3031" s="120"/>
      <c r="CD3031" s="459" t="s">
        <v>564</v>
      </c>
      <c r="CE3031" s="120"/>
      <c r="CF3031" s="440"/>
      <c r="DA3031" s="114" t="str">
        <f>$DB$75</f>
        <v>Select Equipment</v>
      </c>
      <c r="DB3031" s="436" t="s">
        <v>9</v>
      </c>
      <c r="DC3031" s="120"/>
      <c r="DD3031" s="459" t="s">
        <v>564</v>
      </c>
      <c r="DE3031" s="120"/>
      <c r="DF3031" s="440"/>
      <c r="EA3031" s="114" t="str">
        <f>$EB$77</f>
        <v>Select Equipment</v>
      </c>
      <c r="EB3031" s="436" t="s">
        <v>9</v>
      </c>
      <c r="EC3031" s="120"/>
      <c r="ED3031" s="459" t="s">
        <v>564</v>
      </c>
      <c r="EE3031" s="120"/>
      <c r="EF3031" s="440"/>
    </row>
    <row r="3032" spans="53:136">
      <c r="BA3032" s="114" t="str">
        <f>$BB$76</f>
        <v>Select Equipment</v>
      </c>
      <c r="BB3032" s="436"/>
      <c r="BC3032" s="120"/>
      <c r="BD3032" s="459"/>
      <c r="BE3032" s="120"/>
      <c r="BF3032" s="440"/>
      <c r="CA3032" s="114" t="str">
        <f>$CB$76</f>
        <v>Select Equipment</v>
      </c>
      <c r="CB3032" s="436"/>
      <c r="CC3032" s="120"/>
      <c r="CD3032" s="459"/>
      <c r="CE3032" s="120"/>
      <c r="CF3032" s="440"/>
      <c r="DA3032" s="114" t="str">
        <f>$DB$76</f>
        <v>Select Equipment</v>
      </c>
      <c r="DB3032" s="436"/>
      <c r="DC3032" s="120"/>
      <c r="DD3032" s="459"/>
      <c r="DE3032" s="120"/>
      <c r="DF3032" s="440"/>
      <c r="EA3032" s="114" t="str">
        <f>$EB$78</f>
        <v>Select Equipment</v>
      </c>
      <c r="EB3032" s="436"/>
      <c r="EC3032" s="120"/>
      <c r="ED3032" s="459"/>
      <c r="EE3032" s="120"/>
      <c r="EF3032" s="440"/>
    </row>
    <row r="3033" spans="53:136">
      <c r="BA3033" s="114" t="str">
        <f>$BB$77</f>
        <v>Select Equipment</v>
      </c>
      <c r="BB3033" s="436" t="s">
        <v>324</v>
      </c>
      <c r="BC3033" s="120"/>
      <c r="BD3033" s="459" t="s">
        <v>564</v>
      </c>
      <c r="BE3033" s="120"/>
      <c r="BF3033" s="440" t="s">
        <v>569</v>
      </c>
      <c r="CA3033" s="114" t="str">
        <f>$CB$77</f>
        <v>Select Equipment</v>
      </c>
      <c r="CB3033" s="436" t="s">
        <v>324</v>
      </c>
      <c r="CC3033" s="120"/>
      <c r="CD3033" s="459" t="s">
        <v>564</v>
      </c>
      <c r="CE3033" s="120"/>
      <c r="CF3033" s="440" t="s">
        <v>569</v>
      </c>
      <c r="DA3033" s="114" t="str">
        <f>$DB$77</f>
        <v>Select Equipment</v>
      </c>
      <c r="DB3033" s="436" t="s">
        <v>324</v>
      </c>
      <c r="DC3033" s="120"/>
      <c r="DD3033" s="459" t="s">
        <v>564</v>
      </c>
      <c r="DE3033" s="120"/>
      <c r="DF3033" s="440" t="s">
        <v>569</v>
      </c>
      <c r="EA3033" s="114" t="str">
        <f>$EB$79</f>
        <v>Select Equipment</v>
      </c>
      <c r="EB3033" s="436" t="s">
        <v>324</v>
      </c>
      <c r="EC3033" s="120"/>
      <c r="ED3033" s="459" t="s">
        <v>564</v>
      </c>
      <c r="EE3033" s="120"/>
      <c r="EF3033" s="440" t="s">
        <v>569</v>
      </c>
    </row>
    <row r="3034" spans="53:136">
      <c r="BA3034" s="114" t="str">
        <f>$BB$78</f>
        <v>Select Equipment</v>
      </c>
      <c r="BB3034" s="436"/>
      <c r="BC3034" s="120"/>
      <c r="BD3034" s="468"/>
      <c r="BE3034" s="469"/>
      <c r="BF3034" s="440"/>
      <c r="CA3034" s="114" t="str">
        <f>$CB$78</f>
        <v>Select Equipment</v>
      </c>
      <c r="CB3034" s="436"/>
      <c r="CC3034" s="120"/>
      <c r="CD3034" s="468"/>
      <c r="CE3034" s="469"/>
      <c r="CF3034" s="440"/>
      <c r="DA3034" s="114" t="str">
        <f>$DB$78</f>
        <v>Select Equipment</v>
      </c>
      <c r="DB3034" s="436"/>
      <c r="DC3034" s="120"/>
      <c r="DD3034" s="468"/>
      <c r="DE3034" s="469"/>
      <c r="DF3034" s="440"/>
      <c r="EA3034" s="114" t="str">
        <f>$EB$80</f>
        <v>Select Equipment</v>
      </c>
      <c r="EB3034" s="436"/>
      <c r="EC3034" s="120"/>
      <c r="ED3034" s="468"/>
      <c r="EE3034" s="469"/>
      <c r="EF3034" s="440"/>
    </row>
    <row r="3035" spans="53:136">
      <c r="BA3035" s="114" t="str">
        <f>$BB$79</f>
        <v>Select Equipment</v>
      </c>
      <c r="BB3035" s="436" t="s">
        <v>374</v>
      </c>
      <c r="BC3035" s="120"/>
      <c r="BD3035" s="459" t="s">
        <v>564</v>
      </c>
      <c r="BE3035" s="469"/>
      <c r="BF3035" s="440" t="s">
        <v>569</v>
      </c>
      <c r="CA3035" s="114" t="str">
        <f>$CB$79</f>
        <v>Select Equipment</v>
      </c>
      <c r="CB3035" s="436" t="s">
        <v>374</v>
      </c>
      <c r="CC3035" s="120"/>
      <c r="CD3035" s="459" t="s">
        <v>564</v>
      </c>
      <c r="CE3035" s="469"/>
      <c r="CF3035" s="440" t="s">
        <v>569</v>
      </c>
      <c r="DA3035" s="114" t="str">
        <f>$DB$79</f>
        <v>Select Equipment</v>
      </c>
      <c r="DB3035" s="436" t="s">
        <v>374</v>
      </c>
      <c r="DC3035" s="120"/>
      <c r="DD3035" s="459" t="s">
        <v>564</v>
      </c>
      <c r="DE3035" s="469"/>
      <c r="DF3035" s="440" t="s">
        <v>569</v>
      </c>
      <c r="EA3035" s="114" t="str">
        <f>$EB$81</f>
        <v>Select Equipment</v>
      </c>
      <c r="EB3035" s="436" t="s">
        <v>374</v>
      </c>
      <c r="EC3035" s="120"/>
      <c r="ED3035" s="459" t="s">
        <v>564</v>
      </c>
      <c r="EE3035" s="469"/>
      <c r="EF3035" s="440" t="s">
        <v>569</v>
      </c>
    </row>
    <row r="3036" spans="53:136">
      <c r="BA3036" s="114" t="str">
        <f>$BB$80</f>
        <v>Select Equipment</v>
      </c>
      <c r="BB3036" s="436"/>
      <c r="BC3036" s="120"/>
      <c r="BD3036" s="472"/>
      <c r="BE3036" s="473"/>
      <c r="BF3036" s="440"/>
      <c r="CA3036" s="114" t="str">
        <f>$CB$80</f>
        <v>Select Equipment</v>
      </c>
      <c r="CB3036" s="436"/>
      <c r="CC3036" s="120"/>
      <c r="CD3036" s="472"/>
      <c r="CE3036" s="473"/>
      <c r="CF3036" s="440"/>
      <c r="DA3036" s="114" t="str">
        <f>$DB$80</f>
        <v>Select Equipment</v>
      </c>
      <c r="DB3036" s="436"/>
      <c r="DC3036" s="120"/>
      <c r="DD3036" s="472"/>
      <c r="DE3036" s="473"/>
      <c r="DF3036" s="440"/>
      <c r="EA3036" s="114" t="str">
        <f>$EB$82</f>
        <v>Select Equipment</v>
      </c>
      <c r="EB3036" s="436"/>
      <c r="EC3036" s="120"/>
      <c r="ED3036" s="472"/>
      <c r="EE3036" s="473"/>
      <c r="EF3036" s="440"/>
    </row>
    <row r="3037" spans="53:136">
      <c r="BA3037" s="114" t="str">
        <f>$BB$81</f>
        <v>Select Equipment</v>
      </c>
      <c r="BB3037" s="436" t="s">
        <v>580</v>
      </c>
      <c r="BC3037" s="120"/>
      <c r="BD3037" s="459" t="s">
        <v>564</v>
      </c>
      <c r="BE3037" s="473"/>
      <c r="BF3037" s="440" t="s">
        <v>569</v>
      </c>
      <c r="CA3037" s="114" t="str">
        <f>$CB$81</f>
        <v>Select Equipment</v>
      </c>
      <c r="CB3037" s="436" t="s">
        <v>580</v>
      </c>
      <c r="CC3037" s="120"/>
      <c r="CD3037" s="459" t="s">
        <v>564</v>
      </c>
      <c r="CE3037" s="473"/>
      <c r="CF3037" s="440" t="s">
        <v>569</v>
      </c>
      <c r="DA3037" s="114" t="str">
        <f>$DB$81</f>
        <v>Select Equipment</v>
      </c>
      <c r="DB3037" s="436" t="s">
        <v>580</v>
      </c>
      <c r="DC3037" s="120"/>
      <c r="DD3037" s="459" t="s">
        <v>564</v>
      </c>
      <c r="DE3037" s="473"/>
      <c r="DF3037" s="440" t="s">
        <v>569</v>
      </c>
      <c r="EA3037" s="114" t="str">
        <f>$EB$83</f>
        <v>Select Equipment</v>
      </c>
      <c r="EB3037" s="436" t="s">
        <v>580</v>
      </c>
      <c r="EC3037" s="120"/>
      <c r="ED3037" s="459" t="s">
        <v>564</v>
      </c>
      <c r="EE3037" s="473"/>
      <c r="EF3037" s="440" t="s">
        <v>569</v>
      </c>
    </row>
    <row r="3038" spans="53:136">
      <c r="BA3038" s="114" t="str">
        <f>$BB$82</f>
        <v>Select Equipment</v>
      </c>
      <c r="BB3038" s="476"/>
      <c r="BC3038" s="477"/>
      <c r="BD3038" s="478"/>
      <c r="BE3038" s="479"/>
      <c r="BF3038" s="458"/>
      <c r="CA3038" s="114" t="str">
        <f>$CB$82</f>
        <v>Select Equipment</v>
      </c>
      <c r="CB3038" s="476"/>
      <c r="CC3038" s="477"/>
      <c r="CD3038" s="478"/>
      <c r="CE3038" s="479"/>
      <c r="CF3038" s="458"/>
      <c r="DA3038" s="114" t="str">
        <f>$DB$82</f>
        <v>Select Equipment</v>
      </c>
      <c r="DB3038" s="476"/>
      <c r="DC3038" s="477"/>
      <c r="DD3038" s="478"/>
      <c r="DE3038" s="479"/>
      <c r="DF3038" s="458"/>
      <c r="EA3038" s="114" t="str">
        <f>$EB$84</f>
        <v>Select Equipment</v>
      </c>
      <c r="EB3038" s="476"/>
      <c r="EC3038" s="477"/>
      <c r="ED3038" s="478"/>
      <c r="EE3038" s="479"/>
      <c r="EF3038" s="458"/>
    </row>
    <row r="3039" spans="53:136">
      <c r="BA3039" s="114" t="str">
        <f>$BB$83</f>
        <v>Select Equipment</v>
      </c>
      <c r="BB3039" s="449" t="s">
        <v>473</v>
      </c>
      <c r="BC3039" s="467" t="s">
        <v>508</v>
      </c>
      <c r="BD3039" s="480"/>
      <c r="BE3039" s="481" t="s">
        <v>308</v>
      </c>
      <c r="BF3039" s="440"/>
      <c r="CA3039" s="114" t="str">
        <f>$CB$83</f>
        <v>Select Equipment</v>
      </c>
      <c r="CB3039" s="449" t="s">
        <v>473</v>
      </c>
      <c r="CC3039" s="467" t="s">
        <v>508</v>
      </c>
      <c r="CD3039" s="480"/>
      <c r="CE3039" s="481" t="s">
        <v>308</v>
      </c>
      <c r="CF3039" s="440"/>
      <c r="DA3039" s="114" t="str">
        <f>$DB$83</f>
        <v>Select Equipment</v>
      </c>
      <c r="DB3039" s="449" t="s">
        <v>473</v>
      </c>
      <c r="DC3039" s="467" t="s">
        <v>508</v>
      </c>
      <c r="DD3039" s="480"/>
      <c r="DE3039" s="481" t="s">
        <v>308</v>
      </c>
      <c r="DF3039" s="440"/>
      <c r="EA3039" s="114" t="str">
        <f>$EB$85</f>
        <v>Select Equipment</v>
      </c>
      <c r="EB3039" s="449" t="s">
        <v>473</v>
      </c>
      <c r="EC3039" s="467" t="s">
        <v>508</v>
      </c>
      <c r="ED3039" s="480"/>
      <c r="EE3039" s="481" t="s">
        <v>308</v>
      </c>
      <c r="EF3039" s="440"/>
    </row>
    <row r="3040" spans="53:136">
      <c r="BB3040" s="436"/>
      <c r="BC3040" s="483"/>
      <c r="BD3040" s="480"/>
      <c r="BE3040" s="484"/>
      <c r="BF3040" s="440"/>
      <c r="CB3040" s="436"/>
      <c r="CC3040" s="483"/>
      <c r="CD3040" s="480"/>
      <c r="CE3040" s="484"/>
      <c r="CF3040" s="440"/>
      <c r="DB3040" s="436"/>
      <c r="DC3040" s="483"/>
      <c r="DD3040" s="480"/>
      <c r="DE3040" s="484"/>
      <c r="DF3040" s="440"/>
      <c r="EB3040" s="436"/>
      <c r="EC3040" s="483"/>
      <c r="ED3040" s="480"/>
      <c r="EE3040" s="484"/>
      <c r="EF3040" s="440"/>
    </row>
    <row r="3041" spans="54:136">
      <c r="BB3041" s="436"/>
      <c r="BC3041" s="120"/>
      <c r="BD3041" s="223"/>
      <c r="BE3041" s="467"/>
      <c r="BF3041" s="440"/>
      <c r="CB3041" s="436"/>
      <c r="CC3041" s="120"/>
      <c r="CD3041" s="223"/>
      <c r="CE3041" s="467"/>
      <c r="CF3041" s="440"/>
      <c r="DB3041" s="436"/>
      <c r="DC3041" s="120"/>
      <c r="DD3041" s="223"/>
      <c r="DE3041" s="467"/>
      <c r="DF3041" s="440"/>
      <c r="EB3041" s="436"/>
      <c r="EC3041" s="120"/>
      <c r="ED3041" s="223"/>
      <c r="EE3041" s="467"/>
      <c r="EF3041" s="440"/>
    </row>
    <row r="3042" spans="54:136">
      <c r="BB3042" s="436"/>
      <c r="BC3042" s="120"/>
      <c r="BD3042" s="466"/>
      <c r="BE3042" s="467"/>
      <c r="BF3042" s="440"/>
      <c r="CB3042" s="436"/>
      <c r="CC3042" s="120"/>
      <c r="CD3042" s="466"/>
      <c r="CE3042" s="467"/>
      <c r="CF3042" s="440"/>
      <c r="DB3042" s="436"/>
      <c r="DC3042" s="120"/>
      <c r="DD3042" s="466"/>
      <c r="DE3042" s="467"/>
      <c r="DF3042" s="440"/>
      <c r="EB3042" s="436"/>
      <c r="EC3042" s="120"/>
      <c r="ED3042" s="466"/>
      <c r="EE3042" s="467"/>
      <c r="EF3042" s="440"/>
    </row>
    <row r="3043" spans="54:136">
      <c r="BB3043" s="436"/>
      <c r="BC3043" s="120"/>
      <c r="BD3043" s="223"/>
      <c r="BE3043" s="467"/>
      <c r="BF3043" s="440"/>
      <c r="CB3043" s="436"/>
      <c r="CC3043" s="120"/>
      <c r="CD3043" s="223"/>
      <c r="CE3043" s="467"/>
      <c r="CF3043" s="440"/>
      <c r="DB3043" s="436"/>
      <c r="DC3043" s="120"/>
      <c r="DD3043" s="223"/>
      <c r="DE3043" s="467"/>
      <c r="DF3043" s="440"/>
      <c r="EB3043" s="436"/>
      <c r="EC3043" s="120"/>
      <c r="ED3043" s="223"/>
      <c r="EE3043" s="467"/>
      <c r="EF3043" s="440"/>
    </row>
    <row r="3044" spans="54:136">
      <c r="BB3044" s="436"/>
      <c r="BC3044" s="120"/>
      <c r="BD3044" s="223"/>
      <c r="BE3044" s="467"/>
      <c r="BF3044" s="440"/>
      <c r="CB3044" s="436"/>
      <c r="CC3044" s="120"/>
      <c r="CD3044" s="223"/>
      <c r="CE3044" s="467"/>
      <c r="CF3044" s="440"/>
      <c r="DB3044" s="436"/>
      <c r="DC3044" s="120"/>
      <c r="DD3044" s="223"/>
      <c r="DE3044" s="467"/>
      <c r="DF3044" s="440"/>
      <c r="EB3044" s="436"/>
      <c r="EC3044" s="120"/>
      <c r="ED3044" s="223"/>
      <c r="EE3044" s="467"/>
      <c r="EF3044" s="440"/>
    </row>
    <row r="3045" spans="54:136">
      <c r="BB3045" s="436"/>
      <c r="BC3045" s="120"/>
      <c r="BD3045" s="471"/>
      <c r="BE3045" s="467"/>
      <c r="BF3045" s="440"/>
      <c r="CB3045" s="436"/>
      <c r="CC3045" s="120"/>
      <c r="CD3045" s="471"/>
      <c r="CE3045" s="467"/>
      <c r="CF3045" s="440"/>
      <c r="DB3045" s="436"/>
      <c r="DC3045" s="120"/>
      <c r="DD3045" s="471"/>
      <c r="DE3045" s="467"/>
      <c r="DF3045" s="440"/>
      <c r="EB3045" s="436"/>
      <c r="EC3045" s="120"/>
      <c r="ED3045" s="471"/>
      <c r="EE3045" s="467"/>
      <c r="EF3045" s="440"/>
    </row>
    <row r="3046" spans="54:136">
      <c r="BB3046" s="436"/>
      <c r="BC3046" s="120"/>
      <c r="BD3046" s="223"/>
      <c r="BE3046" s="467"/>
      <c r="BF3046" s="440"/>
      <c r="CB3046" s="436"/>
      <c r="CC3046" s="120"/>
      <c r="CD3046" s="223"/>
      <c r="CE3046" s="467"/>
      <c r="CF3046" s="440"/>
      <c r="DB3046" s="436"/>
      <c r="DC3046" s="120"/>
      <c r="DD3046" s="223"/>
      <c r="DE3046" s="467"/>
      <c r="DF3046" s="440"/>
      <c r="EB3046" s="436"/>
      <c r="EC3046" s="120"/>
      <c r="ED3046" s="223"/>
      <c r="EE3046" s="467"/>
      <c r="EF3046" s="440"/>
    </row>
    <row r="3047" spans="54:136">
      <c r="BB3047" s="436"/>
      <c r="BC3047" s="120"/>
      <c r="BD3047" s="475"/>
      <c r="BE3047" s="467"/>
      <c r="BF3047" s="440"/>
      <c r="CB3047" s="436"/>
      <c r="CC3047" s="120"/>
      <c r="CD3047" s="475"/>
      <c r="CE3047" s="467"/>
      <c r="CF3047" s="440"/>
      <c r="DB3047" s="436"/>
      <c r="DC3047" s="120"/>
      <c r="DD3047" s="475"/>
      <c r="DE3047" s="467"/>
      <c r="DF3047" s="440"/>
      <c r="EB3047" s="436"/>
      <c r="EC3047" s="120"/>
      <c r="ED3047" s="475"/>
      <c r="EE3047" s="467"/>
      <c r="EF3047" s="440"/>
    </row>
    <row r="3048" spans="54:136">
      <c r="BB3048" s="436"/>
      <c r="BC3048" s="120"/>
      <c r="BD3048" s="223"/>
      <c r="BE3048" s="467"/>
      <c r="BF3048" s="440"/>
      <c r="CB3048" s="436"/>
      <c r="CC3048" s="120"/>
      <c r="CD3048" s="223"/>
      <c r="CE3048" s="467"/>
      <c r="CF3048" s="440"/>
      <c r="DB3048" s="436"/>
      <c r="DC3048" s="120"/>
      <c r="DD3048" s="223"/>
      <c r="DE3048" s="467"/>
      <c r="DF3048" s="440"/>
      <c r="EB3048" s="436"/>
      <c r="EC3048" s="120"/>
      <c r="ED3048" s="223"/>
      <c r="EE3048" s="467"/>
      <c r="EF3048" s="440"/>
    </row>
    <row r="3049" spans="54:136">
      <c r="BB3049" s="436"/>
      <c r="BC3049" s="120"/>
      <c r="BD3049" s="223"/>
      <c r="BE3049" s="467"/>
      <c r="BF3049" s="440"/>
      <c r="CB3049" s="436"/>
      <c r="CC3049" s="120"/>
      <c r="CD3049" s="223"/>
      <c r="CE3049" s="467"/>
      <c r="CF3049" s="440"/>
      <c r="DB3049" s="436"/>
      <c r="DC3049" s="120"/>
      <c r="DD3049" s="223"/>
      <c r="DE3049" s="467"/>
      <c r="DF3049" s="440"/>
      <c r="EB3049" s="436"/>
      <c r="EC3049" s="120"/>
      <c r="ED3049" s="223"/>
      <c r="EE3049" s="467"/>
      <c r="EF3049" s="440"/>
    </row>
    <row r="3050" spans="54:136">
      <c r="BB3050" s="436"/>
      <c r="BC3050" s="120"/>
      <c r="BD3050" s="223"/>
      <c r="BE3050" s="467"/>
      <c r="BF3050" s="440"/>
      <c r="CB3050" s="436"/>
      <c r="CC3050" s="120"/>
      <c r="CD3050" s="223"/>
      <c r="CE3050" s="467"/>
      <c r="CF3050" s="440"/>
      <c r="DB3050" s="436"/>
      <c r="DC3050" s="120"/>
      <c r="DD3050" s="223"/>
      <c r="DE3050" s="467"/>
      <c r="DF3050" s="440"/>
      <c r="EB3050" s="436"/>
      <c r="EC3050" s="120"/>
      <c r="ED3050" s="223"/>
      <c r="EE3050" s="467"/>
      <c r="EF3050" s="440"/>
    </row>
    <row r="3051" spans="54:136">
      <c r="BB3051" s="436"/>
      <c r="BC3051" s="120"/>
      <c r="BD3051" s="223"/>
      <c r="BE3051" s="467"/>
      <c r="BF3051" s="440"/>
      <c r="CB3051" s="436"/>
      <c r="CC3051" s="120"/>
      <c r="CD3051" s="223"/>
      <c r="CE3051" s="467"/>
      <c r="CF3051" s="440"/>
      <c r="DB3051" s="436"/>
      <c r="DC3051" s="120"/>
      <c r="DD3051" s="223"/>
      <c r="DE3051" s="467"/>
      <c r="DF3051" s="440"/>
      <c r="EB3051" s="436"/>
      <c r="EC3051" s="120"/>
      <c r="ED3051" s="223"/>
      <c r="EE3051" s="467"/>
      <c r="EF3051" s="440"/>
    </row>
    <row r="3052" spans="54:136">
      <c r="BB3052" s="436"/>
      <c r="BC3052" s="120"/>
      <c r="BD3052" s="120"/>
      <c r="BE3052" s="467"/>
      <c r="BF3052" s="440"/>
      <c r="CB3052" s="436"/>
      <c r="CC3052" s="120"/>
      <c r="CD3052" s="120"/>
      <c r="CE3052" s="467"/>
      <c r="CF3052" s="440"/>
      <c r="DB3052" s="436"/>
      <c r="DC3052" s="120"/>
      <c r="DD3052" s="120"/>
      <c r="DE3052" s="467"/>
      <c r="DF3052" s="440"/>
      <c r="EB3052" s="436"/>
      <c r="EC3052" s="120"/>
      <c r="ED3052" s="120"/>
      <c r="EE3052" s="467"/>
      <c r="EF3052" s="440"/>
    </row>
    <row r="3053" spans="54:136">
      <c r="BB3053" s="456"/>
      <c r="BC3053" s="457"/>
      <c r="BD3053" s="457"/>
      <c r="BE3053" s="477"/>
      <c r="BF3053" s="458"/>
      <c r="CB3053" s="456"/>
      <c r="CC3053" s="457"/>
      <c r="CD3053" s="457"/>
      <c r="CE3053" s="477"/>
      <c r="CF3053" s="458"/>
      <c r="DB3053" s="456"/>
      <c r="DC3053" s="457"/>
      <c r="DD3053" s="457"/>
      <c r="DE3053" s="477"/>
      <c r="DF3053" s="458"/>
      <c r="EB3053" s="456"/>
      <c r="EC3053" s="457"/>
      <c r="ED3053" s="457"/>
      <c r="EE3053" s="477"/>
      <c r="EF3053" s="458"/>
    </row>
    <row r="3054" spans="54:136">
      <c r="BB3054" s="449" t="s">
        <v>474</v>
      </c>
      <c r="BC3054" s="120"/>
      <c r="BD3054" s="120" t="s">
        <v>1</v>
      </c>
      <c r="BE3054" s="310" t="s">
        <v>307</v>
      </c>
      <c r="BF3054" s="440"/>
      <c r="CB3054" s="449" t="s">
        <v>474</v>
      </c>
      <c r="CC3054" s="120"/>
      <c r="CD3054" s="120" t="s">
        <v>1</v>
      </c>
      <c r="CE3054" s="310" t="s">
        <v>307</v>
      </c>
      <c r="CF3054" s="440"/>
      <c r="DB3054" s="449" t="s">
        <v>474</v>
      </c>
      <c r="DC3054" s="120"/>
      <c r="DD3054" s="120" t="s">
        <v>1</v>
      </c>
      <c r="DE3054" s="310" t="s">
        <v>307</v>
      </c>
      <c r="DF3054" s="440"/>
      <c r="EB3054" s="449" t="s">
        <v>474</v>
      </c>
      <c r="EC3054" s="120"/>
      <c r="ED3054" s="120" t="s">
        <v>1</v>
      </c>
      <c r="EE3054" s="310" t="s">
        <v>307</v>
      </c>
      <c r="EF3054" s="440"/>
    </row>
    <row r="3055" spans="54:136">
      <c r="BB3055" s="436"/>
      <c r="BC3055" s="223"/>
      <c r="BD3055" s="480"/>
      <c r="BE3055" s="484"/>
      <c r="BF3055" s="440"/>
      <c r="CB3055" s="436"/>
      <c r="CC3055" s="223"/>
      <c r="CD3055" s="480"/>
      <c r="CE3055" s="484"/>
      <c r="CF3055" s="440"/>
      <c r="DB3055" s="436"/>
      <c r="DC3055" s="223"/>
      <c r="DD3055" s="480"/>
      <c r="DE3055" s="484"/>
      <c r="DF3055" s="440"/>
      <c r="EB3055" s="436"/>
      <c r="EC3055" s="223"/>
      <c r="ED3055" s="480"/>
      <c r="EE3055" s="484"/>
      <c r="EF3055" s="440"/>
    </row>
    <row r="3056" spans="54:136">
      <c r="BB3056" s="436"/>
      <c r="BC3056" s="120"/>
      <c r="BD3056" s="120"/>
      <c r="BE3056" s="467"/>
      <c r="BF3056" s="440"/>
      <c r="CB3056" s="436"/>
      <c r="CC3056" s="120"/>
      <c r="CD3056" s="120"/>
      <c r="CE3056" s="467"/>
      <c r="CF3056" s="440"/>
      <c r="DB3056" s="436"/>
      <c r="DC3056" s="120"/>
      <c r="DD3056" s="120"/>
      <c r="DE3056" s="467"/>
      <c r="DF3056" s="440"/>
      <c r="EB3056" s="436"/>
      <c r="EC3056" s="120"/>
      <c r="ED3056" s="120"/>
      <c r="EE3056" s="467"/>
      <c r="EF3056" s="440"/>
    </row>
    <row r="3057" spans="54:136">
      <c r="BB3057" s="436"/>
      <c r="BC3057" s="120"/>
      <c r="BD3057" s="120"/>
      <c r="BE3057" s="467"/>
      <c r="BF3057" s="440"/>
      <c r="CB3057" s="436"/>
      <c r="CC3057" s="120"/>
      <c r="CD3057" s="120"/>
      <c r="CE3057" s="467"/>
      <c r="CF3057" s="440"/>
      <c r="DB3057" s="436"/>
      <c r="DC3057" s="120"/>
      <c r="DD3057" s="120"/>
      <c r="DE3057" s="467"/>
      <c r="DF3057" s="440"/>
      <c r="EB3057" s="436"/>
      <c r="EC3057" s="120"/>
      <c r="ED3057" s="120"/>
      <c r="EE3057" s="467"/>
      <c r="EF3057" s="440"/>
    </row>
    <row r="3058" spans="54:136">
      <c r="BB3058" s="436"/>
      <c r="BC3058" s="120"/>
      <c r="BD3058" s="120"/>
      <c r="BE3058" s="467"/>
      <c r="BF3058" s="440"/>
      <c r="CB3058" s="436"/>
      <c r="CC3058" s="120"/>
      <c r="CD3058" s="120"/>
      <c r="CE3058" s="467"/>
      <c r="CF3058" s="440"/>
      <c r="DB3058" s="436"/>
      <c r="DC3058" s="120"/>
      <c r="DD3058" s="120"/>
      <c r="DE3058" s="467"/>
      <c r="DF3058" s="440"/>
      <c r="EB3058" s="436"/>
      <c r="EC3058" s="120"/>
      <c r="ED3058" s="120"/>
      <c r="EE3058" s="467"/>
      <c r="EF3058" s="440"/>
    </row>
    <row r="3059" spans="54:136">
      <c r="BB3059" s="436"/>
      <c r="BC3059" s="120"/>
      <c r="BD3059" s="120"/>
      <c r="BE3059" s="467"/>
      <c r="BF3059" s="440"/>
      <c r="CB3059" s="436"/>
      <c r="CC3059" s="120"/>
      <c r="CD3059" s="120"/>
      <c r="CE3059" s="467"/>
      <c r="CF3059" s="440"/>
      <c r="DB3059" s="436"/>
      <c r="DC3059" s="120"/>
      <c r="DD3059" s="120"/>
      <c r="DE3059" s="467"/>
      <c r="DF3059" s="440"/>
      <c r="EB3059" s="436"/>
      <c r="EC3059" s="120"/>
      <c r="ED3059" s="120"/>
      <c r="EE3059" s="467"/>
      <c r="EF3059" s="440"/>
    </row>
    <row r="3060" spans="54:136">
      <c r="BB3060" s="436"/>
      <c r="BC3060" s="120"/>
      <c r="BD3060" s="120"/>
      <c r="BE3060" s="467"/>
      <c r="BF3060" s="440"/>
      <c r="CB3060" s="436"/>
      <c r="CC3060" s="120"/>
      <c r="CD3060" s="120"/>
      <c r="CE3060" s="467"/>
      <c r="CF3060" s="440"/>
      <c r="DB3060" s="436"/>
      <c r="DC3060" s="120"/>
      <c r="DD3060" s="120"/>
      <c r="DE3060" s="467"/>
      <c r="DF3060" s="440"/>
      <c r="EB3060" s="436"/>
      <c r="EC3060" s="120"/>
      <c r="ED3060" s="120"/>
      <c r="EE3060" s="467"/>
      <c r="EF3060" s="440"/>
    </row>
    <row r="3061" spans="54:136">
      <c r="BB3061" s="436"/>
      <c r="BC3061" s="120"/>
      <c r="BD3061" s="120"/>
      <c r="BE3061" s="467"/>
      <c r="BF3061" s="440"/>
      <c r="CB3061" s="436"/>
      <c r="CC3061" s="120"/>
      <c r="CD3061" s="120"/>
      <c r="CE3061" s="467"/>
      <c r="CF3061" s="440"/>
      <c r="DB3061" s="436"/>
      <c r="DC3061" s="120"/>
      <c r="DD3061" s="120"/>
      <c r="DE3061" s="467"/>
      <c r="DF3061" s="440"/>
      <c r="EB3061" s="436"/>
      <c r="EC3061" s="120"/>
      <c r="ED3061" s="120"/>
      <c r="EE3061" s="467"/>
      <c r="EF3061" s="440"/>
    </row>
    <row r="3062" spans="54:136">
      <c r="BB3062" s="436"/>
      <c r="BC3062" s="120"/>
      <c r="BD3062" s="120"/>
      <c r="BE3062" s="467"/>
      <c r="BF3062" s="440"/>
      <c r="CB3062" s="436"/>
      <c r="CC3062" s="120"/>
      <c r="CD3062" s="120"/>
      <c r="CE3062" s="467"/>
      <c r="CF3062" s="440"/>
      <c r="DB3062" s="436"/>
      <c r="DC3062" s="120"/>
      <c r="DD3062" s="120"/>
      <c r="DE3062" s="467"/>
      <c r="DF3062" s="440"/>
      <c r="EB3062" s="436"/>
      <c r="EC3062" s="120"/>
      <c r="ED3062" s="120"/>
      <c r="EE3062" s="467"/>
      <c r="EF3062" s="440"/>
    </row>
    <row r="3063" spans="54:136">
      <c r="BB3063" s="436"/>
      <c r="BC3063" s="120"/>
      <c r="BD3063" s="120"/>
      <c r="BE3063" s="467"/>
      <c r="BF3063" s="440"/>
      <c r="CB3063" s="436"/>
      <c r="CC3063" s="120"/>
      <c r="CD3063" s="120"/>
      <c r="CE3063" s="467"/>
      <c r="CF3063" s="440"/>
      <c r="DB3063" s="436"/>
      <c r="DC3063" s="120"/>
      <c r="DD3063" s="120"/>
      <c r="DE3063" s="467"/>
      <c r="DF3063" s="440"/>
      <c r="EB3063" s="436"/>
      <c r="EC3063" s="120"/>
      <c r="ED3063" s="120"/>
      <c r="EE3063" s="467"/>
      <c r="EF3063" s="440"/>
    </row>
    <row r="3064" spans="54:136">
      <c r="BB3064" s="436"/>
      <c r="BC3064" s="120"/>
      <c r="BD3064" s="120"/>
      <c r="BE3064" s="467"/>
      <c r="BF3064" s="440"/>
      <c r="CB3064" s="436"/>
      <c r="CC3064" s="120"/>
      <c r="CD3064" s="120"/>
      <c r="CE3064" s="467"/>
      <c r="CF3064" s="440"/>
      <c r="DB3064" s="436"/>
      <c r="DC3064" s="120"/>
      <c r="DD3064" s="120"/>
      <c r="DE3064" s="467"/>
      <c r="DF3064" s="440"/>
      <c r="EB3064" s="436"/>
      <c r="EC3064" s="120"/>
      <c r="ED3064" s="120"/>
      <c r="EE3064" s="467"/>
      <c r="EF3064" s="440"/>
    </row>
    <row r="3065" spans="54:136">
      <c r="BB3065" s="436"/>
      <c r="BC3065" s="120"/>
      <c r="BD3065" s="120"/>
      <c r="BE3065" s="467"/>
      <c r="BF3065" s="440"/>
      <c r="CB3065" s="436"/>
      <c r="CC3065" s="120"/>
      <c r="CD3065" s="120"/>
      <c r="CE3065" s="467"/>
      <c r="CF3065" s="440"/>
      <c r="DB3065" s="436"/>
      <c r="DC3065" s="120"/>
      <c r="DD3065" s="120"/>
      <c r="DE3065" s="467"/>
      <c r="DF3065" s="440"/>
      <c r="EB3065" s="436"/>
      <c r="EC3065" s="120"/>
      <c r="ED3065" s="120"/>
      <c r="EE3065" s="467"/>
      <c r="EF3065" s="440"/>
    </row>
    <row r="3066" spans="54:136">
      <c r="BB3066" s="436"/>
      <c r="BC3066" s="120"/>
      <c r="BD3066" s="120"/>
      <c r="BE3066" s="467"/>
      <c r="BF3066" s="440"/>
      <c r="CB3066" s="436"/>
      <c r="CC3066" s="120"/>
      <c r="CD3066" s="120"/>
      <c r="CE3066" s="467"/>
      <c r="CF3066" s="440"/>
      <c r="DB3066" s="436"/>
      <c r="DC3066" s="120"/>
      <c r="DD3066" s="120"/>
      <c r="DE3066" s="467"/>
      <c r="DF3066" s="440"/>
      <c r="EB3066" s="436"/>
      <c r="EC3066" s="120"/>
      <c r="ED3066" s="120"/>
      <c r="EE3066" s="467"/>
      <c r="EF3066" s="440"/>
    </row>
    <row r="3067" spans="54:136">
      <c r="BB3067" s="456"/>
      <c r="BC3067" s="457"/>
      <c r="BD3067" s="457"/>
      <c r="BE3067" s="477"/>
      <c r="BF3067" s="458"/>
      <c r="CB3067" s="456"/>
      <c r="CC3067" s="457"/>
      <c r="CD3067" s="457"/>
      <c r="CE3067" s="477"/>
      <c r="CF3067" s="458"/>
      <c r="DB3067" s="456"/>
      <c r="DC3067" s="457"/>
      <c r="DD3067" s="457"/>
      <c r="DE3067" s="477"/>
      <c r="DF3067" s="458"/>
      <c r="EB3067" s="456"/>
      <c r="EC3067" s="457"/>
      <c r="ED3067" s="457"/>
      <c r="EE3067" s="477"/>
      <c r="EF3067" s="458"/>
    </row>
    <row r="3068" spans="54:136">
      <c r="BB3068" s="456"/>
      <c r="BC3068" s="457"/>
      <c r="BD3068" s="457"/>
      <c r="BE3068" s="457"/>
      <c r="BF3068" s="458"/>
      <c r="CB3068" s="456"/>
      <c r="CC3068" s="457"/>
      <c r="CD3068" s="457"/>
      <c r="CE3068" s="457"/>
      <c r="CF3068" s="458"/>
      <c r="DB3068" s="456"/>
      <c r="DC3068" s="457"/>
      <c r="DD3068" s="457"/>
      <c r="DE3068" s="457"/>
      <c r="DF3068" s="458"/>
      <c r="EB3068" s="456"/>
      <c r="EC3068" s="457"/>
      <c r="ED3068" s="457"/>
      <c r="EE3068" s="457"/>
      <c r="EF3068" s="458"/>
    </row>
    <row r="3069" spans="54:136">
      <c r="BB3069" s="449" t="s">
        <v>475</v>
      </c>
      <c r="BC3069" s="120"/>
      <c r="BD3069" s="120"/>
      <c r="BE3069" s="120"/>
      <c r="BF3069" s="440"/>
      <c r="CB3069" s="449" t="s">
        <v>475</v>
      </c>
      <c r="CC3069" s="120"/>
      <c r="CD3069" s="120"/>
      <c r="CE3069" s="120"/>
      <c r="CF3069" s="440"/>
      <c r="DB3069" s="449" t="s">
        <v>475</v>
      </c>
      <c r="DC3069" s="120"/>
      <c r="DD3069" s="120"/>
      <c r="DE3069" s="120"/>
      <c r="DF3069" s="440"/>
      <c r="EB3069" s="449" t="s">
        <v>475</v>
      </c>
      <c r="EC3069" s="120"/>
      <c r="ED3069" s="120"/>
      <c r="EE3069" s="120"/>
      <c r="EF3069" s="440"/>
    </row>
    <row r="3070" spans="54:136">
      <c r="BB3070" s="436" t="s">
        <v>509</v>
      </c>
      <c r="BC3070" s="120"/>
      <c r="BD3070" s="120"/>
      <c r="BE3070" s="120"/>
      <c r="BF3070" s="440"/>
      <c r="CB3070" s="436" t="s">
        <v>509</v>
      </c>
      <c r="CC3070" s="120"/>
      <c r="CD3070" s="120"/>
      <c r="CE3070" s="120"/>
      <c r="CF3070" s="440"/>
      <c r="DB3070" s="436" t="s">
        <v>509</v>
      </c>
      <c r="DC3070" s="120"/>
      <c r="DD3070" s="120"/>
      <c r="DE3070" s="120"/>
      <c r="DF3070" s="440"/>
      <c r="EB3070" s="436" t="s">
        <v>509</v>
      </c>
      <c r="EC3070" s="120"/>
      <c r="ED3070" s="120"/>
      <c r="EE3070" s="120"/>
      <c r="EF3070" s="440"/>
    </row>
    <row r="3071" spans="54:136">
      <c r="BB3071" s="436" t="s">
        <v>510</v>
      </c>
      <c r="BC3071" s="120"/>
      <c r="BD3071" s="120"/>
      <c r="BE3071" s="120"/>
      <c r="BF3071" s="440"/>
      <c r="CB3071" s="436" t="s">
        <v>510</v>
      </c>
      <c r="CC3071" s="120"/>
      <c r="CD3071" s="120"/>
      <c r="CE3071" s="120"/>
      <c r="CF3071" s="440"/>
      <c r="DB3071" s="436" t="s">
        <v>510</v>
      </c>
      <c r="DC3071" s="120"/>
      <c r="DD3071" s="120"/>
      <c r="DE3071" s="120"/>
      <c r="DF3071" s="440"/>
      <c r="EB3071" s="436" t="s">
        <v>510</v>
      </c>
      <c r="EC3071" s="120"/>
      <c r="ED3071" s="120"/>
      <c r="EE3071" s="120"/>
      <c r="EF3071" s="440"/>
    </row>
    <row r="3072" spans="54:136">
      <c r="BB3072" s="436"/>
      <c r="BC3072" s="120"/>
      <c r="BD3072" s="120"/>
      <c r="BE3072" s="120"/>
      <c r="BF3072" s="440"/>
      <c r="CB3072" s="436"/>
      <c r="CC3072" s="120"/>
      <c r="CD3072" s="120"/>
      <c r="CE3072" s="120"/>
      <c r="CF3072" s="440"/>
      <c r="DB3072" s="436"/>
      <c r="DC3072" s="120"/>
      <c r="DD3072" s="120"/>
      <c r="DE3072" s="120"/>
      <c r="DF3072" s="440"/>
      <c r="EB3072" s="436"/>
      <c r="EC3072" s="120"/>
      <c r="ED3072" s="120"/>
      <c r="EE3072" s="120"/>
      <c r="EF3072" s="440"/>
    </row>
    <row r="3073" spans="54:136">
      <c r="BB3073" s="436"/>
      <c r="BC3073" s="120"/>
      <c r="BD3073" s="120"/>
      <c r="BE3073" s="120"/>
      <c r="BF3073" s="440"/>
      <c r="CB3073" s="436"/>
      <c r="CC3073" s="120"/>
      <c r="CD3073" s="120"/>
      <c r="CE3073" s="120"/>
      <c r="CF3073" s="440"/>
      <c r="DB3073" s="436"/>
      <c r="DC3073" s="120"/>
      <c r="DD3073" s="120"/>
      <c r="DE3073" s="120"/>
      <c r="DF3073" s="440"/>
      <c r="EB3073" s="436"/>
      <c r="EC3073" s="120"/>
      <c r="ED3073" s="120"/>
      <c r="EE3073" s="120"/>
      <c r="EF3073" s="440"/>
    </row>
    <row r="3074" spans="54:136">
      <c r="BB3074" s="436"/>
      <c r="BC3074" s="120"/>
      <c r="BD3074" s="120"/>
      <c r="BE3074" s="120"/>
      <c r="BF3074" s="440"/>
      <c r="CB3074" s="436"/>
      <c r="CC3074" s="120"/>
      <c r="CD3074" s="120"/>
      <c r="CE3074" s="120"/>
      <c r="CF3074" s="440"/>
      <c r="DB3074" s="436"/>
      <c r="DC3074" s="120"/>
      <c r="DD3074" s="120"/>
      <c r="DE3074" s="120"/>
      <c r="DF3074" s="440"/>
      <c r="EB3074" s="436"/>
      <c r="EC3074" s="120"/>
      <c r="ED3074" s="120"/>
      <c r="EE3074" s="120"/>
      <c r="EF3074" s="440"/>
    </row>
    <row r="3075" spans="54:136">
      <c r="BB3075" s="436"/>
      <c r="BC3075" s="120"/>
      <c r="BD3075" s="120"/>
      <c r="BE3075" s="120"/>
      <c r="BF3075" s="440"/>
      <c r="CB3075" s="436"/>
      <c r="CC3075" s="120"/>
      <c r="CD3075" s="120"/>
      <c r="CE3075" s="120"/>
      <c r="CF3075" s="440"/>
      <c r="DB3075" s="436"/>
      <c r="DC3075" s="120"/>
      <c r="DD3075" s="120"/>
      <c r="DE3075" s="120"/>
      <c r="DF3075" s="440"/>
      <c r="EB3075" s="436"/>
      <c r="EC3075" s="120"/>
      <c r="ED3075" s="120"/>
      <c r="EE3075" s="120"/>
      <c r="EF3075" s="440"/>
    </row>
    <row r="3076" spans="54:136">
      <c r="BB3076" s="436" t="s">
        <v>511</v>
      </c>
      <c r="BC3076" s="120">
        <v>0</v>
      </c>
      <c r="BD3076" s="120" t="s">
        <v>512</v>
      </c>
      <c r="BE3076" s="120"/>
      <c r="BF3076" s="440"/>
      <c r="CB3076" s="436" t="s">
        <v>511</v>
      </c>
      <c r="CC3076" s="120">
        <v>0</v>
      </c>
      <c r="CD3076" s="120" t="s">
        <v>512</v>
      </c>
      <c r="CE3076" s="120"/>
      <c r="CF3076" s="440"/>
      <c r="DB3076" s="436" t="s">
        <v>511</v>
      </c>
      <c r="DC3076" s="120">
        <v>0</v>
      </c>
      <c r="DD3076" s="120" t="s">
        <v>512</v>
      </c>
      <c r="DE3076" s="120"/>
      <c r="DF3076" s="440"/>
      <c r="EB3076" s="436" t="s">
        <v>511</v>
      </c>
      <c r="EC3076" s="120">
        <v>0</v>
      </c>
      <c r="ED3076" s="120" t="s">
        <v>512</v>
      </c>
      <c r="EE3076" s="120"/>
      <c r="EF3076" s="440"/>
    </row>
    <row r="3077" spans="54:136">
      <c r="BB3077" s="436" t="s">
        <v>513</v>
      </c>
      <c r="BC3077" s="120">
        <v>0</v>
      </c>
      <c r="BD3077" s="120" t="s">
        <v>512</v>
      </c>
      <c r="BE3077" s="120"/>
      <c r="BF3077" s="440"/>
      <c r="CB3077" s="436" t="s">
        <v>513</v>
      </c>
      <c r="CC3077" s="120">
        <v>0</v>
      </c>
      <c r="CD3077" s="120" t="s">
        <v>512</v>
      </c>
      <c r="CE3077" s="120"/>
      <c r="CF3077" s="440"/>
      <c r="DB3077" s="436" t="s">
        <v>513</v>
      </c>
      <c r="DC3077" s="120">
        <v>0</v>
      </c>
      <c r="DD3077" s="120" t="s">
        <v>512</v>
      </c>
      <c r="DE3077" s="120"/>
      <c r="DF3077" s="440"/>
      <c r="EB3077" s="436" t="s">
        <v>513</v>
      </c>
      <c r="EC3077" s="120">
        <v>0</v>
      </c>
      <c r="ED3077" s="120" t="s">
        <v>512</v>
      </c>
      <c r="EE3077" s="120"/>
      <c r="EF3077" s="440"/>
    </row>
    <row r="3078" spans="54:136">
      <c r="BB3078" s="456"/>
      <c r="BC3078" s="457"/>
      <c r="BD3078" s="457"/>
      <c r="BE3078" s="457"/>
      <c r="BF3078" s="458"/>
      <c r="CB3078" s="456"/>
      <c r="CC3078" s="457"/>
      <c r="CD3078" s="457"/>
      <c r="CE3078" s="457"/>
      <c r="CF3078" s="458"/>
      <c r="DB3078" s="456"/>
      <c r="DC3078" s="457"/>
      <c r="DD3078" s="457"/>
      <c r="DE3078" s="457"/>
      <c r="DF3078" s="458"/>
      <c r="EB3078" s="456"/>
      <c r="EC3078" s="457"/>
      <c r="ED3078" s="457"/>
      <c r="EE3078" s="457"/>
      <c r="EF3078" s="458"/>
    </row>
    <row r="3079" spans="54:136">
      <c r="BB3079" s="449" t="s">
        <v>461</v>
      </c>
      <c r="BC3079" s="120"/>
      <c r="BD3079" s="120"/>
      <c r="BE3079" s="120"/>
      <c r="BF3079" s="440"/>
      <c r="CB3079" s="449" t="s">
        <v>461</v>
      </c>
      <c r="CC3079" s="120"/>
      <c r="CD3079" s="120"/>
      <c r="CE3079" s="120"/>
      <c r="CF3079" s="440"/>
      <c r="DB3079" s="449" t="s">
        <v>461</v>
      </c>
      <c r="DC3079" s="120"/>
      <c r="DD3079" s="120"/>
      <c r="DE3079" s="120"/>
      <c r="DF3079" s="440"/>
      <c r="EB3079" s="449" t="s">
        <v>461</v>
      </c>
      <c r="EC3079" s="120"/>
      <c r="ED3079" s="120"/>
      <c r="EE3079" s="120"/>
      <c r="EF3079" s="440"/>
    </row>
    <row r="3080" spans="54:136">
      <c r="BB3080" s="436" t="s">
        <v>514</v>
      </c>
      <c r="BC3080" s="120">
        <f>VLOOKUP(BB3008,'Unit Ops'!$B$140:$K$209,10,FALSE)</f>
        <v>0</v>
      </c>
      <c r="BD3080" s="120" t="s">
        <v>515</v>
      </c>
      <c r="BE3080" s="120"/>
      <c r="BF3080" s="440"/>
      <c r="CB3080" s="436" t="s">
        <v>514</v>
      </c>
      <c r="CC3080" s="120">
        <f>VLOOKUP(CB3008,'Unit Ops'!$B$140:$K$209,10,FALSE)</f>
        <v>0</v>
      </c>
      <c r="CD3080" s="120" t="s">
        <v>515</v>
      </c>
      <c r="CE3080" s="120"/>
      <c r="CF3080" s="440"/>
      <c r="DB3080" s="436" t="s">
        <v>514</v>
      </c>
      <c r="DC3080" s="120">
        <f>VLOOKUP(DB3008,'Unit Ops'!$B$140:$K$209,10,FALSE)</f>
        <v>0</v>
      </c>
      <c r="DD3080" s="120" t="s">
        <v>515</v>
      </c>
      <c r="DE3080" s="120"/>
      <c r="DF3080" s="440"/>
      <c r="EB3080" s="436" t="s">
        <v>514</v>
      </c>
      <c r="EC3080" s="120">
        <f>VLOOKUP(EB3008,'Unit Ops'!$B$140:$K$209,10,FALSE)</f>
        <v>0</v>
      </c>
      <c r="ED3080" s="120" t="s">
        <v>515</v>
      </c>
      <c r="EE3080" s="120"/>
      <c r="EF3080" s="440"/>
    </row>
    <row r="3081" spans="54:136">
      <c r="BB3081" s="436" t="s">
        <v>516</v>
      </c>
      <c r="BC3081" s="120">
        <v>0</v>
      </c>
      <c r="BD3081" s="120" t="s">
        <v>515</v>
      </c>
      <c r="BE3081" s="120"/>
      <c r="BF3081" s="440"/>
      <c r="CB3081" s="436" t="s">
        <v>516</v>
      </c>
      <c r="CC3081" s="120">
        <v>0</v>
      </c>
      <c r="CD3081" s="120" t="s">
        <v>515</v>
      </c>
      <c r="CE3081" s="120"/>
      <c r="CF3081" s="440"/>
      <c r="DB3081" s="436" t="s">
        <v>516</v>
      </c>
      <c r="DC3081" s="120">
        <v>0</v>
      </c>
      <c r="DD3081" s="120" t="s">
        <v>515</v>
      </c>
      <c r="DE3081" s="120"/>
      <c r="DF3081" s="440"/>
      <c r="EB3081" s="436" t="s">
        <v>516</v>
      </c>
      <c r="EC3081" s="120">
        <v>0</v>
      </c>
      <c r="ED3081" s="120" t="s">
        <v>515</v>
      </c>
      <c r="EE3081" s="120"/>
      <c r="EF3081" s="440"/>
    </row>
    <row r="3082" spans="54:136">
      <c r="BB3082" s="436"/>
      <c r="BC3082" s="120"/>
      <c r="BD3082" s="120"/>
      <c r="BE3082" s="120"/>
      <c r="BF3082" s="440"/>
      <c r="CB3082" s="436"/>
      <c r="CC3082" s="120"/>
      <c r="CD3082" s="120"/>
      <c r="CE3082" s="120"/>
      <c r="CF3082" s="440"/>
      <c r="DB3082" s="436"/>
      <c r="DC3082" s="120"/>
      <c r="DD3082" s="120"/>
      <c r="DE3082" s="120"/>
      <c r="DF3082" s="440"/>
      <c r="EB3082" s="436"/>
      <c r="EC3082" s="120"/>
      <c r="ED3082" s="120"/>
      <c r="EE3082" s="120"/>
      <c r="EF3082" s="440"/>
    </row>
    <row r="3083" spans="54:136">
      <c r="BB3083" s="436"/>
      <c r="BC3083" s="120"/>
      <c r="BD3083" s="120"/>
      <c r="BE3083" s="120"/>
      <c r="BF3083" s="440"/>
      <c r="CB3083" s="436"/>
      <c r="CC3083" s="120"/>
      <c r="CD3083" s="120"/>
      <c r="CE3083" s="120"/>
      <c r="CF3083" s="440"/>
      <c r="DB3083" s="436"/>
      <c r="DC3083" s="120"/>
      <c r="DD3083" s="120"/>
      <c r="DE3083" s="120"/>
      <c r="DF3083" s="440"/>
      <c r="EB3083" s="436"/>
      <c r="EC3083" s="120"/>
      <c r="ED3083" s="120"/>
      <c r="EE3083" s="120"/>
      <c r="EF3083" s="440"/>
    </row>
    <row r="3084" spans="54:136">
      <c r="BB3084" s="436"/>
      <c r="BC3084" s="120"/>
      <c r="BD3084" s="120"/>
      <c r="BE3084" s="120"/>
      <c r="BF3084" s="440"/>
      <c r="CB3084" s="436"/>
      <c r="CC3084" s="120"/>
      <c r="CD3084" s="120"/>
      <c r="CE3084" s="120"/>
      <c r="CF3084" s="440"/>
      <c r="DB3084" s="436"/>
      <c r="DC3084" s="120"/>
      <c r="DD3084" s="120"/>
      <c r="DE3084" s="120"/>
      <c r="DF3084" s="440"/>
      <c r="EB3084" s="436"/>
      <c r="EC3084" s="120"/>
      <c r="ED3084" s="120"/>
      <c r="EE3084" s="120"/>
      <c r="EF3084" s="440"/>
    </row>
    <row r="3085" spans="54:136">
      <c r="BB3085" s="436"/>
      <c r="BC3085" s="120"/>
      <c r="BD3085" s="120"/>
      <c r="BE3085" s="120"/>
      <c r="BF3085" s="440"/>
      <c r="CB3085" s="436"/>
      <c r="CC3085" s="120"/>
      <c r="CD3085" s="120"/>
      <c r="CE3085" s="120"/>
      <c r="CF3085" s="440"/>
      <c r="DB3085" s="436"/>
      <c r="DC3085" s="120"/>
      <c r="DD3085" s="120"/>
      <c r="DE3085" s="120"/>
      <c r="DF3085" s="440"/>
      <c r="EB3085" s="436"/>
      <c r="EC3085" s="120"/>
      <c r="ED3085" s="120"/>
      <c r="EE3085" s="120"/>
      <c r="EF3085" s="440"/>
    </row>
    <row r="3086" spans="54:136">
      <c r="BB3086" s="436"/>
      <c r="BC3086" s="120"/>
      <c r="BD3086" s="120"/>
      <c r="BE3086" s="120"/>
      <c r="BF3086" s="440"/>
      <c r="CB3086" s="436"/>
      <c r="CC3086" s="120"/>
      <c r="CD3086" s="120"/>
      <c r="CE3086" s="120"/>
      <c r="CF3086" s="440"/>
      <c r="DB3086" s="436"/>
      <c r="DC3086" s="120"/>
      <c r="DD3086" s="120"/>
      <c r="DE3086" s="120"/>
      <c r="DF3086" s="440"/>
      <c r="EB3086" s="436"/>
      <c r="EC3086" s="120"/>
      <c r="ED3086" s="120"/>
      <c r="EE3086" s="120"/>
      <c r="EF3086" s="440"/>
    </row>
    <row r="3087" spans="54:136">
      <c r="BB3087" s="436" t="s">
        <v>464</v>
      </c>
      <c r="BC3087" s="120"/>
      <c r="BD3087" s="120"/>
      <c r="BE3087" s="120"/>
      <c r="BF3087" s="440"/>
      <c r="CB3087" s="436" t="s">
        <v>464</v>
      </c>
      <c r="CC3087" s="120"/>
      <c r="CD3087" s="120"/>
      <c r="CE3087" s="120"/>
      <c r="CF3087" s="440"/>
      <c r="DB3087" s="436" t="s">
        <v>464</v>
      </c>
      <c r="DC3087" s="120"/>
      <c r="DD3087" s="120"/>
      <c r="DE3087" s="120"/>
      <c r="DF3087" s="440"/>
      <c r="EB3087" s="436" t="s">
        <v>464</v>
      </c>
      <c r="EC3087" s="120"/>
      <c r="ED3087" s="120"/>
      <c r="EE3087" s="120"/>
      <c r="EF3087" s="440"/>
    </row>
    <row r="3088" spans="54:136">
      <c r="BB3088" s="456"/>
      <c r="BC3088" s="457"/>
      <c r="BD3088" s="457"/>
      <c r="BE3088" s="457"/>
      <c r="BF3088" s="458"/>
      <c r="CB3088" s="456"/>
      <c r="CC3088" s="457"/>
      <c r="CD3088" s="457"/>
      <c r="CE3088" s="457"/>
      <c r="CF3088" s="458"/>
      <c r="DB3088" s="456"/>
      <c r="DC3088" s="457"/>
      <c r="DD3088" s="457"/>
      <c r="DE3088" s="457"/>
      <c r="DF3088" s="458"/>
      <c r="EB3088" s="456"/>
      <c r="EC3088" s="457"/>
      <c r="ED3088" s="457"/>
      <c r="EE3088" s="457"/>
      <c r="EF3088" s="458"/>
    </row>
    <row r="3089" spans="54:136">
      <c r="BB3089" s="449" t="s">
        <v>472</v>
      </c>
      <c r="BC3089" s="467" t="s">
        <v>517</v>
      </c>
      <c r="BD3089" s="120" t="s">
        <v>518</v>
      </c>
      <c r="BE3089" s="467" t="s">
        <v>519</v>
      </c>
      <c r="BF3089" s="440" t="s">
        <v>518</v>
      </c>
      <c r="CB3089" s="449" t="s">
        <v>472</v>
      </c>
      <c r="CC3089" s="467" t="s">
        <v>517</v>
      </c>
      <c r="CD3089" s="120" t="s">
        <v>518</v>
      </c>
      <c r="CE3089" s="467" t="s">
        <v>519</v>
      </c>
      <c r="CF3089" s="440" t="s">
        <v>518</v>
      </c>
      <c r="DB3089" s="449" t="s">
        <v>472</v>
      </c>
      <c r="DC3089" s="467" t="s">
        <v>517</v>
      </c>
      <c r="DD3089" s="120" t="s">
        <v>518</v>
      </c>
      <c r="DE3089" s="467" t="s">
        <v>519</v>
      </c>
      <c r="DF3089" s="440" t="s">
        <v>518</v>
      </c>
      <c r="EB3089" s="449" t="s">
        <v>472</v>
      </c>
      <c r="EC3089" s="467" t="s">
        <v>517</v>
      </c>
      <c r="ED3089" s="120" t="s">
        <v>518</v>
      </c>
      <c r="EE3089" s="467" t="s">
        <v>519</v>
      </c>
      <c r="EF3089" s="440" t="s">
        <v>518</v>
      </c>
    </row>
    <row r="3090" spans="54:136">
      <c r="BB3090" s="436" t="s">
        <v>520</v>
      </c>
      <c r="BC3090" s="120"/>
      <c r="BD3090" s="120"/>
      <c r="BE3090" s="472">
        <f>((VLOOKUP(BB3008,'Unit Ops'!$B$140:$J$209,3,FALSE)*BC3010^VLOOKUP(BB3008,'Unit Ops'!$B$140:$J$209,4,FALSE)+VLOOKUP(BB3008,'Unit Ops'!$B$140:$J$209,5,FALSE))*VLOOKUP(BB3008,'Unit Ops'!$B$140:$J$209,6,FALSE))*IF(VLOOKUP(BB3008,'Unit Ops'!$B$140:$L$209,11,FALSE)=1,1,2)</f>
        <v>0</v>
      </c>
      <c r="BF3090" s="490">
        <f>$C$7</f>
        <v>2022</v>
      </c>
      <c r="CB3090" s="436" t="s">
        <v>520</v>
      </c>
      <c r="CC3090" s="120"/>
      <c r="CD3090" s="120"/>
      <c r="CE3090" s="472">
        <f>((VLOOKUP(CB3008,'Unit Ops'!$B$140:$J$209,3,FALSE)*CC3010^VLOOKUP(CB3008,'Unit Ops'!$B$140:$J$209,4,FALSE)+VLOOKUP(CB3008,'Unit Ops'!$B$140:$J$209,5,FALSE))*VLOOKUP(CB3008,'Unit Ops'!$B$140:$J$209,6,FALSE))*IF(VLOOKUP(CB3008,'Unit Ops'!$B$140:$L$209,11,FALSE)=1,1,2)</f>
        <v>0</v>
      </c>
      <c r="CF3090" s="490">
        <f>$C$7</f>
        <v>2022</v>
      </c>
      <c r="DB3090" s="436" t="s">
        <v>520</v>
      </c>
      <c r="DC3090" s="120"/>
      <c r="DD3090" s="120"/>
      <c r="DE3090" s="472">
        <f>((VLOOKUP(DB3008,'Unit Ops'!$B$140:$J$209,3,FALSE)*DC3010^VLOOKUP(DB3008,'Unit Ops'!$B$140:$J$209,4,FALSE)+VLOOKUP(DB3008,'Unit Ops'!$B$140:$J$209,5,FALSE))*VLOOKUP(DB3008,'Unit Ops'!$B$140:$J$209,6,FALSE))*IF(VLOOKUP(DB3008,'Unit Ops'!$B$140:$L$209,11,FALSE)=1,1,2)</f>
        <v>0</v>
      </c>
      <c r="DF3090" s="490">
        <f>$C$7</f>
        <v>2022</v>
      </c>
      <c r="EB3090" s="436" t="s">
        <v>520</v>
      </c>
      <c r="EC3090" s="120"/>
      <c r="ED3090" s="120"/>
      <c r="EE3090" s="472">
        <f>((VLOOKUP(EB3008,'Unit Ops'!$B$140:$J$209,3,FALSE)*EC3010^VLOOKUP(EB3008,'Unit Ops'!$B$140:$J$209,4,FALSE)+VLOOKUP(EB3008,'Unit Ops'!$B$140:$J$209,5,FALSE))*VLOOKUP(EB3008,'Unit Ops'!$B$140:$J$209,6,FALSE))*IF(VLOOKUP(EB3008,'Unit Ops'!$B$140:$L$209,11,FALSE)=1,1,2)</f>
        <v>0</v>
      </c>
      <c r="EF3090" s="490">
        <f>$C$7</f>
        <v>2022</v>
      </c>
    </row>
    <row r="3091" spans="54:136">
      <c r="BB3091" s="436"/>
      <c r="BC3091" s="120"/>
      <c r="BD3091" s="120"/>
      <c r="BE3091" s="120"/>
      <c r="BF3091" s="440"/>
      <c r="CB3091" s="436"/>
      <c r="CC3091" s="120"/>
      <c r="CD3091" s="120"/>
      <c r="CE3091" s="120"/>
      <c r="CF3091" s="440"/>
      <c r="DB3091" s="436"/>
      <c r="DC3091" s="120"/>
      <c r="DD3091" s="120"/>
      <c r="DE3091" s="120"/>
      <c r="DF3091" s="440"/>
      <c r="EB3091" s="436"/>
      <c r="EC3091" s="120"/>
      <c r="ED3091" s="120"/>
      <c r="EE3091" s="120"/>
      <c r="EF3091" s="440"/>
    </row>
    <row r="3092" spans="54:136">
      <c r="BB3092" s="436"/>
      <c r="BC3092" s="120"/>
      <c r="BD3092" s="120"/>
      <c r="BE3092" s="120"/>
      <c r="BF3092" s="440"/>
      <c r="CB3092" s="436"/>
      <c r="CC3092" s="120"/>
      <c r="CD3092" s="120"/>
      <c r="CE3092" s="120"/>
      <c r="CF3092" s="440"/>
      <c r="DB3092" s="436"/>
      <c r="DC3092" s="120"/>
      <c r="DD3092" s="120"/>
      <c r="DE3092" s="120"/>
      <c r="DF3092" s="440"/>
      <c r="EB3092" s="436"/>
      <c r="EC3092" s="120"/>
      <c r="ED3092" s="120"/>
      <c r="EE3092" s="120"/>
      <c r="EF3092" s="440"/>
    </row>
    <row r="3093" spans="54:136">
      <c r="BB3093" s="436"/>
      <c r="BC3093" s="120"/>
      <c r="BD3093" s="120"/>
      <c r="BE3093" s="120"/>
      <c r="BF3093" s="440"/>
      <c r="CB3093" s="436"/>
      <c r="CC3093" s="120"/>
      <c r="CD3093" s="120"/>
      <c r="CE3093" s="120"/>
      <c r="CF3093" s="440"/>
      <c r="DB3093" s="436"/>
      <c r="DC3093" s="120"/>
      <c r="DD3093" s="120"/>
      <c r="DE3093" s="120"/>
      <c r="DF3093" s="440"/>
      <c r="EB3093" s="436"/>
      <c r="EC3093" s="120"/>
      <c r="ED3093" s="120"/>
      <c r="EE3093" s="120"/>
      <c r="EF3093" s="440"/>
    </row>
    <row r="3094" spans="54:136">
      <c r="BB3094" s="436"/>
      <c r="BC3094" s="120"/>
      <c r="BD3094" s="120"/>
      <c r="BE3094" s="120"/>
      <c r="BF3094" s="440"/>
      <c r="CB3094" s="436"/>
      <c r="CC3094" s="120"/>
      <c r="CD3094" s="120"/>
      <c r="CE3094" s="120"/>
      <c r="CF3094" s="440"/>
      <c r="DB3094" s="436"/>
      <c r="DC3094" s="120"/>
      <c r="DD3094" s="120"/>
      <c r="DE3094" s="120"/>
      <c r="DF3094" s="440"/>
      <c r="EB3094" s="436"/>
      <c r="EC3094" s="120"/>
      <c r="ED3094" s="120"/>
      <c r="EE3094" s="120"/>
      <c r="EF3094" s="440"/>
    </row>
    <row r="3095" spans="54:136">
      <c r="BB3095" s="436"/>
      <c r="BC3095" s="120"/>
      <c r="BD3095" s="120"/>
      <c r="BE3095" s="120"/>
      <c r="BF3095" s="440"/>
      <c r="CB3095" s="436"/>
      <c r="CC3095" s="120"/>
      <c r="CD3095" s="120"/>
      <c r="CE3095" s="120"/>
      <c r="CF3095" s="440"/>
      <c r="DB3095" s="436"/>
      <c r="DC3095" s="120"/>
      <c r="DD3095" s="120"/>
      <c r="DE3095" s="120"/>
      <c r="DF3095" s="440"/>
      <c r="EB3095" s="436"/>
      <c r="EC3095" s="120"/>
      <c r="ED3095" s="120"/>
      <c r="EE3095" s="120"/>
      <c r="EF3095" s="440"/>
    </row>
    <row r="3096" spans="54:136">
      <c r="BB3096" s="436"/>
      <c r="BC3096" s="120"/>
      <c r="BD3096" s="120"/>
      <c r="BE3096" s="120"/>
      <c r="BF3096" s="440"/>
      <c r="CB3096" s="436"/>
      <c r="CC3096" s="120"/>
      <c r="CD3096" s="120"/>
      <c r="CE3096" s="120"/>
      <c r="CF3096" s="440"/>
      <c r="DB3096" s="436"/>
      <c r="DC3096" s="120"/>
      <c r="DD3096" s="120"/>
      <c r="DE3096" s="120"/>
      <c r="DF3096" s="440"/>
      <c r="EB3096" s="436"/>
      <c r="EC3096" s="120"/>
      <c r="ED3096" s="120"/>
      <c r="EE3096" s="120"/>
      <c r="EF3096" s="440"/>
    </row>
    <row r="3097" spans="54:136">
      <c r="BB3097" s="436"/>
      <c r="BC3097" s="120"/>
      <c r="BD3097" s="120"/>
      <c r="BE3097" s="120"/>
      <c r="BF3097" s="440"/>
      <c r="CB3097" s="436"/>
      <c r="CC3097" s="120"/>
      <c r="CD3097" s="120"/>
      <c r="CE3097" s="120"/>
      <c r="CF3097" s="440"/>
      <c r="DB3097" s="436"/>
      <c r="DC3097" s="120"/>
      <c r="DD3097" s="120"/>
      <c r="DE3097" s="120"/>
      <c r="DF3097" s="440"/>
      <c r="EB3097" s="436"/>
      <c r="EC3097" s="120"/>
      <c r="ED3097" s="120"/>
      <c r="EE3097" s="120"/>
      <c r="EF3097" s="440"/>
    </row>
    <row r="3098" spans="54:136">
      <c r="BB3098" s="436"/>
      <c r="BC3098" s="120"/>
      <c r="BD3098" s="120"/>
      <c r="BE3098" s="120"/>
      <c r="BF3098" s="440"/>
      <c r="CB3098" s="436"/>
      <c r="CC3098" s="120"/>
      <c r="CD3098" s="120"/>
      <c r="CE3098" s="120"/>
      <c r="CF3098" s="440"/>
      <c r="DB3098" s="436"/>
      <c r="DC3098" s="120"/>
      <c r="DD3098" s="120"/>
      <c r="DE3098" s="120"/>
      <c r="DF3098" s="440"/>
      <c r="EB3098" s="436"/>
      <c r="EC3098" s="120"/>
      <c r="ED3098" s="120"/>
      <c r="EE3098" s="120"/>
      <c r="EF3098" s="440"/>
    </row>
    <row r="3099" spans="54:136">
      <c r="BB3099" s="436"/>
      <c r="BC3099" s="120"/>
      <c r="BD3099" s="120"/>
      <c r="BE3099" s="120"/>
      <c r="BF3099" s="440"/>
      <c r="CB3099" s="436"/>
      <c r="CC3099" s="120"/>
      <c r="CD3099" s="120"/>
      <c r="CE3099" s="120"/>
      <c r="CF3099" s="440"/>
      <c r="DB3099" s="436"/>
      <c r="DC3099" s="120"/>
      <c r="DD3099" s="120"/>
      <c r="DE3099" s="120"/>
      <c r="DF3099" s="440"/>
      <c r="EB3099" s="436"/>
      <c r="EC3099" s="120"/>
      <c r="ED3099" s="120"/>
      <c r="EE3099" s="120"/>
      <c r="EF3099" s="440"/>
    </row>
    <row r="3100" spans="54:136">
      <c r="BB3100" s="436"/>
      <c r="BC3100" s="120"/>
      <c r="BD3100" s="120"/>
      <c r="BE3100" s="120"/>
      <c r="BF3100" s="440"/>
      <c r="CB3100" s="436"/>
      <c r="CC3100" s="120"/>
      <c r="CD3100" s="120"/>
      <c r="CE3100" s="120"/>
      <c r="CF3100" s="440"/>
      <c r="DB3100" s="436"/>
      <c r="DC3100" s="120"/>
      <c r="DD3100" s="120"/>
      <c r="DE3100" s="120"/>
      <c r="DF3100" s="440"/>
      <c r="EB3100" s="436"/>
      <c r="EC3100" s="120"/>
      <c r="ED3100" s="120"/>
      <c r="EE3100" s="120"/>
      <c r="EF3100" s="440"/>
    </row>
    <row r="3101" spans="54:136">
      <c r="BB3101" s="436"/>
      <c r="BC3101" s="120"/>
      <c r="BD3101" s="120"/>
      <c r="BE3101" s="120"/>
      <c r="BF3101" s="440"/>
      <c r="CB3101" s="436"/>
      <c r="CC3101" s="120"/>
      <c r="CD3101" s="120"/>
      <c r="CE3101" s="120"/>
      <c r="CF3101" s="440"/>
      <c r="DB3101" s="436"/>
      <c r="DC3101" s="120"/>
      <c r="DD3101" s="120"/>
      <c r="DE3101" s="120"/>
      <c r="DF3101" s="440"/>
      <c r="EB3101" s="436"/>
      <c r="EC3101" s="120"/>
      <c r="ED3101" s="120"/>
      <c r="EE3101" s="120"/>
      <c r="EF3101" s="440"/>
    </row>
    <row r="3102" spans="54:136">
      <c r="BB3102" s="436"/>
      <c r="BC3102" s="120"/>
      <c r="BD3102" s="120"/>
      <c r="BE3102" s="120"/>
      <c r="BF3102" s="440"/>
      <c r="CB3102" s="436"/>
      <c r="CC3102" s="120"/>
      <c r="CD3102" s="120"/>
      <c r="CE3102" s="120"/>
      <c r="CF3102" s="440"/>
      <c r="DB3102" s="436"/>
      <c r="DC3102" s="120"/>
      <c r="DD3102" s="120"/>
      <c r="DE3102" s="120"/>
      <c r="DF3102" s="440"/>
      <c r="EB3102" s="436"/>
      <c r="EC3102" s="120"/>
      <c r="ED3102" s="120"/>
      <c r="EE3102" s="120"/>
      <c r="EF3102" s="440"/>
    </row>
    <row r="3103" spans="54:136">
      <c r="BB3103" s="436"/>
      <c r="BC3103" s="120"/>
      <c r="BD3103" s="120"/>
      <c r="BE3103" s="120"/>
      <c r="BF3103" s="440"/>
      <c r="CB3103" s="436"/>
      <c r="CC3103" s="120"/>
      <c r="CD3103" s="120"/>
      <c r="CE3103" s="120"/>
      <c r="CF3103" s="440"/>
      <c r="DB3103" s="436"/>
      <c r="DC3103" s="120"/>
      <c r="DD3103" s="120"/>
      <c r="DE3103" s="120"/>
      <c r="DF3103" s="440"/>
      <c r="EB3103" s="436"/>
      <c r="EC3103" s="120"/>
      <c r="ED3103" s="120"/>
      <c r="EE3103" s="120"/>
      <c r="EF3103" s="440"/>
    </row>
    <row r="3104" spans="54:136" ht="14.5" thickBot="1">
      <c r="BB3104" s="492"/>
      <c r="BC3104" s="493"/>
      <c r="BD3104" s="493"/>
      <c r="BE3104" s="493"/>
      <c r="BF3104" s="453"/>
      <c r="CB3104" s="492"/>
      <c r="CC3104" s="493"/>
      <c r="CD3104" s="493"/>
      <c r="CE3104" s="493"/>
      <c r="CF3104" s="453"/>
      <c r="DB3104" s="492"/>
      <c r="DC3104" s="493"/>
      <c r="DD3104" s="493"/>
      <c r="DE3104" s="493"/>
      <c r="DF3104" s="453"/>
      <c r="EB3104" s="492"/>
      <c r="EC3104" s="493"/>
      <c r="ED3104" s="493"/>
      <c r="EE3104" s="493"/>
      <c r="EF3104" s="453"/>
    </row>
    <row r="3107" spans="53:136" ht="14.5" thickBot="1"/>
    <row r="3108" spans="53:136">
      <c r="BA3108" s="114" t="s">
        <v>478</v>
      </c>
      <c r="BB3108" s="431" t="str">
        <f>BB80</f>
        <v>Select Equipment</v>
      </c>
      <c r="BC3108" s="432"/>
      <c r="BD3108" s="433"/>
      <c r="BE3108" s="434"/>
      <c r="BF3108" s="435"/>
      <c r="CA3108" s="114" t="s">
        <v>478</v>
      </c>
      <c r="CB3108" s="431" t="str">
        <f>CB80</f>
        <v>Select Equipment</v>
      </c>
      <c r="CC3108" s="432"/>
      <c r="CD3108" s="433"/>
      <c r="CE3108" s="434"/>
      <c r="CF3108" s="435"/>
      <c r="DA3108" s="114" t="s">
        <v>478</v>
      </c>
      <c r="DB3108" s="431" t="str">
        <f>DB80</f>
        <v>Select Equipment</v>
      </c>
      <c r="DC3108" s="432"/>
      <c r="DD3108" s="433"/>
      <c r="DE3108" s="434"/>
      <c r="DF3108" s="435"/>
      <c r="EA3108" s="114" t="s">
        <v>478</v>
      </c>
      <c r="EB3108" s="431" t="str">
        <f>EB82</f>
        <v>Select Equipment</v>
      </c>
      <c r="EC3108" s="432"/>
      <c r="ED3108" s="433"/>
      <c r="EE3108" s="434"/>
      <c r="EF3108" s="435"/>
    </row>
    <row r="3109" spans="53:136">
      <c r="BA3109" s="114" t="s">
        <v>5</v>
      </c>
      <c r="BB3109" s="436" t="s">
        <v>1</v>
      </c>
      <c r="BC3109" s="437">
        <f>BC$25/BC$22/BC$21*VLOOKUP(BB3108,'Unit Ops'!$B$140:$J$209,2,FALSE)</f>
        <v>0.92592592592592593</v>
      </c>
      <c r="BD3109" s="438" t="s">
        <v>586</v>
      </c>
      <c r="BE3109" s="1027">
        <f>BC3109*BC$310*BC$311</f>
        <v>10000</v>
      </c>
      <c r="BF3109" s="439" t="s">
        <v>585</v>
      </c>
      <c r="CA3109" s="114" t="s">
        <v>5</v>
      </c>
      <c r="CB3109" s="436" t="s">
        <v>1</v>
      </c>
      <c r="CC3109" s="437">
        <f>CC$25/CC$22/CC$21*VLOOKUP(CB3108,'Unit Ops'!$B$140:$J$209,2,FALSE)</f>
        <v>0.91324200913242004</v>
      </c>
      <c r="CD3109" s="438" t="s">
        <v>586</v>
      </c>
      <c r="CE3109" s="1027">
        <f>CC3109*CC$310*CC$311</f>
        <v>10000</v>
      </c>
      <c r="CF3109" s="439" t="s">
        <v>585</v>
      </c>
      <c r="DA3109" s="114" t="s">
        <v>5</v>
      </c>
      <c r="DB3109" s="436" t="s">
        <v>1</v>
      </c>
      <c r="DC3109" s="437">
        <f>DC$25/DC$22/DC$21*VLOOKUP(DB3108,'Unit Ops'!$B$140:$J$209,2,FALSE)</f>
        <v>0.92592592592592593</v>
      </c>
      <c r="DD3109" s="438" t="s">
        <v>586</v>
      </c>
      <c r="DE3109" s="1027">
        <f>DC3109*DC$310*DC$311</f>
        <v>10000</v>
      </c>
      <c r="DF3109" s="439" t="s">
        <v>585</v>
      </c>
      <c r="EA3109" s="114" t="s">
        <v>5</v>
      </c>
      <c r="EB3109" s="436" t="s">
        <v>1</v>
      </c>
      <c r="EC3109" s="437">
        <f>EC$26/EC$23/EC$22*VLOOKUP(EB3108,'Unit Ops'!$B$140:$J$209,2,FALSE)</f>
        <v>1.3020833333333333</v>
      </c>
      <c r="ED3109" s="438" t="s">
        <v>586</v>
      </c>
      <c r="EE3109" s="1027">
        <f>EC3109*EC$310*EC$311</f>
        <v>10000</v>
      </c>
      <c r="EF3109" s="439" t="s">
        <v>585</v>
      </c>
    </row>
    <row r="3110" spans="53:136">
      <c r="BA3110" s="114" t="str">
        <f>$BB$54</f>
        <v>Hopper</v>
      </c>
      <c r="BB3110" s="436" t="s">
        <v>505</v>
      </c>
      <c r="BC3110" s="437">
        <f>ROUNDUP(BC3109*IF(VLOOKUP(BB3108,'Unit Ops'!$B$140:$L$209,11,FALSE)=1,1.5,0.75),1)</f>
        <v>0.7</v>
      </c>
      <c r="BD3110" s="438" t="s">
        <v>586</v>
      </c>
      <c r="BE3110" s="120">
        <f>BC3110*BC$310*BC$311</f>
        <v>7560</v>
      </c>
      <c r="BF3110" s="439" t="s">
        <v>585</v>
      </c>
      <c r="CA3110" s="114" t="str">
        <f>$CB$54</f>
        <v>Conveyor</v>
      </c>
      <c r="CB3110" s="436" t="s">
        <v>505</v>
      </c>
      <c r="CC3110" s="437">
        <f>ROUNDUP(CC3109*IF(VLOOKUP(CB3108,'Unit Ops'!$B$140:$L$209,11,FALSE)=1,1.5,0.75),1)</f>
        <v>0.7</v>
      </c>
      <c r="CD3110" s="438" t="s">
        <v>586</v>
      </c>
      <c r="CE3110" s="120">
        <f>CC3110*CC$310*CC$311</f>
        <v>7665</v>
      </c>
      <c r="CF3110" s="439" t="s">
        <v>585</v>
      </c>
      <c r="DA3110" s="114" t="str">
        <f>$DB$54</f>
        <v>Conveyor</v>
      </c>
      <c r="DB3110" s="436" t="s">
        <v>505</v>
      </c>
      <c r="DC3110" s="437">
        <f>ROUNDUP(DC3109*IF(VLOOKUP(DB3108,'Unit Ops'!$B$140:$L$209,11,FALSE)=1,1.5,0.75),1)</f>
        <v>0.7</v>
      </c>
      <c r="DD3110" s="438" t="s">
        <v>586</v>
      </c>
      <c r="DE3110" s="120">
        <f>DC3110*DC$310*DC$311</f>
        <v>7560</v>
      </c>
      <c r="DF3110" s="439" t="s">
        <v>585</v>
      </c>
      <c r="EA3110" s="114" t="str">
        <f>$EB$56</f>
        <v>Conveyor</v>
      </c>
      <c r="EB3110" s="436" t="s">
        <v>505</v>
      </c>
      <c r="EC3110" s="437">
        <f>ROUNDUP(EC3109*IF(VLOOKUP(EB3108,'Unit Ops'!$B$140:$L$209,11,FALSE)=1,1.5,0.75),1)</f>
        <v>1</v>
      </c>
      <c r="ED3110" s="438" t="s">
        <v>586</v>
      </c>
      <c r="EE3110" s="120">
        <f>EC3110*EC$310*EC$311</f>
        <v>7680</v>
      </c>
      <c r="EF3110" s="439" t="s">
        <v>585</v>
      </c>
    </row>
    <row r="3111" spans="53:136">
      <c r="BA3111" s="114" t="str">
        <f>$BB$55</f>
        <v>Conveyor</v>
      </c>
      <c r="BB3111" s="441" t="s">
        <v>521</v>
      </c>
      <c r="BC3111" s="442">
        <f>BC3109/BC3110</f>
        <v>1.3227513227513228</v>
      </c>
      <c r="BD3111" s="438"/>
      <c r="BE3111" s="443"/>
      <c r="BF3111" s="440"/>
      <c r="CA3111" s="114" t="str">
        <f>$CB$55</f>
        <v>Leaching tank</v>
      </c>
      <c r="CB3111" s="441" t="s">
        <v>521</v>
      </c>
      <c r="CC3111" s="442">
        <f>CC3109/CC3110</f>
        <v>1.3046314416177429</v>
      </c>
      <c r="CD3111" s="438"/>
      <c r="CE3111" s="443"/>
      <c r="CF3111" s="440"/>
      <c r="DA3111" s="114" t="str">
        <f>$DB$55</f>
        <v>Froth flotation cell</v>
      </c>
      <c r="DB3111" s="441" t="s">
        <v>521</v>
      </c>
      <c r="DC3111" s="442">
        <f>DC3109/DC3110</f>
        <v>1.3227513227513228</v>
      </c>
      <c r="DD3111" s="438"/>
      <c r="DE3111" s="443"/>
      <c r="DF3111" s="440"/>
      <c r="EA3111" s="114" t="str">
        <f>$EB$57</f>
        <v>Leaching tank</v>
      </c>
      <c r="EB3111" s="441" t="s">
        <v>521</v>
      </c>
      <c r="EC3111" s="442">
        <f>EC3109/EC3110</f>
        <v>1.3020833333333333</v>
      </c>
      <c r="ED3111" s="438"/>
      <c r="EE3111" s="443"/>
      <c r="EF3111" s="440"/>
    </row>
    <row r="3112" spans="53:136">
      <c r="BA3112" s="114" t="str">
        <f>$BB$56</f>
        <v>Smelter</v>
      </c>
      <c r="BB3112" s="441" t="s">
        <v>506</v>
      </c>
      <c r="BC3112" s="445"/>
      <c r="BD3112" s="438" t="s">
        <v>454</v>
      </c>
      <c r="BE3112" s="443"/>
      <c r="BF3112" s="440"/>
      <c r="CA3112" s="114" t="str">
        <f>$CB$56</f>
        <v>Mixing tank</v>
      </c>
      <c r="CB3112" s="441" t="s">
        <v>506</v>
      </c>
      <c r="CC3112" s="445"/>
      <c r="CD3112" s="438" t="s">
        <v>454</v>
      </c>
      <c r="CE3112" s="443"/>
      <c r="CF3112" s="440"/>
      <c r="DA3112" s="114" t="str">
        <f>$DB$56</f>
        <v>Filter press</v>
      </c>
      <c r="DB3112" s="441" t="s">
        <v>506</v>
      </c>
      <c r="DC3112" s="445"/>
      <c r="DD3112" s="438" t="s">
        <v>454</v>
      </c>
      <c r="DE3112" s="443"/>
      <c r="DF3112" s="440"/>
      <c r="EA3112" s="114" t="str">
        <f>$EB$58</f>
        <v>Mixing tank</v>
      </c>
      <c r="EB3112" s="441" t="s">
        <v>506</v>
      </c>
      <c r="EC3112" s="445"/>
      <c r="ED3112" s="438" t="s">
        <v>454</v>
      </c>
      <c r="EE3112" s="443"/>
      <c r="EF3112" s="440"/>
    </row>
    <row r="3113" spans="53:136">
      <c r="BA3113" s="114" t="str">
        <f>$BB$57</f>
        <v>Gas treatment</v>
      </c>
      <c r="BB3113" s="436" t="s">
        <v>507</v>
      </c>
      <c r="BC3113" s="225">
        <f>(VLOOKUP(BB3108,'Unit Ops'!$B$140:$J$209,7,FALSE)*BC3110^VLOOKUP(BB3108,'Unit Ops'!$B$140:$J$209,8,FALSE)+VLOOKUP(BB3108,'Unit Ops'!$B$140:$J$209,9,FALSE))*IF(VLOOKUP(BB3108,'Unit Ops'!$B$140:$L$209,11,FALSE)=1,1,2)</f>
        <v>0</v>
      </c>
      <c r="BD3113" s="446" t="s">
        <v>454</v>
      </c>
      <c r="BE3113" s="443"/>
      <c r="BF3113" s="440"/>
      <c r="CA3113" s="114" t="str">
        <f>$CB$57</f>
        <v>Filter press</v>
      </c>
      <c r="CB3113" s="436" t="s">
        <v>507</v>
      </c>
      <c r="CC3113" s="225">
        <f>(VLOOKUP(CB3108,'Unit Ops'!$B$140:$J$209,7,FALSE)*CC3110^VLOOKUP(CB3108,'Unit Ops'!$B$140:$J$209,8,FALSE)+VLOOKUP(CB3108,'Unit Ops'!$B$140:$J$209,9,FALSE))*IF(VLOOKUP(CB3108,'Unit Ops'!$B$140:$L$209,11,FALSE)=1,1,2)</f>
        <v>0</v>
      </c>
      <c r="CD3113" s="446" t="s">
        <v>454</v>
      </c>
      <c r="CE3113" s="443"/>
      <c r="CF3113" s="440"/>
      <c r="DA3113" s="114" t="str">
        <f>$DB$57</f>
        <v>Froth flotation cell</v>
      </c>
      <c r="DB3113" s="436" t="s">
        <v>507</v>
      </c>
      <c r="DC3113" s="225">
        <f>(VLOOKUP(DB3108,'Unit Ops'!$B$140:$J$209,7,FALSE)*DC3110^VLOOKUP(DB3108,'Unit Ops'!$B$140:$J$209,8,FALSE)+VLOOKUP(DB3108,'Unit Ops'!$B$140:$J$209,9,FALSE))*IF(VLOOKUP(DB3108,'Unit Ops'!$B$140:$L$209,11,FALSE)=1,1,2)</f>
        <v>0</v>
      </c>
      <c r="DD3113" s="446" t="s">
        <v>454</v>
      </c>
      <c r="DE3113" s="443"/>
      <c r="DF3113" s="440"/>
      <c r="EA3113" s="114" t="str">
        <f>$EB$59</f>
        <v>Filter press</v>
      </c>
      <c r="EB3113" s="436" t="s">
        <v>507</v>
      </c>
      <c r="EC3113" s="225">
        <f>(VLOOKUP(EB3108,'Unit Ops'!$B$140:$J$209,7,FALSE)*EC3110^VLOOKUP(EB3108,'Unit Ops'!$B$140:$J$209,8,FALSE)+VLOOKUP(EB3108,'Unit Ops'!$B$140:$J$209,9,FALSE))*IF(VLOOKUP(EB3108,'Unit Ops'!$B$140:$L$209,11,FALSE)=1,1,2)</f>
        <v>0</v>
      </c>
      <c r="ED3113" s="446" t="s">
        <v>454</v>
      </c>
      <c r="EE3113" s="443"/>
      <c r="EF3113" s="440"/>
    </row>
    <row r="3114" spans="53:136">
      <c r="BA3114" s="114" t="str">
        <f>$BB$58</f>
        <v>Conveyor</v>
      </c>
      <c r="BB3114" s="441"/>
      <c r="BC3114" s="445"/>
      <c r="BD3114" s="447"/>
      <c r="BE3114" s="443"/>
      <c r="BF3114" s="440"/>
      <c r="CA3114" s="114" t="str">
        <f>$CB$58</f>
        <v>Solvent extraction unit</v>
      </c>
      <c r="CB3114" s="441"/>
      <c r="CC3114" s="445"/>
      <c r="CD3114" s="447"/>
      <c r="CE3114" s="443"/>
      <c r="CF3114" s="440"/>
      <c r="DA3114" s="114" t="str">
        <f>$DB$58</f>
        <v>Filter press</v>
      </c>
      <c r="DB3114" s="441"/>
      <c r="DC3114" s="445"/>
      <c r="DD3114" s="447"/>
      <c r="DE3114" s="443"/>
      <c r="DF3114" s="440"/>
      <c r="EA3114" s="114" t="str">
        <f>$EB$60</f>
        <v>Solvent extraction unit</v>
      </c>
      <c r="EB3114" s="441"/>
      <c r="EC3114" s="445"/>
      <c r="ED3114" s="447"/>
      <c r="EE3114" s="443"/>
      <c r="EF3114" s="440"/>
    </row>
    <row r="3115" spans="53:136">
      <c r="BA3115" s="114" t="str">
        <f>$BB$59</f>
        <v>Granulator</v>
      </c>
      <c r="BB3115" s="441"/>
      <c r="BC3115" s="445"/>
      <c r="BD3115" s="447"/>
      <c r="BE3115" s="443"/>
      <c r="BF3115" s="440"/>
      <c r="CA3115" s="114" t="str">
        <f>$CB$59</f>
        <v>Solvent extraction unit</v>
      </c>
      <c r="CB3115" s="441"/>
      <c r="CC3115" s="445"/>
      <c r="CD3115" s="447"/>
      <c r="CE3115" s="443"/>
      <c r="CF3115" s="440"/>
      <c r="DA3115" s="114" t="str">
        <f>$DB$59</f>
        <v>Dryer</v>
      </c>
      <c r="DB3115" s="441"/>
      <c r="DC3115" s="445"/>
      <c r="DD3115" s="447"/>
      <c r="DE3115" s="443"/>
      <c r="DF3115" s="440"/>
      <c r="EA3115" s="114" t="str">
        <f>$EB$61</f>
        <v>Solvent extraction unit</v>
      </c>
      <c r="EB3115" s="441"/>
      <c r="EC3115" s="445"/>
      <c r="ED3115" s="447"/>
      <c r="EE3115" s="443"/>
      <c r="EF3115" s="440"/>
    </row>
    <row r="3116" spans="53:136">
      <c r="BA3116" s="114" t="str">
        <f>$BB$60</f>
        <v>Leaching tank</v>
      </c>
      <c r="BB3116" s="449"/>
      <c r="BC3116" s="445"/>
      <c r="BD3116" s="447"/>
      <c r="BE3116" s="443"/>
      <c r="BF3116" s="440"/>
      <c r="CA3116" s="114" t="str">
        <f>$CB$60</f>
        <v>Solvent extraction unit</v>
      </c>
      <c r="CB3116" s="449"/>
      <c r="CC3116" s="445"/>
      <c r="CD3116" s="447"/>
      <c r="CE3116" s="443"/>
      <c r="CF3116" s="440"/>
      <c r="DA3116" s="114" t="str">
        <f>$DB$60</f>
        <v>Ball mill</v>
      </c>
      <c r="DB3116" s="449"/>
      <c r="DC3116" s="445"/>
      <c r="DD3116" s="447"/>
      <c r="DE3116" s="443"/>
      <c r="DF3116" s="440"/>
      <c r="EA3116" s="114" t="str">
        <f>$EB$62</f>
        <v>Solvent extraction unit</v>
      </c>
      <c r="EB3116" s="449"/>
      <c r="EC3116" s="445"/>
      <c r="ED3116" s="447"/>
      <c r="EE3116" s="443"/>
      <c r="EF3116" s="440"/>
    </row>
    <row r="3117" spans="53:136" ht="14.5" thickBot="1">
      <c r="BA3117" s="114" t="str">
        <f>$BB$61</f>
        <v>Solvent extraction unit</v>
      </c>
      <c r="BB3117" s="450"/>
      <c r="BC3117" s="451"/>
      <c r="BD3117" s="451"/>
      <c r="BE3117" s="452"/>
      <c r="BF3117" s="453"/>
      <c r="CA3117" s="114" t="str">
        <f>$CB$61</f>
        <v>Evaporator</v>
      </c>
      <c r="CB3117" s="450"/>
      <c r="CC3117" s="451"/>
      <c r="CD3117" s="451"/>
      <c r="CE3117" s="452"/>
      <c r="CF3117" s="453"/>
      <c r="DA3117" s="114" t="str">
        <f>$DB$61</f>
        <v>Furnace+saggar handling system</v>
      </c>
      <c r="DB3117" s="450"/>
      <c r="DC3117" s="451"/>
      <c r="DD3117" s="451"/>
      <c r="DE3117" s="452"/>
      <c r="DF3117" s="453"/>
      <c r="EA3117" s="114" t="str">
        <f>$EB$63</f>
        <v>Evaporator</v>
      </c>
      <c r="EB3117" s="450"/>
      <c r="EC3117" s="451"/>
      <c r="ED3117" s="451"/>
      <c r="EE3117" s="452"/>
      <c r="EF3117" s="453"/>
    </row>
    <row r="3118" spans="53:136">
      <c r="BA3118" s="114" t="str">
        <f>$BB$62</f>
        <v>Electrowinning cell</v>
      </c>
      <c r="BB3118" s="449" t="s">
        <v>470</v>
      </c>
      <c r="BC3118" s="120"/>
      <c r="BD3118" s="454"/>
      <c r="BE3118" s="120"/>
      <c r="BF3118" s="440"/>
      <c r="CA3118" s="114" t="str">
        <f>$CB$62</f>
        <v>Precipitation tank</v>
      </c>
      <c r="CB3118" s="449" t="s">
        <v>470</v>
      </c>
      <c r="CC3118" s="120"/>
      <c r="CD3118" s="454"/>
      <c r="CE3118" s="120"/>
      <c r="CF3118" s="440"/>
      <c r="DA3118" s="114" t="str">
        <f>$DB$62</f>
        <v>Water treatment</v>
      </c>
      <c r="DB3118" s="449" t="s">
        <v>470</v>
      </c>
      <c r="DC3118" s="120"/>
      <c r="DD3118" s="454"/>
      <c r="DE3118" s="120"/>
      <c r="DF3118" s="440"/>
      <c r="EA3118" s="114" t="str">
        <f>$EB$64</f>
        <v>Precipitation tank</v>
      </c>
      <c r="EB3118" s="449" t="s">
        <v>470</v>
      </c>
      <c r="EC3118" s="120"/>
      <c r="ED3118" s="454"/>
      <c r="EE3118" s="120"/>
      <c r="EF3118" s="440"/>
    </row>
    <row r="3119" spans="53:136" ht="14.5" customHeight="1">
      <c r="BA3119" s="114" t="str">
        <f>$BB$63</f>
        <v>Solvent extraction unit</v>
      </c>
      <c r="BB3119" s="1698"/>
      <c r="BC3119" s="1699"/>
      <c r="BD3119" s="1699"/>
      <c r="BE3119" s="1699"/>
      <c r="BF3119" s="1700"/>
      <c r="CA3119" s="114" t="str">
        <f>$CB$63</f>
        <v>Centrifuge</v>
      </c>
      <c r="CB3119" s="1698"/>
      <c r="CC3119" s="1699"/>
      <c r="CD3119" s="1699"/>
      <c r="CE3119" s="1699"/>
      <c r="CF3119" s="1700"/>
      <c r="DA3119" s="114" t="str">
        <f>$DB$63</f>
        <v>Wheel loader</v>
      </c>
      <c r="DB3119" s="1698"/>
      <c r="DC3119" s="1699"/>
      <c r="DD3119" s="1699"/>
      <c r="DE3119" s="1699"/>
      <c r="DF3119" s="1700"/>
      <c r="EA3119" s="114" t="str">
        <f>$EB$65</f>
        <v>Centrifuge</v>
      </c>
      <c r="EB3119" s="1698"/>
      <c r="EC3119" s="1699"/>
      <c r="ED3119" s="1699"/>
      <c r="EE3119" s="1699"/>
      <c r="EF3119" s="1700"/>
    </row>
    <row r="3120" spans="53:136">
      <c r="BA3120" s="114" t="str">
        <f>$BB$64</f>
        <v>Solvent extraction unit</v>
      </c>
      <c r="BB3120" s="436"/>
      <c r="BC3120" s="120"/>
      <c r="BD3120" s="455"/>
      <c r="BE3120" s="120"/>
      <c r="BF3120" s="440"/>
      <c r="CA3120" s="114" t="str">
        <f>$CB$64</f>
        <v>Dryer</v>
      </c>
      <c r="CB3120" s="436"/>
      <c r="CC3120" s="120"/>
      <c r="CD3120" s="455"/>
      <c r="CE3120" s="120"/>
      <c r="CF3120" s="440"/>
      <c r="DA3120" s="114" t="str">
        <f>$DB$64</f>
        <v>Select Equipment</v>
      </c>
      <c r="DB3120" s="436"/>
      <c r="DC3120" s="120"/>
      <c r="DD3120" s="455"/>
      <c r="DE3120" s="120"/>
      <c r="DF3120" s="440"/>
      <c r="EA3120" s="114" t="str">
        <f>$EB$66</f>
        <v>Dryer</v>
      </c>
      <c r="EB3120" s="436"/>
      <c r="EC3120" s="120"/>
      <c r="ED3120" s="455"/>
      <c r="EE3120" s="120"/>
      <c r="EF3120" s="440"/>
    </row>
    <row r="3121" spans="53:136">
      <c r="BA3121" s="114" t="str">
        <f>$BB$65</f>
        <v>Wheel loader</v>
      </c>
      <c r="BB3121" s="436"/>
      <c r="BC3121" s="120"/>
      <c r="BD3121" s="455"/>
      <c r="BE3121" s="120"/>
      <c r="BF3121" s="440"/>
      <c r="CA3121" s="114" t="str">
        <f>$CB$65</f>
        <v>Water treatment</v>
      </c>
      <c r="CB3121" s="436"/>
      <c r="CC3121" s="120"/>
      <c r="CD3121" s="455"/>
      <c r="CE3121" s="120"/>
      <c r="CF3121" s="440"/>
      <c r="DA3121" s="114" t="str">
        <f>$DB$65</f>
        <v>Select Equipment</v>
      </c>
      <c r="DB3121" s="436"/>
      <c r="DC3121" s="120"/>
      <c r="DD3121" s="455"/>
      <c r="DE3121" s="120"/>
      <c r="DF3121" s="440"/>
      <c r="EA3121" s="114" t="str">
        <f>$EB$67</f>
        <v>Water treatment</v>
      </c>
      <c r="EB3121" s="436"/>
      <c r="EC3121" s="120"/>
      <c r="ED3121" s="455"/>
      <c r="EE3121" s="120"/>
      <c r="EF3121" s="440"/>
    </row>
    <row r="3122" spans="53:136">
      <c r="BA3122" s="114" t="str">
        <f>$BB$66</f>
        <v>Water treatment</v>
      </c>
      <c r="BB3122" s="456"/>
      <c r="BC3122" s="457"/>
      <c r="BD3122" s="457"/>
      <c r="BE3122" s="457"/>
      <c r="BF3122" s="458"/>
      <c r="CA3122" s="114" t="str">
        <f>$CB$66</f>
        <v>Wheel loader</v>
      </c>
      <c r="CB3122" s="456"/>
      <c r="CC3122" s="457"/>
      <c r="CD3122" s="457"/>
      <c r="CE3122" s="457"/>
      <c r="CF3122" s="458"/>
      <c r="DA3122" s="114" t="str">
        <f>$DB$66</f>
        <v>Select Equipment</v>
      </c>
      <c r="DB3122" s="456"/>
      <c r="DC3122" s="457"/>
      <c r="DD3122" s="457"/>
      <c r="DE3122" s="457"/>
      <c r="DF3122" s="458"/>
      <c r="EA3122" s="114" t="str">
        <f>$EB$68</f>
        <v>Wheel loader</v>
      </c>
      <c r="EB3122" s="456"/>
      <c r="EC3122" s="457"/>
      <c r="ED3122" s="457"/>
      <c r="EE3122" s="457"/>
      <c r="EF3122" s="458"/>
    </row>
    <row r="3123" spans="53:136">
      <c r="BA3123" s="114" t="str">
        <f>$BB$67</f>
        <v>Select Equipment</v>
      </c>
      <c r="BB3123" s="449" t="s">
        <v>471</v>
      </c>
      <c r="BC3123" s="120"/>
      <c r="BD3123" s="454"/>
      <c r="BE3123" s="120"/>
      <c r="BF3123" s="440"/>
      <c r="CA3123" s="114" t="str">
        <f>$CB$67</f>
        <v>Select Equipment</v>
      </c>
      <c r="CB3123" s="449" t="s">
        <v>471</v>
      </c>
      <c r="CC3123" s="120"/>
      <c r="CD3123" s="454"/>
      <c r="CE3123" s="120"/>
      <c r="CF3123" s="440"/>
      <c r="DA3123" s="114" t="str">
        <f>$DB$67</f>
        <v>Select Equipment</v>
      </c>
      <c r="DB3123" s="449" t="s">
        <v>471</v>
      </c>
      <c r="DC3123" s="120"/>
      <c r="DD3123" s="454"/>
      <c r="DE3123" s="120"/>
      <c r="DF3123" s="440"/>
      <c r="EA3123" s="114" t="str">
        <f>$EB$69</f>
        <v>Select Equipment</v>
      </c>
      <c r="EB3123" s="449" t="s">
        <v>471</v>
      </c>
      <c r="EC3123" s="120"/>
      <c r="ED3123" s="454"/>
      <c r="EE3123" s="120"/>
      <c r="EF3123" s="440"/>
    </row>
    <row r="3124" spans="53:136">
      <c r="BA3124" s="114" t="str">
        <f>$BB$68</f>
        <v>Select Equipment</v>
      </c>
      <c r="BB3124" s="436" t="s">
        <v>577</v>
      </c>
      <c r="BC3124" s="225">
        <f>BC3113*IF(BC3111&gt;1,1,BC3111)</f>
        <v>0</v>
      </c>
      <c r="BD3124" s="446" t="s">
        <v>454</v>
      </c>
      <c r="BE3124" s="120"/>
      <c r="BF3124" s="440"/>
      <c r="CA3124" s="114" t="str">
        <f>$CB$68</f>
        <v>Select Equipment</v>
      </c>
      <c r="CB3124" s="436" t="s">
        <v>577</v>
      </c>
      <c r="CC3124" s="225">
        <f>CC3113*IF(CC3111&gt;1,1,CC3111)</f>
        <v>0</v>
      </c>
      <c r="CD3124" s="446" t="s">
        <v>454</v>
      </c>
      <c r="CE3124" s="120"/>
      <c r="CF3124" s="440"/>
      <c r="DA3124" s="114" t="str">
        <f>$DB$68</f>
        <v>Select Equipment</v>
      </c>
      <c r="DB3124" s="436" t="s">
        <v>577</v>
      </c>
      <c r="DC3124" s="225">
        <f>DC3113*IF(DC3111&gt;1,1,DC3111)</f>
        <v>0</v>
      </c>
      <c r="DD3124" s="446" t="s">
        <v>454</v>
      </c>
      <c r="DE3124" s="120"/>
      <c r="DF3124" s="440"/>
      <c r="EA3124" s="114" t="str">
        <f>$EB$70</f>
        <v>Select Equipment</v>
      </c>
      <c r="EB3124" s="436" t="s">
        <v>577</v>
      </c>
      <c r="EC3124" s="225">
        <f>EC3113*IF(EC3111&gt;1,1,EC3111)</f>
        <v>0</v>
      </c>
      <c r="ED3124" s="446" t="s">
        <v>454</v>
      </c>
      <c r="EE3124" s="120"/>
      <c r="EF3124" s="440"/>
    </row>
    <row r="3125" spans="53:136">
      <c r="BA3125" s="114" t="str">
        <f>$BB$69</f>
        <v>Select Equipment</v>
      </c>
      <c r="BB3125" s="436" t="s">
        <v>578</v>
      </c>
      <c r="BC3125" s="225"/>
      <c r="BD3125" s="446" t="s">
        <v>579</v>
      </c>
      <c r="BE3125" s="120"/>
      <c r="BF3125" s="440"/>
      <c r="CA3125" s="114" t="str">
        <f>$CB$69</f>
        <v>Select Equipment</v>
      </c>
      <c r="CB3125" s="436" t="s">
        <v>578</v>
      </c>
      <c r="CC3125" s="225"/>
      <c r="CD3125" s="446" t="s">
        <v>579</v>
      </c>
      <c r="CE3125" s="120"/>
      <c r="CF3125" s="440"/>
      <c r="DA3125" s="114" t="str">
        <f>$DB$69</f>
        <v>Select Equipment</v>
      </c>
      <c r="DB3125" s="436" t="s">
        <v>578</v>
      </c>
      <c r="DC3125" s="225"/>
      <c r="DD3125" s="446" t="s">
        <v>579</v>
      </c>
      <c r="DE3125" s="120"/>
      <c r="DF3125" s="440"/>
      <c r="EA3125" s="114" t="str">
        <f>$EB$71</f>
        <v>Select Equipment</v>
      </c>
      <c r="EB3125" s="436" t="s">
        <v>578</v>
      </c>
      <c r="EC3125" s="225"/>
      <c r="ED3125" s="446" t="s">
        <v>579</v>
      </c>
      <c r="EE3125" s="120"/>
      <c r="EF3125" s="440"/>
    </row>
    <row r="3126" spans="53:136">
      <c r="BA3126" s="114" t="str">
        <f>$BB$70</f>
        <v>Select Equipment</v>
      </c>
      <c r="BB3126" s="436"/>
      <c r="BC3126" s="120"/>
      <c r="BD3126" s="446"/>
      <c r="BE3126" s="120"/>
      <c r="BF3126" s="440"/>
      <c r="CA3126" s="114" t="str">
        <f>$CB$70</f>
        <v>Select Equipment</v>
      </c>
      <c r="CB3126" s="436"/>
      <c r="CC3126" s="120"/>
      <c r="CD3126" s="446"/>
      <c r="CE3126" s="120"/>
      <c r="CF3126" s="440"/>
      <c r="DA3126" s="114" t="str">
        <f>$DB$70</f>
        <v>Select Equipment</v>
      </c>
      <c r="DB3126" s="436"/>
      <c r="DC3126" s="120"/>
      <c r="DD3126" s="446"/>
      <c r="DE3126" s="120"/>
      <c r="DF3126" s="440"/>
      <c r="EA3126" s="114" t="str">
        <f>$EB$72</f>
        <v>Select Equipment</v>
      </c>
      <c r="EB3126" s="436"/>
      <c r="EC3126" s="120"/>
      <c r="ED3126" s="446"/>
      <c r="EE3126" s="120"/>
      <c r="EF3126" s="440"/>
    </row>
    <row r="3127" spans="53:136">
      <c r="BA3127" s="114" t="str">
        <f>$BB$71</f>
        <v>Select Equipment</v>
      </c>
      <c r="BB3127" s="436" t="s">
        <v>8</v>
      </c>
      <c r="BC3127" s="120"/>
      <c r="BD3127" s="459" t="s">
        <v>564</v>
      </c>
      <c r="BE3127" s="120"/>
      <c r="BF3127" s="440"/>
      <c r="CA3127" s="114" t="str">
        <f>$CB$71</f>
        <v>Select Equipment</v>
      </c>
      <c r="CB3127" s="436" t="s">
        <v>8</v>
      </c>
      <c r="CC3127" s="120"/>
      <c r="CD3127" s="459" t="s">
        <v>564</v>
      </c>
      <c r="CE3127" s="120"/>
      <c r="CF3127" s="440"/>
      <c r="DA3127" s="114" t="str">
        <f>$DB$71</f>
        <v>Select Equipment</v>
      </c>
      <c r="DB3127" s="436" t="s">
        <v>8</v>
      </c>
      <c r="DC3127" s="120"/>
      <c r="DD3127" s="459" t="s">
        <v>564</v>
      </c>
      <c r="DE3127" s="120"/>
      <c r="DF3127" s="440"/>
      <c r="EA3127" s="114" t="str">
        <f>$EB$73</f>
        <v>Select Equipment</v>
      </c>
      <c r="EB3127" s="436" t="s">
        <v>8</v>
      </c>
      <c r="EC3127" s="120"/>
      <c r="ED3127" s="459" t="s">
        <v>564</v>
      </c>
      <c r="EE3127" s="120"/>
      <c r="EF3127" s="440"/>
    </row>
    <row r="3128" spans="53:136">
      <c r="BA3128" s="114" t="str">
        <f>$BB$72</f>
        <v>Select Equipment</v>
      </c>
      <c r="BB3128" s="436"/>
      <c r="BC3128" s="120"/>
      <c r="BD3128" s="459"/>
      <c r="BE3128" s="120"/>
      <c r="BF3128" s="440"/>
      <c r="CA3128" s="114" t="str">
        <f>$CB$72</f>
        <v>Select Equipment</v>
      </c>
      <c r="CB3128" s="436"/>
      <c r="CC3128" s="120"/>
      <c r="CD3128" s="459"/>
      <c r="CE3128" s="120"/>
      <c r="CF3128" s="440"/>
      <c r="DA3128" s="114" t="str">
        <f>$DB$72</f>
        <v>Select Equipment</v>
      </c>
      <c r="DB3128" s="436"/>
      <c r="DC3128" s="120"/>
      <c r="DD3128" s="459"/>
      <c r="DE3128" s="120"/>
      <c r="DF3128" s="440"/>
      <c r="EA3128" s="114" t="str">
        <f>$EB$74</f>
        <v>Select Equipment</v>
      </c>
      <c r="EB3128" s="436"/>
      <c r="EC3128" s="120"/>
      <c r="ED3128" s="459"/>
      <c r="EE3128" s="120"/>
      <c r="EF3128" s="440"/>
    </row>
    <row r="3129" spans="53:136">
      <c r="BA3129" s="114" t="str">
        <f>$BB$73</f>
        <v>Select Equipment</v>
      </c>
      <c r="BB3129" s="436" t="s">
        <v>7</v>
      </c>
      <c r="BC3129" s="120"/>
      <c r="BD3129" s="459" t="s">
        <v>564</v>
      </c>
      <c r="BE3129" s="120"/>
      <c r="BF3129" s="440"/>
      <c r="CA3129" s="114" t="str">
        <f>$CB$73</f>
        <v>Select Equipment</v>
      </c>
      <c r="CB3129" s="436" t="s">
        <v>7</v>
      </c>
      <c r="CC3129" s="120"/>
      <c r="CD3129" s="459" t="s">
        <v>564</v>
      </c>
      <c r="CE3129" s="120"/>
      <c r="CF3129" s="440"/>
      <c r="DA3129" s="114" t="str">
        <f>$DB$73</f>
        <v>Select Equipment</v>
      </c>
      <c r="DB3129" s="436" t="s">
        <v>7</v>
      </c>
      <c r="DC3129" s="120"/>
      <c r="DD3129" s="459" t="s">
        <v>564</v>
      </c>
      <c r="DE3129" s="120"/>
      <c r="DF3129" s="440"/>
      <c r="EA3129" s="114" t="str">
        <f>$EB$75</f>
        <v>Select Equipment</v>
      </c>
      <c r="EB3129" s="436" t="s">
        <v>7</v>
      </c>
      <c r="EC3129" s="120"/>
      <c r="ED3129" s="459" t="s">
        <v>564</v>
      </c>
      <c r="EE3129" s="120"/>
      <c r="EF3129" s="440"/>
    </row>
    <row r="3130" spans="53:136">
      <c r="BA3130" s="114" t="str">
        <f>$BB$74</f>
        <v>Select Equipment</v>
      </c>
      <c r="BB3130" s="436"/>
      <c r="BC3130" s="120"/>
      <c r="BD3130" s="459"/>
      <c r="BE3130" s="120"/>
      <c r="BF3130" s="440"/>
      <c r="CA3130" s="114" t="str">
        <f>$CB$74</f>
        <v>Select Equipment</v>
      </c>
      <c r="CB3130" s="436"/>
      <c r="CC3130" s="120"/>
      <c r="CD3130" s="459"/>
      <c r="CE3130" s="120"/>
      <c r="CF3130" s="440"/>
      <c r="DA3130" s="114" t="str">
        <f>$DB$74</f>
        <v>Select Equipment</v>
      </c>
      <c r="DB3130" s="436"/>
      <c r="DC3130" s="120"/>
      <c r="DD3130" s="459"/>
      <c r="DE3130" s="120"/>
      <c r="DF3130" s="440"/>
      <c r="EA3130" s="114" t="str">
        <f>$EB$76</f>
        <v>Select Equipment</v>
      </c>
      <c r="EB3130" s="436"/>
      <c r="EC3130" s="120"/>
      <c r="ED3130" s="459"/>
      <c r="EE3130" s="120"/>
      <c r="EF3130" s="440"/>
    </row>
    <row r="3131" spans="53:136">
      <c r="BA3131" s="114" t="str">
        <f>$BB$75</f>
        <v>Select Equipment</v>
      </c>
      <c r="BB3131" s="436" t="s">
        <v>9</v>
      </c>
      <c r="BC3131" s="120"/>
      <c r="BD3131" s="459" t="s">
        <v>564</v>
      </c>
      <c r="BE3131" s="120"/>
      <c r="BF3131" s="440"/>
      <c r="CA3131" s="114" t="str">
        <f>$CB$75</f>
        <v>Select Equipment</v>
      </c>
      <c r="CB3131" s="436" t="s">
        <v>9</v>
      </c>
      <c r="CC3131" s="120"/>
      <c r="CD3131" s="459" t="s">
        <v>564</v>
      </c>
      <c r="CE3131" s="120"/>
      <c r="CF3131" s="440"/>
      <c r="DA3131" s="114" t="str">
        <f>$DB$75</f>
        <v>Select Equipment</v>
      </c>
      <c r="DB3131" s="436" t="s">
        <v>9</v>
      </c>
      <c r="DC3131" s="120"/>
      <c r="DD3131" s="459" t="s">
        <v>564</v>
      </c>
      <c r="DE3131" s="120"/>
      <c r="DF3131" s="440"/>
      <c r="EA3131" s="114" t="str">
        <f>$EB$77</f>
        <v>Select Equipment</v>
      </c>
      <c r="EB3131" s="436" t="s">
        <v>9</v>
      </c>
      <c r="EC3131" s="120"/>
      <c r="ED3131" s="459" t="s">
        <v>564</v>
      </c>
      <c r="EE3131" s="120"/>
      <c r="EF3131" s="440"/>
    </row>
    <row r="3132" spans="53:136">
      <c r="BA3132" s="114" t="str">
        <f>$BB$76</f>
        <v>Select Equipment</v>
      </c>
      <c r="BB3132" s="436"/>
      <c r="BC3132" s="120"/>
      <c r="BD3132" s="459"/>
      <c r="BE3132" s="120"/>
      <c r="BF3132" s="440"/>
      <c r="CA3132" s="114" t="str">
        <f>$CB$76</f>
        <v>Select Equipment</v>
      </c>
      <c r="CB3132" s="436"/>
      <c r="CC3132" s="120"/>
      <c r="CD3132" s="459"/>
      <c r="CE3132" s="120"/>
      <c r="CF3132" s="440"/>
      <c r="DA3132" s="114" t="str">
        <f>$DB$76</f>
        <v>Select Equipment</v>
      </c>
      <c r="DB3132" s="436"/>
      <c r="DC3132" s="120"/>
      <c r="DD3132" s="459"/>
      <c r="DE3132" s="120"/>
      <c r="DF3132" s="440"/>
      <c r="EA3132" s="114" t="str">
        <f>$EB$78</f>
        <v>Select Equipment</v>
      </c>
      <c r="EB3132" s="436"/>
      <c r="EC3132" s="120"/>
      <c r="ED3132" s="459"/>
      <c r="EE3132" s="120"/>
      <c r="EF3132" s="440"/>
    </row>
    <row r="3133" spans="53:136">
      <c r="BA3133" s="114" t="str">
        <f>$BB$77</f>
        <v>Select Equipment</v>
      </c>
      <c r="BB3133" s="436" t="s">
        <v>324</v>
      </c>
      <c r="BC3133" s="120"/>
      <c r="BD3133" s="459" t="s">
        <v>564</v>
      </c>
      <c r="BE3133" s="120"/>
      <c r="BF3133" s="440" t="s">
        <v>569</v>
      </c>
      <c r="CA3133" s="114" t="str">
        <f>$CB$77</f>
        <v>Select Equipment</v>
      </c>
      <c r="CB3133" s="436" t="s">
        <v>324</v>
      </c>
      <c r="CC3133" s="120"/>
      <c r="CD3133" s="459" t="s">
        <v>564</v>
      </c>
      <c r="CE3133" s="120"/>
      <c r="CF3133" s="440" t="s">
        <v>569</v>
      </c>
      <c r="DA3133" s="114" t="str">
        <f>$DB$77</f>
        <v>Select Equipment</v>
      </c>
      <c r="DB3133" s="436" t="s">
        <v>324</v>
      </c>
      <c r="DC3133" s="120"/>
      <c r="DD3133" s="459" t="s">
        <v>564</v>
      </c>
      <c r="DE3133" s="120"/>
      <c r="DF3133" s="440" t="s">
        <v>569</v>
      </c>
      <c r="EA3133" s="114" t="str">
        <f>$EB$79</f>
        <v>Select Equipment</v>
      </c>
      <c r="EB3133" s="436" t="s">
        <v>324</v>
      </c>
      <c r="EC3133" s="120"/>
      <c r="ED3133" s="459" t="s">
        <v>564</v>
      </c>
      <c r="EE3133" s="120"/>
      <c r="EF3133" s="440" t="s">
        <v>569</v>
      </c>
    </row>
    <row r="3134" spans="53:136">
      <c r="BA3134" s="114" t="str">
        <f>$BB$78</f>
        <v>Select Equipment</v>
      </c>
      <c r="BB3134" s="436"/>
      <c r="BC3134" s="120"/>
      <c r="BD3134" s="468"/>
      <c r="BE3134" s="469"/>
      <c r="BF3134" s="440"/>
      <c r="CA3134" s="114" t="str">
        <f>$CB$78</f>
        <v>Select Equipment</v>
      </c>
      <c r="CB3134" s="436"/>
      <c r="CC3134" s="120"/>
      <c r="CD3134" s="468"/>
      <c r="CE3134" s="469"/>
      <c r="CF3134" s="440"/>
      <c r="DA3134" s="114" t="str">
        <f>$DB$78</f>
        <v>Select Equipment</v>
      </c>
      <c r="DB3134" s="436"/>
      <c r="DC3134" s="120"/>
      <c r="DD3134" s="468"/>
      <c r="DE3134" s="469"/>
      <c r="DF3134" s="440"/>
      <c r="EA3134" s="114" t="str">
        <f>$EB$80</f>
        <v>Select Equipment</v>
      </c>
      <c r="EB3134" s="436"/>
      <c r="EC3134" s="120"/>
      <c r="ED3134" s="468"/>
      <c r="EE3134" s="469"/>
      <c r="EF3134" s="440"/>
    </row>
    <row r="3135" spans="53:136">
      <c r="BA3135" s="114" t="str">
        <f>$BB$79</f>
        <v>Select Equipment</v>
      </c>
      <c r="BB3135" s="436" t="s">
        <v>374</v>
      </c>
      <c r="BC3135" s="120"/>
      <c r="BD3135" s="459" t="s">
        <v>564</v>
      </c>
      <c r="BE3135" s="469"/>
      <c r="BF3135" s="440" t="s">
        <v>569</v>
      </c>
      <c r="CA3135" s="114" t="str">
        <f>$CB$79</f>
        <v>Select Equipment</v>
      </c>
      <c r="CB3135" s="436" t="s">
        <v>374</v>
      </c>
      <c r="CC3135" s="120"/>
      <c r="CD3135" s="459" t="s">
        <v>564</v>
      </c>
      <c r="CE3135" s="469"/>
      <c r="CF3135" s="440" t="s">
        <v>569</v>
      </c>
      <c r="DA3135" s="114" t="str">
        <f>$DB$79</f>
        <v>Select Equipment</v>
      </c>
      <c r="DB3135" s="436" t="s">
        <v>374</v>
      </c>
      <c r="DC3135" s="120"/>
      <c r="DD3135" s="459" t="s">
        <v>564</v>
      </c>
      <c r="DE3135" s="469"/>
      <c r="DF3135" s="440" t="s">
        <v>569</v>
      </c>
      <c r="EA3135" s="114" t="str">
        <f>$EB$81</f>
        <v>Select Equipment</v>
      </c>
      <c r="EB3135" s="436" t="s">
        <v>374</v>
      </c>
      <c r="EC3135" s="120"/>
      <c r="ED3135" s="459" t="s">
        <v>564</v>
      </c>
      <c r="EE3135" s="469"/>
      <c r="EF3135" s="440" t="s">
        <v>569</v>
      </c>
    </row>
    <row r="3136" spans="53:136">
      <c r="BA3136" s="114" t="str">
        <f>$BB$80</f>
        <v>Select Equipment</v>
      </c>
      <c r="BB3136" s="436"/>
      <c r="BC3136" s="120"/>
      <c r="BD3136" s="472"/>
      <c r="BE3136" s="473"/>
      <c r="BF3136" s="440"/>
      <c r="CA3136" s="114" t="str">
        <f>$CB$80</f>
        <v>Select Equipment</v>
      </c>
      <c r="CB3136" s="436"/>
      <c r="CC3136" s="120"/>
      <c r="CD3136" s="472"/>
      <c r="CE3136" s="473"/>
      <c r="CF3136" s="440"/>
      <c r="DA3136" s="114" t="str">
        <f>$DB$80</f>
        <v>Select Equipment</v>
      </c>
      <c r="DB3136" s="436"/>
      <c r="DC3136" s="120"/>
      <c r="DD3136" s="472"/>
      <c r="DE3136" s="473"/>
      <c r="DF3136" s="440"/>
      <c r="EA3136" s="114" t="str">
        <f>$EB$82</f>
        <v>Select Equipment</v>
      </c>
      <c r="EB3136" s="436"/>
      <c r="EC3136" s="120"/>
      <c r="ED3136" s="472"/>
      <c r="EE3136" s="473"/>
      <c r="EF3136" s="440"/>
    </row>
    <row r="3137" spans="53:136">
      <c r="BA3137" s="114" t="str">
        <f>$BB$81</f>
        <v>Select Equipment</v>
      </c>
      <c r="BB3137" s="436" t="s">
        <v>580</v>
      </c>
      <c r="BC3137" s="120"/>
      <c r="BD3137" s="459" t="s">
        <v>564</v>
      </c>
      <c r="BE3137" s="473"/>
      <c r="BF3137" s="440" t="s">
        <v>569</v>
      </c>
      <c r="CA3137" s="114" t="str">
        <f>$CB$81</f>
        <v>Select Equipment</v>
      </c>
      <c r="CB3137" s="436" t="s">
        <v>580</v>
      </c>
      <c r="CC3137" s="120"/>
      <c r="CD3137" s="459" t="s">
        <v>564</v>
      </c>
      <c r="CE3137" s="473"/>
      <c r="CF3137" s="440" t="s">
        <v>569</v>
      </c>
      <c r="DA3137" s="114" t="str">
        <f>$DB$81</f>
        <v>Select Equipment</v>
      </c>
      <c r="DB3137" s="436" t="s">
        <v>580</v>
      </c>
      <c r="DC3137" s="120"/>
      <c r="DD3137" s="459" t="s">
        <v>564</v>
      </c>
      <c r="DE3137" s="473"/>
      <c r="DF3137" s="440" t="s">
        <v>569</v>
      </c>
      <c r="EA3137" s="114" t="str">
        <f>$EB$83</f>
        <v>Select Equipment</v>
      </c>
      <c r="EB3137" s="436" t="s">
        <v>580</v>
      </c>
      <c r="EC3137" s="120"/>
      <c r="ED3137" s="459" t="s">
        <v>564</v>
      </c>
      <c r="EE3137" s="473"/>
      <c r="EF3137" s="440" t="s">
        <v>569</v>
      </c>
    </row>
    <row r="3138" spans="53:136">
      <c r="BA3138" s="114" t="str">
        <f>$BB$82</f>
        <v>Select Equipment</v>
      </c>
      <c r="BB3138" s="476"/>
      <c r="BC3138" s="477"/>
      <c r="BD3138" s="478"/>
      <c r="BE3138" s="479"/>
      <c r="BF3138" s="458"/>
      <c r="CA3138" s="114" t="str">
        <f>$CB$82</f>
        <v>Select Equipment</v>
      </c>
      <c r="CB3138" s="476"/>
      <c r="CC3138" s="477"/>
      <c r="CD3138" s="478"/>
      <c r="CE3138" s="479"/>
      <c r="CF3138" s="458"/>
      <c r="DA3138" s="114" t="str">
        <f>$DB$82</f>
        <v>Select Equipment</v>
      </c>
      <c r="DB3138" s="476"/>
      <c r="DC3138" s="477"/>
      <c r="DD3138" s="478"/>
      <c r="DE3138" s="479"/>
      <c r="DF3138" s="458"/>
      <c r="EA3138" s="114" t="str">
        <f>$EB$84</f>
        <v>Select Equipment</v>
      </c>
      <c r="EB3138" s="476"/>
      <c r="EC3138" s="477"/>
      <c r="ED3138" s="478"/>
      <c r="EE3138" s="479"/>
      <c r="EF3138" s="458"/>
    </row>
    <row r="3139" spans="53:136">
      <c r="BA3139" s="114" t="str">
        <f>$BB$83</f>
        <v>Select Equipment</v>
      </c>
      <c r="BB3139" s="449" t="s">
        <v>473</v>
      </c>
      <c r="BC3139" s="467" t="s">
        <v>508</v>
      </c>
      <c r="BD3139" s="480"/>
      <c r="BE3139" s="481" t="s">
        <v>308</v>
      </c>
      <c r="BF3139" s="440"/>
      <c r="CA3139" s="114" t="str">
        <f>$CB$83</f>
        <v>Select Equipment</v>
      </c>
      <c r="CB3139" s="449" t="s">
        <v>473</v>
      </c>
      <c r="CC3139" s="467" t="s">
        <v>508</v>
      </c>
      <c r="CD3139" s="480"/>
      <c r="CE3139" s="481" t="s">
        <v>308</v>
      </c>
      <c r="CF3139" s="440"/>
      <c r="DA3139" s="114" t="str">
        <f>$DB$83</f>
        <v>Select Equipment</v>
      </c>
      <c r="DB3139" s="449" t="s">
        <v>473</v>
      </c>
      <c r="DC3139" s="467" t="s">
        <v>508</v>
      </c>
      <c r="DD3139" s="480"/>
      <c r="DE3139" s="481" t="s">
        <v>308</v>
      </c>
      <c r="DF3139" s="440"/>
      <c r="EA3139" s="114" t="str">
        <f>$EB$85</f>
        <v>Select Equipment</v>
      </c>
      <c r="EB3139" s="449" t="s">
        <v>473</v>
      </c>
      <c r="EC3139" s="467" t="s">
        <v>508</v>
      </c>
      <c r="ED3139" s="480"/>
      <c r="EE3139" s="481" t="s">
        <v>308</v>
      </c>
      <c r="EF3139" s="440"/>
    </row>
    <row r="3140" spans="53:136">
      <c r="BB3140" s="436"/>
      <c r="BC3140" s="483"/>
      <c r="BD3140" s="480"/>
      <c r="BE3140" s="484"/>
      <c r="BF3140" s="440"/>
      <c r="CB3140" s="436"/>
      <c r="CC3140" s="483"/>
      <c r="CD3140" s="480"/>
      <c r="CE3140" s="484"/>
      <c r="CF3140" s="440"/>
      <c r="DB3140" s="436"/>
      <c r="DC3140" s="483"/>
      <c r="DD3140" s="480"/>
      <c r="DE3140" s="484"/>
      <c r="DF3140" s="440"/>
      <c r="EB3140" s="436"/>
      <c r="EC3140" s="483"/>
      <c r="ED3140" s="480"/>
      <c r="EE3140" s="484"/>
      <c r="EF3140" s="440"/>
    </row>
    <row r="3141" spans="53:136">
      <c r="BB3141" s="436"/>
      <c r="BC3141" s="120"/>
      <c r="BD3141" s="223"/>
      <c r="BE3141" s="467"/>
      <c r="BF3141" s="440"/>
      <c r="CB3141" s="436"/>
      <c r="CC3141" s="120"/>
      <c r="CD3141" s="223"/>
      <c r="CE3141" s="467"/>
      <c r="CF3141" s="440"/>
      <c r="DB3141" s="436"/>
      <c r="DC3141" s="120"/>
      <c r="DD3141" s="223"/>
      <c r="DE3141" s="467"/>
      <c r="DF3141" s="440"/>
      <c r="EB3141" s="436"/>
      <c r="EC3141" s="120"/>
      <c r="ED3141" s="223"/>
      <c r="EE3141" s="467"/>
      <c r="EF3141" s="440"/>
    </row>
    <row r="3142" spans="53:136">
      <c r="BB3142" s="436"/>
      <c r="BC3142" s="120"/>
      <c r="BD3142" s="466"/>
      <c r="BE3142" s="467"/>
      <c r="BF3142" s="440"/>
      <c r="CB3142" s="436"/>
      <c r="CC3142" s="120"/>
      <c r="CD3142" s="466"/>
      <c r="CE3142" s="467"/>
      <c r="CF3142" s="440"/>
      <c r="DB3142" s="436"/>
      <c r="DC3142" s="120"/>
      <c r="DD3142" s="466"/>
      <c r="DE3142" s="467"/>
      <c r="DF3142" s="440"/>
      <c r="EB3142" s="436"/>
      <c r="EC3142" s="120"/>
      <c r="ED3142" s="466"/>
      <c r="EE3142" s="467"/>
      <c r="EF3142" s="440"/>
    </row>
    <row r="3143" spans="53:136">
      <c r="BB3143" s="436"/>
      <c r="BC3143" s="120"/>
      <c r="BD3143" s="223"/>
      <c r="BE3143" s="467"/>
      <c r="BF3143" s="440"/>
      <c r="CB3143" s="436"/>
      <c r="CC3143" s="120"/>
      <c r="CD3143" s="223"/>
      <c r="CE3143" s="467"/>
      <c r="CF3143" s="440"/>
      <c r="DB3143" s="436"/>
      <c r="DC3143" s="120"/>
      <c r="DD3143" s="223"/>
      <c r="DE3143" s="467"/>
      <c r="DF3143" s="440"/>
      <c r="EB3143" s="436"/>
      <c r="EC3143" s="120"/>
      <c r="ED3143" s="223"/>
      <c r="EE3143" s="467"/>
      <c r="EF3143" s="440"/>
    </row>
    <row r="3144" spans="53:136">
      <c r="BB3144" s="436"/>
      <c r="BC3144" s="120"/>
      <c r="BD3144" s="223"/>
      <c r="BE3144" s="467"/>
      <c r="BF3144" s="440"/>
      <c r="CB3144" s="436"/>
      <c r="CC3144" s="120"/>
      <c r="CD3144" s="223"/>
      <c r="CE3144" s="467"/>
      <c r="CF3144" s="440"/>
      <c r="DB3144" s="436"/>
      <c r="DC3144" s="120"/>
      <c r="DD3144" s="223"/>
      <c r="DE3144" s="467"/>
      <c r="DF3144" s="440"/>
      <c r="EB3144" s="436"/>
      <c r="EC3144" s="120"/>
      <c r="ED3144" s="223"/>
      <c r="EE3144" s="467"/>
      <c r="EF3144" s="440"/>
    </row>
    <row r="3145" spans="53:136">
      <c r="BB3145" s="436"/>
      <c r="BC3145" s="120"/>
      <c r="BD3145" s="471"/>
      <c r="BE3145" s="467"/>
      <c r="BF3145" s="440"/>
      <c r="CB3145" s="436"/>
      <c r="CC3145" s="120"/>
      <c r="CD3145" s="471"/>
      <c r="CE3145" s="467"/>
      <c r="CF3145" s="440"/>
      <c r="DB3145" s="436"/>
      <c r="DC3145" s="120"/>
      <c r="DD3145" s="471"/>
      <c r="DE3145" s="467"/>
      <c r="DF3145" s="440"/>
      <c r="EB3145" s="436"/>
      <c r="EC3145" s="120"/>
      <c r="ED3145" s="471"/>
      <c r="EE3145" s="467"/>
      <c r="EF3145" s="440"/>
    </row>
    <row r="3146" spans="53:136">
      <c r="BB3146" s="436"/>
      <c r="BC3146" s="120"/>
      <c r="BD3146" s="223"/>
      <c r="BE3146" s="467"/>
      <c r="BF3146" s="440"/>
      <c r="CB3146" s="436"/>
      <c r="CC3146" s="120"/>
      <c r="CD3146" s="223"/>
      <c r="CE3146" s="467"/>
      <c r="CF3146" s="440"/>
      <c r="DB3146" s="436"/>
      <c r="DC3146" s="120"/>
      <c r="DD3146" s="223"/>
      <c r="DE3146" s="467"/>
      <c r="DF3146" s="440"/>
      <c r="EB3146" s="436"/>
      <c r="EC3146" s="120"/>
      <c r="ED3146" s="223"/>
      <c r="EE3146" s="467"/>
      <c r="EF3146" s="440"/>
    </row>
    <row r="3147" spans="53:136">
      <c r="BB3147" s="436"/>
      <c r="BC3147" s="120"/>
      <c r="BD3147" s="475"/>
      <c r="BE3147" s="467"/>
      <c r="BF3147" s="440"/>
      <c r="CB3147" s="436"/>
      <c r="CC3147" s="120"/>
      <c r="CD3147" s="475"/>
      <c r="CE3147" s="467"/>
      <c r="CF3147" s="440"/>
      <c r="DB3147" s="436"/>
      <c r="DC3147" s="120"/>
      <c r="DD3147" s="475"/>
      <c r="DE3147" s="467"/>
      <c r="DF3147" s="440"/>
      <c r="EB3147" s="436"/>
      <c r="EC3147" s="120"/>
      <c r="ED3147" s="475"/>
      <c r="EE3147" s="467"/>
      <c r="EF3147" s="440"/>
    </row>
    <row r="3148" spans="53:136">
      <c r="BB3148" s="436"/>
      <c r="BC3148" s="120"/>
      <c r="BD3148" s="223"/>
      <c r="BE3148" s="467"/>
      <c r="BF3148" s="440"/>
      <c r="CB3148" s="436"/>
      <c r="CC3148" s="120"/>
      <c r="CD3148" s="223"/>
      <c r="CE3148" s="467"/>
      <c r="CF3148" s="440"/>
      <c r="DB3148" s="436"/>
      <c r="DC3148" s="120"/>
      <c r="DD3148" s="223"/>
      <c r="DE3148" s="467"/>
      <c r="DF3148" s="440"/>
      <c r="EB3148" s="436"/>
      <c r="EC3148" s="120"/>
      <c r="ED3148" s="223"/>
      <c r="EE3148" s="467"/>
      <c r="EF3148" s="440"/>
    </row>
    <row r="3149" spans="53:136">
      <c r="BB3149" s="436"/>
      <c r="BC3149" s="120"/>
      <c r="BD3149" s="223"/>
      <c r="BE3149" s="467"/>
      <c r="BF3149" s="440"/>
      <c r="CB3149" s="436"/>
      <c r="CC3149" s="120"/>
      <c r="CD3149" s="223"/>
      <c r="CE3149" s="467"/>
      <c r="CF3149" s="440"/>
      <c r="DB3149" s="436"/>
      <c r="DC3149" s="120"/>
      <c r="DD3149" s="223"/>
      <c r="DE3149" s="467"/>
      <c r="DF3149" s="440"/>
      <c r="EB3149" s="436"/>
      <c r="EC3149" s="120"/>
      <c r="ED3149" s="223"/>
      <c r="EE3149" s="467"/>
      <c r="EF3149" s="440"/>
    </row>
    <row r="3150" spans="53:136">
      <c r="BB3150" s="436"/>
      <c r="BC3150" s="120"/>
      <c r="BD3150" s="223"/>
      <c r="BE3150" s="467"/>
      <c r="BF3150" s="440"/>
      <c r="CB3150" s="436"/>
      <c r="CC3150" s="120"/>
      <c r="CD3150" s="223"/>
      <c r="CE3150" s="467"/>
      <c r="CF3150" s="440"/>
      <c r="DB3150" s="436"/>
      <c r="DC3150" s="120"/>
      <c r="DD3150" s="223"/>
      <c r="DE3150" s="467"/>
      <c r="DF3150" s="440"/>
      <c r="EB3150" s="436"/>
      <c r="EC3150" s="120"/>
      <c r="ED3150" s="223"/>
      <c r="EE3150" s="467"/>
      <c r="EF3150" s="440"/>
    </row>
    <row r="3151" spans="53:136">
      <c r="BB3151" s="436"/>
      <c r="BC3151" s="120"/>
      <c r="BD3151" s="223"/>
      <c r="BE3151" s="467"/>
      <c r="BF3151" s="440"/>
      <c r="CB3151" s="436"/>
      <c r="CC3151" s="120"/>
      <c r="CD3151" s="223"/>
      <c r="CE3151" s="467"/>
      <c r="CF3151" s="440"/>
      <c r="DB3151" s="436"/>
      <c r="DC3151" s="120"/>
      <c r="DD3151" s="223"/>
      <c r="DE3151" s="467"/>
      <c r="DF3151" s="440"/>
      <c r="EB3151" s="436"/>
      <c r="EC3151" s="120"/>
      <c r="ED3151" s="223"/>
      <c r="EE3151" s="467"/>
      <c r="EF3151" s="440"/>
    </row>
    <row r="3152" spans="53:136">
      <c r="BB3152" s="436"/>
      <c r="BC3152" s="120"/>
      <c r="BD3152" s="120"/>
      <c r="BE3152" s="467"/>
      <c r="BF3152" s="440"/>
      <c r="CB3152" s="436"/>
      <c r="CC3152" s="120"/>
      <c r="CD3152" s="120"/>
      <c r="CE3152" s="467"/>
      <c r="CF3152" s="440"/>
      <c r="DB3152" s="436"/>
      <c r="DC3152" s="120"/>
      <c r="DD3152" s="120"/>
      <c r="DE3152" s="467"/>
      <c r="DF3152" s="440"/>
      <c r="EB3152" s="436"/>
      <c r="EC3152" s="120"/>
      <c r="ED3152" s="120"/>
      <c r="EE3152" s="467"/>
      <c r="EF3152" s="440"/>
    </row>
    <row r="3153" spans="54:136">
      <c r="BB3153" s="456"/>
      <c r="BC3153" s="457"/>
      <c r="BD3153" s="457"/>
      <c r="BE3153" s="477"/>
      <c r="BF3153" s="458"/>
      <c r="CB3153" s="456"/>
      <c r="CC3153" s="457"/>
      <c r="CD3153" s="457"/>
      <c r="CE3153" s="477"/>
      <c r="CF3153" s="458"/>
      <c r="DB3153" s="456"/>
      <c r="DC3153" s="457"/>
      <c r="DD3153" s="457"/>
      <c r="DE3153" s="477"/>
      <c r="DF3153" s="458"/>
      <c r="EB3153" s="456"/>
      <c r="EC3153" s="457"/>
      <c r="ED3153" s="457"/>
      <c r="EE3153" s="477"/>
      <c r="EF3153" s="458"/>
    </row>
    <row r="3154" spans="54:136">
      <c r="BB3154" s="449" t="s">
        <v>474</v>
      </c>
      <c r="BC3154" s="120"/>
      <c r="BD3154" s="120" t="s">
        <v>1</v>
      </c>
      <c r="BE3154" s="310" t="s">
        <v>307</v>
      </c>
      <c r="BF3154" s="440"/>
      <c r="CB3154" s="449" t="s">
        <v>474</v>
      </c>
      <c r="CC3154" s="120"/>
      <c r="CD3154" s="120" t="s">
        <v>1</v>
      </c>
      <c r="CE3154" s="310" t="s">
        <v>307</v>
      </c>
      <c r="CF3154" s="440"/>
      <c r="DB3154" s="449" t="s">
        <v>474</v>
      </c>
      <c r="DC3154" s="120"/>
      <c r="DD3154" s="120" t="s">
        <v>1</v>
      </c>
      <c r="DE3154" s="310" t="s">
        <v>307</v>
      </c>
      <c r="DF3154" s="440"/>
      <c r="EB3154" s="449" t="s">
        <v>474</v>
      </c>
      <c r="EC3154" s="120"/>
      <c r="ED3154" s="120" t="s">
        <v>1</v>
      </c>
      <c r="EE3154" s="310" t="s">
        <v>307</v>
      </c>
      <c r="EF3154" s="440"/>
    </row>
    <row r="3155" spans="54:136">
      <c r="BB3155" s="436"/>
      <c r="BC3155" s="223"/>
      <c r="BD3155" s="480"/>
      <c r="BE3155" s="484"/>
      <c r="BF3155" s="440"/>
      <c r="CB3155" s="436"/>
      <c r="CC3155" s="223"/>
      <c r="CD3155" s="480"/>
      <c r="CE3155" s="484"/>
      <c r="CF3155" s="440"/>
      <c r="DB3155" s="436"/>
      <c r="DC3155" s="223"/>
      <c r="DD3155" s="480"/>
      <c r="DE3155" s="484"/>
      <c r="DF3155" s="440"/>
      <c r="EB3155" s="436"/>
      <c r="EC3155" s="223"/>
      <c r="ED3155" s="480"/>
      <c r="EE3155" s="484"/>
      <c r="EF3155" s="440"/>
    </row>
    <row r="3156" spans="54:136">
      <c r="BB3156" s="436"/>
      <c r="BC3156" s="120"/>
      <c r="BD3156" s="120"/>
      <c r="BE3156" s="467"/>
      <c r="BF3156" s="440"/>
      <c r="CB3156" s="436"/>
      <c r="CC3156" s="120"/>
      <c r="CD3156" s="120"/>
      <c r="CE3156" s="467"/>
      <c r="CF3156" s="440"/>
      <c r="DB3156" s="436"/>
      <c r="DC3156" s="120"/>
      <c r="DD3156" s="120"/>
      <c r="DE3156" s="467"/>
      <c r="DF3156" s="440"/>
      <c r="EB3156" s="436"/>
      <c r="EC3156" s="120"/>
      <c r="ED3156" s="120"/>
      <c r="EE3156" s="467"/>
      <c r="EF3156" s="440"/>
    </row>
    <row r="3157" spans="54:136">
      <c r="BB3157" s="436"/>
      <c r="BC3157" s="120"/>
      <c r="BD3157" s="120"/>
      <c r="BE3157" s="467"/>
      <c r="BF3157" s="440"/>
      <c r="CB3157" s="436"/>
      <c r="CC3157" s="120"/>
      <c r="CD3157" s="120"/>
      <c r="CE3157" s="467"/>
      <c r="CF3157" s="440"/>
      <c r="DB3157" s="436"/>
      <c r="DC3157" s="120"/>
      <c r="DD3157" s="120"/>
      <c r="DE3157" s="467"/>
      <c r="DF3157" s="440"/>
      <c r="EB3157" s="436"/>
      <c r="EC3157" s="120"/>
      <c r="ED3157" s="120"/>
      <c r="EE3157" s="467"/>
      <c r="EF3157" s="440"/>
    </row>
    <row r="3158" spans="54:136">
      <c r="BB3158" s="436"/>
      <c r="BC3158" s="120"/>
      <c r="BD3158" s="120"/>
      <c r="BE3158" s="467"/>
      <c r="BF3158" s="440"/>
      <c r="CB3158" s="436"/>
      <c r="CC3158" s="120"/>
      <c r="CD3158" s="120"/>
      <c r="CE3158" s="467"/>
      <c r="CF3158" s="440"/>
      <c r="DB3158" s="436"/>
      <c r="DC3158" s="120"/>
      <c r="DD3158" s="120"/>
      <c r="DE3158" s="467"/>
      <c r="DF3158" s="440"/>
      <c r="EB3158" s="436"/>
      <c r="EC3158" s="120"/>
      <c r="ED3158" s="120"/>
      <c r="EE3158" s="467"/>
      <c r="EF3158" s="440"/>
    </row>
    <row r="3159" spans="54:136">
      <c r="BB3159" s="436"/>
      <c r="BC3159" s="120"/>
      <c r="BD3159" s="120"/>
      <c r="BE3159" s="467"/>
      <c r="BF3159" s="440"/>
      <c r="CB3159" s="436"/>
      <c r="CC3159" s="120"/>
      <c r="CD3159" s="120"/>
      <c r="CE3159" s="467"/>
      <c r="CF3159" s="440"/>
      <c r="DB3159" s="436"/>
      <c r="DC3159" s="120"/>
      <c r="DD3159" s="120"/>
      <c r="DE3159" s="467"/>
      <c r="DF3159" s="440"/>
      <c r="EB3159" s="436"/>
      <c r="EC3159" s="120"/>
      <c r="ED3159" s="120"/>
      <c r="EE3159" s="467"/>
      <c r="EF3159" s="440"/>
    </row>
    <row r="3160" spans="54:136">
      <c r="BB3160" s="436"/>
      <c r="BC3160" s="120"/>
      <c r="BD3160" s="120"/>
      <c r="BE3160" s="467"/>
      <c r="BF3160" s="440"/>
      <c r="CB3160" s="436"/>
      <c r="CC3160" s="120"/>
      <c r="CD3160" s="120"/>
      <c r="CE3160" s="467"/>
      <c r="CF3160" s="440"/>
      <c r="DB3160" s="436"/>
      <c r="DC3160" s="120"/>
      <c r="DD3160" s="120"/>
      <c r="DE3160" s="467"/>
      <c r="DF3160" s="440"/>
      <c r="EB3160" s="436"/>
      <c r="EC3160" s="120"/>
      <c r="ED3160" s="120"/>
      <c r="EE3160" s="467"/>
      <c r="EF3160" s="440"/>
    </row>
    <row r="3161" spans="54:136">
      <c r="BB3161" s="436"/>
      <c r="BC3161" s="120"/>
      <c r="BD3161" s="120"/>
      <c r="BE3161" s="467"/>
      <c r="BF3161" s="440"/>
      <c r="CB3161" s="436"/>
      <c r="CC3161" s="120"/>
      <c r="CD3161" s="120"/>
      <c r="CE3161" s="467"/>
      <c r="CF3161" s="440"/>
      <c r="DB3161" s="436"/>
      <c r="DC3161" s="120"/>
      <c r="DD3161" s="120"/>
      <c r="DE3161" s="467"/>
      <c r="DF3161" s="440"/>
      <c r="EB3161" s="436"/>
      <c r="EC3161" s="120"/>
      <c r="ED3161" s="120"/>
      <c r="EE3161" s="467"/>
      <c r="EF3161" s="440"/>
    </row>
    <row r="3162" spans="54:136">
      <c r="BB3162" s="436"/>
      <c r="BC3162" s="120"/>
      <c r="BD3162" s="120"/>
      <c r="BE3162" s="467"/>
      <c r="BF3162" s="440"/>
      <c r="CB3162" s="436"/>
      <c r="CC3162" s="120"/>
      <c r="CD3162" s="120"/>
      <c r="CE3162" s="467"/>
      <c r="CF3162" s="440"/>
      <c r="DB3162" s="436"/>
      <c r="DC3162" s="120"/>
      <c r="DD3162" s="120"/>
      <c r="DE3162" s="467"/>
      <c r="DF3162" s="440"/>
      <c r="EB3162" s="436"/>
      <c r="EC3162" s="120"/>
      <c r="ED3162" s="120"/>
      <c r="EE3162" s="467"/>
      <c r="EF3162" s="440"/>
    </row>
    <row r="3163" spans="54:136">
      <c r="BB3163" s="436"/>
      <c r="BC3163" s="120"/>
      <c r="BD3163" s="120"/>
      <c r="BE3163" s="467"/>
      <c r="BF3163" s="440"/>
      <c r="CB3163" s="436"/>
      <c r="CC3163" s="120"/>
      <c r="CD3163" s="120"/>
      <c r="CE3163" s="467"/>
      <c r="CF3163" s="440"/>
      <c r="DB3163" s="436"/>
      <c r="DC3163" s="120"/>
      <c r="DD3163" s="120"/>
      <c r="DE3163" s="467"/>
      <c r="DF3163" s="440"/>
      <c r="EB3163" s="436"/>
      <c r="EC3163" s="120"/>
      <c r="ED3163" s="120"/>
      <c r="EE3163" s="467"/>
      <c r="EF3163" s="440"/>
    </row>
    <row r="3164" spans="54:136">
      <c r="BB3164" s="436"/>
      <c r="BC3164" s="120"/>
      <c r="BD3164" s="120"/>
      <c r="BE3164" s="467"/>
      <c r="BF3164" s="440"/>
      <c r="CB3164" s="436"/>
      <c r="CC3164" s="120"/>
      <c r="CD3164" s="120"/>
      <c r="CE3164" s="467"/>
      <c r="CF3164" s="440"/>
      <c r="DB3164" s="436"/>
      <c r="DC3164" s="120"/>
      <c r="DD3164" s="120"/>
      <c r="DE3164" s="467"/>
      <c r="DF3164" s="440"/>
      <c r="EB3164" s="436"/>
      <c r="EC3164" s="120"/>
      <c r="ED3164" s="120"/>
      <c r="EE3164" s="467"/>
      <c r="EF3164" s="440"/>
    </row>
    <row r="3165" spans="54:136">
      <c r="BB3165" s="436"/>
      <c r="BC3165" s="120"/>
      <c r="BD3165" s="120"/>
      <c r="BE3165" s="467"/>
      <c r="BF3165" s="440"/>
      <c r="CB3165" s="436"/>
      <c r="CC3165" s="120"/>
      <c r="CD3165" s="120"/>
      <c r="CE3165" s="467"/>
      <c r="CF3165" s="440"/>
      <c r="DB3165" s="436"/>
      <c r="DC3165" s="120"/>
      <c r="DD3165" s="120"/>
      <c r="DE3165" s="467"/>
      <c r="DF3165" s="440"/>
      <c r="EB3165" s="436"/>
      <c r="EC3165" s="120"/>
      <c r="ED3165" s="120"/>
      <c r="EE3165" s="467"/>
      <c r="EF3165" s="440"/>
    </row>
    <row r="3166" spans="54:136">
      <c r="BB3166" s="436"/>
      <c r="BC3166" s="120"/>
      <c r="BD3166" s="120"/>
      <c r="BE3166" s="467"/>
      <c r="BF3166" s="440"/>
      <c r="CB3166" s="436"/>
      <c r="CC3166" s="120"/>
      <c r="CD3166" s="120"/>
      <c r="CE3166" s="467"/>
      <c r="CF3166" s="440"/>
      <c r="DB3166" s="436"/>
      <c r="DC3166" s="120"/>
      <c r="DD3166" s="120"/>
      <c r="DE3166" s="467"/>
      <c r="DF3166" s="440"/>
      <c r="EB3166" s="436"/>
      <c r="EC3166" s="120"/>
      <c r="ED3166" s="120"/>
      <c r="EE3166" s="467"/>
      <c r="EF3166" s="440"/>
    </row>
    <row r="3167" spans="54:136">
      <c r="BB3167" s="456"/>
      <c r="BC3167" s="457"/>
      <c r="BD3167" s="457"/>
      <c r="BE3167" s="477"/>
      <c r="BF3167" s="458"/>
      <c r="CB3167" s="456"/>
      <c r="CC3167" s="457"/>
      <c r="CD3167" s="457"/>
      <c r="CE3167" s="477"/>
      <c r="CF3167" s="458"/>
      <c r="DB3167" s="456"/>
      <c r="DC3167" s="457"/>
      <c r="DD3167" s="457"/>
      <c r="DE3167" s="477"/>
      <c r="DF3167" s="458"/>
      <c r="EB3167" s="456"/>
      <c r="EC3167" s="457"/>
      <c r="ED3167" s="457"/>
      <c r="EE3167" s="477"/>
      <c r="EF3167" s="458"/>
    </row>
    <row r="3168" spans="54:136">
      <c r="BB3168" s="456"/>
      <c r="BC3168" s="457"/>
      <c r="BD3168" s="457"/>
      <c r="BE3168" s="457"/>
      <c r="BF3168" s="458"/>
      <c r="CB3168" s="456"/>
      <c r="CC3168" s="457"/>
      <c r="CD3168" s="457"/>
      <c r="CE3168" s="457"/>
      <c r="CF3168" s="458"/>
      <c r="DB3168" s="456"/>
      <c r="DC3168" s="457"/>
      <c r="DD3168" s="457"/>
      <c r="DE3168" s="457"/>
      <c r="DF3168" s="458"/>
      <c r="EB3168" s="456"/>
      <c r="EC3168" s="457"/>
      <c r="ED3168" s="457"/>
      <c r="EE3168" s="457"/>
      <c r="EF3168" s="458"/>
    </row>
    <row r="3169" spans="54:136">
      <c r="BB3169" s="449" t="s">
        <v>475</v>
      </c>
      <c r="BC3169" s="120"/>
      <c r="BD3169" s="120"/>
      <c r="BE3169" s="120"/>
      <c r="BF3169" s="440"/>
      <c r="CB3169" s="449" t="s">
        <v>475</v>
      </c>
      <c r="CC3169" s="120"/>
      <c r="CD3169" s="120"/>
      <c r="CE3169" s="120"/>
      <c r="CF3169" s="440"/>
      <c r="DB3169" s="449" t="s">
        <v>475</v>
      </c>
      <c r="DC3169" s="120"/>
      <c r="DD3169" s="120"/>
      <c r="DE3169" s="120"/>
      <c r="DF3169" s="440"/>
      <c r="EB3169" s="449" t="s">
        <v>475</v>
      </c>
      <c r="EC3169" s="120"/>
      <c r="ED3169" s="120"/>
      <c r="EE3169" s="120"/>
      <c r="EF3169" s="440"/>
    </row>
    <row r="3170" spans="54:136">
      <c r="BB3170" s="436" t="s">
        <v>509</v>
      </c>
      <c r="BC3170" s="120"/>
      <c r="BD3170" s="120"/>
      <c r="BE3170" s="120"/>
      <c r="BF3170" s="440"/>
      <c r="CB3170" s="436" t="s">
        <v>509</v>
      </c>
      <c r="CC3170" s="120"/>
      <c r="CD3170" s="120"/>
      <c r="CE3170" s="120"/>
      <c r="CF3170" s="440"/>
      <c r="DB3170" s="436" t="s">
        <v>509</v>
      </c>
      <c r="DC3170" s="120"/>
      <c r="DD3170" s="120"/>
      <c r="DE3170" s="120"/>
      <c r="DF3170" s="440"/>
      <c r="EB3170" s="436" t="s">
        <v>509</v>
      </c>
      <c r="EC3170" s="120"/>
      <c r="ED3170" s="120"/>
      <c r="EE3170" s="120"/>
      <c r="EF3170" s="440"/>
    </row>
    <row r="3171" spans="54:136">
      <c r="BB3171" s="436" t="s">
        <v>510</v>
      </c>
      <c r="BC3171" s="120"/>
      <c r="BD3171" s="120"/>
      <c r="BE3171" s="120"/>
      <c r="BF3171" s="440"/>
      <c r="CB3171" s="436" t="s">
        <v>510</v>
      </c>
      <c r="CC3171" s="120"/>
      <c r="CD3171" s="120"/>
      <c r="CE3171" s="120"/>
      <c r="CF3171" s="440"/>
      <c r="DB3171" s="436" t="s">
        <v>510</v>
      </c>
      <c r="DC3171" s="120"/>
      <c r="DD3171" s="120"/>
      <c r="DE3171" s="120"/>
      <c r="DF3171" s="440"/>
      <c r="EB3171" s="436" t="s">
        <v>510</v>
      </c>
      <c r="EC3171" s="120"/>
      <c r="ED3171" s="120"/>
      <c r="EE3171" s="120"/>
      <c r="EF3171" s="440"/>
    </row>
    <row r="3172" spans="54:136">
      <c r="BB3172" s="436"/>
      <c r="BC3172" s="120"/>
      <c r="BD3172" s="120"/>
      <c r="BE3172" s="120"/>
      <c r="BF3172" s="440"/>
      <c r="CB3172" s="436"/>
      <c r="CC3172" s="120"/>
      <c r="CD3172" s="120"/>
      <c r="CE3172" s="120"/>
      <c r="CF3172" s="440"/>
      <c r="DB3172" s="436"/>
      <c r="DC3172" s="120"/>
      <c r="DD3172" s="120"/>
      <c r="DE3172" s="120"/>
      <c r="DF3172" s="440"/>
      <c r="EB3172" s="436"/>
      <c r="EC3172" s="120"/>
      <c r="ED3172" s="120"/>
      <c r="EE3172" s="120"/>
      <c r="EF3172" s="440"/>
    </row>
    <row r="3173" spans="54:136">
      <c r="BB3173" s="436"/>
      <c r="BC3173" s="120"/>
      <c r="BD3173" s="120"/>
      <c r="BE3173" s="120"/>
      <c r="BF3173" s="440"/>
      <c r="CB3173" s="436"/>
      <c r="CC3173" s="120"/>
      <c r="CD3173" s="120"/>
      <c r="CE3173" s="120"/>
      <c r="CF3173" s="440"/>
      <c r="DB3173" s="436"/>
      <c r="DC3173" s="120"/>
      <c r="DD3173" s="120"/>
      <c r="DE3173" s="120"/>
      <c r="DF3173" s="440"/>
      <c r="EB3173" s="436"/>
      <c r="EC3173" s="120"/>
      <c r="ED3173" s="120"/>
      <c r="EE3173" s="120"/>
      <c r="EF3173" s="440"/>
    </row>
    <row r="3174" spans="54:136">
      <c r="BB3174" s="436"/>
      <c r="BC3174" s="120"/>
      <c r="BD3174" s="120"/>
      <c r="BE3174" s="120"/>
      <c r="BF3174" s="440"/>
      <c r="CB3174" s="436"/>
      <c r="CC3174" s="120"/>
      <c r="CD3174" s="120"/>
      <c r="CE3174" s="120"/>
      <c r="CF3174" s="440"/>
      <c r="DB3174" s="436"/>
      <c r="DC3174" s="120"/>
      <c r="DD3174" s="120"/>
      <c r="DE3174" s="120"/>
      <c r="DF3174" s="440"/>
      <c r="EB3174" s="436"/>
      <c r="EC3174" s="120"/>
      <c r="ED3174" s="120"/>
      <c r="EE3174" s="120"/>
      <c r="EF3174" s="440"/>
    </row>
    <row r="3175" spans="54:136">
      <c r="BB3175" s="436"/>
      <c r="BC3175" s="120"/>
      <c r="BD3175" s="120"/>
      <c r="BE3175" s="120"/>
      <c r="BF3175" s="440"/>
      <c r="CB3175" s="436"/>
      <c r="CC3175" s="120"/>
      <c r="CD3175" s="120"/>
      <c r="CE3175" s="120"/>
      <c r="CF3175" s="440"/>
      <c r="DB3175" s="436"/>
      <c r="DC3175" s="120"/>
      <c r="DD3175" s="120"/>
      <c r="DE3175" s="120"/>
      <c r="DF3175" s="440"/>
      <c r="EB3175" s="436"/>
      <c r="EC3175" s="120"/>
      <c r="ED3175" s="120"/>
      <c r="EE3175" s="120"/>
      <c r="EF3175" s="440"/>
    </row>
    <row r="3176" spans="54:136">
      <c r="BB3176" s="436" t="s">
        <v>511</v>
      </c>
      <c r="BC3176" s="120">
        <v>0</v>
      </c>
      <c r="BD3176" s="120" t="s">
        <v>512</v>
      </c>
      <c r="BE3176" s="120"/>
      <c r="BF3176" s="440"/>
      <c r="CB3176" s="436" t="s">
        <v>511</v>
      </c>
      <c r="CC3176" s="120">
        <v>0</v>
      </c>
      <c r="CD3176" s="120" t="s">
        <v>512</v>
      </c>
      <c r="CE3176" s="120"/>
      <c r="CF3176" s="440"/>
      <c r="DB3176" s="436" t="s">
        <v>511</v>
      </c>
      <c r="DC3176" s="120">
        <v>0</v>
      </c>
      <c r="DD3176" s="120" t="s">
        <v>512</v>
      </c>
      <c r="DE3176" s="120"/>
      <c r="DF3176" s="440"/>
      <c r="EB3176" s="436" t="s">
        <v>511</v>
      </c>
      <c r="EC3176" s="120">
        <v>0</v>
      </c>
      <c r="ED3176" s="120" t="s">
        <v>512</v>
      </c>
      <c r="EE3176" s="120"/>
      <c r="EF3176" s="440"/>
    </row>
    <row r="3177" spans="54:136">
      <c r="BB3177" s="436" t="s">
        <v>513</v>
      </c>
      <c r="BC3177" s="120">
        <v>0</v>
      </c>
      <c r="BD3177" s="120" t="s">
        <v>512</v>
      </c>
      <c r="BE3177" s="120"/>
      <c r="BF3177" s="440"/>
      <c r="CB3177" s="436" t="s">
        <v>513</v>
      </c>
      <c r="CC3177" s="120">
        <v>0</v>
      </c>
      <c r="CD3177" s="120" t="s">
        <v>512</v>
      </c>
      <c r="CE3177" s="120"/>
      <c r="CF3177" s="440"/>
      <c r="DB3177" s="436" t="s">
        <v>513</v>
      </c>
      <c r="DC3177" s="120">
        <v>0</v>
      </c>
      <c r="DD3177" s="120" t="s">
        <v>512</v>
      </c>
      <c r="DE3177" s="120"/>
      <c r="DF3177" s="440"/>
      <c r="EB3177" s="436" t="s">
        <v>513</v>
      </c>
      <c r="EC3177" s="120">
        <v>0</v>
      </c>
      <c r="ED3177" s="120" t="s">
        <v>512</v>
      </c>
      <c r="EE3177" s="120"/>
      <c r="EF3177" s="440"/>
    </row>
    <row r="3178" spans="54:136">
      <c r="BB3178" s="456"/>
      <c r="BC3178" s="457"/>
      <c r="BD3178" s="457"/>
      <c r="BE3178" s="457"/>
      <c r="BF3178" s="458"/>
      <c r="CB3178" s="456"/>
      <c r="CC3178" s="457"/>
      <c r="CD3178" s="457"/>
      <c r="CE3178" s="457"/>
      <c r="CF3178" s="458"/>
      <c r="DB3178" s="456"/>
      <c r="DC3178" s="457"/>
      <c r="DD3178" s="457"/>
      <c r="DE3178" s="457"/>
      <c r="DF3178" s="458"/>
      <c r="EB3178" s="456"/>
      <c r="EC3178" s="457"/>
      <c r="ED3178" s="457"/>
      <c r="EE3178" s="457"/>
      <c r="EF3178" s="458"/>
    </row>
    <row r="3179" spans="54:136">
      <c r="BB3179" s="449" t="s">
        <v>461</v>
      </c>
      <c r="BC3179" s="120"/>
      <c r="BD3179" s="120"/>
      <c r="BE3179" s="120"/>
      <c r="BF3179" s="440"/>
      <c r="CB3179" s="449" t="s">
        <v>461</v>
      </c>
      <c r="CC3179" s="120"/>
      <c r="CD3179" s="120"/>
      <c r="CE3179" s="120"/>
      <c r="CF3179" s="440"/>
      <c r="DB3179" s="449" t="s">
        <v>461</v>
      </c>
      <c r="DC3179" s="120"/>
      <c r="DD3179" s="120"/>
      <c r="DE3179" s="120"/>
      <c r="DF3179" s="440"/>
      <c r="EB3179" s="449" t="s">
        <v>461</v>
      </c>
      <c r="EC3179" s="120"/>
      <c r="ED3179" s="120"/>
      <c r="EE3179" s="120"/>
      <c r="EF3179" s="440"/>
    </row>
    <row r="3180" spans="54:136">
      <c r="BB3180" s="436" t="s">
        <v>514</v>
      </c>
      <c r="BC3180" s="120">
        <f>VLOOKUP(BB3108,'Unit Ops'!$B$140:$K$209,10,FALSE)</f>
        <v>0</v>
      </c>
      <c r="BD3180" s="120" t="s">
        <v>515</v>
      </c>
      <c r="BE3180" s="120"/>
      <c r="BF3180" s="440"/>
      <c r="CB3180" s="436" t="s">
        <v>514</v>
      </c>
      <c r="CC3180" s="120">
        <f>VLOOKUP(CB3108,'Unit Ops'!$B$140:$K$209,10,FALSE)</f>
        <v>0</v>
      </c>
      <c r="CD3180" s="120" t="s">
        <v>515</v>
      </c>
      <c r="CE3180" s="120"/>
      <c r="CF3180" s="440"/>
      <c r="DB3180" s="436" t="s">
        <v>514</v>
      </c>
      <c r="DC3180" s="120">
        <f>VLOOKUP(DB3108,'Unit Ops'!$B$140:$K$209,10,FALSE)</f>
        <v>0</v>
      </c>
      <c r="DD3180" s="120" t="s">
        <v>515</v>
      </c>
      <c r="DE3180" s="120"/>
      <c r="DF3180" s="440"/>
      <c r="EB3180" s="436" t="s">
        <v>514</v>
      </c>
      <c r="EC3180" s="120">
        <f>VLOOKUP(EB3108,'Unit Ops'!$B$140:$K$209,10,FALSE)</f>
        <v>0</v>
      </c>
      <c r="ED3180" s="120" t="s">
        <v>515</v>
      </c>
      <c r="EE3180" s="120"/>
      <c r="EF3180" s="440"/>
    </row>
    <row r="3181" spans="54:136">
      <c r="BB3181" s="436" t="s">
        <v>516</v>
      </c>
      <c r="BC3181" s="120">
        <v>0</v>
      </c>
      <c r="BD3181" s="120" t="s">
        <v>515</v>
      </c>
      <c r="BE3181" s="120"/>
      <c r="BF3181" s="440"/>
      <c r="CB3181" s="436" t="s">
        <v>516</v>
      </c>
      <c r="CC3181" s="120">
        <v>0</v>
      </c>
      <c r="CD3181" s="120" t="s">
        <v>515</v>
      </c>
      <c r="CE3181" s="120"/>
      <c r="CF3181" s="440"/>
      <c r="DB3181" s="436" t="s">
        <v>516</v>
      </c>
      <c r="DC3181" s="120">
        <v>0</v>
      </c>
      <c r="DD3181" s="120" t="s">
        <v>515</v>
      </c>
      <c r="DE3181" s="120"/>
      <c r="DF3181" s="440"/>
      <c r="EB3181" s="436" t="s">
        <v>516</v>
      </c>
      <c r="EC3181" s="120">
        <v>0</v>
      </c>
      <c r="ED3181" s="120" t="s">
        <v>515</v>
      </c>
      <c r="EE3181" s="120"/>
      <c r="EF3181" s="440"/>
    </row>
    <row r="3182" spans="54:136">
      <c r="BB3182" s="436"/>
      <c r="BC3182" s="120"/>
      <c r="BD3182" s="120"/>
      <c r="BE3182" s="120"/>
      <c r="BF3182" s="440"/>
      <c r="CB3182" s="436"/>
      <c r="CC3182" s="120"/>
      <c r="CD3182" s="120"/>
      <c r="CE3182" s="120"/>
      <c r="CF3182" s="440"/>
      <c r="DB3182" s="436"/>
      <c r="DC3182" s="120"/>
      <c r="DD3182" s="120"/>
      <c r="DE3182" s="120"/>
      <c r="DF3182" s="440"/>
      <c r="EB3182" s="436"/>
      <c r="EC3182" s="120"/>
      <c r="ED3182" s="120"/>
      <c r="EE3182" s="120"/>
      <c r="EF3182" s="440"/>
    </row>
    <row r="3183" spans="54:136">
      <c r="BB3183" s="436"/>
      <c r="BC3183" s="120"/>
      <c r="BD3183" s="120"/>
      <c r="BE3183" s="120"/>
      <c r="BF3183" s="440"/>
      <c r="CB3183" s="436"/>
      <c r="CC3183" s="120"/>
      <c r="CD3183" s="120"/>
      <c r="CE3183" s="120"/>
      <c r="CF3183" s="440"/>
      <c r="DB3183" s="436"/>
      <c r="DC3183" s="120"/>
      <c r="DD3183" s="120"/>
      <c r="DE3183" s="120"/>
      <c r="DF3183" s="440"/>
      <c r="EB3183" s="436"/>
      <c r="EC3183" s="120"/>
      <c r="ED3183" s="120"/>
      <c r="EE3183" s="120"/>
      <c r="EF3183" s="440"/>
    </row>
    <row r="3184" spans="54:136">
      <c r="BB3184" s="436"/>
      <c r="BC3184" s="120"/>
      <c r="BD3184" s="120"/>
      <c r="BE3184" s="120"/>
      <c r="BF3184" s="440"/>
      <c r="CB3184" s="436"/>
      <c r="CC3184" s="120"/>
      <c r="CD3184" s="120"/>
      <c r="CE3184" s="120"/>
      <c r="CF3184" s="440"/>
      <c r="DB3184" s="436"/>
      <c r="DC3184" s="120"/>
      <c r="DD3184" s="120"/>
      <c r="DE3184" s="120"/>
      <c r="DF3184" s="440"/>
      <c r="EB3184" s="436"/>
      <c r="EC3184" s="120"/>
      <c r="ED3184" s="120"/>
      <c r="EE3184" s="120"/>
      <c r="EF3184" s="440"/>
    </row>
    <row r="3185" spans="54:136">
      <c r="BB3185" s="436"/>
      <c r="BC3185" s="120"/>
      <c r="BD3185" s="120"/>
      <c r="BE3185" s="120"/>
      <c r="BF3185" s="440"/>
      <c r="CB3185" s="436"/>
      <c r="CC3185" s="120"/>
      <c r="CD3185" s="120"/>
      <c r="CE3185" s="120"/>
      <c r="CF3185" s="440"/>
      <c r="DB3185" s="436"/>
      <c r="DC3185" s="120"/>
      <c r="DD3185" s="120"/>
      <c r="DE3185" s="120"/>
      <c r="DF3185" s="440"/>
      <c r="EB3185" s="436"/>
      <c r="EC3185" s="120"/>
      <c r="ED3185" s="120"/>
      <c r="EE3185" s="120"/>
      <c r="EF3185" s="440"/>
    </row>
    <row r="3186" spans="54:136">
      <c r="BB3186" s="436"/>
      <c r="BC3186" s="120"/>
      <c r="BD3186" s="120"/>
      <c r="BE3186" s="120"/>
      <c r="BF3186" s="440"/>
      <c r="CB3186" s="436"/>
      <c r="CC3186" s="120"/>
      <c r="CD3186" s="120"/>
      <c r="CE3186" s="120"/>
      <c r="CF3186" s="440"/>
      <c r="DB3186" s="436"/>
      <c r="DC3186" s="120"/>
      <c r="DD3186" s="120"/>
      <c r="DE3186" s="120"/>
      <c r="DF3186" s="440"/>
      <c r="EB3186" s="436"/>
      <c r="EC3186" s="120"/>
      <c r="ED3186" s="120"/>
      <c r="EE3186" s="120"/>
      <c r="EF3186" s="440"/>
    </row>
    <row r="3187" spans="54:136">
      <c r="BB3187" s="436" t="s">
        <v>464</v>
      </c>
      <c r="BC3187" s="120"/>
      <c r="BD3187" s="120"/>
      <c r="BE3187" s="120"/>
      <c r="BF3187" s="440"/>
      <c r="CB3187" s="436" t="s">
        <v>464</v>
      </c>
      <c r="CC3187" s="120"/>
      <c r="CD3187" s="120"/>
      <c r="CE3187" s="120"/>
      <c r="CF3187" s="440"/>
      <c r="DB3187" s="436" t="s">
        <v>464</v>
      </c>
      <c r="DC3187" s="120"/>
      <c r="DD3187" s="120"/>
      <c r="DE3187" s="120"/>
      <c r="DF3187" s="440"/>
      <c r="EB3187" s="436" t="s">
        <v>464</v>
      </c>
      <c r="EC3187" s="120"/>
      <c r="ED3187" s="120"/>
      <c r="EE3187" s="120"/>
      <c r="EF3187" s="440"/>
    </row>
    <row r="3188" spans="54:136">
      <c r="BB3188" s="456"/>
      <c r="BC3188" s="457"/>
      <c r="BD3188" s="457"/>
      <c r="BE3188" s="457"/>
      <c r="BF3188" s="458"/>
      <c r="CB3188" s="456"/>
      <c r="CC3188" s="457"/>
      <c r="CD3188" s="457"/>
      <c r="CE3188" s="457"/>
      <c r="CF3188" s="458"/>
      <c r="DB3188" s="456"/>
      <c r="DC3188" s="457"/>
      <c r="DD3188" s="457"/>
      <c r="DE3188" s="457"/>
      <c r="DF3188" s="458"/>
      <c r="EB3188" s="456"/>
      <c r="EC3188" s="457"/>
      <c r="ED3188" s="457"/>
      <c r="EE3188" s="457"/>
      <c r="EF3188" s="458"/>
    </row>
    <row r="3189" spans="54:136">
      <c r="BB3189" s="449" t="s">
        <v>472</v>
      </c>
      <c r="BC3189" s="467" t="s">
        <v>517</v>
      </c>
      <c r="BD3189" s="120" t="s">
        <v>518</v>
      </c>
      <c r="BE3189" s="467" t="s">
        <v>519</v>
      </c>
      <c r="BF3189" s="440" t="s">
        <v>518</v>
      </c>
      <c r="CB3189" s="449" t="s">
        <v>472</v>
      </c>
      <c r="CC3189" s="467" t="s">
        <v>517</v>
      </c>
      <c r="CD3189" s="120" t="s">
        <v>518</v>
      </c>
      <c r="CE3189" s="467" t="s">
        <v>519</v>
      </c>
      <c r="CF3189" s="440" t="s">
        <v>518</v>
      </c>
      <c r="DB3189" s="449" t="s">
        <v>472</v>
      </c>
      <c r="DC3189" s="467" t="s">
        <v>517</v>
      </c>
      <c r="DD3189" s="120" t="s">
        <v>518</v>
      </c>
      <c r="DE3189" s="467" t="s">
        <v>519</v>
      </c>
      <c r="DF3189" s="440" t="s">
        <v>518</v>
      </c>
      <c r="EB3189" s="449" t="s">
        <v>472</v>
      </c>
      <c r="EC3189" s="467" t="s">
        <v>517</v>
      </c>
      <c r="ED3189" s="120" t="s">
        <v>518</v>
      </c>
      <c r="EE3189" s="467" t="s">
        <v>519</v>
      </c>
      <c r="EF3189" s="440" t="s">
        <v>518</v>
      </c>
    </row>
    <row r="3190" spans="54:136">
      <c r="BB3190" s="436" t="s">
        <v>520</v>
      </c>
      <c r="BC3190" s="120"/>
      <c r="BD3190" s="120"/>
      <c r="BE3190" s="472">
        <f>((VLOOKUP(BB3108,'Unit Ops'!$B$140:$J$209,3,FALSE)*BC3110^VLOOKUP(BB3108,'Unit Ops'!$B$140:$J$209,4,FALSE)+VLOOKUP(BB3108,'Unit Ops'!$B$140:$J$209,5,FALSE))*VLOOKUP(BB3108,'Unit Ops'!$B$140:$J$209,6,FALSE))*IF(VLOOKUP(BB3108,'Unit Ops'!$B$140:$L$209,11,FALSE)=1,1,2)</f>
        <v>0</v>
      </c>
      <c r="BF3190" s="490">
        <f>$C$7</f>
        <v>2022</v>
      </c>
      <c r="CB3190" s="436" t="s">
        <v>520</v>
      </c>
      <c r="CC3190" s="120"/>
      <c r="CD3190" s="120"/>
      <c r="CE3190" s="472">
        <f>((VLOOKUP(CB3108,'Unit Ops'!$B$140:$J$209,3,FALSE)*CC3110^VLOOKUP(CB3108,'Unit Ops'!$B$140:$J$209,4,FALSE)+VLOOKUP(CB3108,'Unit Ops'!$B$140:$J$209,5,FALSE))*VLOOKUP(CB3108,'Unit Ops'!$B$140:$J$209,6,FALSE))*IF(VLOOKUP(CB3108,'Unit Ops'!$B$140:$L$209,11,FALSE)=1,1,2)</f>
        <v>0</v>
      </c>
      <c r="CF3190" s="490">
        <f>$C$7</f>
        <v>2022</v>
      </c>
      <c r="DB3190" s="436" t="s">
        <v>520</v>
      </c>
      <c r="DC3190" s="120"/>
      <c r="DD3190" s="120"/>
      <c r="DE3190" s="472">
        <f>((VLOOKUP(DB3108,'Unit Ops'!$B$140:$J$209,3,FALSE)*DC3110^VLOOKUP(DB3108,'Unit Ops'!$B$140:$J$209,4,FALSE)+VLOOKUP(DB3108,'Unit Ops'!$B$140:$J$209,5,FALSE))*VLOOKUP(DB3108,'Unit Ops'!$B$140:$J$209,6,FALSE))*IF(VLOOKUP(DB3108,'Unit Ops'!$B$140:$L$209,11,FALSE)=1,1,2)</f>
        <v>0</v>
      </c>
      <c r="DF3190" s="490">
        <f>$C$7</f>
        <v>2022</v>
      </c>
      <c r="EB3190" s="436" t="s">
        <v>520</v>
      </c>
      <c r="EC3190" s="120"/>
      <c r="ED3190" s="120"/>
      <c r="EE3190" s="472">
        <f>((VLOOKUP(EB3108,'Unit Ops'!$B$140:$J$209,3,FALSE)*EC3110^VLOOKUP(EB3108,'Unit Ops'!$B$140:$J$209,4,FALSE)+VLOOKUP(EB3108,'Unit Ops'!$B$140:$J$209,5,FALSE))*VLOOKUP(EB3108,'Unit Ops'!$B$140:$J$209,6,FALSE))*IF(VLOOKUP(EB3108,'Unit Ops'!$B$140:$L$209,11,FALSE)=1,1,2)</f>
        <v>0</v>
      </c>
      <c r="EF3190" s="490">
        <f>$C$7</f>
        <v>2022</v>
      </c>
    </row>
    <row r="3191" spans="54:136">
      <c r="BB3191" s="436"/>
      <c r="BC3191" s="120"/>
      <c r="BD3191" s="120"/>
      <c r="BE3191" s="120"/>
      <c r="BF3191" s="440"/>
      <c r="CB3191" s="436"/>
      <c r="CC3191" s="120"/>
      <c r="CD3191" s="120"/>
      <c r="CE3191" s="120"/>
      <c r="CF3191" s="440"/>
      <c r="DB3191" s="436"/>
      <c r="DC3191" s="120"/>
      <c r="DD3191" s="120"/>
      <c r="DE3191" s="120"/>
      <c r="DF3191" s="440"/>
      <c r="EB3191" s="436"/>
      <c r="EC3191" s="120"/>
      <c r="ED3191" s="120"/>
      <c r="EE3191" s="120"/>
      <c r="EF3191" s="440"/>
    </row>
    <row r="3192" spans="54:136">
      <c r="BB3192" s="436"/>
      <c r="BC3192" s="120"/>
      <c r="BD3192" s="120"/>
      <c r="BE3192" s="120"/>
      <c r="BF3192" s="440"/>
      <c r="CB3192" s="436"/>
      <c r="CC3192" s="120"/>
      <c r="CD3192" s="120"/>
      <c r="CE3192" s="120"/>
      <c r="CF3192" s="440"/>
      <c r="DB3192" s="436"/>
      <c r="DC3192" s="120"/>
      <c r="DD3192" s="120"/>
      <c r="DE3192" s="120"/>
      <c r="DF3192" s="440"/>
      <c r="EB3192" s="436"/>
      <c r="EC3192" s="120"/>
      <c r="ED3192" s="120"/>
      <c r="EE3192" s="120"/>
      <c r="EF3192" s="440"/>
    </row>
    <row r="3193" spans="54:136">
      <c r="BB3193" s="436"/>
      <c r="BC3193" s="120"/>
      <c r="BD3193" s="120"/>
      <c r="BE3193" s="120"/>
      <c r="BF3193" s="440"/>
      <c r="CB3193" s="436"/>
      <c r="CC3193" s="120"/>
      <c r="CD3193" s="120"/>
      <c r="CE3193" s="120"/>
      <c r="CF3193" s="440"/>
      <c r="DB3193" s="436"/>
      <c r="DC3193" s="120"/>
      <c r="DD3193" s="120"/>
      <c r="DE3193" s="120"/>
      <c r="DF3193" s="440"/>
      <c r="EB3193" s="436"/>
      <c r="EC3193" s="120"/>
      <c r="ED3193" s="120"/>
      <c r="EE3193" s="120"/>
      <c r="EF3193" s="440"/>
    </row>
    <row r="3194" spans="54:136">
      <c r="BB3194" s="436"/>
      <c r="BC3194" s="120"/>
      <c r="BD3194" s="120"/>
      <c r="BE3194" s="120"/>
      <c r="BF3194" s="440"/>
      <c r="CB3194" s="436"/>
      <c r="CC3194" s="120"/>
      <c r="CD3194" s="120"/>
      <c r="CE3194" s="120"/>
      <c r="CF3194" s="440"/>
      <c r="DB3194" s="436"/>
      <c r="DC3194" s="120"/>
      <c r="DD3194" s="120"/>
      <c r="DE3194" s="120"/>
      <c r="DF3194" s="440"/>
      <c r="EB3194" s="436"/>
      <c r="EC3194" s="120"/>
      <c r="ED3194" s="120"/>
      <c r="EE3194" s="120"/>
      <c r="EF3194" s="440"/>
    </row>
    <row r="3195" spans="54:136">
      <c r="BB3195" s="436"/>
      <c r="BC3195" s="120"/>
      <c r="BD3195" s="120"/>
      <c r="BE3195" s="120"/>
      <c r="BF3195" s="440"/>
      <c r="CB3195" s="436"/>
      <c r="CC3195" s="120"/>
      <c r="CD3195" s="120"/>
      <c r="CE3195" s="120"/>
      <c r="CF3195" s="440"/>
      <c r="DB3195" s="436"/>
      <c r="DC3195" s="120"/>
      <c r="DD3195" s="120"/>
      <c r="DE3195" s="120"/>
      <c r="DF3195" s="440"/>
      <c r="EB3195" s="436"/>
      <c r="EC3195" s="120"/>
      <c r="ED3195" s="120"/>
      <c r="EE3195" s="120"/>
      <c r="EF3195" s="440"/>
    </row>
    <row r="3196" spans="54:136">
      <c r="BB3196" s="436"/>
      <c r="BC3196" s="120"/>
      <c r="BD3196" s="120"/>
      <c r="BE3196" s="120"/>
      <c r="BF3196" s="440"/>
      <c r="CB3196" s="436"/>
      <c r="CC3196" s="120"/>
      <c r="CD3196" s="120"/>
      <c r="CE3196" s="120"/>
      <c r="CF3196" s="440"/>
      <c r="DB3196" s="436"/>
      <c r="DC3196" s="120"/>
      <c r="DD3196" s="120"/>
      <c r="DE3196" s="120"/>
      <c r="DF3196" s="440"/>
      <c r="EB3196" s="436"/>
      <c r="EC3196" s="120"/>
      <c r="ED3196" s="120"/>
      <c r="EE3196" s="120"/>
      <c r="EF3196" s="440"/>
    </row>
    <row r="3197" spans="54:136">
      <c r="BB3197" s="436"/>
      <c r="BC3197" s="120"/>
      <c r="BD3197" s="120"/>
      <c r="BE3197" s="120"/>
      <c r="BF3197" s="440"/>
      <c r="CB3197" s="436"/>
      <c r="CC3197" s="120"/>
      <c r="CD3197" s="120"/>
      <c r="CE3197" s="120"/>
      <c r="CF3197" s="440"/>
      <c r="DB3197" s="436"/>
      <c r="DC3197" s="120"/>
      <c r="DD3197" s="120"/>
      <c r="DE3197" s="120"/>
      <c r="DF3197" s="440"/>
      <c r="EB3197" s="436"/>
      <c r="EC3197" s="120"/>
      <c r="ED3197" s="120"/>
      <c r="EE3197" s="120"/>
      <c r="EF3197" s="440"/>
    </row>
    <row r="3198" spans="54:136">
      <c r="BB3198" s="436"/>
      <c r="BC3198" s="120"/>
      <c r="BD3198" s="120"/>
      <c r="BE3198" s="120"/>
      <c r="BF3198" s="440"/>
      <c r="CB3198" s="436"/>
      <c r="CC3198" s="120"/>
      <c r="CD3198" s="120"/>
      <c r="CE3198" s="120"/>
      <c r="CF3198" s="440"/>
      <c r="DB3198" s="436"/>
      <c r="DC3198" s="120"/>
      <c r="DD3198" s="120"/>
      <c r="DE3198" s="120"/>
      <c r="DF3198" s="440"/>
      <c r="EB3198" s="436"/>
      <c r="EC3198" s="120"/>
      <c r="ED3198" s="120"/>
      <c r="EE3198" s="120"/>
      <c r="EF3198" s="440"/>
    </row>
    <row r="3199" spans="54:136">
      <c r="BB3199" s="436"/>
      <c r="BC3199" s="120"/>
      <c r="BD3199" s="120"/>
      <c r="BE3199" s="120"/>
      <c r="BF3199" s="440"/>
      <c r="CB3199" s="436"/>
      <c r="CC3199" s="120"/>
      <c r="CD3199" s="120"/>
      <c r="CE3199" s="120"/>
      <c r="CF3199" s="440"/>
      <c r="DB3199" s="436"/>
      <c r="DC3199" s="120"/>
      <c r="DD3199" s="120"/>
      <c r="DE3199" s="120"/>
      <c r="DF3199" s="440"/>
      <c r="EB3199" s="436"/>
      <c r="EC3199" s="120"/>
      <c r="ED3199" s="120"/>
      <c r="EE3199" s="120"/>
      <c r="EF3199" s="440"/>
    </row>
    <row r="3200" spans="54:136">
      <c r="BB3200" s="436"/>
      <c r="BC3200" s="120"/>
      <c r="BD3200" s="120"/>
      <c r="BE3200" s="120"/>
      <c r="BF3200" s="440"/>
      <c r="CB3200" s="436"/>
      <c r="CC3200" s="120"/>
      <c r="CD3200" s="120"/>
      <c r="CE3200" s="120"/>
      <c r="CF3200" s="440"/>
      <c r="DB3200" s="436"/>
      <c r="DC3200" s="120"/>
      <c r="DD3200" s="120"/>
      <c r="DE3200" s="120"/>
      <c r="DF3200" s="440"/>
      <c r="EB3200" s="436"/>
      <c r="EC3200" s="120"/>
      <c r="ED3200" s="120"/>
      <c r="EE3200" s="120"/>
      <c r="EF3200" s="440"/>
    </row>
    <row r="3201" spans="53:136">
      <c r="BB3201" s="436"/>
      <c r="BC3201" s="120"/>
      <c r="BD3201" s="120"/>
      <c r="BE3201" s="120"/>
      <c r="BF3201" s="440"/>
      <c r="CB3201" s="436"/>
      <c r="CC3201" s="120"/>
      <c r="CD3201" s="120"/>
      <c r="CE3201" s="120"/>
      <c r="CF3201" s="440"/>
      <c r="DB3201" s="436"/>
      <c r="DC3201" s="120"/>
      <c r="DD3201" s="120"/>
      <c r="DE3201" s="120"/>
      <c r="DF3201" s="440"/>
      <c r="EB3201" s="436"/>
      <c r="EC3201" s="120"/>
      <c r="ED3201" s="120"/>
      <c r="EE3201" s="120"/>
      <c r="EF3201" s="440"/>
    </row>
    <row r="3202" spans="53:136">
      <c r="BB3202" s="436"/>
      <c r="BC3202" s="120"/>
      <c r="BD3202" s="120"/>
      <c r="BE3202" s="120"/>
      <c r="BF3202" s="440"/>
      <c r="CB3202" s="436"/>
      <c r="CC3202" s="120"/>
      <c r="CD3202" s="120"/>
      <c r="CE3202" s="120"/>
      <c r="CF3202" s="440"/>
      <c r="DB3202" s="436"/>
      <c r="DC3202" s="120"/>
      <c r="DD3202" s="120"/>
      <c r="DE3202" s="120"/>
      <c r="DF3202" s="440"/>
      <c r="EB3202" s="436"/>
      <c r="EC3202" s="120"/>
      <c r="ED3202" s="120"/>
      <c r="EE3202" s="120"/>
      <c r="EF3202" s="440"/>
    </row>
    <row r="3203" spans="53:136">
      <c r="BB3203" s="436"/>
      <c r="BC3203" s="120"/>
      <c r="BD3203" s="120"/>
      <c r="BE3203" s="120"/>
      <c r="BF3203" s="440"/>
      <c r="CB3203" s="436"/>
      <c r="CC3203" s="120"/>
      <c r="CD3203" s="120"/>
      <c r="CE3203" s="120"/>
      <c r="CF3203" s="440"/>
      <c r="DB3203" s="436"/>
      <c r="DC3203" s="120"/>
      <c r="DD3203" s="120"/>
      <c r="DE3203" s="120"/>
      <c r="DF3203" s="440"/>
      <c r="EB3203" s="436"/>
      <c r="EC3203" s="120"/>
      <c r="ED3203" s="120"/>
      <c r="EE3203" s="120"/>
      <c r="EF3203" s="440"/>
    </row>
    <row r="3204" spans="53:136" ht="14.5" thickBot="1">
      <c r="BB3204" s="492"/>
      <c r="BC3204" s="493"/>
      <c r="BD3204" s="493"/>
      <c r="BE3204" s="493"/>
      <c r="BF3204" s="453"/>
      <c r="CB3204" s="492"/>
      <c r="CC3204" s="493"/>
      <c r="CD3204" s="493"/>
      <c r="CE3204" s="493"/>
      <c r="CF3204" s="453"/>
      <c r="DB3204" s="492"/>
      <c r="DC3204" s="493"/>
      <c r="DD3204" s="493"/>
      <c r="DE3204" s="493"/>
      <c r="DF3204" s="453"/>
      <c r="EB3204" s="492"/>
      <c r="EC3204" s="493"/>
      <c r="ED3204" s="493"/>
      <c r="EE3204" s="493"/>
      <c r="EF3204" s="453"/>
    </row>
    <row r="3207" spans="53:136" ht="14.5" thickBot="1"/>
    <row r="3208" spans="53:136">
      <c r="BA3208" s="114" t="s">
        <v>478</v>
      </c>
      <c r="BB3208" s="431" t="str">
        <f>BB81</f>
        <v>Select Equipment</v>
      </c>
      <c r="BC3208" s="432"/>
      <c r="BD3208" s="433"/>
      <c r="BE3208" s="434"/>
      <c r="BF3208" s="435"/>
      <c r="CA3208" s="114" t="s">
        <v>478</v>
      </c>
      <c r="CB3208" s="431" t="str">
        <f>CB81</f>
        <v>Select Equipment</v>
      </c>
      <c r="CC3208" s="432"/>
      <c r="CD3208" s="433"/>
      <c r="CE3208" s="434"/>
      <c r="CF3208" s="435"/>
      <c r="DA3208" s="114" t="s">
        <v>478</v>
      </c>
      <c r="DB3208" s="431" t="str">
        <f>DB81</f>
        <v>Select Equipment</v>
      </c>
      <c r="DC3208" s="432"/>
      <c r="DD3208" s="433"/>
      <c r="DE3208" s="434"/>
      <c r="DF3208" s="435"/>
      <c r="EA3208" s="114" t="s">
        <v>478</v>
      </c>
      <c r="EB3208" s="431" t="str">
        <f>EB83</f>
        <v>Select Equipment</v>
      </c>
      <c r="EC3208" s="432"/>
      <c r="ED3208" s="433"/>
      <c r="EE3208" s="434"/>
      <c r="EF3208" s="435"/>
    </row>
    <row r="3209" spans="53:136">
      <c r="BA3209" s="114" t="s">
        <v>5</v>
      </c>
      <c r="BB3209" s="436" t="s">
        <v>1</v>
      </c>
      <c r="BC3209" s="437">
        <f>BC$25/BC$22/BC$21*VLOOKUP(BB3208,'Unit Ops'!$B$140:$J$209,2,FALSE)</f>
        <v>0.92592592592592593</v>
      </c>
      <c r="BD3209" s="438" t="s">
        <v>586</v>
      </c>
      <c r="BE3209" s="1027">
        <f>BC3209*BC$310*BC$311</f>
        <v>10000</v>
      </c>
      <c r="BF3209" s="439" t="s">
        <v>585</v>
      </c>
      <c r="CA3209" s="114" t="s">
        <v>5</v>
      </c>
      <c r="CB3209" s="436" t="s">
        <v>1</v>
      </c>
      <c r="CC3209" s="437">
        <f>CC$25/CC$22/CC$21*VLOOKUP(CB3208,'Unit Ops'!$B$140:$J$209,2,FALSE)</f>
        <v>0.91324200913242004</v>
      </c>
      <c r="CD3209" s="438" t="s">
        <v>586</v>
      </c>
      <c r="CE3209" s="1027">
        <f>CC3209*CC$310*CC$311</f>
        <v>10000</v>
      </c>
      <c r="CF3209" s="439" t="s">
        <v>585</v>
      </c>
      <c r="DA3209" s="114" t="s">
        <v>5</v>
      </c>
      <c r="DB3209" s="436" t="s">
        <v>1</v>
      </c>
      <c r="DC3209" s="437">
        <f>DC$25/DC$22/DC$21*VLOOKUP(DB3208,'Unit Ops'!$B$140:$J$209,2,FALSE)</f>
        <v>0.92592592592592593</v>
      </c>
      <c r="DD3209" s="438" t="s">
        <v>586</v>
      </c>
      <c r="DE3209" s="1027">
        <f>DC3209*DC$310*DC$311</f>
        <v>10000</v>
      </c>
      <c r="DF3209" s="439" t="s">
        <v>585</v>
      </c>
      <c r="EA3209" s="114" t="s">
        <v>5</v>
      </c>
      <c r="EB3209" s="436" t="s">
        <v>1</v>
      </c>
      <c r="EC3209" s="437">
        <f>EC$26/EC$23/EC$22*VLOOKUP(EB3208,'Unit Ops'!$B$140:$J$209,2,FALSE)</f>
        <v>1.3020833333333333</v>
      </c>
      <c r="ED3209" s="438" t="s">
        <v>586</v>
      </c>
      <c r="EE3209" s="1027">
        <f>EC3209*EC$310*EC$311</f>
        <v>10000</v>
      </c>
      <c r="EF3209" s="439" t="s">
        <v>585</v>
      </c>
    </row>
    <row r="3210" spans="53:136">
      <c r="BA3210" s="114" t="str">
        <f>$BB$54</f>
        <v>Hopper</v>
      </c>
      <c r="BB3210" s="436" t="s">
        <v>505</v>
      </c>
      <c r="BC3210" s="437">
        <f>ROUNDUP(BC3209*IF(VLOOKUP(BB3208,'Unit Ops'!$B$140:$L$209,11,FALSE)=1,1.5,0.75),1)</f>
        <v>0.7</v>
      </c>
      <c r="BD3210" s="438" t="s">
        <v>586</v>
      </c>
      <c r="BE3210" s="120">
        <f>BC3210*BC$310*BC$311</f>
        <v>7560</v>
      </c>
      <c r="BF3210" s="439" t="s">
        <v>585</v>
      </c>
      <c r="CA3210" s="114" t="str">
        <f>$CB$54</f>
        <v>Conveyor</v>
      </c>
      <c r="CB3210" s="436" t="s">
        <v>505</v>
      </c>
      <c r="CC3210" s="437">
        <f>ROUNDUP(CC3209*IF(VLOOKUP(CB3208,'Unit Ops'!$B$140:$L$209,11,FALSE)=1,1.5,0.75),1)</f>
        <v>0.7</v>
      </c>
      <c r="CD3210" s="438" t="s">
        <v>586</v>
      </c>
      <c r="CE3210" s="120">
        <f>CC3210*CC$310*CC$311</f>
        <v>7665</v>
      </c>
      <c r="CF3210" s="439" t="s">
        <v>585</v>
      </c>
      <c r="DA3210" s="114" t="str">
        <f>$DB$54</f>
        <v>Conveyor</v>
      </c>
      <c r="DB3210" s="436" t="s">
        <v>505</v>
      </c>
      <c r="DC3210" s="437">
        <f>ROUNDUP(DC3209*IF(VLOOKUP(DB3208,'Unit Ops'!$B$140:$L$209,11,FALSE)=1,1.5,0.75),1)</f>
        <v>0.7</v>
      </c>
      <c r="DD3210" s="438" t="s">
        <v>586</v>
      </c>
      <c r="DE3210" s="120">
        <f>DC3210*DC$310*DC$311</f>
        <v>7560</v>
      </c>
      <c r="DF3210" s="439" t="s">
        <v>585</v>
      </c>
      <c r="EA3210" s="114" t="str">
        <f>$EB$56</f>
        <v>Conveyor</v>
      </c>
      <c r="EB3210" s="436" t="s">
        <v>505</v>
      </c>
      <c r="EC3210" s="437">
        <f>ROUNDUP(EC3209*IF(VLOOKUP(EB3208,'Unit Ops'!$B$140:$L$209,11,FALSE)=1,1.5,0.75),1)</f>
        <v>1</v>
      </c>
      <c r="ED3210" s="438" t="s">
        <v>586</v>
      </c>
      <c r="EE3210" s="120">
        <f>EC3210*EC$310*EC$311</f>
        <v>7680</v>
      </c>
      <c r="EF3210" s="439" t="s">
        <v>585</v>
      </c>
    </row>
    <row r="3211" spans="53:136">
      <c r="BA3211" s="114" t="str">
        <f>$BB$55</f>
        <v>Conveyor</v>
      </c>
      <c r="BB3211" s="441" t="s">
        <v>521</v>
      </c>
      <c r="BC3211" s="442">
        <f>BC3209/BC3210</f>
        <v>1.3227513227513228</v>
      </c>
      <c r="BD3211" s="438"/>
      <c r="BE3211" s="443"/>
      <c r="BF3211" s="440"/>
      <c r="CA3211" s="114" t="str">
        <f>$CB$55</f>
        <v>Leaching tank</v>
      </c>
      <c r="CB3211" s="441" t="s">
        <v>521</v>
      </c>
      <c r="CC3211" s="442">
        <f>CC3209/CC3210</f>
        <v>1.3046314416177429</v>
      </c>
      <c r="CD3211" s="438"/>
      <c r="CE3211" s="443"/>
      <c r="CF3211" s="440"/>
      <c r="DA3211" s="114" t="str">
        <f>$DB$55</f>
        <v>Froth flotation cell</v>
      </c>
      <c r="DB3211" s="441" t="s">
        <v>521</v>
      </c>
      <c r="DC3211" s="442">
        <f>DC3209/DC3210</f>
        <v>1.3227513227513228</v>
      </c>
      <c r="DD3211" s="438"/>
      <c r="DE3211" s="443"/>
      <c r="DF3211" s="440"/>
      <c r="EA3211" s="114" t="str">
        <f>$EB$57</f>
        <v>Leaching tank</v>
      </c>
      <c r="EB3211" s="441" t="s">
        <v>521</v>
      </c>
      <c r="EC3211" s="442">
        <f>EC3209/EC3210</f>
        <v>1.3020833333333333</v>
      </c>
      <c r="ED3211" s="438"/>
      <c r="EE3211" s="443"/>
      <c r="EF3211" s="440"/>
    </row>
    <row r="3212" spans="53:136">
      <c r="BA3212" s="114" t="str">
        <f>$BB$56</f>
        <v>Smelter</v>
      </c>
      <c r="BB3212" s="441" t="s">
        <v>506</v>
      </c>
      <c r="BC3212" s="445"/>
      <c r="BD3212" s="438" t="s">
        <v>454</v>
      </c>
      <c r="BE3212" s="443"/>
      <c r="BF3212" s="440"/>
      <c r="CA3212" s="114" t="str">
        <f>$CB$56</f>
        <v>Mixing tank</v>
      </c>
      <c r="CB3212" s="441" t="s">
        <v>506</v>
      </c>
      <c r="CC3212" s="445"/>
      <c r="CD3212" s="438" t="s">
        <v>454</v>
      </c>
      <c r="CE3212" s="443"/>
      <c r="CF3212" s="440"/>
      <c r="DA3212" s="114" t="str">
        <f>$DB$56</f>
        <v>Filter press</v>
      </c>
      <c r="DB3212" s="441" t="s">
        <v>506</v>
      </c>
      <c r="DC3212" s="445"/>
      <c r="DD3212" s="438" t="s">
        <v>454</v>
      </c>
      <c r="DE3212" s="443"/>
      <c r="DF3212" s="440"/>
      <c r="EA3212" s="114" t="str">
        <f>$EB$58</f>
        <v>Mixing tank</v>
      </c>
      <c r="EB3212" s="441" t="s">
        <v>506</v>
      </c>
      <c r="EC3212" s="445"/>
      <c r="ED3212" s="438" t="s">
        <v>454</v>
      </c>
      <c r="EE3212" s="443"/>
      <c r="EF3212" s="440"/>
    </row>
    <row r="3213" spans="53:136">
      <c r="BA3213" s="114" t="str">
        <f>$BB$57</f>
        <v>Gas treatment</v>
      </c>
      <c r="BB3213" s="436" t="s">
        <v>507</v>
      </c>
      <c r="BC3213" s="225">
        <f>(VLOOKUP(BB3208,'Unit Ops'!$B$140:$J$209,7,FALSE)*BC3210^VLOOKUP(BB3208,'Unit Ops'!$B$140:$J$209,8,FALSE)+VLOOKUP(BB3208,'Unit Ops'!$B$140:$J$209,9,FALSE))*IF(VLOOKUP(BB3208,'Unit Ops'!$B$140:$L$209,11,FALSE)=1,1,2)</f>
        <v>0</v>
      </c>
      <c r="BD3213" s="446" t="s">
        <v>454</v>
      </c>
      <c r="BE3213" s="443"/>
      <c r="BF3213" s="440"/>
      <c r="CA3213" s="114" t="str">
        <f>$CB$57</f>
        <v>Filter press</v>
      </c>
      <c r="CB3213" s="436" t="s">
        <v>507</v>
      </c>
      <c r="CC3213" s="225">
        <f>(VLOOKUP(CB3208,'Unit Ops'!$B$140:$J$209,7,FALSE)*CC3210^VLOOKUP(CB3208,'Unit Ops'!$B$140:$J$209,8,FALSE)+VLOOKUP(CB3208,'Unit Ops'!$B$140:$J$209,9,FALSE))*IF(VLOOKUP(CB3208,'Unit Ops'!$B$140:$L$209,11,FALSE)=1,1,2)</f>
        <v>0</v>
      </c>
      <c r="CD3213" s="446" t="s">
        <v>454</v>
      </c>
      <c r="CE3213" s="443"/>
      <c r="CF3213" s="440"/>
      <c r="DA3213" s="114" t="str">
        <f>$DB$57</f>
        <v>Froth flotation cell</v>
      </c>
      <c r="DB3213" s="436" t="s">
        <v>507</v>
      </c>
      <c r="DC3213" s="225">
        <f>(VLOOKUP(DB3208,'Unit Ops'!$B$140:$J$209,7,FALSE)*DC3210^VLOOKUP(DB3208,'Unit Ops'!$B$140:$J$209,8,FALSE)+VLOOKUP(DB3208,'Unit Ops'!$B$140:$J$209,9,FALSE))*IF(VLOOKUP(DB3208,'Unit Ops'!$B$140:$L$209,11,FALSE)=1,1,2)</f>
        <v>0</v>
      </c>
      <c r="DD3213" s="446" t="s">
        <v>454</v>
      </c>
      <c r="DE3213" s="443"/>
      <c r="DF3213" s="440"/>
      <c r="EA3213" s="114" t="str">
        <f>$EB$59</f>
        <v>Filter press</v>
      </c>
      <c r="EB3213" s="436" t="s">
        <v>507</v>
      </c>
      <c r="EC3213" s="225">
        <f>(VLOOKUP(EB3208,'Unit Ops'!$B$140:$J$209,7,FALSE)*EC3210^VLOOKUP(EB3208,'Unit Ops'!$B$140:$J$209,8,FALSE)+VLOOKUP(EB3208,'Unit Ops'!$B$140:$J$209,9,FALSE))*IF(VLOOKUP(EB3208,'Unit Ops'!$B$140:$L$209,11,FALSE)=1,1,2)</f>
        <v>0</v>
      </c>
      <c r="ED3213" s="446" t="s">
        <v>454</v>
      </c>
      <c r="EE3213" s="443"/>
      <c r="EF3213" s="440"/>
    </row>
    <row r="3214" spans="53:136">
      <c r="BA3214" s="114" t="str">
        <f>$BB$58</f>
        <v>Conveyor</v>
      </c>
      <c r="BB3214" s="441"/>
      <c r="BC3214" s="445"/>
      <c r="BD3214" s="447"/>
      <c r="BE3214" s="443"/>
      <c r="BF3214" s="440"/>
      <c r="CA3214" s="114" t="str">
        <f>$CB$58</f>
        <v>Solvent extraction unit</v>
      </c>
      <c r="CB3214" s="441"/>
      <c r="CC3214" s="445"/>
      <c r="CD3214" s="447"/>
      <c r="CE3214" s="443"/>
      <c r="CF3214" s="440"/>
      <c r="DA3214" s="114" t="str">
        <f>$DB$58</f>
        <v>Filter press</v>
      </c>
      <c r="DB3214" s="441"/>
      <c r="DC3214" s="445"/>
      <c r="DD3214" s="447"/>
      <c r="DE3214" s="443"/>
      <c r="DF3214" s="440"/>
      <c r="EA3214" s="114" t="str">
        <f>$EB$60</f>
        <v>Solvent extraction unit</v>
      </c>
      <c r="EB3214" s="441"/>
      <c r="EC3214" s="445"/>
      <c r="ED3214" s="447"/>
      <c r="EE3214" s="443"/>
      <c r="EF3214" s="440"/>
    </row>
    <row r="3215" spans="53:136">
      <c r="BA3215" s="114" t="str">
        <f>$BB$59</f>
        <v>Granulator</v>
      </c>
      <c r="BB3215" s="441"/>
      <c r="BC3215" s="445"/>
      <c r="BD3215" s="447"/>
      <c r="BE3215" s="443"/>
      <c r="BF3215" s="440"/>
      <c r="CA3215" s="114" t="str">
        <f>$CB$59</f>
        <v>Solvent extraction unit</v>
      </c>
      <c r="CB3215" s="441"/>
      <c r="CC3215" s="445"/>
      <c r="CD3215" s="447"/>
      <c r="CE3215" s="443"/>
      <c r="CF3215" s="440"/>
      <c r="DA3215" s="114" t="str">
        <f>$DB$59</f>
        <v>Dryer</v>
      </c>
      <c r="DB3215" s="441"/>
      <c r="DC3215" s="445"/>
      <c r="DD3215" s="447"/>
      <c r="DE3215" s="443"/>
      <c r="DF3215" s="440"/>
      <c r="EA3215" s="114" t="str">
        <f>$EB$61</f>
        <v>Solvent extraction unit</v>
      </c>
      <c r="EB3215" s="441"/>
      <c r="EC3215" s="445"/>
      <c r="ED3215" s="447"/>
      <c r="EE3215" s="443"/>
      <c r="EF3215" s="440"/>
    </row>
    <row r="3216" spans="53:136">
      <c r="BA3216" s="114" t="str">
        <f>$BB$60</f>
        <v>Leaching tank</v>
      </c>
      <c r="BB3216" s="449"/>
      <c r="BC3216" s="445"/>
      <c r="BD3216" s="447"/>
      <c r="BE3216" s="443"/>
      <c r="BF3216" s="440"/>
      <c r="CA3216" s="114" t="str">
        <f>$CB$60</f>
        <v>Solvent extraction unit</v>
      </c>
      <c r="CB3216" s="449"/>
      <c r="CC3216" s="445"/>
      <c r="CD3216" s="447"/>
      <c r="CE3216" s="443"/>
      <c r="CF3216" s="440"/>
      <c r="DA3216" s="114" t="str">
        <f>$DB$60</f>
        <v>Ball mill</v>
      </c>
      <c r="DB3216" s="449"/>
      <c r="DC3216" s="445"/>
      <c r="DD3216" s="447"/>
      <c r="DE3216" s="443"/>
      <c r="DF3216" s="440"/>
      <c r="EA3216" s="114" t="str">
        <f>$EB$62</f>
        <v>Solvent extraction unit</v>
      </c>
      <c r="EB3216" s="449"/>
      <c r="EC3216" s="445"/>
      <c r="ED3216" s="447"/>
      <c r="EE3216" s="443"/>
      <c r="EF3216" s="440"/>
    </row>
    <row r="3217" spans="53:136" ht="14.5" thickBot="1">
      <c r="BA3217" s="114" t="str">
        <f>$BB$61</f>
        <v>Solvent extraction unit</v>
      </c>
      <c r="BB3217" s="450"/>
      <c r="BC3217" s="451"/>
      <c r="BD3217" s="451"/>
      <c r="BE3217" s="452"/>
      <c r="BF3217" s="453"/>
      <c r="CA3217" s="114" t="str">
        <f>$CB$61</f>
        <v>Evaporator</v>
      </c>
      <c r="CB3217" s="450"/>
      <c r="CC3217" s="451"/>
      <c r="CD3217" s="451"/>
      <c r="CE3217" s="452"/>
      <c r="CF3217" s="453"/>
      <c r="DA3217" s="114" t="str">
        <f>$DB$61</f>
        <v>Furnace+saggar handling system</v>
      </c>
      <c r="DB3217" s="450"/>
      <c r="DC3217" s="451"/>
      <c r="DD3217" s="451"/>
      <c r="DE3217" s="452"/>
      <c r="DF3217" s="453"/>
      <c r="EA3217" s="114" t="str">
        <f>$EB$63</f>
        <v>Evaporator</v>
      </c>
      <c r="EB3217" s="450"/>
      <c r="EC3217" s="451"/>
      <c r="ED3217" s="451"/>
      <c r="EE3217" s="452"/>
      <c r="EF3217" s="453"/>
    </row>
    <row r="3218" spans="53:136">
      <c r="BA3218" s="114" t="str">
        <f>$BB$62</f>
        <v>Electrowinning cell</v>
      </c>
      <c r="BB3218" s="449" t="s">
        <v>470</v>
      </c>
      <c r="BC3218" s="120"/>
      <c r="BD3218" s="454"/>
      <c r="BE3218" s="120"/>
      <c r="BF3218" s="440"/>
      <c r="CA3218" s="114" t="str">
        <f>$CB$62</f>
        <v>Precipitation tank</v>
      </c>
      <c r="CB3218" s="449" t="s">
        <v>470</v>
      </c>
      <c r="CC3218" s="120"/>
      <c r="CD3218" s="454"/>
      <c r="CE3218" s="120"/>
      <c r="CF3218" s="440"/>
      <c r="DA3218" s="114" t="str">
        <f>$DB$62</f>
        <v>Water treatment</v>
      </c>
      <c r="DB3218" s="449" t="s">
        <v>470</v>
      </c>
      <c r="DC3218" s="120"/>
      <c r="DD3218" s="454"/>
      <c r="DE3218" s="120"/>
      <c r="DF3218" s="440"/>
      <c r="EA3218" s="114" t="str">
        <f>$EB$64</f>
        <v>Precipitation tank</v>
      </c>
      <c r="EB3218" s="449" t="s">
        <v>470</v>
      </c>
      <c r="EC3218" s="120"/>
      <c r="ED3218" s="454"/>
      <c r="EE3218" s="120"/>
      <c r="EF3218" s="440"/>
    </row>
    <row r="3219" spans="53:136" ht="14.5" customHeight="1">
      <c r="BA3219" s="114" t="str">
        <f>$BB$63</f>
        <v>Solvent extraction unit</v>
      </c>
      <c r="BB3219" s="1698"/>
      <c r="BC3219" s="1699"/>
      <c r="BD3219" s="1699"/>
      <c r="BE3219" s="1699"/>
      <c r="BF3219" s="1700"/>
      <c r="CA3219" s="114" t="str">
        <f>$CB$63</f>
        <v>Centrifuge</v>
      </c>
      <c r="CB3219" s="1698"/>
      <c r="CC3219" s="1699"/>
      <c r="CD3219" s="1699"/>
      <c r="CE3219" s="1699"/>
      <c r="CF3219" s="1700"/>
      <c r="DA3219" s="114" t="str">
        <f>$DB$63</f>
        <v>Wheel loader</v>
      </c>
      <c r="DB3219" s="1698"/>
      <c r="DC3219" s="1699"/>
      <c r="DD3219" s="1699"/>
      <c r="DE3219" s="1699"/>
      <c r="DF3219" s="1700"/>
      <c r="EA3219" s="114" t="str">
        <f>$EB$65</f>
        <v>Centrifuge</v>
      </c>
      <c r="EB3219" s="1698"/>
      <c r="EC3219" s="1699"/>
      <c r="ED3219" s="1699"/>
      <c r="EE3219" s="1699"/>
      <c r="EF3219" s="1700"/>
    </row>
    <row r="3220" spans="53:136">
      <c r="BA3220" s="114" t="str">
        <f>$BB$64</f>
        <v>Solvent extraction unit</v>
      </c>
      <c r="BB3220" s="436"/>
      <c r="BC3220" s="120"/>
      <c r="BD3220" s="455"/>
      <c r="BE3220" s="120"/>
      <c r="BF3220" s="440"/>
      <c r="CA3220" s="114" t="str">
        <f>$CB$64</f>
        <v>Dryer</v>
      </c>
      <c r="CB3220" s="436"/>
      <c r="CC3220" s="120"/>
      <c r="CD3220" s="455"/>
      <c r="CE3220" s="120"/>
      <c r="CF3220" s="440"/>
      <c r="DA3220" s="114" t="str">
        <f>$DB$64</f>
        <v>Select Equipment</v>
      </c>
      <c r="DB3220" s="436"/>
      <c r="DC3220" s="120"/>
      <c r="DD3220" s="455"/>
      <c r="DE3220" s="120"/>
      <c r="DF3220" s="440"/>
      <c r="EA3220" s="114" t="str">
        <f>$EB$66</f>
        <v>Dryer</v>
      </c>
      <c r="EB3220" s="436"/>
      <c r="EC3220" s="120"/>
      <c r="ED3220" s="455"/>
      <c r="EE3220" s="120"/>
      <c r="EF3220" s="440"/>
    </row>
    <row r="3221" spans="53:136">
      <c r="BA3221" s="114" t="str">
        <f>$BB$65</f>
        <v>Wheel loader</v>
      </c>
      <c r="BB3221" s="436"/>
      <c r="BC3221" s="120"/>
      <c r="BD3221" s="455"/>
      <c r="BE3221" s="120"/>
      <c r="BF3221" s="440"/>
      <c r="CA3221" s="114" t="str">
        <f>$CB$65</f>
        <v>Water treatment</v>
      </c>
      <c r="CB3221" s="436"/>
      <c r="CC3221" s="120"/>
      <c r="CD3221" s="455"/>
      <c r="CE3221" s="120"/>
      <c r="CF3221" s="440"/>
      <c r="DA3221" s="114" t="str">
        <f>$DB$65</f>
        <v>Select Equipment</v>
      </c>
      <c r="DB3221" s="436"/>
      <c r="DC3221" s="120"/>
      <c r="DD3221" s="455"/>
      <c r="DE3221" s="120"/>
      <c r="DF3221" s="440"/>
      <c r="EA3221" s="114" t="str">
        <f>$EB$67</f>
        <v>Water treatment</v>
      </c>
      <c r="EB3221" s="436"/>
      <c r="EC3221" s="120"/>
      <c r="ED3221" s="455"/>
      <c r="EE3221" s="120"/>
      <c r="EF3221" s="440"/>
    </row>
    <row r="3222" spans="53:136">
      <c r="BA3222" s="114" t="str">
        <f>$BB$66</f>
        <v>Water treatment</v>
      </c>
      <c r="BB3222" s="456"/>
      <c r="BC3222" s="457"/>
      <c r="BD3222" s="457"/>
      <c r="BE3222" s="457"/>
      <c r="BF3222" s="458"/>
      <c r="CA3222" s="114" t="str">
        <f>$CB$66</f>
        <v>Wheel loader</v>
      </c>
      <c r="CB3222" s="456"/>
      <c r="CC3222" s="457"/>
      <c r="CD3222" s="457"/>
      <c r="CE3222" s="457"/>
      <c r="CF3222" s="458"/>
      <c r="DA3222" s="114" t="str">
        <f>$DB$66</f>
        <v>Select Equipment</v>
      </c>
      <c r="DB3222" s="456"/>
      <c r="DC3222" s="457"/>
      <c r="DD3222" s="457"/>
      <c r="DE3222" s="457"/>
      <c r="DF3222" s="458"/>
      <c r="EA3222" s="114" t="str">
        <f>$EB$68</f>
        <v>Wheel loader</v>
      </c>
      <c r="EB3222" s="456"/>
      <c r="EC3222" s="457"/>
      <c r="ED3222" s="457"/>
      <c r="EE3222" s="457"/>
      <c r="EF3222" s="458"/>
    </row>
    <row r="3223" spans="53:136">
      <c r="BA3223" s="114" t="str">
        <f>$BB$67</f>
        <v>Select Equipment</v>
      </c>
      <c r="BB3223" s="449" t="s">
        <v>471</v>
      </c>
      <c r="BC3223" s="120"/>
      <c r="BD3223" s="454"/>
      <c r="BE3223" s="120"/>
      <c r="BF3223" s="440"/>
      <c r="CA3223" s="114" t="str">
        <f>$CB$67</f>
        <v>Select Equipment</v>
      </c>
      <c r="CB3223" s="449" t="s">
        <v>471</v>
      </c>
      <c r="CC3223" s="120"/>
      <c r="CD3223" s="454"/>
      <c r="CE3223" s="120"/>
      <c r="CF3223" s="440"/>
      <c r="DA3223" s="114" t="str">
        <f>$DB$67</f>
        <v>Select Equipment</v>
      </c>
      <c r="DB3223" s="449" t="s">
        <v>471</v>
      </c>
      <c r="DC3223" s="120"/>
      <c r="DD3223" s="454"/>
      <c r="DE3223" s="120"/>
      <c r="DF3223" s="440"/>
      <c r="EA3223" s="114" t="str">
        <f>$EB$69</f>
        <v>Select Equipment</v>
      </c>
      <c r="EB3223" s="449" t="s">
        <v>471</v>
      </c>
      <c r="EC3223" s="120"/>
      <c r="ED3223" s="454"/>
      <c r="EE3223" s="120"/>
      <c r="EF3223" s="440"/>
    </row>
    <row r="3224" spans="53:136">
      <c r="BA3224" s="114" t="str">
        <f>$BB$68</f>
        <v>Select Equipment</v>
      </c>
      <c r="BB3224" s="436" t="s">
        <v>577</v>
      </c>
      <c r="BC3224" s="225">
        <f>BC3213*IF(BC3211&gt;1,1,BC3211)</f>
        <v>0</v>
      </c>
      <c r="BD3224" s="446" t="s">
        <v>454</v>
      </c>
      <c r="BE3224" s="120"/>
      <c r="BF3224" s="440"/>
      <c r="CA3224" s="114" t="str">
        <f>$CB$68</f>
        <v>Select Equipment</v>
      </c>
      <c r="CB3224" s="436" t="s">
        <v>577</v>
      </c>
      <c r="CC3224" s="225">
        <f>CC3213*IF(CC3211&gt;1,1,CC3211)</f>
        <v>0</v>
      </c>
      <c r="CD3224" s="446" t="s">
        <v>454</v>
      </c>
      <c r="CE3224" s="120"/>
      <c r="CF3224" s="440"/>
      <c r="DA3224" s="114" t="str">
        <f>$DB$68</f>
        <v>Select Equipment</v>
      </c>
      <c r="DB3224" s="436" t="s">
        <v>577</v>
      </c>
      <c r="DC3224" s="225">
        <f>DC3213*IF(DC3211&gt;1,1,DC3211)</f>
        <v>0</v>
      </c>
      <c r="DD3224" s="446" t="s">
        <v>454</v>
      </c>
      <c r="DE3224" s="120"/>
      <c r="DF3224" s="440"/>
      <c r="EA3224" s="114" t="str">
        <f>$EB$70</f>
        <v>Select Equipment</v>
      </c>
      <c r="EB3224" s="436" t="s">
        <v>577</v>
      </c>
      <c r="EC3224" s="225">
        <f>EC3213*IF(EC3211&gt;1,1,EC3211)</f>
        <v>0</v>
      </c>
      <c r="ED3224" s="446" t="s">
        <v>454</v>
      </c>
      <c r="EE3224" s="120"/>
      <c r="EF3224" s="440"/>
    </row>
    <row r="3225" spans="53:136">
      <c r="BA3225" s="114" t="str">
        <f>$BB$69</f>
        <v>Select Equipment</v>
      </c>
      <c r="BB3225" s="436" t="s">
        <v>578</v>
      </c>
      <c r="BC3225" s="225"/>
      <c r="BD3225" s="446" t="s">
        <v>579</v>
      </c>
      <c r="BE3225" s="120"/>
      <c r="BF3225" s="440"/>
      <c r="CA3225" s="114" t="str">
        <f>$CB$69</f>
        <v>Select Equipment</v>
      </c>
      <c r="CB3225" s="436" t="s">
        <v>578</v>
      </c>
      <c r="CC3225" s="225"/>
      <c r="CD3225" s="446" t="s">
        <v>579</v>
      </c>
      <c r="CE3225" s="120"/>
      <c r="CF3225" s="440"/>
      <c r="DA3225" s="114" t="str">
        <f>$DB$69</f>
        <v>Select Equipment</v>
      </c>
      <c r="DB3225" s="436" t="s">
        <v>578</v>
      </c>
      <c r="DC3225" s="225"/>
      <c r="DD3225" s="446" t="s">
        <v>579</v>
      </c>
      <c r="DE3225" s="120"/>
      <c r="DF3225" s="440"/>
      <c r="EA3225" s="114" t="str">
        <f>$EB$71</f>
        <v>Select Equipment</v>
      </c>
      <c r="EB3225" s="436" t="s">
        <v>578</v>
      </c>
      <c r="EC3225" s="225"/>
      <c r="ED3225" s="446" t="s">
        <v>579</v>
      </c>
      <c r="EE3225" s="120"/>
      <c r="EF3225" s="440"/>
    </row>
    <row r="3226" spans="53:136">
      <c r="BA3226" s="114" t="str">
        <f>$BB$70</f>
        <v>Select Equipment</v>
      </c>
      <c r="BB3226" s="436"/>
      <c r="BC3226" s="120"/>
      <c r="BD3226" s="446"/>
      <c r="BE3226" s="120"/>
      <c r="BF3226" s="440"/>
      <c r="CA3226" s="114" t="str">
        <f>$CB$70</f>
        <v>Select Equipment</v>
      </c>
      <c r="CB3226" s="436"/>
      <c r="CC3226" s="120"/>
      <c r="CD3226" s="446"/>
      <c r="CE3226" s="120"/>
      <c r="CF3226" s="440"/>
      <c r="DA3226" s="114" t="str">
        <f>$DB$70</f>
        <v>Select Equipment</v>
      </c>
      <c r="DB3226" s="436"/>
      <c r="DC3226" s="120"/>
      <c r="DD3226" s="446"/>
      <c r="DE3226" s="120"/>
      <c r="DF3226" s="440"/>
      <c r="EA3226" s="114" t="str">
        <f>$EB$72</f>
        <v>Select Equipment</v>
      </c>
      <c r="EB3226" s="436"/>
      <c r="EC3226" s="120"/>
      <c r="ED3226" s="446"/>
      <c r="EE3226" s="120"/>
      <c r="EF3226" s="440"/>
    </row>
    <row r="3227" spans="53:136">
      <c r="BA3227" s="114" t="str">
        <f>$BB$71</f>
        <v>Select Equipment</v>
      </c>
      <c r="BB3227" s="436" t="s">
        <v>8</v>
      </c>
      <c r="BC3227" s="120"/>
      <c r="BD3227" s="459" t="s">
        <v>564</v>
      </c>
      <c r="BE3227" s="120"/>
      <c r="BF3227" s="440"/>
      <c r="CA3227" s="114" t="str">
        <f>$CB$71</f>
        <v>Select Equipment</v>
      </c>
      <c r="CB3227" s="436" t="s">
        <v>8</v>
      </c>
      <c r="CC3227" s="120"/>
      <c r="CD3227" s="459" t="s">
        <v>564</v>
      </c>
      <c r="CE3227" s="120"/>
      <c r="CF3227" s="440"/>
      <c r="DA3227" s="114" t="str">
        <f>$DB$71</f>
        <v>Select Equipment</v>
      </c>
      <c r="DB3227" s="436" t="s">
        <v>8</v>
      </c>
      <c r="DC3227" s="120"/>
      <c r="DD3227" s="459" t="s">
        <v>564</v>
      </c>
      <c r="DE3227" s="120"/>
      <c r="DF3227" s="440"/>
      <c r="EA3227" s="114" t="str">
        <f>$EB$73</f>
        <v>Select Equipment</v>
      </c>
      <c r="EB3227" s="436" t="s">
        <v>8</v>
      </c>
      <c r="EC3227" s="120"/>
      <c r="ED3227" s="459" t="s">
        <v>564</v>
      </c>
      <c r="EE3227" s="120"/>
      <c r="EF3227" s="440"/>
    </row>
    <row r="3228" spans="53:136">
      <c r="BA3228" s="114" t="str">
        <f>$BB$72</f>
        <v>Select Equipment</v>
      </c>
      <c r="BB3228" s="436"/>
      <c r="BC3228" s="120"/>
      <c r="BD3228" s="459"/>
      <c r="BE3228" s="120"/>
      <c r="BF3228" s="440"/>
      <c r="CA3228" s="114" t="str">
        <f>$CB$72</f>
        <v>Select Equipment</v>
      </c>
      <c r="CB3228" s="436"/>
      <c r="CC3228" s="120"/>
      <c r="CD3228" s="459"/>
      <c r="CE3228" s="120"/>
      <c r="CF3228" s="440"/>
      <c r="DA3228" s="114" t="str">
        <f>$DB$72</f>
        <v>Select Equipment</v>
      </c>
      <c r="DB3228" s="436"/>
      <c r="DC3228" s="120"/>
      <c r="DD3228" s="459"/>
      <c r="DE3228" s="120"/>
      <c r="DF3228" s="440"/>
      <c r="EA3228" s="114" t="str">
        <f>$EB$74</f>
        <v>Select Equipment</v>
      </c>
      <c r="EB3228" s="436"/>
      <c r="EC3228" s="120"/>
      <c r="ED3228" s="459"/>
      <c r="EE3228" s="120"/>
      <c r="EF3228" s="440"/>
    </row>
    <row r="3229" spans="53:136">
      <c r="BA3229" s="114" t="str">
        <f>$BB$73</f>
        <v>Select Equipment</v>
      </c>
      <c r="BB3229" s="436" t="s">
        <v>7</v>
      </c>
      <c r="BC3229" s="120"/>
      <c r="BD3229" s="459" t="s">
        <v>564</v>
      </c>
      <c r="BE3229" s="120"/>
      <c r="BF3229" s="440"/>
      <c r="CA3229" s="114" t="str">
        <f>$CB$73</f>
        <v>Select Equipment</v>
      </c>
      <c r="CB3229" s="436" t="s">
        <v>7</v>
      </c>
      <c r="CC3229" s="120"/>
      <c r="CD3229" s="459" t="s">
        <v>564</v>
      </c>
      <c r="CE3229" s="120"/>
      <c r="CF3229" s="440"/>
      <c r="DA3229" s="114" t="str">
        <f>$DB$73</f>
        <v>Select Equipment</v>
      </c>
      <c r="DB3229" s="436" t="s">
        <v>7</v>
      </c>
      <c r="DC3229" s="120"/>
      <c r="DD3229" s="459" t="s">
        <v>564</v>
      </c>
      <c r="DE3229" s="120"/>
      <c r="DF3229" s="440"/>
      <c r="EA3229" s="114" t="str">
        <f>$EB$75</f>
        <v>Select Equipment</v>
      </c>
      <c r="EB3229" s="436" t="s">
        <v>7</v>
      </c>
      <c r="EC3229" s="120"/>
      <c r="ED3229" s="459" t="s">
        <v>564</v>
      </c>
      <c r="EE3229" s="120"/>
      <c r="EF3229" s="440"/>
    </row>
    <row r="3230" spans="53:136">
      <c r="BA3230" s="114" t="str">
        <f>$BB$74</f>
        <v>Select Equipment</v>
      </c>
      <c r="BB3230" s="436"/>
      <c r="BC3230" s="120"/>
      <c r="BD3230" s="459"/>
      <c r="BE3230" s="120"/>
      <c r="BF3230" s="440"/>
      <c r="CA3230" s="114" t="str">
        <f>$CB$74</f>
        <v>Select Equipment</v>
      </c>
      <c r="CB3230" s="436"/>
      <c r="CC3230" s="120"/>
      <c r="CD3230" s="459"/>
      <c r="CE3230" s="120"/>
      <c r="CF3230" s="440"/>
      <c r="DA3230" s="114" t="str">
        <f>$DB$74</f>
        <v>Select Equipment</v>
      </c>
      <c r="DB3230" s="436"/>
      <c r="DC3230" s="120"/>
      <c r="DD3230" s="459"/>
      <c r="DE3230" s="120"/>
      <c r="DF3230" s="440"/>
      <c r="EA3230" s="114" t="str">
        <f>$EB$76</f>
        <v>Select Equipment</v>
      </c>
      <c r="EB3230" s="436"/>
      <c r="EC3230" s="120"/>
      <c r="ED3230" s="459"/>
      <c r="EE3230" s="120"/>
      <c r="EF3230" s="440"/>
    </row>
    <row r="3231" spans="53:136">
      <c r="BA3231" s="114" t="str">
        <f>$BB$75</f>
        <v>Select Equipment</v>
      </c>
      <c r="BB3231" s="436" t="s">
        <v>9</v>
      </c>
      <c r="BC3231" s="120"/>
      <c r="BD3231" s="459" t="s">
        <v>564</v>
      </c>
      <c r="BE3231" s="120"/>
      <c r="BF3231" s="440"/>
      <c r="CA3231" s="114" t="str">
        <f>$CB$75</f>
        <v>Select Equipment</v>
      </c>
      <c r="CB3231" s="436" t="s">
        <v>9</v>
      </c>
      <c r="CC3231" s="120"/>
      <c r="CD3231" s="459" t="s">
        <v>564</v>
      </c>
      <c r="CE3231" s="120"/>
      <c r="CF3231" s="440"/>
      <c r="DA3231" s="114" t="str">
        <f>$DB$75</f>
        <v>Select Equipment</v>
      </c>
      <c r="DB3231" s="436" t="s">
        <v>9</v>
      </c>
      <c r="DC3231" s="120"/>
      <c r="DD3231" s="459" t="s">
        <v>564</v>
      </c>
      <c r="DE3231" s="120"/>
      <c r="DF3231" s="440"/>
      <c r="EA3231" s="114" t="str">
        <f>$EB$77</f>
        <v>Select Equipment</v>
      </c>
      <c r="EB3231" s="436" t="s">
        <v>9</v>
      </c>
      <c r="EC3231" s="120"/>
      <c r="ED3231" s="459" t="s">
        <v>564</v>
      </c>
      <c r="EE3231" s="120"/>
      <c r="EF3231" s="440"/>
    </row>
    <row r="3232" spans="53:136">
      <c r="BA3232" s="114" t="str">
        <f>$BB$76</f>
        <v>Select Equipment</v>
      </c>
      <c r="BB3232" s="436"/>
      <c r="BC3232" s="120"/>
      <c r="BD3232" s="459"/>
      <c r="BE3232" s="120"/>
      <c r="BF3232" s="440"/>
      <c r="CA3232" s="114" t="str">
        <f>$CB$76</f>
        <v>Select Equipment</v>
      </c>
      <c r="CB3232" s="436"/>
      <c r="CC3232" s="120"/>
      <c r="CD3232" s="459"/>
      <c r="CE3232" s="120"/>
      <c r="CF3232" s="440"/>
      <c r="DA3232" s="114" t="str">
        <f>$DB$76</f>
        <v>Select Equipment</v>
      </c>
      <c r="DB3232" s="436"/>
      <c r="DC3232" s="120"/>
      <c r="DD3232" s="459"/>
      <c r="DE3232" s="120"/>
      <c r="DF3232" s="440"/>
      <c r="EA3232" s="114" t="str">
        <f>$EB$78</f>
        <v>Select Equipment</v>
      </c>
      <c r="EB3232" s="436"/>
      <c r="EC3232" s="120"/>
      <c r="ED3232" s="459"/>
      <c r="EE3232" s="120"/>
      <c r="EF3232" s="440"/>
    </row>
    <row r="3233" spans="53:136">
      <c r="BA3233" s="114" t="str">
        <f>$BB$77</f>
        <v>Select Equipment</v>
      </c>
      <c r="BB3233" s="436" t="s">
        <v>324</v>
      </c>
      <c r="BC3233" s="120"/>
      <c r="BD3233" s="459" t="s">
        <v>564</v>
      </c>
      <c r="BE3233" s="120"/>
      <c r="BF3233" s="440" t="s">
        <v>569</v>
      </c>
      <c r="CA3233" s="114" t="str">
        <f>$CB$77</f>
        <v>Select Equipment</v>
      </c>
      <c r="CB3233" s="436" t="s">
        <v>324</v>
      </c>
      <c r="CC3233" s="120"/>
      <c r="CD3233" s="459" t="s">
        <v>564</v>
      </c>
      <c r="CE3233" s="120"/>
      <c r="CF3233" s="440" t="s">
        <v>569</v>
      </c>
      <c r="DA3233" s="114" t="str">
        <f>$DB$77</f>
        <v>Select Equipment</v>
      </c>
      <c r="DB3233" s="436" t="s">
        <v>324</v>
      </c>
      <c r="DC3233" s="120"/>
      <c r="DD3233" s="459" t="s">
        <v>564</v>
      </c>
      <c r="DE3233" s="120"/>
      <c r="DF3233" s="440" t="s">
        <v>569</v>
      </c>
      <c r="EA3233" s="114" t="str">
        <f>$EB$79</f>
        <v>Select Equipment</v>
      </c>
      <c r="EB3233" s="436" t="s">
        <v>324</v>
      </c>
      <c r="EC3233" s="120"/>
      <c r="ED3233" s="459" t="s">
        <v>564</v>
      </c>
      <c r="EE3233" s="120"/>
      <c r="EF3233" s="440" t="s">
        <v>569</v>
      </c>
    </row>
    <row r="3234" spans="53:136">
      <c r="BA3234" s="114" t="str">
        <f>$BB$78</f>
        <v>Select Equipment</v>
      </c>
      <c r="BB3234" s="436"/>
      <c r="BC3234" s="120"/>
      <c r="BD3234" s="468"/>
      <c r="BE3234" s="469"/>
      <c r="BF3234" s="440"/>
      <c r="CA3234" s="114" t="str">
        <f>$CB$78</f>
        <v>Select Equipment</v>
      </c>
      <c r="CB3234" s="436"/>
      <c r="CC3234" s="120"/>
      <c r="CD3234" s="468"/>
      <c r="CE3234" s="469"/>
      <c r="CF3234" s="440"/>
      <c r="DA3234" s="114" t="str">
        <f>$DB$78</f>
        <v>Select Equipment</v>
      </c>
      <c r="DB3234" s="436"/>
      <c r="DC3234" s="120"/>
      <c r="DD3234" s="468"/>
      <c r="DE3234" s="469"/>
      <c r="DF3234" s="440"/>
      <c r="EA3234" s="114" t="str">
        <f>$EB$80</f>
        <v>Select Equipment</v>
      </c>
      <c r="EB3234" s="436"/>
      <c r="EC3234" s="120"/>
      <c r="ED3234" s="468"/>
      <c r="EE3234" s="469"/>
      <c r="EF3234" s="440"/>
    </row>
    <row r="3235" spans="53:136">
      <c r="BA3235" s="114" t="str">
        <f>$BB$79</f>
        <v>Select Equipment</v>
      </c>
      <c r="BB3235" s="436" t="s">
        <v>374</v>
      </c>
      <c r="BC3235" s="120"/>
      <c r="BD3235" s="459" t="s">
        <v>564</v>
      </c>
      <c r="BE3235" s="469"/>
      <c r="BF3235" s="440" t="s">
        <v>569</v>
      </c>
      <c r="CA3235" s="114" t="str">
        <f>$CB$79</f>
        <v>Select Equipment</v>
      </c>
      <c r="CB3235" s="436" t="s">
        <v>374</v>
      </c>
      <c r="CC3235" s="120"/>
      <c r="CD3235" s="459" t="s">
        <v>564</v>
      </c>
      <c r="CE3235" s="469"/>
      <c r="CF3235" s="440" t="s">
        <v>569</v>
      </c>
      <c r="DA3235" s="114" t="str">
        <f>$DB$79</f>
        <v>Select Equipment</v>
      </c>
      <c r="DB3235" s="436" t="s">
        <v>374</v>
      </c>
      <c r="DC3235" s="120"/>
      <c r="DD3235" s="459" t="s">
        <v>564</v>
      </c>
      <c r="DE3235" s="469"/>
      <c r="DF3235" s="440" t="s">
        <v>569</v>
      </c>
      <c r="EA3235" s="114" t="str">
        <f>$EB$81</f>
        <v>Select Equipment</v>
      </c>
      <c r="EB3235" s="436" t="s">
        <v>374</v>
      </c>
      <c r="EC3235" s="120"/>
      <c r="ED3235" s="459" t="s">
        <v>564</v>
      </c>
      <c r="EE3235" s="469"/>
      <c r="EF3235" s="440" t="s">
        <v>569</v>
      </c>
    </row>
    <row r="3236" spans="53:136">
      <c r="BA3236" s="114" t="str">
        <f>$BB$80</f>
        <v>Select Equipment</v>
      </c>
      <c r="BB3236" s="436"/>
      <c r="BC3236" s="120"/>
      <c r="BD3236" s="472"/>
      <c r="BE3236" s="473"/>
      <c r="BF3236" s="440"/>
      <c r="CA3236" s="114" t="str">
        <f>$CB$80</f>
        <v>Select Equipment</v>
      </c>
      <c r="CB3236" s="436"/>
      <c r="CC3236" s="120"/>
      <c r="CD3236" s="472"/>
      <c r="CE3236" s="473"/>
      <c r="CF3236" s="440"/>
      <c r="DA3236" s="114" t="str">
        <f>$DB$80</f>
        <v>Select Equipment</v>
      </c>
      <c r="DB3236" s="436"/>
      <c r="DC3236" s="120"/>
      <c r="DD3236" s="472"/>
      <c r="DE3236" s="473"/>
      <c r="DF3236" s="440"/>
      <c r="EA3236" s="114" t="str">
        <f>$EB$82</f>
        <v>Select Equipment</v>
      </c>
      <c r="EB3236" s="436"/>
      <c r="EC3236" s="120"/>
      <c r="ED3236" s="472"/>
      <c r="EE3236" s="473"/>
      <c r="EF3236" s="440"/>
    </row>
    <row r="3237" spans="53:136">
      <c r="BA3237" s="114" t="str">
        <f>$BB$81</f>
        <v>Select Equipment</v>
      </c>
      <c r="BB3237" s="436" t="s">
        <v>580</v>
      </c>
      <c r="BC3237" s="120"/>
      <c r="BD3237" s="459" t="s">
        <v>564</v>
      </c>
      <c r="BE3237" s="473"/>
      <c r="BF3237" s="440" t="s">
        <v>569</v>
      </c>
      <c r="CA3237" s="114" t="str">
        <f>$CB$81</f>
        <v>Select Equipment</v>
      </c>
      <c r="CB3237" s="436" t="s">
        <v>580</v>
      </c>
      <c r="CC3237" s="120"/>
      <c r="CD3237" s="459" t="s">
        <v>564</v>
      </c>
      <c r="CE3237" s="473"/>
      <c r="CF3237" s="440" t="s">
        <v>569</v>
      </c>
      <c r="DA3237" s="114" t="str">
        <f>$DB$81</f>
        <v>Select Equipment</v>
      </c>
      <c r="DB3237" s="436" t="s">
        <v>580</v>
      </c>
      <c r="DC3237" s="120"/>
      <c r="DD3237" s="459" t="s">
        <v>564</v>
      </c>
      <c r="DE3237" s="473"/>
      <c r="DF3237" s="440" t="s">
        <v>569</v>
      </c>
      <c r="EA3237" s="114" t="str">
        <f>$EB$83</f>
        <v>Select Equipment</v>
      </c>
      <c r="EB3237" s="436" t="s">
        <v>580</v>
      </c>
      <c r="EC3237" s="120"/>
      <c r="ED3237" s="459" t="s">
        <v>564</v>
      </c>
      <c r="EE3237" s="473"/>
      <c r="EF3237" s="440" t="s">
        <v>569</v>
      </c>
    </row>
    <row r="3238" spans="53:136">
      <c r="BA3238" s="114" t="str">
        <f>$BB$82</f>
        <v>Select Equipment</v>
      </c>
      <c r="BB3238" s="476"/>
      <c r="BC3238" s="477"/>
      <c r="BD3238" s="478"/>
      <c r="BE3238" s="479"/>
      <c r="BF3238" s="458"/>
      <c r="CA3238" s="114" t="str">
        <f>$CB$82</f>
        <v>Select Equipment</v>
      </c>
      <c r="CB3238" s="476"/>
      <c r="CC3238" s="477"/>
      <c r="CD3238" s="478"/>
      <c r="CE3238" s="479"/>
      <c r="CF3238" s="458"/>
      <c r="DA3238" s="114" t="str">
        <f>$DB$82</f>
        <v>Select Equipment</v>
      </c>
      <c r="DB3238" s="476"/>
      <c r="DC3238" s="477"/>
      <c r="DD3238" s="478"/>
      <c r="DE3238" s="479"/>
      <c r="DF3238" s="458"/>
      <c r="EA3238" s="114" t="str">
        <f>$EB$84</f>
        <v>Select Equipment</v>
      </c>
      <c r="EB3238" s="476"/>
      <c r="EC3238" s="477"/>
      <c r="ED3238" s="478"/>
      <c r="EE3238" s="479"/>
      <c r="EF3238" s="458"/>
    </row>
    <row r="3239" spans="53:136">
      <c r="BA3239" s="114" t="str">
        <f>$BB$83</f>
        <v>Select Equipment</v>
      </c>
      <c r="BB3239" s="449" t="s">
        <v>473</v>
      </c>
      <c r="BC3239" s="467" t="s">
        <v>508</v>
      </c>
      <c r="BD3239" s="480"/>
      <c r="BE3239" s="481" t="s">
        <v>308</v>
      </c>
      <c r="BF3239" s="440"/>
      <c r="CA3239" s="114" t="str">
        <f>$CB$83</f>
        <v>Select Equipment</v>
      </c>
      <c r="CB3239" s="449" t="s">
        <v>473</v>
      </c>
      <c r="CC3239" s="467" t="s">
        <v>508</v>
      </c>
      <c r="CD3239" s="480"/>
      <c r="CE3239" s="481" t="s">
        <v>308</v>
      </c>
      <c r="CF3239" s="440"/>
      <c r="DA3239" s="114" t="str">
        <f>$DB$83</f>
        <v>Select Equipment</v>
      </c>
      <c r="DB3239" s="449" t="s">
        <v>473</v>
      </c>
      <c r="DC3239" s="467" t="s">
        <v>508</v>
      </c>
      <c r="DD3239" s="480"/>
      <c r="DE3239" s="481" t="s">
        <v>308</v>
      </c>
      <c r="DF3239" s="440"/>
      <c r="EA3239" s="114" t="str">
        <f>$EB$85</f>
        <v>Select Equipment</v>
      </c>
      <c r="EB3239" s="449" t="s">
        <v>473</v>
      </c>
      <c r="EC3239" s="467" t="s">
        <v>508</v>
      </c>
      <c r="ED3239" s="480"/>
      <c r="EE3239" s="481" t="s">
        <v>308</v>
      </c>
      <c r="EF3239" s="440"/>
    </row>
    <row r="3240" spans="53:136">
      <c r="BB3240" s="436"/>
      <c r="BC3240" s="483"/>
      <c r="BD3240" s="480"/>
      <c r="BE3240" s="484"/>
      <c r="BF3240" s="440"/>
      <c r="CB3240" s="436"/>
      <c r="CC3240" s="483"/>
      <c r="CD3240" s="480"/>
      <c r="CE3240" s="484"/>
      <c r="CF3240" s="440"/>
      <c r="DB3240" s="436"/>
      <c r="DC3240" s="483"/>
      <c r="DD3240" s="480"/>
      <c r="DE3240" s="484"/>
      <c r="DF3240" s="440"/>
      <c r="EB3240" s="436"/>
      <c r="EC3240" s="483"/>
      <c r="ED3240" s="480"/>
      <c r="EE3240" s="484"/>
      <c r="EF3240" s="440"/>
    </row>
    <row r="3241" spans="53:136">
      <c r="BB3241" s="436"/>
      <c r="BC3241" s="120"/>
      <c r="BD3241" s="223"/>
      <c r="BE3241" s="467"/>
      <c r="BF3241" s="440"/>
      <c r="CB3241" s="436"/>
      <c r="CC3241" s="120"/>
      <c r="CD3241" s="223"/>
      <c r="CE3241" s="467"/>
      <c r="CF3241" s="440"/>
      <c r="DB3241" s="436"/>
      <c r="DC3241" s="120"/>
      <c r="DD3241" s="223"/>
      <c r="DE3241" s="467"/>
      <c r="DF3241" s="440"/>
      <c r="EB3241" s="436"/>
      <c r="EC3241" s="120"/>
      <c r="ED3241" s="223"/>
      <c r="EE3241" s="467"/>
      <c r="EF3241" s="440"/>
    </row>
    <row r="3242" spans="53:136">
      <c r="BB3242" s="436"/>
      <c r="BC3242" s="120"/>
      <c r="BD3242" s="466"/>
      <c r="BE3242" s="467"/>
      <c r="BF3242" s="440"/>
      <c r="CB3242" s="436"/>
      <c r="CC3242" s="120"/>
      <c r="CD3242" s="466"/>
      <c r="CE3242" s="467"/>
      <c r="CF3242" s="440"/>
      <c r="DB3242" s="436"/>
      <c r="DC3242" s="120"/>
      <c r="DD3242" s="466"/>
      <c r="DE3242" s="467"/>
      <c r="DF3242" s="440"/>
      <c r="EB3242" s="436"/>
      <c r="EC3242" s="120"/>
      <c r="ED3242" s="466"/>
      <c r="EE3242" s="467"/>
      <c r="EF3242" s="440"/>
    </row>
    <row r="3243" spans="53:136">
      <c r="BB3243" s="436"/>
      <c r="BC3243" s="120"/>
      <c r="BD3243" s="223"/>
      <c r="BE3243" s="467"/>
      <c r="BF3243" s="440"/>
      <c r="CB3243" s="436"/>
      <c r="CC3243" s="120"/>
      <c r="CD3243" s="223"/>
      <c r="CE3243" s="467"/>
      <c r="CF3243" s="440"/>
      <c r="DB3243" s="436"/>
      <c r="DC3243" s="120"/>
      <c r="DD3243" s="223"/>
      <c r="DE3243" s="467"/>
      <c r="DF3243" s="440"/>
      <c r="EB3243" s="436"/>
      <c r="EC3243" s="120"/>
      <c r="ED3243" s="223"/>
      <c r="EE3243" s="467"/>
      <c r="EF3243" s="440"/>
    </row>
    <row r="3244" spans="53:136">
      <c r="BB3244" s="436"/>
      <c r="BC3244" s="120"/>
      <c r="BD3244" s="223"/>
      <c r="BE3244" s="467"/>
      <c r="BF3244" s="440"/>
      <c r="CB3244" s="436"/>
      <c r="CC3244" s="120"/>
      <c r="CD3244" s="223"/>
      <c r="CE3244" s="467"/>
      <c r="CF3244" s="440"/>
      <c r="DB3244" s="436"/>
      <c r="DC3244" s="120"/>
      <c r="DD3244" s="223"/>
      <c r="DE3244" s="467"/>
      <c r="DF3244" s="440"/>
      <c r="EB3244" s="436"/>
      <c r="EC3244" s="120"/>
      <c r="ED3244" s="223"/>
      <c r="EE3244" s="467"/>
      <c r="EF3244" s="440"/>
    </row>
    <row r="3245" spans="53:136">
      <c r="BB3245" s="436"/>
      <c r="BC3245" s="120"/>
      <c r="BD3245" s="471"/>
      <c r="BE3245" s="467"/>
      <c r="BF3245" s="440"/>
      <c r="CB3245" s="436"/>
      <c r="CC3245" s="120"/>
      <c r="CD3245" s="471"/>
      <c r="CE3245" s="467"/>
      <c r="CF3245" s="440"/>
      <c r="DB3245" s="436"/>
      <c r="DC3245" s="120"/>
      <c r="DD3245" s="471"/>
      <c r="DE3245" s="467"/>
      <c r="DF3245" s="440"/>
      <c r="EB3245" s="436"/>
      <c r="EC3245" s="120"/>
      <c r="ED3245" s="471"/>
      <c r="EE3245" s="467"/>
      <c r="EF3245" s="440"/>
    </row>
    <row r="3246" spans="53:136">
      <c r="BB3246" s="436"/>
      <c r="BC3246" s="120"/>
      <c r="BD3246" s="223"/>
      <c r="BE3246" s="467"/>
      <c r="BF3246" s="440"/>
      <c r="CB3246" s="436"/>
      <c r="CC3246" s="120"/>
      <c r="CD3246" s="223"/>
      <c r="CE3246" s="467"/>
      <c r="CF3246" s="440"/>
      <c r="DB3246" s="436"/>
      <c r="DC3246" s="120"/>
      <c r="DD3246" s="223"/>
      <c r="DE3246" s="467"/>
      <c r="DF3246" s="440"/>
      <c r="EB3246" s="436"/>
      <c r="EC3246" s="120"/>
      <c r="ED3246" s="223"/>
      <c r="EE3246" s="467"/>
      <c r="EF3246" s="440"/>
    </row>
    <row r="3247" spans="53:136">
      <c r="BB3247" s="436"/>
      <c r="BC3247" s="120"/>
      <c r="BD3247" s="475"/>
      <c r="BE3247" s="467"/>
      <c r="BF3247" s="440"/>
      <c r="CB3247" s="436"/>
      <c r="CC3247" s="120"/>
      <c r="CD3247" s="475"/>
      <c r="CE3247" s="467"/>
      <c r="CF3247" s="440"/>
      <c r="DB3247" s="436"/>
      <c r="DC3247" s="120"/>
      <c r="DD3247" s="475"/>
      <c r="DE3247" s="467"/>
      <c r="DF3247" s="440"/>
      <c r="EB3247" s="436"/>
      <c r="EC3247" s="120"/>
      <c r="ED3247" s="475"/>
      <c r="EE3247" s="467"/>
      <c r="EF3247" s="440"/>
    </row>
    <row r="3248" spans="53:136">
      <c r="BB3248" s="436"/>
      <c r="BC3248" s="120"/>
      <c r="BD3248" s="223"/>
      <c r="BE3248" s="467"/>
      <c r="BF3248" s="440"/>
      <c r="CB3248" s="436"/>
      <c r="CC3248" s="120"/>
      <c r="CD3248" s="223"/>
      <c r="CE3248" s="467"/>
      <c r="CF3248" s="440"/>
      <c r="DB3248" s="436"/>
      <c r="DC3248" s="120"/>
      <c r="DD3248" s="223"/>
      <c r="DE3248" s="467"/>
      <c r="DF3248" s="440"/>
      <c r="EB3248" s="436"/>
      <c r="EC3248" s="120"/>
      <c r="ED3248" s="223"/>
      <c r="EE3248" s="467"/>
      <c r="EF3248" s="440"/>
    </row>
    <row r="3249" spans="54:136">
      <c r="BB3249" s="436"/>
      <c r="BC3249" s="120"/>
      <c r="BD3249" s="223"/>
      <c r="BE3249" s="467"/>
      <c r="BF3249" s="440"/>
      <c r="CB3249" s="436"/>
      <c r="CC3249" s="120"/>
      <c r="CD3249" s="223"/>
      <c r="CE3249" s="467"/>
      <c r="CF3249" s="440"/>
      <c r="DB3249" s="436"/>
      <c r="DC3249" s="120"/>
      <c r="DD3249" s="223"/>
      <c r="DE3249" s="467"/>
      <c r="DF3249" s="440"/>
      <c r="EB3249" s="436"/>
      <c r="EC3249" s="120"/>
      <c r="ED3249" s="223"/>
      <c r="EE3249" s="467"/>
      <c r="EF3249" s="440"/>
    </row>
    <row r="3250" spans="54:136">
      <c r="BB3250" s="436"/>
      <c r="BC3250" s="120"/>
      <c r="BD3250" s="223"/>
      <c r="BE3250" s="467"/>
      <c r="BF3250" s="440"/>
      <c r="CB3250" s="436"/>
      <c r="CC3250" s="120"/>
      <c r="CD3250" s="223"/>
      <c r="CE3250" s="467"/>
      <c r="CF3250" s="440"/>
      <c r="DB3250" s="436"/>
      <c r="DC3250" s="120"/>
      <c r="DD3250" s="223"/>
      <c r="DE3250" s="467"/>
      <c r="DF3250" s="440"/>
      <c r="EB3250" s="436"/>
      <c r="EC3250" s="120"/>
      <c r="ED3250" s="223"/>
      <c r="EE3250" s="467"/>
      <c r="EF3250" s="440"/>
    </row>
    <row r="3251" spans="54:136">
      <c r="BB3251" s="436"/>
      <c r="BC3251" s="120"/>
      <c r="BD3251" s="223"/>
      <c r="BE3251" s="467"/>
      <c r="BF3251" s="440"/>
      <c r="CB3251" s="436"/>
      <c r="CC3251" s="120"/>
      <c r="CD3251" s="223"/>
      <c r="CE3251" s="467"/>
      <c r="CF3251" s="440"/>
      <c r="DB3251" s="436"/>
      <c r="DC3251" s="120"/>
      <c r="DD3251" s="223"/>
      <c r="DE3251" s="467"/>
      <c r="DF3251" s="440"/>
      <c r="EB3251" s="436"/>
      <c r="EC3251" s="120"/>
      <c r="ED3251" s="223"/>
      <c r="EE3251" s="467"/>
      <c r="EF3251" s="440"/>
    </row>
    <row r="3252" spans="54:136">
      <c r="BB3252" s="436"/>
      <c r="BC3252" s="120"/>
      <c r="BD3252" s="120"/>
      <c r="BE3252" s="467"/>
      <c r="BF3252" s="440"/>
      <c r="CB3252" s="436"/>
      <c r="CC3252" s="120"/>
      <c r="CD3252" s="120"/>
      <c r="CE3252" s="467"/>
      <c r="CF3252" s="440"/>
      <c r="DB3252" s="436"/>
      <c r="DC3252" s="120"/>
      <c r="DD3252" s="120"/>
      <c r="DE3252" s="467"/>
      <c r="DF3252" s="440"/>
      <c r="EB3252" s="436"/>
      <c r="EC3252" s="120"/>
      <c r="ED3252" s="120"/>
      <c r="EE3252" s="467"/>
      <c r="EF3252" s="440"/>
    </row>
    <row r="3253" spans="54:136">
      <c r="BB3253" s="456"/>
      <c r="BC3253" s="457"/>
      <c r="BD3253" s="457"/>
      <c r="BE3253" s="477"/>
      <c r="BF3253" s="458"/>
      <c r="CB3253" s="456"/>
      <c r="CC3253" s="457"/>
      <c r="CD3253" s="457"/>
      <c r="CE3253" s="477"/>
      <c r="CF3253" s="458"/>
      <c r="DB3253" s="456"/>
      <c r="DC3253" s="457"/>
      <c r="DD3253" s="457"/>
      <c r="DE3253" s="477"/>
      <c r="DF3253" s="458"/>
      <c r="EB3253" s="456"/>
      <c r="EC3253" s="457"/>
      <c r="ED3253" s="457"/>
      <c r="EE3253" s="477"/>
      <c r="EF3253" s="458"/>
    </row>
    <row r="3254" spans="54:136">
      <c r="BB3254" s="449" t="s">
        <v>474</v>
      </c>
      <c r="BC3254" s="120"/>
      <c r="BD3254" s="120" t="s">
        <v>1</v>
      </c>
      <c r="BE3254" s="310" t="s">
        <v>307</v>
      </c>
      <c r="BF3254" s="440"/>
      <c r="CB3254" s="449" t="s">
        <v>474</v>
      </c>
      <c r="CC3254" s="120"/>
      <c r="CD3254" s="120" t="s">
        <v>1</v>
      </c>
      <c r="CE3254" s="310" t="s">
        <v>307</v>
      </c>
      <c r="CF3254" s="440"/>
      <c r="DB3254" s="449" t="s">
        <v>474</v>
      </c>
      <c r="DC3254" s="120"/>
      <c r="DD3254" s="120" t="s">
        <v>1</v>
      </c>
      <c r="DE3254" s="310" t="s">
        <v>307</v>
      </c>
      <c r="DF3254" s="440"/>
      <c r="EB3254" s="449" t="s">
        <v>474</v>
      </c>
      <c r="EC3254" s="120"/>
      <c r="ED3254" s="120" t="s">
        <v>1</v>
      </c>
      <c r="EE3254" s="310" t="s">
        <v>307</v>
      </c>
      <c r="EF3254" s="440"/>
    </row>
    <row r="3255" spans="54:136">
      <c r="BB3255" s="436"/>
      <c r="BC3255" s="223"/>
      <c r="BD3255" s="480"/>
      <c r="BE3255" s="484"/>
      <c r="BF3255" s="440"/>
      <c r="CB3255" s="436"/>
      <c r="CC3255" s="223"/>
      <c r="CD3255" s="480"/>
      <c r="CE3255" s="484"/>
      <c r="CF3255" s="440"/>
      <c r="DB3255" s="436"/>
      <c r="DC3255" s="223"/>
      <c r="DD3255" s="480"/>
      <c r="DE3255" s="484"/>
      <c r="DF3255" s="440"/>
      <c r="EB3255" s="436"/>
      <c r="EC3255" s="223"/>
      <c r="ED3255" s="480"/>
      <c r="EE3255" s="484"/>
      <c r="EF3255" s="440"/>
    </row>
    <row r="3256" spans="54:136">
      <c r="BB3256" s="436"/>
      <c r="BC3256" s="120"/>
      <c r="BD3256" s="120"/>
      <c r="BE3256" s="467"/>
      <c r="BF3256" s="440"/>
      <c r="CB3256" s="436"/>
      <c r="CC3256" s="120"/>
      <c r="CD3256" s="120"/>
      <c r="CE3256" s="467"/>
      <c r="CF3256" s="440"/>
      <c r="DB3256" s="436"/>
      <c r="DC3256" s="120"/>
      <c r="DD3256" s="120"/>
      <c r="DE3256" s="467"/>
      <c r="DF3256" s="440"/>
      <c r="EB3256" s="436"/>
      <c r="EC3256" s="120"/>
      <c r="ED3256" s="120"/>
      <c r="EE3256" s="467"/>
      <c r="EF3256" s="440"/>
    </row>
    <row r="3257" spans="54:136">
      <c r="BB3257" s="436"/>
      <c r="BC3257" s="120"/>
      <c r="BD3257" s="120"/>
      <c r="BE3257" s="467"/>
      <c r="BF3257" s="440"/>
      <c r="CB3257" s="436"/>
      <c r="CC3257" s="120"/>
      <c r="CD3257" s="120"/>
      <c r="CE3257" s="467"/>
      <c r="CF3257" s="440"/>
      <c r="DB3257" s="436"/>
      <c r="DC3257" s="120"/>
      <c r="DD3257" s="120"/>
      <c r="DE3257" s="467"/>
      <c r="DF3257" s="440"/>
      <c r="EB3257" s="436"/>
      <c r="EC3257" s="120"/>
      <c r="ED3257" s="120"/>
      <c r="EE3257" s="467"/>
      <c r="EF3257" s="440"/>
    </row>
    <row r="3258" spans="54:136">
      <c r="BB3258" s="436"/>
      <c r="BC3258" s="120"/>
      <c r="BD3258" s="120"/>
      <c r="BE3258" s="467"/>
      <c r="BF3258" s="440"/>
      <c r="CB3258" s="436"/>
      <c r="CC3258" s="120"/>
      <c r="CD3258" s="120"/>
      <c r="CE3258" s="467"/>
      <c r="CF3258" s="440"/>
      <c r="DB3258" s="436"/>
      <c r="DC3258" s="120"/>
      <c r="DD3258" s="120"/>
      <c r="DE3258" s="467"/>
      <c r="DF3258" s="440"/>
      <c r="EB3258" s="436"/>
      <c r="EC3258" s="120"/>
      <c r="ED3258" s="120"/>
      <c r="EE3258" s="467"/>
      <c r="EF3258" s="440"/>
    </row>
    <row r="3259" spans="54:136">
      <c r="BB3259" s="436"/>
      <c r="BC3259" s="120"/>
      <c r="BD3259" s="120"/>
      <c r="BE3259" s="467"/>
      <c r="BF3259" s="440"/>
      <c r="CB3259" s="436"/>
      <c r="CC3259" s="120"/>
      <c r="CD3259" s="120"/>
      <c r="CE3259" s="467"/>
      <c r="CF3259" s="440"/>
      <c r="DB3259" s="436"/>
      <c r="DC3259" s="120"/>
      <c r="DD3259" s="120"/>
      <c r="DE3259" s="467"/>
      <c r="DF3259" s="440"/>
      <c r="EB3259" s="436"/>
      <c r="EC3259" s="120"/>
      <c r="ED3259" s="120"/>
      <c r="EE3259" s="467"/>
      <c r="EF3259" s="440"/>
    </row>
    <row r="3260" spans="54:136">
      <c r="BB3260" s="436"/>
      <c r="BC3260" s="120"/>
      <c r="BD3260" s="120"/>
      <c r="BE3260" s="467"/>
      <c r="BF3260" s="440"/>
      <c r="CB3260" s="436"/>
      <c r="CC3260" s="120"/>
      <c r="CD3260" s="120"/>
      <c r="CE3260" s="467"/>
      <c r="CF3260" s="440"/>
      <c r="DB3260" s="436"/>
      <c r="DC3260" s="120"/>
      <c r="DD3260" s="120"/>
      <c r="DE3260" s="467"/>
      <c r="DF3260" s="440"/>
      <c r="EB3260" s="436"/>
      <c r="EC3260" s="120"/>
      <c r="ED3260" s="120"/>
      <c r="EE3260" s="467"/>
      <c r="EF3260" s="440"/>
    </row>
    <row r="3261" spans="54:136">
      <c r="BB3261" s="436"/>
      <c r="BC3261" s="120"/>
      <c r="BD3261" s="120"/>
      <c r="BE3261" s="467"/>
      <c r="BF3261" s="440"/>
      <c r="CB3261" s="436"/>
      <c r="CC3261" s="120"/>
      <c r="CD3261" s="120"/>
      <c r="CE3261" s="467"/>
      <c r="CF3261" s="440"/>
      <c r="DB3261" s="436"/>
      <c r="DC3261" s="120"/>
      <c r="DD3261" s="120"/>
      <c r="DE3261" s="467"/>
      <c r="DF3261" s="440"/>
      <c r="EB3261" s="436"/>
      <c r="EC3261" s="120"/>
      <c r="ED3261" s="120"/>
      <c r="EE3261" s="467"/>
      <c r="EF3261" s="440"/>
    </row>
    <row r="3262" spans="54:136">
      <c r="BB3262" s="436"/>
      <c r="BC3262" s="120"/>
      <c r="BD3262" s="120"/>
      <c r="BE3262" s="467"/>
      <c r="BF3262" s="440"/>
      <c r="CB3262" s="436"/>
      <c r="CC3262" s="120"/>
      <c r="CD3262" s="120"/>
      <c r="CE3262" s="467"/>
      <c r="CF3262" s="440"/>
      <c r="DB3262" s="436"/>
      <c r="DC3262" s="120"/>
      <c r="DD3262" s="120"/>
      <c r="DE3262" s="467"/>
      <c r="DF3262" s="440"/>
      <c r="EB3262" s="436"/>
      <c r="EC3262" s="120"/>
      <c r="ED3262" s="120"/>
      <c r="EE3262" s="467"/>
      <c r="EF3262" s="440"/>
    </row>
    <row r="3263" spans="54:136">
      <c r="BB3263" s="436"/>
      <c r="BC3263" s="120"/>
      <c r="BD3263" s="120"/>
      <c r="BE3263" s="467"/>
      <c r="BF3263" s="440"/>
      <c r="CB3263" s="436"/>
      <c r="CC3263" s="120"/>
      <c r="CD3263" s="120"/>
      <c r="CE3263" s="467"/>
      <c r="CF3263" s="440"/>
      <c r="DB3263" s="436"/>
      <c r="DC3263" s="120"/>
      <c r="DD3263" s="120"/>
      <c r="DE3263" s="467"/>
      <c r="DF3263" s="440"/>
      <c r="EB3263" s="436"/>
      <c r="EC3263" s="120"/>
      <c r="ED3263" s="120"/>
      <c r="EE3263" s="467"/>
      <c r="EF3263" s="440"/>
    </row>
    <row r="3264" spans="54:136">
      <c r="BB3264" s="436"/>
      <c r="BC3264" s="120"/>
      <c r="BD3264" s="120"/>
      <c r="BE3264" s="467"/>
      <c r="BF3264" s="440"/>
      <c r="CB3264" s="436"/>
      <c r="CC3264" s="120"/>
      <c r="CD3264" s="120"/>
      <c r="CE3264" s="467"/>
      <c r="CF3264" s="440"/>
      <c r="DB3264" s="436"/>
      <c r="DC3264" s="120"/>
      <c r="DD3264" s="120"/>
      <c r="DE3264" s="467"/>
      <c r="DF3264" s="440"/>
      <c r="EB3264" s="436"/>
      <c r="EC3264" s="120"/>
      <c r="ED3264" s="120"/>
      <c r="EE3264" s="467"/>
      <c r="EF3264" s="440"/>
    </row>
    <row r="3265" spans="54:136">
      <c r="BB3265" s="436"/>
      <c r="BC3265" s="120"/>
      <c r="BD3265" s="120"/>
      <c r="BE3265" s="467"/>
      <c r="BF3265" s="440"/>
      <c r="CB3265" s="436"/>
      <c r="CC3265" s="120"/>
      <c r="CD3265" s="120"/>
      <c r="CE3265" s="467"/>
      <c r="CF3265" s="440"/>
      <c r="DB3265" s="436"/>
      <c r="DC3265" s="120"/>
      <c r="DD3265" s="120"/>
      <c r="DE3265" s="467"/>
      <c r="DF3265" s="440"/>
      <c r="EB3265" s="436"/>
      <c r="EC3265" s="120"/>
      <c r="ED3265" s="120"/>
      <c r="EE3265" s="467"/>
      <c r="EF3265" s="440"/>
    </row>
    <row r="3266" spans="54:136">
      <c r="BB3266" s="436"/>
      <c r="BC3266" s="120"/>
      <c r="BD3266" s="120"/>
      <c r="BE3266" s="467"/>
      <c r="BF3266" s="440"/>
      <c r="CB3266" s="436"/>
      <c r="CC3266" s="120"/>
      <c r="CD3266" s="120"/>
      <c r="CE3266" s="467"/>
      <c r="CF3266" s="440"/>
      <c r="DB3266" s="436"/>
      <c r="DC3266" s="120"/>
      <c r="DD3266" s="120"/>
      <c r="DE3266" s="467"/>
      <c r="DF3266" s="440"/>
      <c r="EB3266" s="436"/>
      <c r="EC3266" s="120"/>
      <c r="ED3266" s="120"/>
      <c r="EE3266" s="467"/>
      <c r="EF3266" s="440"/>
    </row>
    <row r="3267" spans="54:136">
      <c r="BB3267" s="456"/>
      <c r="BC3267" s="457"/>
      <c r="BD3267" s="457"/>
      <c r="BE3267" s="477"/>
      <c r="BF3267" s="458"/>
      <c r="CB3267" s="456"/>
      <c r="CC3267" s="457"/>
      <c r="CD3267" s="457"/>
      <c r="CE3267" s="477"/>
      <c r="CF3267" s="458"/>
      <c r="DB3267" s="456"/>
      <c r="DC3267" s="457"/>
      <c r="DD3267" s="457"/>
      <c r="DE3267" s="477"/>
      <c r="DF3267" s="458"/>
      <c r="EB3267" s="456"/>
      <c r="EC3267" s="457"/>
      <c r="ED3267" s="457"/>
      <c r="EE3267" s="477"/>
      <c r="EF3267" s="458"/>
    </row>
    <row r="3268" spans="54:136">
      <c r="BB3268" s="456"/>
      <c r="BC3268" s="457"/>
      <c r="BD3268" s="457"/>
      <c r="BE3268" s="457"/>
      <c r="BF3268" s="458"/>
      <c r="CB3268" s="456"/>
      <c r="CC3268" s="457"/>
      <c r="CD3268" s="457"/>
      <c r="CE3268" s="457"/>
      <c r="CF3268" s="458"/>
      <c r="DB3268" s="456"/>
      <c r="DC3268" s="457"/>
      <c r="DD3268" s="457"/>
      <c r="DE3268" s="457"/>
      <c r="DF3268" s="458"/>
      <c r="EB3268" s="456"/>
      <c r="EC3268" s="457"/>
      <c r="ED3268" s="457"/>
      <c r="EE3268" s="457"/>
      <c r="EF3268" s="458"/>
    </row>
    <row r="3269" spans="54:136">
      <c r="BB3269" s="449" t="s">
        <v>475</v>
      </c>
      <c r="BC3269" s="120"/>
      <c r="BD3269" s="120"/>
      <c r="BE3269" s="120"/>
      <c r="BF3269" s="440"/>
      <c r="CB3269" s="449" t="s">
        <v>475</v>
      </c>
      <c r="CC3269" s="120"/>
      <c r="CD3269" s="120"/>
      <c r="CE3269" s="120"/>
      <c r="CF3269" s="440"/>
      <c r="DB3269" s="449" t="s">
        <v>475</v>
      </c>
      <c r="DC3269" s="120"/>
      <c r="DD3269" s="120"/>
      <c r="DE3269" s="120"/>
      <c r="DF3269" s="440"/>
      <c r="EB3269" s="449" t="s">
        <v>475</v>
      </c>
      <c r="EC3269" s="120"/>
      <c r="ED3269" s="120"/>
      <c r="EE3269" s="120"/>
      <c r="EF3269" s="440"/>
    </row>
    <row r="3270" spans="54:136">
      <c r="BB3270" s="436" t="s">
        <v>509</v>
      </c>
      <c r="BC3270" s="120"/>
      <c r="BD3270" s="120"/>
      <c r="BE3270" s="120"/>
      <c r="BF3270" s="440"/>
      <c r="CB3270" s="436" t="s">
        <v>509</v>
      </c>
      <c r="CC3270" s="120"/>
      <c r="CD3270" s="120"/>
      <c r="CE3270" s="120"/>
      <c r="CF3270" s="440"/>
      <c r="DB3270" s="436" t="s">
        <v>509</v>
      </c>
      <c r="DC3270" s="120"/>
      <c r="DD3270" s="120"/>
      <c r="DE3270" s="120"/>
      <c r="DF3270" s="440"/>
      <c r="EB3270" s="436" t="s">
        <v>509</v>
      </c>
      <c r="EC3270" s="120"/>
      <c r="ED3270" s="120"/>
      <c r="EE3270" s="120"/>
      <c r="EF3270" s="440"/>
    </row>
    <row r="3271" spans="54:136">
      <c r="BB3271" s="436" t="s">
        <v>510</v>
      </c>
      <c r="BC3271" s="120"/>
      <c r="BD3271" s="120"/>
      <c r="BE3271" s="120"/>
      <c r="BF3271" s="440"/>
      <c r="CB3271" s="436" t="s">
        <v>510</v>
      </c>
      <c r="CC3271" s="120"/>
      <c r="CD3271" s="120"/>
      <c r="CE3271" s="120"/>
      <c r="CF3271" s="440"/>
      <c r="DB3271" s="436" t="s">
        <v>510</v>
      </c>
      <c r="DC3271" s="120"/>
      <c r="DD3271" s="120"/>
      <c r="DE3271" s="120"/>
      <c r="DF3271" s="440"/>
      <c r="EB3271" s="436" t="s">
        <v>510</v>
      </c>
      <c r="EC3271" s="120"/>
      <c r="ED3271" s="120"/>
      <c r="EE3271" s="120"/>
      <c r="EF3271" s="440"/>
    </row>
    <row r="3272" spans="54:136">
      <c r="BB3272" s="436"/>
      <c r="BC3272" s="120"/>
      <c r="BD3272" s="120"/>
      <c r="BE3272" s="120"/>
      <c r="BF3272" s="440"/>
      <c r="CB3272" s="436"/>
      <c r="CC3272" s="120"/>
      <c r="CD3272" s="120"/>
      <c r="CE3272" s="120"/>
      <c r="CF3272" s="440"/>
      <c r="DB3272" s="436"/>
      <c r="DC3272" s="120"/>
      <c r="DD3272" s="120"/>
      <c r="DE3272" s="120"/>
      <c r="DF3272" s="440"/>
      <c r="EB3272" s="436"/>
      <c r="EC3272" s="120"/>
      <c r="ED3272" s="120"/>
      <c r="EE3272" s="120"/>
      <c r="EF3272" s="440"/>
    </row>
    <row r="3273" spans="54:136">
      <c r="BB3273" s="436"/>
      <c r="BC3273" s="120"/>
      <c r="BD3273" s="120"/>
      <c r="BE3273" s="120"/>
      <c r="BF3273" s="440"/>
      <c r="CB3273" s="436"/>
      <c r="CC3273" s="120"/>
      <c r="CD3273" s="120"/>
      <c r="CE3273" s="120"/>
      <c r="CF3273" s="440"/>
      <c r="DB3273" s="436"/>
      <c r="DC3273" s="120"/>
      <c r="DD3273" s="120"/>
      <c r="DE3273" s="120"/>
      <c r="DF3273" s="440"/>
      <c r="EB3273" s="436"/>
      <c r="EC3273" s="120"/>
      <c r="ED3273" s="120"/>
      <c r="EE3273" s="120"/>
      <c r="EF3273" s="440"/>
    </row>
    <row r="3274" spans="54:136">
      <c r="BB3274" s="436"/>
      <c r="BC3274" s="120"/>
      <c r="BD3274" s="120"/>
      <c r="BE3274" s="120"/>
      <c r="BF3274" s="440"/>
      <c r="CB3274" s="436"/>
      <c r="CC3274" s="120"/>
      <c r="CD3274" s="120"/>
      <c r="CE3274" s="120"/>
      <c r="CF3274" s="440"/>
      <c r="DB3274" s="436"/>
      <c r="DC3274" s="120"/>
      <c r="DD3274" s="120"/>
      <c r="DE3274" s="120"/>
      <c r="DF3274" s="440"/>
      <c r="EB3274" s="436"/>
      <c r="EC3274" s="120"/>
      <c r="ED3274" s="120"/>
      <c r="EE3274" s="120"/>
      <c r="EF3274" s="440"/>
    </row>
    <row r="3275" spans="54:136">
      <c r="BB3275" s="436"/>
      <c r="BC3275" s="120"/>
      <c r="BD3275" s="120"/>
      <c r="BE3275" s="120"/>
      <c r="BF3275" s="440"/>
      <c r="CB3275" s="436"/>
      <c r="CC3275" s="120"/>
      <c r="CD3275" s="120"/>
      <c r="CE3275" s="120"/>
      <c r="CF3275" s="440"/>
      <c r="DB3275" s="436"/>
      <c r="DC3275" s="120"/>
      <c r="DD3275" s="120"/>
      <c r="DE3275" s="120"/>
      <c r="DF3275" s="440"/>
      <c r="EB3275" s="436"/>
      <c r="EC3275" s="120"/>
      <c r="ED3275" s="120"/>
      <c r="EE3275" s="120"/>
      <c r="EF3275" s="440"/>
    </row>
    <row r="3276" spans="54:136">
      <c r="BB3276" s="436" t="s">
        <v>511</v>
      </c>
      <c r="BC3276" s="120">
        <v>0</v>
      </c>
      <c r="BD3276" s="120" t="s">
        <v>512</v>
      </c>
      <c r="BE3276" s="120"/>
      <c r="BF3276" s="440"/>
      <c r="CB3276" s="436" t="s">
        <v>511</v>
      </c>
      <c r="CC3276" s="120">
        <v>0</v>
      </c>
      <c r="CD3276" s="120" t="s">
        <v>512</v>
      </c>
      <c r="CE3276" s="120"/>
      <c r="CF3276" s="440"/>
      <c r="DB3276" s="436" t="s">
        <v>511</v>
      </c>
      <c r="DC3276" s="120">
        <v>0</v>
      </c>
      <c r="DD3276" s="120" t="s">
        <v>512</v>
      </c>
      <c r="DE3276" s="120"/>
      <c r="DF3276" s="440"/>
      <c r="EB3276" s="436" t="s">
        <v>511</v>
      </c>
      <c r="EC3276" s="120">
        <v>0</v>
      </c>
      <c r="ED3276" s="120" t="s">
        <v>512</v>
      </c>
      <c r="EE3276" s="120"/>
      <c r="EF3276" s="440"/>
    </row>
    <row r="3277" spans="54:136">
      <c r="BB3277" s="436" t="s">
        <v>513</v>
      </c>
      <c r="BC3277" s="120">
        <v>0</v>
      </c>
      <c r="BD3277" s="120" t="s">
        <v>512</v>
      </c>
      <c r="BE3277" s="120"/>
      <c r="BF3277" s="440"/>
      <c r="CB3277" s="436" t="s">
        <v>513</v>
      </c>
      <c r="CC3277" s="120">
        <v>0</v>
      </c>
      <c r="CD3277" s="120" t="s">
        <v>512</v>
      </c>
      <c r="CE3277" s="120"/>
      <c r="CF3277" s="440"/>
      <c r="DB3277" s="436" t="s">
        <v>513</v>
      </c>
      <c r="DC3277" s="120">
        <v>0</v>
      </c>
      <c r="DD3277" s="120" t="s">
        <v>512</v>
      </c>
      <c r="DE3277" s="120"/>
      <c r="DF3277" s="440"/>
      <c r="EB3277" s="436" t="s">
        <v>513</v>
      </c>
      <c r="EC3277" s="120">
        <v>0</v>
      </c>
      <c r="ED3277" s="120" t="s">
        <v>512</v>
      </c>
      <c r="EE3277" s="120"/>
      <c r="EF3277" s="440"/>
    </row>
    <row r="3278" spans="54:136">
      <c r="BB3278" s="456"/>
      <c r="BC3278" s="457"/>
      <c r="BD3278" s="457"/>
      <c r="BE3278" s="457"/>
      <c r="BF3278" s="458"/>
      <c r="CB3278" s="456"/>
      <c r="CC3278" s="457"/>
      <c r="CD3278" s="457"/>
      <c r="CE3278" s="457"/>
      <c r="CF3278" s="458"/>
      <c r="DB3278" s="456"/>
      <c r="DC3278" s="457"/>
      <c r="DD3278" s="457"/>
      <c r="DE3278" s="457"/>
      <c r="DF3278" s="458"/>
      <c r="EB3278" s="456"/>
      <c r="EC3278" s="457"/>
      <c r="ED3278" s="457"/>
      <c r="EE3278" s="457"/>
      <c r="EF3278" s="458"/>
    </row>
    <row r="3279" spans="54:136">
      <c r="BB3279" s="449" t="s">
        <v>461</v>
      </c>
      <c r="BC3279" s="120"/>
      <c r="BD3279" s="120"/>
      <c r="BE3279" s="120"/>
      <c r="BF3279" s="440"/>
      <c r="CB3279" s="449" t="s">
        <v>461</v>
      </c>
      <c r="CC3279" s="120"/>
      <c r="CD3279" s="120"/>
      <c r="CE3279" s="120"/>
      <c r="CF3279" s="440"/>
      <c r="DB3279" s="449" t="s">
        <v>461</v>
      </c>
      <c r="DC3279" s="120"/>
      <c r="DD3279" s="120"/>
      <c r="DE3279" s="120"/>
      <c r="DF3279" s="440"/>
      <c r="EB3279" s="449" t="s">
        <v>461</v>
      </c>
      <c r="EC3279" s="120"/>
      <c r="ED3279" s="120"/>
      <c r="EE3279" s="120"/>
      <c r="EF3279" s="440"/>
    </row>
    <row r="3280" spans="54:136">
      <c r="BB3280" s="436" t="s">
        <v>514</v>
      </c>
      <c r="BC3280" s="120">
        <f>VLOOKUP(BB3208,'Unit Ops'!$B$140:$K$209,10,FALSE)</f>
        <v>0</v>
      </c>
      <c r="BD3280" s="120" t="s">
        <v>515</v>
      </c>
      <c r="BE3280" s="120"/>
      <c r="BF3280" s="440"/>
      <c r="CB3280" s="436" t="s">
        <v>514</v>
      </c>
      <c r="CC3280" s="120">
        <f>VLOOKUP(CB3208,'Unit Ops'!$B$140:$K$209,10,FALSE)</f>
        <v>0</v>
      </c>
      <c r="CD3280" s="120" t="s">
        <v>515</v>
      </c>
      <c r="CE3280" s="120"/>
      <c r="CF3280" s="440"/>
      <c r="DB3280" s="436" t="s">
        <v>514</v>
      </c>
      <c r="DC3280" s="120">
        <f>VLOOKUP(DB3208,'Unit Ops'!$B$140:$K$209,10,FALSE)</f>
        <v>0</v>
      </c>
      <c r="DD3280" s="120" t="s">
        <v>515</v>
      </c>
      <c r="DE3280" s="120"/>
      <c r="DF3280" s="440"/>
      <c r="EB3280" s="436" t="s">
        <v>514</v>
      </c>
      <c r="EC3280" s="120">
        <f>VLOOKUP(EB3208,'Unit Ops'!$B$140:$K$209,10,FALSE)</f>
        <v>0</v>
      </c>
      <c r="ED3280" s="120" t="s">
        <v>515</v>
      </c>
      <c r="EE3280" s="120"/>
      <c r="EF3280" s="440"/>
    </row>
    <row r="3281" spans="54:136">
      <c r="BB3281" s="436" t="s">
        <v>516</v>
      </c>
      <c r="BC3281" s="120">
        <v>0</v>
      </c>
      <c r="BD3281" s="120" t="s">
        <v>515</v>
      </c>
      <c r="BE3281" s="120"/>
      <c r="BF3281" s="440"/>
      <c r="CB3281" s="436" t="s">
        <v>516</v>
      </c>
      <c r="CC3281" s="120">
        <v>0</v>
      </c>
      <c r="CD3281" s="120" t="s">
        <v>515</v>
      </c>
      <c r="CE3281" s="120"/>
      <c r="CF3281" s="440"/>
      <c r="DB3281" s="436" t="s">
        <v>516</v>
      </c>
      <c r="DC3281" s="120">
        <v>0</v>
      </c>
      <c r="DD3281" s="120" t="s">
        <v>515</v>
      </c>
      <c r="DE3281" s="120"/>
      <c r="DF3281" s="440"/>
      <c r="EB3281" s="436" t="s">
        <v>516</v>
      </c>
      <c r="EC3281" s="120">
        <v>0</v>
      </c>
      <c r="ED3281" s="120" t="s">
        <v>515</v>
      </c>
      <c r="EE3281" s="120"/>
      <c r="EF3281" s="440"/>
    </row>
    <row r="3282" spans="54:136">
      <c r="BB3282" s="436"/>
      <c r="BC3282" s="120"/>
      <c r="BD3282" s="120"/>
      <c r="BE3282" s="120"/>
      <c r="BF3282" s="440"/>
      <c r="CB3282" s="436"/>
      <c r="CC3282" s="120"/>
      <c r="CD3282" s="120"/>
      <c r="CE3282" s="120"/>
      <c r="CF3282" s="440"/>
      <c r="DB3282" s="436"/>
      <c r="DC3282" s="120"/>
      <c r="DD3282" s="120"/>
      <c r="DE3282" s="120"/>
      <c r="DF3282" s="440"/>
      <c r="EB3282" s="436"/>
      <c r="EC3282" s="120"/>
      <c r="ED3282" s="120"/>
      <c r="EE3282" s="120"/>
      <c r="EF3282" s="440"/>
    </row>
    <row r="3283" spans="54:136">
      <c r="BB3283" s="436"/>
      <c r="BC3283" s="120"/>
      <c r="BD3283" s="120"/>
      <c r="BE3283" s="120"/>
      <c r="BF3283" s="440"/>
      <c r="CB3283" s="436"/>
      <c r="CC3283" s="120"/>
      <c r="CD3283" s="120"/>
      <c r="CE3283" s="120"/>
      <c r="CF3283" s="440"/>
      <c r="DB3283" s="436"/>
      <c r="DC3283" s="120"/>
      <c r="DD3283" s="120"/>
      <c r="DE3283" s="120"/>
      <c r="DF3283" s="440"/>
      <c r="EB3283" s="436"/>
      <c r="EC3283" s="120"/>
      <c r="ED3283" s="120"/>
      <c r="EE3283" s="120"/>
      <c r="EF3283" s="440"/>
    </row>
    <row r="3284" spans="54:136">
      <c r="BB3284" s="436"/>
      <c r="BC3284" s="120"/>
      <c r="BD3284" s="120"/>
      <c r="BE3284" s="120"/>
      <c r="BF3284" s="440"/>
      <c r="CB3284" s="436"/>
      <c r="CC3284" s="120"/>
      <c r="CD3284" s="120"/>
      <c r="CE3284" s="120"/>
      <c r="CF3284" s="440"/>
      <c r="DB3284" s="436"/>
      <c r="DC3284" s="120"/>
      <c r="DD3284" s="120"/>
      <c r="DE3284" s="120"/>
      <c r="DF3284" s="440"/>
      <c r="EB3284" s="436"/>
      <c r="EC3284" s="120"/>
      <c r="ED3284" s="120"/>
      <c r="EE3284" s="120"/>
      <c r="EF3284" s="440"/>
    </row>
    <row r="3285" spans="54:136">
      <c r="BB3285" s="436"/>
      <c r="BC3285" s="120"/>
      <c r="BD3285" s="120"/>
      <c r="BE3285" s="120"/>
      <c r="BF3285" s="440"/>
      <c r="CB3285" s="436"/>
      <c r="CC3285" s="120"/>
      <c r="CD3285" s="120"/>
      <c r="CE3285" s="120"/>
      <c r="CF3285" s="440"/>
      <c r="DB3285" s="436"/>
      <c r="DC3285" s="120"/>
      <c r="DD3285" s="120"/>
      <c r="DE3285" s="120"/>
      <c r="DF3285" s="440"/>
      <c r="EB3285" s="436"/>
      <c r="EC3285" s="120"/>
      <c r="ED3285" s="120"/>
      <c r="EE3285" s="120"/>
      <c r="EF3285" s="440"/>
    </row>
    <row r="3286" spans="54:136">
      <c r="BB3286" s="436"/>
      <c r="BC3286" s="120"/>
      <c r="BD3286" s="120"/>
      <c r="BE3286" s="120"/>
      <c r="BF3286" s="440"/>
      <c r="CB3286" s="436"/>
      <c r="CC3286" s="120"/>
      <c r="CD3286" s="120"/>
      <c r="CE3286" s="120"/>
      <c r="CF3286" s="440"/>
      <c r="DB3286" s="436"/>
      <c r="DC3286" s="120"/>
      <c r="DD3286" s="120"/>
      <c r="DE3286" s="120"/>
      <c r="DF3286" s="440"/>
      <c r="EB3286" s="436"/>
      <c r="EC3286" s="120"/>
      <c r="ED3286" s="120"/>
      <c r="EE3286" s="120"/>
      <c r="EF3286" s="440"/>
    </row>
    <row r="3287" spans="54:136">
      <c r="BB3287" s="436" t="s">
        <v>464</v>
      </c>
      <c r="BC3287" s="120"/>
      <c r="BD3287" s="120"/>
      <c r="BE3287" s="120"/>
      <c r="BF3287" s="440"/>
      <c r="CB3287" s="436" t="s">
        <v>464</v>
      </c>
      <c r="CC3287" s="120"/>
      <c r="CD3287" s="120"/>
      <c r="CE3287" s="120"/>
      <c r="CF3287" s="440"/>
      <c r="DB3287" s="436" t="s">
        <v>464</v>
      </c>
      <c r="DC3287" s="120"/>
      <c r="DD3287" s="120"/>
      <c r="DE3287" s="120"/>
      <c r="DF3287" s="440"/>
      <c r="EB3287" s="436" t="s">
        <v>464</v>
      </c>
      <c r="EC3287" s="120"/>
      <c r="ED3287" s="120"/>
      <c r="EE3287" s="120"/>
      <c r="EF3287" s="440"/>
    </row>
    <row r="3288" spans="54:136">
      <c r="BB3288" s="456"/>
      <c r="BC3288" s="457"/>
      <c r="BD3288" s="457"/>
      <c r="BE3288" s="457"/>
      <c r="BF3288" s="458"/>
      <c r="CB3288" s="456"/>
      <c r="CC3288" s="457"/>
      <c r="CD3288" s="457"/>
      <c r="CE3288" s="457"/>
      <c r="CF3288" s="458"/>
      <c r="DB3288" s="456"/>
      <c r="DC3288" s="457"/>
      <c r="DD3288" s="457"/>
      <c r="DE3288" s="457"/>
      <c r="DF3288" s="458"/>
      <c r="EB3288" s="456"/>
      <c r="EC3288" s="457"/>
      <c r="ED3288" s="457"/>
      <c r="EE3288" s="457"/>
      <c r="EF3288" s="458"/>
    </row>
    <row r="3289" spans="54:136">
      <c r="BB3289" s="449" t="s">
        <v>472</v>
      </c>
      <c r="BC3289" s="467" t="s">
        <v>517</v>
      </c>
      <c r="BD3289" s="120" t="s">
        <v>518</v>
      </c>
      <c r="BE3289" s="467" t="s">
        <v>519</v>
      </c>
      <c r="BF3289" s="440" t="s">
        <v>518</v>
      </c>
      <c r="CB3289" s="449" t="s">
        <v>472</v>
      </c>
      <c r="CC3289" s="467" t="s">
        <v>517</v>
      </c>
      <c r="CD3289" s="120" t="s">
        <v>518</v>
      </c>
      <c r="CE3289" s="467" t="s">
        <v>519</v>
      </c>
      <c r="CF3289" s="440" t="s">
        <v>518</v>
      </c>
      <c r="DB3289" s="449" t="s">
        <v>472</v>
      </c>
      <c r="DC3289" s="467" t="s">
        <v>517</v>
      </c>
      <c r="DD3289" s="120" t="s">
        <v>518</v>
      </c>
      <c r="DE3289" s="467" t="s">
        <v>519</v>
      </c>
      <c r="DF3289" s="440" t="s">
        <v>518</v>
      </c>
      <c r="EB3289" s="449" t="s">
        <v>472</v>
      </c>
      <c r="EC3289" s="467" t="s">
        <v>517</v>
      </c>
      <c r="ED3289" s="120" t="s">
        <v>518</v>
      </c>
      <c r="EE3289" s="467" t="s">
        <v>519</v>
      </c>
      <c r="EF3289" s="440" t="s">
        <v>518</v>
      </c>
    </row>
    <row r="3290" spans="54:136">
      <c r="BB3290" s="436" t="s">
        <v>520</v>
      </c>
      <c r="BC3290" s="120"/>
      <c r="BD3290" s="120"/>
      <c r="BE3290" s="472">
        <f>((VLOOKUP(BB3208,'Unit Ops'!$B$140:$J$209,3,FALSE)*BC3210^VLOOKUP(BB3208,'Unit Ops'!$B$140:$J$209,4,FALSE)+VLOOKUP(BB3208,'Unit Ops'!$B$140:$J$209,5,FALSE))*VLOOKUP(BB3208,'Unit Ops'!$B$140:$J$209,6,FALSE))*IF(VLOOKUP(BB3208,'Unit Ops'!$B$140:$L$209,11,FALSE)=1,1,2)</f>
        <v>0</v>
      </c>
      <c r="BF3290" s="490">
        <f>$C$7</f>
        <v>2022</v>
      </c>
      <c r="CB3290" s="436" t="s">
        <v>520</v>
      </c>
      <c r="CC3290" s="120"/>
      <c r="CD3290" s="120"/>
      <c r="CE3290" s="472">
        <f>((VLOOKUP(CB3208,'Unit Ops'!$B$140:$J$209,3,FALSE)*CC3210^VLOOKUP(CB3208,'Unit Ops'!$B$140:$J$209,4,FALSE)+VLOOKUP(CB3208,'Unit Ops'!$B$140:$J$209,5,FALSE))*VLOOKUP(CB3208,'Unit Ops'!$B$140:$J$209,6,FALSE))*IF(VLOOKUP(CB3208,'Unit Ops'!$B$140:$L$209,11,FALSE)=1,1,2)</f>
        <v>0</v>
      </c>
      <c r="CF3290" s="490">
        <f>$C$7</f>
        <v>2022</v>
      </c>
      <c r="DB3290" s="436" t="s">
        <v>520</v>
      </c>
      <c r="DC3290" s="120"/>
      <c r="DD3290" s="120"/>
      <c r="DE3290" s="472">
        <f>((VLOOKUP(DB3208,'Unit Ops'!$B$140:$J$209,3,FALSE)*DC3210^VLOOKUP(DB3208,'Unit Ops'!$B$140:$J$209,4,FALSE)+VLOOKUP(DB3208,'Unit Ops'!$B$140:$J$209,5,FALSE))*VLOOKUP(DB3208,'Unit Ops'!$B$140:$J$209,6,FALSE))*IF(VLOOKUP(DB3208,'Unit Ops'!$B$140:$L$209,11,FALSE)=1,1,2)</f>
        <v>0</v>
      </c>
      <c r="DF3290" s="490">
        <f>$C$7</f>
        <v>2022</v>
      </c>
      <c r="EB3290" s="436" t="s">
        <v>520</v>
      </c>
      <c r="EC3290" s="120"/>
      <c r="ED3290" s="120"/>
      <c r="EE3290" s="472">
        <f>((VLOOKUP(EB3208,'Unit Ops'!$B$140:$J$209,3,FALSE)*EC3210^VLOOKUP(EB3208,'Unit Ops'!$B$140:$J$209,4,FALSE)+VLOOKUP(EB3208,'Unit Ops'!$B$140:$J$209,5,FALSE))*VLOOKUP(EB3208,'Unit Ops'!$B$140:$J$209,6,FALSE))*IF(VLOOKUP(EB3208,'Unit Ops'!$B$140:$L$209,11,FALSE)=1,1,2)</f>
        <v>0</v>
      </c>
      <c r="EF3290" s="490">
        <f>$C$7</f>
        <v>2022</v>
      </c>
    </row>
    <row r="3291" spans="54:136">
      <c r="BB3291" s="436"/>
      <c r="BC3291" s="120"/>
      <c r="BD3291" s="120"/>
      <c r="BE3291" s="120"/>
      <c r="BF3291" s="440"/>
      <c r="CB3291" s="436"/>
      <c r="CC3291" s="120"/>
      <c r="CD3291" s="120"/>
      <c r="CE3291" s="120"/>
      <c r="CF3291" s="440"/>
      <c r="DB3291" s="436"/>
      <c r="DC3291" s="120"/>
      <c r="DD3291" s="120"/>
      <c r="DE3291" s="120"/>
      <c r="DF3291" s="440"/>
      <c r="EB3291" s="436"/>
      <c r="EC3291" s="120"/>
      <c r="ED3291" s="120"/>
      <c r="EE3291" s="120"/>
      <c r="EF3291" s="440"/>
    </row>
    <row r="3292" spans="54:136">
      <c r="BB3292" s="436"/>
      <c r="BC3292" s="120"/>
      <c r="BD3292" s="120"/>
      <c r="BE3292" s="120"/>
      <c r="BF3292" s="440"/>
      <c r="CB3292" s="436"/>
      <c r="CC3292" s="120"/>
      <c r="CD3292" s="120"/>
      <c r="CE3292" s="120"/>
      <c r="CF3292" s="440"/>
      <c r="DB3292" s="436"/>
      <c r="DC3292" s="120"/>
      <c r="DD3292" s="120"/>
      <c r="DE3292" s="120"/>
      <c r="DF3292" s="440"/>
      <c r="EB3292" s="436"/>
      <c r="EC3292" s="120"/>
      <c r="ED3292" s="120"/>
      <c r="EE3292" s="120"/>
      <c r="EF3292" s="440"/>
    </row>
    <row r="3293" spans="54:136">
      <c r="BB3293" s="436"/>
      <c r="BC3293" s="120"/>
      <c r="BD3293" s="120"/>
      <c r="BE3293" s="120"/>
      <c r="BF3293" s="440"/>
      <c r="CB3293" s="436"/>
      <c r="CC3293" s="120"/>
      <c r="CD3293" s="120"/>
      <c r="CE3293" s="120"/>
      <c r="CF3293" s="440"/>
      <c r="DB3293" s="436"/>
      <c r="DC3293" s="120"/>
      <c r="DD3293" s="120"/>
      <c r="DE3293" s="120"/>
      <c r="DF3293" s="440"/>
      <c r="EB3293" s="436"/>
      <c r="EC3293" s="120"/>
      <c r="ED3293" s="120"/>
      <c r="EE3293" s="120"/>
      <c r="EF3293" s="440"/>
    </row>
    <row r="3294" spans="54:136">
      <c r="BB3294" s="436"/>
      <c r="BC3294" s="120"/>
      <c r="BD3294" s="120"/>
      <c r="BE3294" s="120"/>
      <c r="BF3294" s="440"/>
      <c r="CB3294" s="436"/>
      <c r="CC3294" s="120"/>
      <c r="CD3294" s="120"/>
      <c r="CE3294" s="120"/>
      <c r="CF3294" s="440"/>
      <c r="DB3294" s="436"/>
      <c r="DC3294" s="120"/>
      <c r="DD3294" s="120"/>
      <c r="DE3294" s="120"/>
      <c r="DF3294" s="440"/>
      <c r="EB3294" s="436"/>
      <c r="EC3294" s="120"/>
      <c r="ED3294" s="120"/>
      <c r="EE3294" s="120"/>
      <c r="EF3294" s="440"/>
    </row>
    <row r="3295" spans="54:136">
      <c r="BB3295" s="436"/>
      <c r="BC3295" s="120"/>
      <c r="BD3295" s="120"/>
      <c r="BE3295" s="120"/>
      <c r="BF3295" s="440"/>
      <c r="CB3295" s="436"/>
      <c r="CC3295" s="120"/>
      <c r="CD3295" s="120"/>
      <c r="CE3295" s="120"/>
      <c r="CF3295" s="440"/>
      <c r="DB3295" s="436"/>
      <c r="DC3295" s="120"/>
      <c r="DD3295" s="120"/>
      <c r="DE3295" s="120"/>
      <c r="DF3295" s="440"/>
      <c r="EB3295" s="436"/>
      <c r="EC3295" s="120"/>
      <c r="ED3295" s="120"/>
      <c r="EE3295" s="120"/>
      <c r="EF3295" s="440"/>
    </row>
    <row r="3296" spans="54:136">
      <c r="BB3296" s="436"/>
      <c r="BC3296" s="120"/>
      <c r="BD3296" s="120"/>
      <c r="BE3296" s="120"/>
      <c r="BF3296" s="440"/>
      <c r="CB3296" s="436"/>
      <c r="CC3296" s="120"/>
      <c r="CD3296" s="120"/>
      <c r="CE3296" s="120"/>
      <c r="CF3296" s="440"/>
      <c r="DB3296" s="436"/>
      <c r="DC3296" s="120"/>
      <c r="DD3296" s="120"/>
      <c r="DE3296" s="120"/>
      <c r="DF3296" s="440"/>
      <c r="EB3296" s="436"/>
      <c r="EC3296" s="120"/>
      <c r="ED3296" s="120"/>
      <c r="EE3296" s="120"/>
      <c r="EF3296" s="440"/>
    </row>
    <row r="3297" spans="53:136">
      <c r="BB3297" s="436"/>
      <c r="BC3297" s="120"/>
      <c r="BD3297" s="120"/>
      <c r="BE3297" s="120"/>
      <c r="BF3297" s="440"/>
      <c r="CB3297" s="436"/>
      <c r="CC3297" s="120"/>
      <c r="CD3297" s="120"/>
      <c r="CE3297" s="120"/>
      <c r="CF3297" s="440"/>
      <c r="DB3297" s="436"/>
      <c r="DC3297" s="120"/>
      <c r="DD3297" s="120"/>
      <c r="DE3297" s="120"/>
      <c r="DF3297" s="440"/>
      <c r="EB3297" s="436"/>
      <c r="EC3297" s="120"/>
      <c r="ED3297" s="120"/>
      <c r="EE3297" s="120"/>
      <c r="EF3297" s="440"/>
    </row>
    <row r="3298" spans="53:136">
      <c r="BB3298" s="436"/>
      <c r="BC3298" s="120"/>
      <c r="BD3298" s="120"/>
      <c r="BE3298" s="120"/>
      <c r="BF3298" s="440"/>
      <c r="CB3298" s="436"/>
      <c r="CC3298" s="120"/>
      <c r="CD3298" s="120"/>
      <c r="CE3298" s="120"/>
      <c r="CF3298" s="440"/>
      <c r="DB3298" s="436"/>
      <c r="DC3298" s="120"/>
      <c r="DD3298" s="120"/>
      <c r="DE3298" s="120"/>
      <c r="DF3298" s="440"/>
      <c r="EB3298" s="436"/>
      <c r="EC3298" s="120"/>
      <c r="ED3298" s="120"/>
      <c r="EE3298" s="120"/>
      <c r="EF3298" s="440"/>
    </row>
    <row r="3299" spans="53:136">
      <c r="BB3299" s="436"/>
      <c r="BC3299" s="120"/>
      <c r="BD3299" s="120"/>
      <c r="BE3299" s="120"/>
      <c r="BF3299" s="440"/>
      <c r="CB3299" s="436"/>
      <c r="CC3299" s="120"/>
      <c r="CD3299" s="120"/>
      <c r="CE3299" s="120"/>
      <c r="CF3299" s="440"/>
      <c r="DB3299" s="436"/>
      <c r="DC3299" s="120"/>
      <c r="DD3299" s="120"/>
      <c r="DE3299" s="120"/>
      <c r="DF3299" s="440"/>
      <c r="EB3299" s="436"/>
      <c r="EC3299" s="120"/>
      <c r="ED3299" s="120"/>
      <c r="EE3299" s="120"/>
      <c r="EF3299" s="440"/>
    </row>
    <row r="3300" spans="53:136">
      <c r="BB3300" s="436"/>
      <c r="BC3300" s="120"/>
      <c r="BD3300" s="120"/>
      <c r="BE3300" s="120"/>
      <c r="BF3300" s="440"/>
      <c r="CB3300" s="436"/>
      <c r="CC3300" s="120"/>
      <c r="CD3300" s="120"/>
      <c r="CE3300" s="120"/>
      <c r="CF3300" s="440"/>
      <c r="DB3300" s="436"/>
      <c r="DC3300" s="120"/>
      <c r="DD3300" s="120"/>
      <c r="DE3300" s="120"/>
      <c r="DF3300" s="440"/>
      <c r="EB3300" s="436"/>
      <c r="EC3300" s="120"/>
      <c r="ED3300" s="120"/>
      <c r="EE3300" s="120"/>
      <c r="EF3300" s="440"/>
    </row>
    <row r="3301" spans="53:136">
      <c r="BB3301" s="436"/>
      <c r="BC3301" s="120"/>
      <c r="BD3301" s="120"/>
      <c r="BE3301" s="120"/>
      <c r="BF3301" s="440"/>
      <c r="CB3301" s="436"/>
      <c r="CC3301" s="120"/>
      <c r="CD3301" s="120"/>
      <c r="CE3301" s="120"/>
      <c r="CF3301" s="440"/>
      <c r="DB3301" s="436"/>
      <c r="DC3301" s="120"/>
      <c r="DD3301" s="120"/>
      <c r="DE3301" s="120"/>
      <c r="DF3301" s="440"/>
      <c r="EB3301" s="436"/>
      <c r="EC3301" s="120"/>
      <c r="ED3301" s="120"/>
      <c r="EE3301" s="120"/>
      <c r="EF3301" s="440"/>
    </row>
    <row r="3302" spans="53:136">
      <c r="BB3302" s="436"/>
      <c r="BC3302" s="120"/>
      <c r="BD3302" s="120"/>
      <c r="BE3302" s="120"/>
      <c r="BF3302" s="440"/>
      <c r="CB3302" s="436"/>
      <c r="CC3302" s="120"/>
      <c r="CD3302" s="120"/>
      <c r="CE3302" s="120"/>
      <c r="CF3302" s="440"/>
      <c r="DB3302" s="436"/>
      <c r="DC3302" s="120"/>
      <c r="DD3302" s="120"/>
      <c r="DE3302" s="120"/>
      <c r="DF3302" s="440"/>
      <c r="EB3302" s="436"/>
      <c r="EC3302" s="120"/>
      <c r="ED3302" s="120"/>
      <c r="EE3302" s="120"/>
      <c r="EF3302" s="440"/>
    </row>
    <row r="3303" spans="53:136">
      <c r="BB3303" s="436"/>
      <c r="BC3303" s="120"/>
      <c r="BD3303" s="120"/>
      <c r="BE3303" s="120"/>
      <c r="BF3303" s="440"/>
      <c r="CB3303" s="436"/>
      <c r="CC3303" s="120"/>
      <c r="CD3303" s="120"/>
      <c r="CE3303" s="120"/>
      <c r="CF3303" s="440"/>
      <c r="DB3303" s="436"/>
      <c r="DC3303" s="120"/>
      <c r="DD3303" s="120"/>
      <c r="DE3303" s="120"/>
      <c r="DF3303" s="440"/>
      <c r="EB3303" s="436"/>
      <c r="EC3303" s="120"/>
      <c r="ED3303" s="120"/>
      <c r="EE3303" s="120"/>
      <c r="EF3303" s="440"/>
    </row>
    <row r="3304" spans="53:136" ht="14.5" thickBot="1">
      <c r="BB3304" s="492"/>
      <c r="BC3304" s="493"/>
      <c r="BD3304" s="493"/>
      <c r="BE3304" s="493"/>
      <c r="BF3304" s="453"/>
      <c r="CB3304" s="492"/>
      <c r="CC3304" s="493"/>
      <c r="CD3304" s="493"/>
      <c r="CE3304" s="493"/>
      <c r="CF3304" s="453"/>
      <c r="DB3304" s="492"/>
      <c r="DC3304" s="493"/>
      <c r="DD3304" s="493"/>
      <c r="DE3304" s="493"/>
      <c r="DF3304" s="453"/>
      <c r="EB3304" s="492"/>
      <c r="EC3304" s="493"/>
      <c r="ED3304" s="493"/>
      <c r="EE3304" s="493"/>
      <c r="EF3304" s="453"/>
    </row>
    <row r="3307" spans="53:136" ht="14.5" thickBot="1"/>
    <row r="3308" spans="53:136">
      <c r="BA3308" s="114" t="s">
        <v>478</v>
      </c>
      <c r="BB3308" s="431" t="str">
        <f>BB82</f>
        <v>Select Equipment</v>
      </c>
      <c r="BC3308" s="432"/>
      <c r="BD3308" s="433"/>
      <c r="BE3308" s="434"/>
      <c r="BF3308" s="435"/>
      <c r="CA3308" s="114" t="s">
        <v>478</v>
      </c>
      <c r="CB3308" s="431" t="str">
        <f>CB82</f>
        <v>Select Equipment</v>
      </c>
      <c r="CC3308" s="432"/>
      <c r="CD3308" s="433"/>
      <c r="CE3308" s="434"/>
      <c r="CF3308" s="435"/>
      <c r="DA3308" s="114" t="s">
        <v>478</v>
      </c>
      <c r="DB3308" s="431" t="str">
        <f>DB82</f>
        <v>Select Equipment</v>
      </c>
      <c r="DC3308" s="432"/>
      <c r="DD3308" s="433"/>
      <c r="DE3308" s="434"/>
      <c r="DF3308" s="435"/>
      <c r="EA3308" s="114" t="s">
        <v>478</v>
      </c>
      <c r="EB3308" s="431" t="str">
        <f>EB84</f>
        <v>Select Equipment</v>
      </c>
      <c r="EC3308" s="432"/>
      <c r="ED3308" s="433"/>
      <c r="EE3308" s="434"/>
      <c r="EF3308" s="435"/>
    </row>
    <row r="3309" spans="53:136">
      <c r="BA3309" s="114" t="s">
        <v>5</v>
      </c>
      <c r="BB3309" s="436" t="s">
        <v>1</v>
      </c>
      <c r="BC3309" s="437">
        <f>BC$25/BC$22/BC$21*VLOOKUP(BB3308,'Unit Ops'!$B$140:$J$209,2,FALSE)</f>
        <v>0.92592592592592593</v>
      </c>
      <c r="BD3309" s="438" t="s">
        <v>586</v>
      </c>
      <c r="BE3309" s="1027">
        <f>BC3309*BC$310*BC$311</f>
        <v>10000</v>
      </c>
      <c r="BF3309" s="439" t="s">
        <v>585</v>
      </c>
      <c r="CA3309" s="114" t="s">
        <v>5</v>
      </c>
      <c r="CB3309" s="436" t="s">
        <v>1</v>
      </c>
      <c r="CC3309" s="437">
        <f>CC$25/CC$22/CC$21*VLOOKUP(CB3308,'Unit Ops'!$B$140:$J$209,2,FALSE)</f>
        <v>0.91324200913242004</v>
      </c>
      <c r="CD3309" s="438" t="s">
        <v>586</v>
      </c>
      <c r="CE3309" s="1027">
        <f>CC3309*CC$310*CC$311</f>
        <v>10000</v>
      </c>
      <c r="CF3309" s="439" t="s">
        <v>585</v>
      </c>
      <c r="DA3309" s="114" t="s">
        <v>5</v>
      </c>
      <c r="DB3309" s="436" t="s">
        <v>1</v>
      </c>
      <c r="DC3309" s="437">
        <f>DC$25/DC$22/DC$21*VLOOKUP(DB3308,'Unit Ops'!$B$140:$J$209,2,FALSE)</f>
        <v>0.92592592592592593</v>
      </c>
      <c r="DD3309" s="438" t="s">
        <v>586</v>
      </c>
      <c r="DE3309" s="1027">
        <f>DC3309*DC$310*DC$311</f>
        <v>10000</v>
      </c>
      <c r="DF3309" s="439" t="s">
        <v>585</v>
      </c>
      <c r="EA3309" s="114" t="s">
        <v>5</v>
      </c>
      <c r="EB3309" s="436" t="s">
        <v>1</v>
      </c>
      <c r="EC3309" s="437">
        <f>EC$26/EC$23/EC$22*VLOOKUP(EB3308,'Unit Ops'!$B$140:$J$209,2,FALSE)</f>
        <v>1.3020833333333333</v>
      </c>
      <c r="ED3309" s="438" t="s">
        <v>586</v>
      </c>
      <c r="EE3309" s="1027">
        <f>EC3309*EC$310*EC$311</f>
        <v>10000</v>
      </c>
      <c r="EF3309" s="439" t="s">
        <v>585</v>
      </c>
    </row>
    <row r="3310" spans="53:136">
      <c r="BA3310" s="114" t="str">
        <f>$BB$54</f>
        <v>Hopper</v>
      </c>
      <c r="BB3310" s="436" t="s">
        <v>505</v>
      </c>
      <c r="BC3310" s="437">
        <f>ROUNDUP(BC3309*IF(VLOOKUP(BB3308,'Unit Ops'!$B$140:$L$209,11,FALSE)=1,1.5,0.75),1)</f>
        <v>0.7</v>
      </c>
      <c r="BD3310" s="438" t="s">
        <v>586</v>
      </c>
      <c r="BE3310" s="120">
        <f>BC3310*BC$310*BC$311</f>
        <v>7560</v>
      </c>
      <c r="BF3310" s="439" t="s">
        <v>585</v>
      </c>
      <c r="CA3310" s="114" t="str">
        <f>$CB$54</f>
        <v>Conveyor</v>
      </c>
      <c r="CB3310" s="436" t="s">
        <v>505</v>
      </c>
      <c r="CC3310" s="437">
        <f>ROUNDUP(CC3309*IF(VLOOKUP(CB3308,'Unit Ops'!$B$140:$L$209,11,FALSE)=1,1.5,0.75),1)</f>
        <v>0.7</v>
      </c>
      <c r="CD3310" s="438" t="s">
        <v>586</v>
      </c>
      <c r="CE3310" s="120">
        <f>CC3310*CC$310*CC$311</f>
        <v>7665</v>
      </c>
      <c r="CF3310" s="439" t="s">
        <v>585</v>
      </c>
      <c r="DA3310" s="114" t="str">
        <f>$DB$54</f>
        <v>Conveyor</v>
      </c>
      <c r="DB3310" s="436" t="s">
        <v>505</v>
      </c>
      <c r="DC3310" s="437">
        <f>ROUNDUP(DC3309*IF(VLOOKUP(DB3308,'Unit Ops'!$B$140:$L$209,11,FALSE)=1,1.5,0.75),1)</f>
        <v>0.7</v>
      </c>
      <c r="DD3310" s="438" t="s">
        <v>586</v>
      </c>
      <c r="DE3310" s="120">
        <f>DC3310*DC$310*DC$311</f>
        <v>7560</v>
      </c>
      <c r="DF3310" s="439" t="s">
        <v>585</v>
      </c>
      <c r="EA3310" s="114" t="str">
        <f>$EB$56</f>
        <v>Conveyor</v>
      </c>
      <c r="EB3310" s="436" t="s">
        <v>505</v>
      </c>
      <c r="EC3310" s="437">
        <f>ROUNDUP(EC3309*IF(VLOOKUP(EB3308,'Unit Ops'!$B$140:$L$209,11,FALSE)=1,1.5,0.75),1)</f>
        <v>1</v>
      </c>
      <c r="ED3310" s="438" t="s">
        <v>586</v>
      </c>
      <c r="EE3310" s="120">
        <f>EC3310*EC$310*EC$311</f>
        <v>7680</v>
      </c>
      <c r="EF3310" s="439" t="s">
        <v>585</v>
      </c>
    </row>
    <row r="3311" spans="53:136">
      <c r="BA3311" s="114" t="str">
        <f>$BB$55</f>
        <v>Conveyor</v>
      </c>
      <c r="BB3311" s="441" t="s">
        <v>521</v>
      </c>
      <c r="BC3311" s="442">
        <f>BC3309/BC3310</f>
        <v>1.3227513227513228</v>
      </c>
      <c r="BD3311" s="438"/>
      <c r="BE3311" s="443"/>
      <c r="BF3311" s="440"/>
      <c r="CA3311" s="114" t="str">
        <f>$CB$55</f>
        <v>Leaching tank</v>
      </c>
      <c r="CB3311" s="441" t="s">
        <v>521</v>
      </c>
      <c r="CC3311" s="442">
        <f>CC3309/CC3310</f>
        <v>1.3046314416177429</v>
      </c>
      <c r="CD3311" s="438"/>
      <c r="CE3311" s="443"/>
      <c r="CF3311" s="440"/>
      <c r="DA3311" s="114" t="str">
        <f>$DB$55</f>
        <v>Froth flotation cell</v>
      </c>
      <c r="DB3311" s="441" t="s">
        <v>521</v>
      </c>
      <c r="DC3311" s="442">
        <f>DC3309/DC3310</f>
        <v>1.3227513227513228</v>
      </c>
      <c r="DD3311" s="438"/>
      <c r="DE3311" s="443"/>
      <c r="DF3311" s="440"/>
      <c r="EA3311" s="114" t="str">
        <f>$EB$57</f>
        <v>Leaching tank</v>
      </c>
      <c r="EB3311" s="441" t="s">
        <v>521</v>
      </c>
      <c r="EC3311" s="442">
        <f>EC3309/EC3310</f>
        <v>1.3020833333333333</v>
      </c>
      <c r="ED3311" s="438"/>
      <c r="EE3311" s="443"/>
      <c r="EF3311" s="440"/>
    </row>
    <row r="3312" spans="53:136">
      <c r="BA3312" s="114" t="str">
        <f>$BB$56</f>
        <v>Smelter</v>
      </c>
      <c r="BB3312" s="441" t="s">
        <v>506</v>
      </c>
      <c r="BC3312" s="445"/>
      <c r="BD3312" s="438" t="s">
        <v>454</v>
      </c>
      <c r="BE3312" s="443"/>
      <c r="BF3312" s="440"/>
      <c r="CA3312" s="114" t="str">
        <f>$CB$56</f>
        <v>Mixing tank</v>
      </c>
      <c r="CB3312" s="441" t="s">
        <v>506</v>
      </c>
      <c r="CC3312" s="445"/>
      <c r="CD3312" s="438" t="s">
        <v>454</v>
      </c>
      <c r="CE3312" s="443"/>
      <c r="CF3312" s="440"/>
      <c r="DA3312" s="114" t="str">
        <f>$DB$56</f>
        <v>Filter press</v>
      </c>
      <c r="DB3312" s="441" t="s">
        <v>506</v>
      </c>
      <c r="DC3312" s="445"/>
      <c r="DD3312" s="438" t="s">
        <v>454</v>
      </c>
      <c r="DE3312" s="443"/>
      <c r="DF3312" s="440"/>
      <c r="EA3312" s="114" t="str">
        <f>$EB$58</f>
        <v>Mixing tank</v>
      </c>
      <c r="EB3312" s="441" t="s">
        <v>506</v>
      </c>
      <c r="EC3312" s="445"/>
      <c r="ED3312" s="438" t="s">
        <v>454</v>
      </c>
      <c r="EE3312" s="443"/>
      <c r="EF3312" s="440"/>
    </row>
    <row r="3313" spans="53:136">
      <c r="BA3313" s="114" t="str">
        <f>$BB$57</f>
        <v>Gas treatment</v>
      </c>
      <c r="BB3313" s="436" t="s">
        <v>507</v>
      </c>
      <c r="BC3313" s="225">
        <f>(VLOOKUP(BB3308,'Unit Ops'!$B$140:$J$209,7,FALSE)*BC3310^VLOOKUP(BB3308,'Unit Ops'!$B$140:$J$209,8,FALSE)+VLOOKUP(BB3308,'Unit Ops'!$B$140:$J$209,9,FALSE))*IF(VLOOKUP(BB3308,'Unit Ops'!$B$140:$L$209,11,FALSE)=1,1,2)</f>
        <v>0</v>
      </c>
      <c r="BD3313" s="446" t="s">
        <v>454</v>
      </c>
      <c r="BE3313" s="443"/>
      <c r="BF3313" s="440"/>
      <c r="CA3313" s="114" t="str">
        <f>$CB$57</f>
        <v>Filter press</v>
      </c>
      <c r="CB3313" s="436" t="s">
        <v>507</v>
      </c>
      <c r="CC3313" s="225">
        <f>(VLOOKUP(CB3308,'Unit Ops'!$B$140:$J$209,7,FALSE)*CC3310^VLOOKUP(CB3308,'Unit Ops'!$B$140:$J$209,8,FALSE)+VLOOKUP(CB3308,'Unit Ops'!$B$140:$J$209,9,FALSE))*IF(VLOOKUP(CB3308,'Unit Ops'!$B$140:$L$209,11,FALSE)=1,1,2)</f>
        <v>0</v>
      </c>
      <c r="CD3313" s="446" t="s">
        <v>454</v>
      </c>
      <c r="CE3313" s="443"/>
      <c r="CF3313" s="440"/>
      <c r="DA3313" s="114" t="str">
        <f>$DB$57</f>
        <v>Froth flotation cell</v>
      </c>
      <c r="DB3313" s="436" t="s">
        <v>507</v>
      </c>
      <c r="DC3313" s="225">
        <f>(VLOOKUP(DB3308,'Unit Ops'!$B$140:$J$209,7,FALSE)*DC3310^VLOOKUP(DB3308,'Unit Ops'!$B$140:$J$209,8,FALSE)+VLOOKUP(DB3308,'Unit Ops'!$B$140:$J$209,9,FALSE))*IF(VLOOKUP(DB3308,'Unit Ops'!$B$140:$L$209,11,FALSE)=1,1,2)</f>
        <v>0</v>
      </c>
      <c r="DD3313" s="446" t="s">
        <v>454</v>
      </c>
      <c r="DE3313" s="443"/>
      <c r="DF3313" s="440"/>
      <c r="EA3313" s="114" t="str">
        <f>$EB$59</f>
        <v>Filter press</v>
      </c>
      <c r="EB3313" s="436" t="s">
        <v>507</v>
      </c>
      <c r="EC3313" s="225">
        <f>(VLOOKUP(EB3308,'Unit Ops'!$B$140:$J$209,7,FALSE)*EC3310^VLOOKUP(EB3308,'Unit Ops'!$B$140:$J$209,8,FALSE)+VLOOKUP(EB3308,'Unit Ops'!$B$140:$J$209,9,FALSE))*IF(VLOOKUP(EB3308,'Unit Ops'!$B$140:$L$209,11,FALSE)=1,1,2)</f>
        <v>0</v>
      </c>
      <c r="ED3313" s="446" t="s">
        <v>454</v>
      </c>
      <c r="EE3313" s="443"/>
      <c r="EF3313" s="440"/>
    </row>
    <row r="3314" spans="53:136">
      <c r="BA3314" s="114" t="str">
        <f>$BB$58</f>
        <v>Conveyor</v>
      </c>
      <c r="BB3314" s="441"/>
      <c r="BC3314" s="445"/>
      <c r="BD3314" s="447"/>
      <c r="BE3314" s="443"/>
      <c r="BF3314" s="440"/>
      <c r="CA3314" s="114" t="str">
        <f>$CB$58</f>
        <v>Solvent extraction unit</v>
      </c>
      <c r="CB3314" s="441"/>
      <c r="CC3314" s="445"/>
      <c r="CD3314" s="447"/>
      <c r="CE3314" s="443"/>
      <c r="CF3314" s="440"/>
      <c r="DA3314" s="114" t="str">
        <f>$DB$58</f>
        <v>Filter press</v>
      </c>
      <c r="DB3314" s="441"/>
      <c r="DC3314" s="445"/>
      <c r="DD3314" s="447"/>
      <c r="DE3314" s="443"/>
      <c r="DF3314" s="440"/>
      <c r="EA3314" s="114" t="str">
        <f>$EB$60</f>
        <v>Solvent extraction unit</v>
      </c>
      <c r="EB3314" s="441"/>
      <c r="EC3314" s="445"/>
      <c r="ED3314" s="447"/>
      <c r="EE3314" s="443"/>
      <c r="EF3314" s="440"/>
    </row>
    <row r="3315" spans="53:136">
      <c r="BA3315" s="114" t="str">
        <f>$BB$59</f>
        <v>Granulator</v>
      </c>
      <c r="BB3315" s="441"/>
      <c r="BC3315" s="445"/>
      <c r="BD3315" s="447"/>
      <c r="BE3315" s="443"/>
      <c r="BF3315" s="440"/>
      <c r="CA3315" s="114" t="str">
        <f>$CB$59</f>
        <v>Solvent extraction unit</v>
      </c>
      <c r="CB3315" s="441"/>
      <c r="CC3315" s="445"/>
      <c r="CD3315" s="447"/>
      <c r="CE3315" s="443"/>
      <c r="CF3315" s="440"/>
      <c r="DA3315" s="114" t="str">
        <f>$DB$59</f>
        <v>Dryer</v>
      </c>
      <c r="DB3315" s="441"/>
      <c r="DC3315" s="445"/>
      <c r="DD3315" s="447"/>
      <c r="DE3315" s="443"/>
      <c r="DF3315" s="440"/>
      <c r="EA3315" s="114" t="str">
        <f>$EB$61</f>
        <v>Solvent extraction unit</v>
      </c>
      <c r="EB3315" s="441"/>
      <c r="EC3315" s="445"/>
      <c r="ED3315" s="447"/>
      <c r="EE3315" s="443"/>
      <c r="EF3315" s="440"/>
    </row>
    <row r="3316" spans="53:136">
      <c r="BA3316" s="114" t="str">
        <f>$BB$60</f>
        <v>Leaching tank</v>
      </c>
      <c r="BB3316" s="449"/>
      <c r="BC3316" s="445"/>
      <c r="BD3316" s="447"/>
      <c r="BE3316" s="443"/>
      <c r="BF3316" s="440"/>
      <c r="CA3316" s="114" t="str">
        <f>$CB$60</f>
        <v>Solvent extraction unit</v>
      </c>
      <c r="CB3316" s="449"/>
      <c r="CC3316" s="445"/>
      <c r="CD3316" s="447"/>
      <c r="CE3316" s="443"/>
      <c r="CF3316" s="440"/>
      <c r="DA3316" s="114" t="str">
        <f>$DB$60</f>
        <v>Ball mill</v>
      </c>
      <c r="DB3316" s="449"/>
      <c r="DC3316" s="445"/>
      <c r="DD3316" s="447"/>
      <c r="DE3316" s="443"/>
      <c r="DF3316" s="440"/>
      <c r="EA3316" s="114" t="str">
        <f>$EB$62</f>
        <v>Solvent extraction unit</v>
      </c>
      <c r="EB3316" s="449"/>
      <c r="EC3316" s="445"/>
      <c r="ED3316" s="447"/>
      <c r="EE3316" s="443"/>
      <c r="EF3316" s="440"/>
    </row>
    <row r="3317" spans="53:136" ht="14.5" thickBot="1">
      <c r="BA3317" s="114" t="str">
        <f>$BB$61</f>
        <v>Solvent extraction unit</v>
      </c>
      <c r="BB3317" s="450"/>
      <c r="BC3317" s="451"/>
      <c r="BD3317" s="451"/>
      <c r="BE3317" s="452"/>
      <c r="BF3317" s="453"/>
      <c r="CA3317" s="114" t="str">
        <f>$CB$61</f>
        <v>Evaporator</v>
      </c>
      <c r="CB3317" s="450"/>
      <c r="CC3317" s="451"/>
      <c r="CD3317" s="451"/>
      <c r="CE3317" s="452"/>
      <c r="CF3317" s="453"/>
      <c r="DA3317" s="114" t="str">
        <f>$DB$61</f>
        <v>Furnace+saggar handling system</v>
      </c>
      <c r="DB3317" s="450"/>
      <c r="DC3317" s="451"/>
      <c r="DD3317" s="451"/>
      <c r="DE3317" s="452"/>
      <c r="DF3317" s="453"/>
      <c r="EA3317" s="114" t="str">
        <f>$EB$63</f>
        <v>Evaporator</v>
      </c>
      <c r="EB3317" s="450"/>
      <c r="EC3317" s="451"/>
      <c r="ED3317" s="451"/>
      <c r="EE3317" s="452"/>
      <c r="EF3317" s="453"/>
    </row>
    <row r="3318" spans="53:136">
      <c r="BA3318" s="114" t="str">
        <f>$BB$62</f>
        <v>Electrowinning cell</v>
      </c>
      <c r="BB3318" s="449" t="s">
        <v>470</v>
      </c>
      <c r="BC3318" s="120"/>
      <c r="BD3318" s="454"/>
      <c r="BE3318" s="120"/>
      <c r="BF3318" s="440"/>
      <c r="CA3318" s="114" t="str">
        <f>$CB$62</f>
        <v>Precipitation tank</v>
      </c>
      <c r="CB3318" s="449" t="s">
        <v>470</v>
      </c>
      <c r="CC3318" s="120"/>
      <c r="CD3318" s="454"/>
      <c r="CE3318" s="120"/>
      <c r="CF3318" s="440"/>
      <c r="DA3318" s="114" t="str">
        <f>$DB$62</f>
        <v>Water treatment</v>
      </c>
      <c r="DB3318" s="449" t="s">
        <v>470</v>
      </c>
      <c r="DC3318" s="120"/>
      <c r="DD3318" s="454"/>
      <c r="DE3318" s="120"/>
      <c r="DF3318" s="440"/>
      <c r="EA3318" s="114" t="str">
        <f>$EB$64</f>
        <v>Precipitation tank</v>
      </c>
      <c r="EB3318" s="449" t="s">
        <v>470</v>
      </c>
      <c r="EC3318" s="120"/>
      <c r="ED3318" s="454"/>
      <c r="EE3318" s="120"/>
      <c r="EF3318" s="440"/>
    </row>
    <row r="3319" spans="53:136" ht="14.5" customHeight="1">
      <c r="BA3319" s="114" t="str">
        <f>$BB$63</f>
        <v>Solvent extraction unit</v>
      </c>
      <c r="BB3319" s="1698"/>
      <c r="BC3319" s="1699"/>
      <c r="BD3319" s="1699"/>
      <c r="BE3319" s="1699"/>
      <c r="BF3319" s="1700"/>
      <c r="CA3319" s="114" t="str">
        <f>$CB$63</f>
        <v>Centrifuge</v>
      </c>
      <c r="CB3319" s="1698"/>
      <c r="CC3319" s="1699"/>
      <c r="CD3319" s="1699"/>
      <c r="CE3319" s="1699"/>
      <c r="CF3319" s="1700"/>
      <c r="DA3319" s="114" t="str">
        <f>$DB$63</f>
        <v>Wheel loader</v>
      </c>
      <c r="DB3319" s="1698"/>
      <c r="DC3319" s="1699"/>
      <c r="DD3319" s="1699"/>
      <c r="DE3319" s="1699"/>
      <c r="DF3319" s="1700"/>
      <c r="EA3319" s="114" t="str">
        <f>$EB$65</f>
        <v>Centrifuge</v>
      </c>
      <c r="EB3319" s="1698"/>
      <c r="EC3319" s="1699"/>
      <c r="ED3319" s="1699"/>
      <c r="EE3319" s="1699"/>
      <c r="EF3319" s="1700"/>
    </row>
    <row r="3320" spans="53:136">
      <c r="BA3320" s="114" t="str">
        <f>$BB$64</f>
        <v>Solvent extraction unit</v>
      </c>
      <c r="BB3320" s="436"/>
      <c r="BC3320" s="120"/>
      <c r="BD3320" s="455"/>
      <c r="BE3320" s="120"/>
      <c r="BF3320" s="440"/>
      <c r="CA3320" s="114" t="str">
        <f>$CB$64</f>
        <v>Dryer</v>
      </c>
      <c r="CB3320" s="436"/>
      <c r="CC3320" s="120"/>
      <c r="CD3320" s="455"/>
      <c r="CE3320" s="120"/>
      <c r="CF3320" s="440"/>
      <c r="DA3320" s="114" t="str">
        <f>$DB$64</f>
        <v>Select Equipment</v>
      </c>
      <c r="DB3320" s="436"/>
      <c r="DC3320" s="120"/>
      <c r="DD3320" s="455"/>
      <c r="DE3320" s="120"/>
      <c r="DF3320" s="440"/>
      <c r="EA3320" s="114" t="str">
        <f>$EB$66</f>
        <v>Dryer</v>
      </c>
      <c r="EB3320" s="436"/>
      <c r="EC3320" s="120"/>
      <c r="ED3320" s="455"/>
      <c r="EE3320" s="120"/>
      <c r="EF3320" s="440"/>
    </row>
    <row r="3321" spans="53:136">
      <c r="BA3321" s="114" t="str">
        <f>$BB$65</f>
        <v>Wheel loader</v>
      </c>
      <c r="BB3321" s="436"/>
      <c r="BC3321" s="120"/>
      <c r="BD3321" s="455"/>
      <c r="BE3321" s="120"/>
      <c r="BF3321" s="440"/>
      <c r="CA3321" s="114" t="str">
        <f>$CB$65</f>
        <v>Water treatment</v>
      </c>
      <c r="CB3321" s="436"/>
      <c r="CC3321" s="120"/>
      <c r="CD3321" s="455"/>
      <c r="CE3321" s="120"/>
      <c r="CF3321" s="440"/>
      <c r="DA3321" s="114" t="str">
        <f>$DB$65</f>
        <v>Select Equipment</v>
      </c>
      <c r="DB3321" s="436"/>
      <c r="DC3321" s="120"/>
      <c r="DD3321" s="455"/>
      <c r="DE3321" s="120"/>
      <c r="DF3321" s="440"/>
      <c r="EA3321" s="114" t="str">
        <f>$EB$67</f>
        <v>Water treatment</v>
      </c>
      <c r="EB3321" s="436"/>
      <c r="EC3321" s="120"/>
      <c r="ED3321" s="455"/>
      <c r="EE3321" s="120"/>
      <c r="EF3321" s="440"/>
    </row>
    <row r="3322" spans="53:136">
      <c r="BA3322" s="114" t="str">
        <f>$BB$66</f>
        <v>Water treatment</v>
      </c>
      <c r="BB3322" s="456"/>
      <c r="BC3322" s="457"/>
      <c r="BD3322" s="457"/>
      <c r="BE3322" s="457"/>
      <c r="BF3322" s="458"/>
      <c r="CA3322" s="114" t="str">
        <f>$CB$66</f>
        <v>Wheel loader</v>
      </c>
      <c r="CB3322" s="456"/>
      <c r="CC3322" s="457"/>
      <c r="CD3322" s="457"/>
      <c r="CE3322" s="457"/>
      <c r="CF3322" s="458"/>
      <c r="DA3322" s="114" t="str">
        <f>$DB$66</f>
        <v>Select Equipment</v>
      </c>
      <c r="DB3322" s="456"/>
      <c r="DC3322" s="457"/>
      <c r="DD3322" s="457"/>
      <c r="DE3322" s="457"/>
      <c r="DF3322" s="458"/>
      <c r="EA3322" s="114" t="str">
        <f>$EB$68</f>
        <v>Wheel loader</v>
      </c>
      <c r="EB3322" s="456"/>
      <c r="EC3322" s="457"/>
      <c r="ED3322" s="457"/>
      <c r="EE3322" s="457"/>
      <c r="EF3322" s="458"/>
    </row>
    <row r="3323" spans="53:136">
      <c r="BA3323" s="114" t="str">
        <f>$BB$67</f>
        <v>Select Equipment</v>
      </c>
      <c r="BB3323" s="449" t="s">
        <v>471</v>
      </c>
      <c r="BC3323" s="120"/>
      <c r="BD3323" s="454"/>
      <c r="BE3323" s="120"/>
      <c r="BF3323" s="440"/>
      <c r="CA3323" s="114" t="str">
        <f>$CB$67</f>
        <v>Select Equipment</v>
      </c>
      <c r="CB3323" s="449" t="s">
        <v>471</v>
      </c>
      <c r="CC3323" s="120"/>
      <c r="CD3323" s="454"/>
      <c r="CE3323" s="120"/>
      <c r="CF3323" s="440"/>
      <c r="DA3323" s="114" t="str">
        <f>$DB$67</f>
        <v>Select Equipment</v>
      </c>
      <c r="DB3323" s="449" t="s">
        <v>471</v>
      </c>
      <c r="DC3323" s="120"/>
      <c r="DD3323" s="454"/>
      <c r="DE3323" s="120"/>
      <c r="DF3323" s="440"/>
      <c r="EA3323" s="114" t="str">
        <f>$EB$69</f>
        <v>Select Equipment</v>
      </c>
      <c r="EB3323" s="449" t="s">
        <v>471</v>
      </c>
      <c r="EC3323" s="120"/>
      <c r="ED3323" s="454"/>
      <c r="EE3323" s="120"/>
      <c r="EF3323" s="440"/>
    </row>
    <row r="3324" spans="53:136">
      <c r="BA3324" s="114" t="str">
        <f>$BB$68</f>
        <v>Select Equipment</v>
      </c>
      <c r="BB3324" s="436" t="s">
        <v>577</v>
      </c>
      <c r="BC3324" s="225">
        <f>BC3313*IF(BC3311&gt;1,1,BC3311)</f>
        <v>0</v>
      </c>
      <c r="BD3324" s="446" t="s">
        <v>454</v>
      </c>
      <c r="BE3324" s="120"/>
      <c r="BF3324" s="440"/>
      <c r="CA3324" s="114" t="str">
        <f>$CB$68</f>
        <v>Select Equipment</v>
      </c>
      <c r="CB3324" s="436" t="s">
        <v>577</v>
      </c>
      <c r="CC3324" s="225">
        <f>CC3313*IF(CC3311&gt;1,1,CC3311)</f>
        <v>0</v>
      </c>
      <c r="CD3324" s="446" t="s">
        <v>454</v>
      </c>
      <c r="CE3324" s="120"/>
      <c r="CF3324" s="440"/>
      <c r="DA3324" s="114" t="str">
        <f>$DB$68</f>
        <v>Select Equipment</v>
      </c>
      <c r="DB3324" s="436" t="s">
        <v>577</v>
      </c>
      <c r="DC3324" s="225">
        <f>DC3313*IF(DC3311&gt;1,1,DC3311)</f>
        <v>0</v>
      </c>
      <c r="DD3324" s="446" t="s">
        <v>454</v>
      </c>
      <c r="DE3324" s="120"/>
      <c r="DF3324" s="440"/>
      <c r="EA3324" s="114" t="str">
        <f>$EB$70</f>
        <v>Select Equipment</v>
      </c>
      <c r="EB3324" s="436" t="s">
        <v>577</v>
      </c>
      <c r="EC3324" s="225">
        <f>EC3313*IF(EC3311&gt;1,1,EC3311)</f>
        <v>0</v>
      </c>
      <c r="ED3324" s="446" t="s">
        <v>454</v>
      </c>
      <c r="EE3324" s="120"/>
      <c r="EF3324" s="440"/>
    </row>
    <row r="3325" spans="53:136">
      <c r="BA3325" s="114" t="str">
        <f>$BB$69</f>
        <v>Select Equipment</v>
      </c>
      <c r="BB3325" s="436" t="s">
        <v>578</v>
      </c>
      <c r="BC3325" s="225"/>
      <c r="BD3325" s="446" t="s">
        <v>579</v>
      </c>
      <c r="BE3325" s="120"/>
      <c r="BF3325" s="440"/>
      <c r="CA3325" s="114" t="str">
        <f>$CB$69</f>
        <v>Select Equipment</v>
      </c>
      <c r="CB3325" s="436" t="s">
        <v>578</v>
      </c>
      <c r="CC3325" s="225"/>
      <c r="CD3325" s="446" t="s">
        <v>579</v>
      </c>
      <c r="CE3325" s="120"/>
      <c r="CF3325" s="440"/>
      <c r="DA3325" s="114" t="str">
        <f>$DB$69</f>
        <v>Select Equipment</v>
      </c>
      <c r="DB3325" s="436" t="s">
        <v>578</v>
      </c>
      <c r="DC3325" s="225"/>
      <c r="DD3325" s="446" t="s">
        <v>579</v>
      </c>
      <c r="DE3325" s="120"/>
      <c r="DF3325" s="440"/>
      <c r="EA3325" s="114" t="str">
        <f>$EB$71</f>
        <v>Select Equipment</v>
      </c>
      <c r="EB3325" s="436" t="s">
        <v>578</v>
      </c>
      <c r="EC3325" s="225"/>
      <c r="ED3325" s="446" t="s">
        <v>579</v>
      </c>
      <c r="EE3325" s="120"/>
      <c r="EF3325" s="440"/>
    </row>
    <row r="3326" spans="53:136">
      <c r="BA3326" s="114" t="str">
        <f>$BB$70</f>
        <v>Select Equipment</v>
      </c>
      <c r="BB3326" s="436"/>
      <c r="BC3326" s="120"/>
      <c r="BD3326" s="446"/>
      <c r="BE3326" s="120"/>
      <c r="BF3326" s="440"/>
      <c r="CA3326" s="114" t="str">
        <f>$CB$70</f>
        <v>Select Equipment</v>
      </c>
      <c r="CB3326" s="436"/>
      <c r="CC3326" s="120"/>
      <c r="CD3326" s="446"/>
      <c r="CE3326" s="120"/>
      <c r="CF3326" s="440"/>
      <c r="DA3326" s="114" t="str">
        <f>$DB$70</f>
        <v>Select Equipment</v>
      </c>
      <c r="DB3326" s="436"/>
      <c r="DC3326" s="120"/>
      <c r="DD3326" s="446"/>
      <c r="DE3326" s="120"/>
      <c r="DF3326" s="440"/>
      <c r="EA3326" s="114" t="str">
        <f>$EB$72</f>
        <v>Select Equipment</v>
      </c>
      <c r="EB3326" s="436"/>
      <c r="EC3326" s="120"/>
      <c r="ED3326" s="446"/>
      <c r="EE3326" s="120"/>
      <c r="EF3326" s="440"/>
    </row>
    <row r="3327" spans="53:136">
      <c r="BA3327" s="114" t="str">
        <f>$BB$71</f>
        <v>Select Equipment</v>
      </c>
      <c r="BB3327" s="436" t="s">
        <v>8</v>
      </c>
      <c r="BC3327" s="120"/>
      <c r="BD3327" s="459" t="s">
        <v>564</v>
      </c>
      <c r="BE3327" s="120"/>
      <c r="BF3327" s="440"/>
      <c r="CA3327" s="114" t="str">
        <f>$CB$71</f>
        <v>Select Equipment</v>
      </c>
      <c r="CB3327" s="436" t="s">
        <v>8</v>
      </c>
      <c r="CC3327" s="120"/>
      <c r="CD3327" s="459" t="s">
        <v>564</v>
      </c>
      <c r="CE3327" s="120"/>
      <c r="CF3327" s="440"/>
      <c r="DA3327" s="114" t="str">
        <f>$DB$71</f>
        <v>Select Equipment</v>
      </c>
      <c r="DB3327" s="436" t="s">
        <v>8</v>
      </c>
      <c r="DC3327" s="120"/>
      <c r="DD3327" s="459" t="s">
        <v>564</v>
      </c>
      <c r="DE3327" s="120"/>
      <c r="DF3327" s="440"/>
      <c r="EA3327" s="114" t="str">
        <f>$EB$73</f>
        <v>Select Equipment</v>
      </c>
      <c r="EB3327" s="436" t="s">
        <v>8</v>
      </c>
      <c r="EC3327" s="120"/>
      <c r="ED3327" s="459" t="s">
        <v>564</v>
      </c>
      <c r="EE3327" s="120"/>
      <c r="EF3327" s="440"/>
    </row>
    <row r="3328" spans="53:136">
      <c r="BA3328" s="114" t="str">
        <f>$BB$72</f>
        <v>Select Equipment</v>
      </c>
      <c r="BB3328" s="436"/>
      <c r="BC3328" s="120"/>
      <c r="BD3328" s="459"/>
      <c r="BE3328" s="120"/>
      <c r="BF3328" s="440"/>
      <c r="CA3328" s="114" t="str">
        <f>$CB$72</f>
        <v>Select Equipment</v>
      </c>
      <c r="CB3328" s="436"/>
      <c r="CC3328" s="120"/>
      <c r="CD3328" s="459"/>
      <c r="CE3328" s="120"/>
      <c r="CF3328" s="440"/>
      <c r="DA3328" s="114" t="str">
        <f>$DB$72</f>
        <v>Select Equipment</v>
      </c>
      <c r="DB3328" s="436"/>
      <c r="DC3328" s="120"/>
      <c r="DD3328" s="459"/>
      <c r="DE3328" s="120"/>
      <c r="DF3328" s="440"/>
      <c r="EA3328" s="114" t="str">
        <f>$EB$74</f>
        <v>Select Equipment</v>
      </c>
      <c r="EB3328" s="436"/>
      <c r="EC3328" s="120"/>
      <c r="ED3328" s="459"/>
      <c r="EE3328" s="120"/>
      <c r="EF3328" s="440"/>
    </row>
    <row r="3329" spans="53:136">
      <c r="BA3329" s="114" t="str">
        <f>$BB$73</f>
        <v>Select Equipment</v>
      </c>
      <c r="BB3329" s="436" t="s">
        <v>7</v>
      </c>
      <c r="BC3329" s="120"/>
      <c r="BD3329" s="459" t="s">
        <v>564</v>
      </c>
      <c r="BE3329" s="120"/>
      <c r="BF3329" s="440"/>
      <c r="CA3329" s="114" t="str">
        <f>$CB$73</f>
        <v>Select Equipment</v>
      </c>
      <c r="CB3329" s="436" t="s">
        <v>7</v>
      </c>
      <c r="CC3329" s="120"/>
      <c r="CD3329" s="459" t="s">
        <v>564</v>
      </c>
      <c r="CE3329" s="120"/>
      <c r="CF3329" s="440"/>
      <c r="DA3329" s="114" t="str">
        <f>$DB$73</f>
        <v>Select Equipment</v>
      </c>
      <c r="DB3329" s="436" t="s">
        <v>7</v>
      </c>
      <c r="DC3329" s="120"/>
      <c r="DD3329" s="459" t="s">
        <v>564</v>
      </c>
      <c r="DE3329" s="120"/>
      <c r="DF3329" s="440"/>
      <c r="EA3329" s="114" t="str">
        <f>$EB$75</f>
        <v>Select Equipment</v>
      </c>
      <c r="EB3329" s="436" t="s">
        <v>7</v>
      </c>
      <c r="EC3329" s="120"/>
      <c r="ED3329" s="459" t="s">
        <v>564</v>
      </c>
      <c r="EE3329" s="120"/>
      <c r="EF3329" s="440"/>
    </row>
    <row r="3330" spans="53:136">
      <c r="BA3330" s="114" t="str">
        <f>$BB$74</f>
        <v>Select Equipment</v>
      </c>
      <c r="BB3330" s="436"/>
      <c r="BC3330" s="120"/>
      <c r="BD3330" s="459"/>
      <c r="BE3330" s="120"/>
      <c r="BF3330" s="440"/>
      <c r="CA3330" s="114" t="str">
        <f>$CB$74</f>
        <v>Select Equipment</v>
      </c>
      <c r="CB3330" s="436"/>
      <c r="CC3330" s="120"/>
      <c r="CD3330" s="459"/>
      <c r="CE3330" s="120"/>
      <c r="CF3330" s="440"/>
      <c r="DA3330" s="114" t="str">
        <f>$DB$74</f>
        <v>Select Equipment</v>
      </c>
      <c r="DB3330" s="436"/>
      <c r="DC3330" s="120"/>
      <c r="DD3330" s="459"/>
      <c r="DE3330" s="120"/>
      <c r="DF3330" s="440"/>
      <c r="EA3330" s="114" t="str">
        <f>$EB$76</f>
        <v>Select Equipment</v>
      </c>
      <c r="EB3330" s="436"/>
      <c r="EC3330" s="120"/>
      <c r="ED3330" s="459"/>
      <c r="EE3330" s="120"/>
      <c r="EF3330" s="440"/>
    </row>
    <row r="3331" spans="53:136">
      <c r="BA3331" s="114" t="str">
        <f>$BB$75</f>
        <v>Select Equipment</v>
      </c>
      <c r="BB3331" s="436" t="s">
        <v>9</v>
      </c>
      <c r="BC3331" s="120"/>
      <c r="BD3331" s="459" t="s">
        <v>564</v>
      </c>
      <c r="BE3331" s="120"/>
      <c r="BF3331" s="440"/>
      <c r="CA3331" s="114" t="str">
        <f>$CB$75</f>
        <v>Select Equipment</v>
      </c>
      <c r="CB3331" s="436" t="s">
        <v>9</v>
      </c>
      <c r="CC3331" s="120"/>
      <c r="CD3331" s="459" t="s">
        <v>564</v>
      </c>
      <c r="CE3331" s="120"/>
      <c r="CF3331" s="440"/>
      <c r="DA3331" s="114" t="str">
        <f>$DB$75</f>
        <v>Select Equipment</v>
      </c>
      <c r="DB3331" s="436" t="s">
        <v>9</v>
      </c>
      <c r="DC3331" s="120"/>
      <c r="DD3331" s="459" t="s">
        <v>564</v>
      </c>
      <c r="DE3331" s="120"/>
      <c r="DF3331" s="440"/>
      <c r="EA3331" s="114" t="str">
        <f>$EB$77</f>
        <v>Select Equipment</v>
      </c>
      <c r="EB3331" s="436" t="s">
        <v>9</v>
      </c>
      <c r="EC3331" s="120"/>
      <c r="ED3331" s="459" t="s">
        <v>564</v>
      </c>
      <c r="EE3331" s="120"/>
      <c r="EF3331" s="440"/>
    </row>
    <row r="3332" spans="53:136">
      <c r="BA3332" s="114" t="str">
        <f>$BB$76</f>
        <v>Select Equipment</v>
      </c>
      <c r="BB3332" s="436"/>
      <c r="BC3332" s="120"/>
      <c r="BD3332" s="459"/>
      <c r="BE3332" s="120"/>
      <c r="BF3332" s="440"/>
      <c r="CA3332" s="114" t="str">
        <f>$CB$76</f>
        <v>Select Equipment</v>
      </c>
      <c r="CB3332" s="436"/>
      <c r="CC3332" s="120"/>
      <c r="CD3332" s="459"/>
      <c r="CE3332" s="120"/>
      <c r="CF3332" s="440"/>
      <c r="DA3332" s="114" t="str">
        <f>$DB$76</f>
        <v>Select Equipment</v>
      </c>
      <c r="DB3332" s="436"/>
      <c r="DC3332" s="120"/>
      <c r="DD3332" s="459"/>
      <c r="DE3332" s="120"/>
      <c r="DF3332" s="440"/>
      <c r="EA3332" s="114" t="str">
        <f>$EB$78</f>
        <v>Select Equipment</v>
      </c>
      <c r="EB3332" s="436"/>
      <c r="EC3332" s="120"/>
      <c r="ED3332" s="459"/>
      <c r="EE3332" s="120"/>
      <c r="EF3332" s="440"/>
    </row>
    <row r="3333" spans="53:136">
      <c r="BA3333" s="114" t="str">
        <f>$BB$77</f>
        <v>Select Equipment</v>
      </c>
      <c r="BB3333" s="436" t="s">
        <v>324</v>
      </c>
      <c r="BC3333" s="120"/>
      <c r="BD3333" s="459" t="s">
        <v>564</v>
      </c>
      <c r="BE3333" s="120"/>
      <c r="BF3333" s="440" t="s">
        <v>569</v>
      </c>
      <c r="CA3333" s="114" t="str">
        <f>$CB$77</f>
        <v>Select Equipment</v>
      </c>
      <c r="CB3333" s="436" t="s">
        <v>324</v>
      </c>
      <c r="CC3333" s="120"/>
      <c r="CD3333" s="459" t="s">
        <v>564</v>
      </c>
      <c r="CE3333" s="120"/>
      <c r="CF3333" s="440" t="s">
        <v>569</v>
      </c>
      <c r="DA3333" s="114" t="str">
        <f>$DB$77</f>
        <v>Select Equipment</v>
      </c>
      <c r="DB3333" s="436" t="s">
        <v>324</v>
      </c>
      <c r="DC3333" s="120"/>
      <c r="DD3333" s="459" t="s">
        <v>564</v>
      </c>
      <c r="DE3333" s="120"/>
      <c r="DF3333" s="440" t="s">
        <v>569</v>
      </c>
      <c r="EA3333" s="114" t="str">
        <f>$EB$79</f>
        <v>Select Equipment</v>
      </c>
      <c r="EB3333" s="436" t="s">
        <v>324</v>
      </c>
      <c r="EC3333" s="120"/>
      <c r="ED3333" s="459" t="s">
        <v>564</v>
      </c>
      <c r="EE3333" s="120"/>
      <c r="EF3333" s="440" t="s">
        <v>569</v>
      </c>
    </row>
    <row r="3334" spans="53:136">
      <c r="BA3334" s="114" t="str">
        <f>$BB$78</f>
        <v>Select Equipment</v>
      </c>
      <c r="BB3334" s="436"/>
      <c r="BC3334" s="120"/>
      <c r="BD3334" s="468"/>
      <c r="BE3334" s="469"/>
      <c r="BF3334" s="440"/>
      <c r="CA3334" s="114" t="str">
        <f>$CB$78</f>
        <v>Select Equipment</v>
      </c>
      <c r="CB3334" s="436"/>
      <c r="CC3334" s="120"/>
      <c r="CD3334" s="468"/>
      <c r="CE3334" s="469"/>
      <c r="CF3334" s="440"/>
      <c r="DA3334" s="114" t="str">
        <f>$DB$78</f>
        <v>Select Equipment</v>
      </c>
      <c r="DB3334" s="436"/>
      <c r="DC3334" s="120"/>
      <c r="DD3334" s="468"/>
      <c r="DE3334" s="469"/>
      <c r="DF3334" s="440"/>
      <c r="EA3334" s="114" t="str">
        <f>$EB$80</f>
        <v>Select Equipment</v>
      </c>
      <c r="EB3334" s="436"/>
      <c r="EC3334" s="120"/>
      <c r="ED3334" s="468"/>
      <c r="EE3334" s="469"/>
      <c r="EF3334" s="440"/>
    </row>
    <row r="3335" spans="53:136">
      <c r="BA3335" s="114" t="str">
        <f>$BB$79</f>
        <v>Select Equipment</v>
      </c>
      <c r="BB3335" s="436" t="s">
        <v>374</v>
      </c>
      <c r="BC3335" s="120"/>
      <c r="BD3335" s="459" t="s">
        <v>564</v>
      </c>
      <c r="BE3335" s="469"/>
      <c r="BF3335" s="440" t="s">
        <v>569</v>
      </c>
      <c r="CA3335" s="114" t="str">
        <f>$CB$79</f>
        <v>Select Equipment</v>
      </c>
      <c r="CB3335" s="436" t="s">
        <v>374</v>
      </c>
      <c r="CC3335" s="120"/>
      <c r="CD3335" s="459" t="s">
        <v>564</v>
      </c>
      <c r="CE3335" s="469"/>
      <c r="CF3335" s="440" t="s">
        <v>569</v>
      </c>
      <c r="DA3335" s="114" t="str">
        <f>$DB$79</f>
        <v>Select Equipment</v>
      </c>
      <c r="DB3335" s="436" t="s">
        <v>374</v>
      </c>
      <c r="DC3335" s="120"/>
      <c r="DD3335" s="459" t="s">
        <v>564</v>
      </c>
      <c r="DE3335" s="469"/>
      <c r="DF3335" s="440" t="s">
        <v>569</v>
      </c>
      <c r="EA3335" s="114" t="str">
        <f>$EB$81</f>
        <v>Select Equipment</v>
      </c>
      <c r="EB3335" s="436" t="s">
        <v>374</v>
      </c>
      <c r="EC3335" s="120"/>
      <c r="ED3335" s="459" t="s">
        <v>564</v>
      </c>
      <c r="EE3335" s="469"/>
      <c r="EF3335" s="440" t="s">
        <v>569</v>
      </c>
    </row>
    <row r="3336" spans="53:136">
      <c r="BA3336" s="114" t="str">
        <f>$BB$80</f>
        <v>Select Equipment</v>
      </c>
      <c r="BB3336" s="436"/>
      <c r="BC3336" s="120"/>
      <c r="BD3336" s="472"/>
      <c r="BE3336" s="473"/>
      <c r="BF3336" s="440"/>
      <c r="CA3336" s="114" t="str">
        <f>$CB$80</f>
        <v>Select Equipment</v>
      </c>
      <c r="CB3336" s="436"/>
      <c r="CC3336" s="120"/>
      <c r="CD3336" s="472"/>
      <c r="CE3336" s="473"/>
      <c r="CF3336" s="440"/>
      <c r="DA3336" s="114" t="str">
        <f>$DB$80</f>
        <v>Select Equipment</v>
      </c>
      <c r="DB3336" s="436"/>
      <c r="DC3336" s="120"/>
      <c r="DD3336" s="472"/>
      <c r="DE3336" s="473"/>
      <c r="DF3336" s="440"/>
      <c r="EA3336" s="114" t="str">
        <f>$EB$82</f>
        <v>Select Equipment</v>
      </c>
      <c r="EB3336" s="436"/>
      <c r="EC3336" s="120"/>
      <c r="ED3336" s="472"/>
      <c r="EE3336" s="473"/>
      <c r="EF3336" s="440"/>
    </row>
    <row r="3337" spans="53:136">
      <c r="BA3337" s="114" t="str">
        <f>$BB$81</f>
        <v>Select Equipment</v>
      </c>
      <c r="BB3337" s="436" t="s">
        <v>580</v>
      </c>
      <c r="BC3337" s="120"/>
      <c r="BD3337" s="459" t="s">
        <v>564</v>
      </c>
      <c r="BE3337" s="473"/>
      <c r="BF3337" s="440" t="s">
        <v>569</v>
      </c>
      <c r="CA3337" s="114" t="str">
        <f>$CB$81</f>
        <v>Select Equipment</v>
      </c>
      <c r="CB3337" s="436" t="s">
        <v>580</v>
      </c>
      <c r="CC3337" s="120"/>
      <c r="CD3337" s="459" t="s">
        <v>564</v>
      </c>
      <c r="CE3337" s="473"/>
      <c r="CF3337" s="440" t="s">
        <v>569</v>
      </c>
      <c r="DA3337" s="114" t="str">
        <f>$DB$81</f>
        <v>Select Equipment</v>
      </c>
      <c r="DB3337" s="436" t="s">
        <v>580</v>
      </c>
      <c r="DC3337" s="120"/>
      <c r="DD3337" s="459" t="s">
        <v>564</v>
      </c>
      <c r="DE3337" s="473"/>
      <c r="DF3337" s="440" t="s">
        <v>569</v>
      </c>
      <c r="EA3337" s="114" t="str">
        <f>$EB$83</f>
        <v>Select Equipment</v>
      </c>
      <c r="EB3337" s="436" t="s">
        <v>580</v>
      </c>
      <c r="EC3337" s="120"/>
      <c r="ED3337" s="459" t="s">
        <v>564</v>
      </c>
      <c r="EE3337" s="473"/>
      <c r="EF3337" s="440" t="s">
        <v>569</v>
      </c>
    </row>
    <row r="3338" spans="53:136">
      <c r="BA3338" s="114" t="str">
        <f>$BB$82</f>
        <v>Select Equipment</v>
      </c>
      <c r="BB3338" s="476"/>
      <c r="BC3338" s="477"/>
      <c r="BD3338" s="478"/>
      <c r="BE3338" s="479"/>
      <c r="BF3338" s="458"/>
      <c r="CA3338" s="114" t="str">
        <f>$CB$82</f>
        <v>Select Equipment</v>
      </c>
      <c r="CB3338" s="476"/>
      <c r="CC3338" s="477"/>
      <c r="CD3338" s="478"/>
      <c r="CE3338" s="479"/>
      <c r="CF3338" s="458"/>
      <c r="DA3338" s="114" t="str">
        <f>$DB$82</f>
        <v>Select Equipment</v>
      </c>
      <c r="DB3338" s="476"/>
      <c r="DC3338" s="477"/>
      <c r="DD3338" s="478"/>
      <c r="DE3338" s="479"/>
      <c r="DF3338" s="458"/>
      <c r="EA3338" s="114" t="str">
        <f>$EB$84</f>
        <v>Select Equipment</v>
      </c>
      <c r="EB3338" s="476"/>
      <c r="EC3338" s="477"/>
      <c r="ED3338" s="478"/>
      <c r="EE3338" s="479"/>
      <c r="EF3338" s="458"/>
    </row>
    <row r="3339" spans="53:136">
      <c r="BA3339" s="114" t="str">
        <f>$BB$83</f>
        <v>Select Equipment</v>
      </c>
      <c r="BB3339" s="449" t="s">
        <v>473</v>
      </c>
      <c r="BC3339" s="467" t="s">
        <v>508</v>
      </c>
      <c r="BD3339" s="480"/>
      <c r="BE3339" s="481" t="s">
        <v>308</v>
      </c>
      <c r="BF3339" s="440"/>
      <c r="CA3339" s="114" t="str">
        <f>$CB$83</f>
        <v>Select Equipment</v>
      </c>
      <c r="CB3339" s="449" t="s">
        <v>473</v>
      </c>
      <c r="CC3339" s="467" t="s">
        <v>508</v>
      </c>
      <c r="CD3339" s="480"/>
      <c r="CE3339" s="481" t="s">
        <v>308</v>
      </c>
      <c r="CF3339" s="440"/>
      <c r="DA3339" s="114" t="str">
        <f>$DB$83</f>
        <v>Select Equipment</v>
      </c>
      <c r="DB3339" s="449" t="s">
        <v>473</v>
      </c>
      <c r="DC3339" s="467" t="s">
        <v>508</v>
      </c>
      <c r="DD3339" s="480"/>
      <c r="DE3339" s="481" t="s">
        <v>308</v>
      </c>
      <c r="DF3339" s="440"/>
      <c r="EA3339" s="114" t="str">
        <f>$EB$85</f>
        <v>Select Equipment</v>
      </c>
      <c r="EB3339" s="449" t="s">
        <v>473</v>
      </c>
      <c r="EC3339" s="467" t="s">
        <v>508</v>
      </c>
      <c r="ED3339" s="480"/>
      <c r="EE3339" s="481" t="s">
        <v>308</v>
      </c>
      <c r="EF3339" s="440"/>
    </row>
    <row r="3340" spans="53:136">
      <c r="BB3340" s="436"/>
      <c r="BC3340" s="483"/>
      <c r="BD3340" s="480"/>
      <c r="BE3340" s="484"/>
      <c r="BF3340" s="440"/>
      <c r="CB3340" s="436"/>
      <c r="CC3340" s="483"/>
      <c r="CD3340" s="480"/>
      <c r="CE3340" s="484"/>
      <c r="CF3340" s="440"/>
      <c r="DB3340" s="436"/>
      <c r="DC3340" s="483"/>
      <c r="DD3340" s="480"/>
      <c r="DE3340" s="484"/>
      <c r="DF3340" s="440"/>
      <c r="EB3340" s="436"/>
      <c r="EC3340" s="483"/>
      <c r="ED3340" s="480"/>
      <c r="EE3340" s="484"/>
      <c r="EF3340" s="440"/>
    </row>
    <row r="3341" spans="53:136">
      <c r="BB3341" s="436"/>
      <c r="BC3341" s="120"/>
      <c r="BD3341" s="223"/>
      <c r="BE3341" s="467"/>
      <c r="BF3341" s="440"/>
      <c r="CB3341" s="436"/>
      <c r="CC3341" s="120"/>
      <c r="CD3341" s="223"/>
      <c r="CE3341" s="467"/>
      <c r="CF3341" s="440"/>
      <c r="DB3341" s="436"/>
      <c r="DC3341" s="120"/>
      <c r="DD3341" s="223"/>
      <c r="DE3341" s="467"/>
      <c r="DF3341" s="440"/>
      <c r="EB3341" s="436"/>
      <c r="EC3341" s="120"/>
      <c r="ED3341" s="223"/>
      <c r="EE3341" s="467"/>
      <c r="EF3341" s="440"/>
    </row>
    <row r="3342" spans="53:136">
      <c r="BB3342" s="436"/>
      <c r="BC3342" s="120"/>
      <c r="BD3342" s="466"/>
      <c r="BE3342" s="467"/>
      <c r="BF3342" s="440"/>
      <c r="CB3342" s="436"/>
      <c r="CC3342" s="120"/>
      <c r="CD3342" s="466"/>
      <c r="CE3342" s="467"/>
      <c r="CF3342" s="440"/>
      <c r="DB3342" s="436"/>
      <c r="DC3342" s="120"/>
      <c r="DD3342" s="466"/>
      <c r="DE3342" s="467"/>
      <c r="DF3342" s="440"/>
      <c r="EB3342" s="436"/>
      <c r="EC3342" s="120"/>
      <c r="ED3342" s="466"/>
      <c r="EE3342" s="467"/>
      <c r="EF3342" s="440"/>
    </row>
    <row r="3343" spans="53:136">
      <c r="BB3343" s="436"/>
      <c r="BC3343" s="120"/>
      <c r="BD3343" s="223"/>
      <c r="BE3343" s="467"/>
      <c r="BF3343" s="440"/>
      <c r="CB3343" s="436"/>
      <c r="CC3343" s="120"/>
      <c r="CD3343" s="223"/>
      <c r="CE3343" s="467"/>
      <c r="CF3343" s="440"/>
      <c r="DB3343" s="436"/>
      <c r="DC3343" s="120"/>
      <c r="DD3343" s="223"/>
      <c r="DE3343" s="467"/>
      <c r="DF3343" s="440"/>
      <c r="EB3343" s="436"/>
      <c r="EC3343" s="120"/>
      <c r="ED3343" s="223"/>
      <c r="EE3343" s="467"/>
      <c r="EF3343" s="440"/>
    </row>
    <row r="3344" spans="53:136">
      <c r="BB3344" s="436"/>
      <c r="BC3344" s="120"/>
      <c r="BD3344" s="223"/>
      <c r="BE3344" s="467"/>
      <c r="BF3344" s="440"/>
      <c r="CB3344" s="436"/>
      <c r="CC3344" s="120"/>
      <c r="CD3344" s="223"/>
      <c r="CE3344" s="467"/>
      <c r="CF3344" s="440"/>
      <c r="DB3344" s="436"/>
      <c r="DC3344" s="120"/>
      <c r="DD3344" s="223"/>
      <c r="DE3344" s="467"/>
      <c r="DF3344" s="440"/>
      <c r="EB3344" s="436"/>
      <c r="EC3344" s="120"/>
      <c r="ED3344" s="223"/>
      <c r="EE3344" s="467"/>
      <c r="EF3344" s="440"/>
    </row>
    <row r="3345" spans="54:136">
      <c r="BB3345" s="436"/>
      <c r="BC3345" s="120"/>
      <c r="BD3345" s="471"/>
      <c r="BE3345" s="467"/>
      <c r="BF3345" s="440"/>
      <c r="CB3345" s="436"/>
      <c r="CC3345" s="120"/>
      <c r="CD3345" s="471"/>
      <c r="CE3345" s="467"/>
      <c r="CF3345" s="440"/>
      <c r="DB3345" s="436"/>
      <c r="DC3345" s="120"/>
      <c r="DD3345" s="471"/>
      <c r="DE3345" s="467"/>
      <c r="DF3345" s="440"/>
      <c r="EB3345" s="436"/>
      <c r="EC3345" s="120"/>
      <c r="ED3345" s="471"/>
      <c r="EE3345" s="467"/>
      <c r="EF3345" s="440"/>
    </row>
    <row r="3346" spans="54:136">
      <c r="BB3346" s="436"/>
      <c r="BC3346" s="120"/>
      <c r="BD3346" s="223"/>
      <c r="BE3346" s="467"/>
      <c r="BF3346" s="440"/>
      <c r="CB3346" s="436"/>
      <c r="CC3346" s="120"/>
      <c r="CD3346" s="223"/>
      <c r="CE3346" s="467"/>
      <c r="CF3346" s="440"/>
      <c r="DB3346" s="436"/>
      <c r="DC3346" s="120"/>
      <c r="DD3346" s="223"/>
      <c r="DE3346" s="467"/>
      <c r="DF3346" s="440"/>
      <c r="EB3346" s="436"/>
      <c r="EC3346" s="120"/>
      <c r="ED3346" s="223"/>
      <c r="EE3346" s="467"/>
      <c r="EF3346" s="440"/>
    </row>
    <row r="3347" spans="54:136">
      <c r="BB3347" s="436"/>
      <c r="BC3347" s="120"/>
      <c r="BD3347" s="475"/>
      <c r="BE3347" s="467"/>
      <c r="BF3347" s="440"/>
      <c r="CB3347" s="436"/>
      <c r="CC3347" s="120"/>
      <c r="CD3347" s="475"/>
      <c r="CE3347" s="467"/>
      <c r="CF3347" s="440"/>
      <c r="DB3347" s="436"/>
      <c r="DC3347" s="120"/>
      <c r="DD3347" s="475"/>
      <c r="DE3347" s="467"/>
      <c r="DF3347" s="440"/>
      <c r="EB3347" s="436"/>
      <c r="EC3347" s="120"/>
      <c r="ED3347" s="475"/>
      <c r="EE3347" s="467"/>
      <c r="EF3347" s="440"/>
    </row>
    <row r="3348" spans="54:136">
      <c r="BB3348" s="436"/>
      <c r="BC3348" s="120"/>
      <c r="BD3348" s="223"/>
      <c r="BE3348" s="467"/>
      <c r="BF3348" s="440"/>
      <c r="CB3348" s="436"/>
      <c r="CC3348" s="120"/>
      <c r="CD3348" s="223"/>
      <c r="CE3348" s="467"/>
      <c r="CF3348" s="440"/>
      <c r="DB3348" s="436"/>
      <c r="DC3348" s="120"/>
      <c r="DD3348" s="223"/>
      <c r="DE3348" s="467"/>
      <c r="DF3348" s="440"/>
      <c r="EB3348" s="436"/>
      <c r="EC3348" s="120"/>
      <c r="ED3348" s="223"/>
      <c r="EE3348" s="467"/>
      <c r="EF3348" s="440"/>
    </row>
    <row r="3349" spans="54:136">
      <c r="BB3349" s="436"/>
      <c r="BC3349" s="120"/>
      <c r="BD3349" s="223"/>
      <c r="BE3349" s="467"/>
      <c r="BF3349" s="440"/>
      <c r="CB3349" s="436"/>
      <c r="CC3349" s="120"/>
      <c r="CD3349" s="223"/>
      <c r="CE3349" s="467"/>
      <c r="CF3349" s="440"/>
      <c r="DB3349" s="436"/>
      <c r="DC3349" s="120"/>
      <c r="DD3349" s="223"/>
      <c r="DE3349" s="467"/>
      <c r="DF3349" s="440"/>
      <c r="EB3349" s="436"/>
      <c r="EC3349" s="120"/>
      <c r="ED3349" s="223"/>
      <c r="EE3349" s="467"/>
      <c r="EF3349" s="440"/>
    </row>
    <row r="3350" spans="54:136">
      <c r="BB3350" s="436"/>
      <c r="BC3350" s="120"/>
      <c r="BD3350" s="223"/>
      <c r="BE3350" s="467"/>
      <c r="BF3350" s="440"/>
      <c r="CB3350" s="436"/>
      <c r="CC3350" s="120"/>
      <c r="CD3350" s="223"/>
      <c r="CE3350" s="467"/>
      <c r="CF3350" s="440"/>
      <c r="DB3350" s="436"/>
      <c r="DC3350" s="120"/>
      <c r="DD3350" s="223"/>
      <c r="DE3350" s="467"/>
      <c r="DF3350" s="440"/>
      <c r="EB3350" s="436"/>
      <c r="EC3350" s="120"/>
      <c r="ED3350" s="223"/>
      <c r="EE3350" s="467"/>
      <c r="EF3350" s="440"/>
    </row>
    <row r="3351" spans="54:136">
      <c r="BB3351" s="436"/>
      <c r="BC3351" s="120"/>
      <c r="BD3351" s="223"/>
      <c r="BE3351" s="467"/>
      <c r="BF3351" s="440"/>
      <c r="CB3351" s="436"/>
      <c r="CC3351" s="120"/>
      <c r="CD3351" s="223"/>
      <c r="CE3351" s="467"/>
      <c r="CF3351" s="440"/>
      <c r="DB3351" s="436"/>
      <c r="DC3351" s="120"/>
      <c r="DD3351" s="223"/>
      <c r="DE3351" s="467"/>
      <c r="DF3351" s="440"/>
      <c r="EB3351" s="436"/>
      <c r="EC3351" s="120"/>
      <c r="ED3351" s="223"/>
      <c r="EE3351" s="467"/>
      <c r="EF3351" s="440"/>
    </row>
    <row r="3352" spans="54:136">
      <c r="BB3352" s="436"/>
      <c r="BC3352" s="120"/>
      <c r="BD3352" s="120"/>
      <c r="BE3352" s="467"/>
      <c r="BF3352" s="440"/>
      <c r="CB3352" s="436"/>
      <c r="CC3352" s="120"/>
      <c r="CD3352" s="120"/>
      <c r="CE3352" s="467"/>
      <c r="CF3352" s="440"/>
      <c r="DB3352" s="436"/>
      <c r="DC3352" s="120"/>
      <c r="DD3352" s="120"/>
      <c r="DE3352" s="467"/>
      <c r="DF3352" s="440"/>
      <c r="EB3352" s="436"/>
      <c r="EC3352" s="120"/>
      <c r="ED3352" s="120"/>
      <c r="EE3352" s="467"/>
      <c r="EF3352" s="440"/>
    </row>
    <row r="3353" spans="54:136">
      <c r="BB3353" s="456"/>
      <c r="BC3353" s="457"/>
      <c r="BD3353" s="457"/>
      <c r="BE3353" s="477"/>
      <c r="BF3353" s="458"/>
      <c r="CB3353" s="456"/>
      <c r="CC3353" s="457"/>
      <c r="CD3353" s="457"/>
      <c r="CE3353" s="477"/>
      <c r="CF3353" s="458"/>
      <c r="DB3353" s="456"/>
      <c r="DC3353" s="457"/>
      <c r="DD3353" s="457"/>
      <c r="DE3353" s="477"/>
      <c r="DF3353" s="458"/>
      <c r="EB3353" s="456"/>
      <c r="EC3353" s="457"/>
      <c r="ED3353" s="457"/>
      <c r="EE3353" s="477"/>
      <c r="EF3353" s="458"/>
    </row>
    <row r="3354" spans="54:136">
      <c r="BB3354" s="449" t="s">
        <v>474</v>
      </c>
      <c r="BC3354" s="120"/>
      <c r="BD3354" s="120" t="s">
        <v>1</v>
      </c>
      <c r="BE3354" s="310" t="s">
        <v>307</v>
      </c>
      <c r="BF3354" s="440"/>
      <c r="CB3354" s="449" t="s">
        <v>474</v>
      </c>
      <c r="CC3354" s="120"/>
      <c r="CD3354" s="120" t="s">
        <v>1</v>
      </c>
      <c r="CE3354" s="310" t="s">
        <v>307</v>
      </c>
      <c r="CF3354" s="440"/>
      <c r="DB3354" s="449" t="s">
        <v>474</v>
      </c>
      <c r="DC3354" s="120"/>
      <c r="DD3354" s="120" t="s">
        <v>1</v>
      </c>
      <c r="DE3354" s="310" t="s">
        <v>307</v>
      </c>
      <c r="DF3354" s="440"/>
      <c r="EB3354" s="449" t="s">
        <v>474</v>
      </c>
      <c r="EC3354" s="120"/>
      <c r="ED3354" s="120" t="s">
        <v>1</v>
      </c>
      <c r="EE3354" s="310" t="s">
        <v>307</v>
      </c>
      <c r="EF3354" s="440"/>
    </row>
    <row r="3355" spans="54:136">
      <c r="BB3355" s="436"/>
      <c r="BC3355" s="223"/>
      <c r="BD3355" s="480"/>
      <c r="BE3355" s="484"/>
      <c r="BF3355" s="440"/>
      <c r="CB3355" s="436"/>
      <c r="CC3355" s="223"/>
      <c r="CD3355" s="480"/>
      <c r="CE3355" s="484"/>
      <c r="CF3355" s="440"/>
      <c r="DB3355" s="436"/>
      <c r="DC3355" s="223"/>
      <c r="DD3355" s="480"/>
      <c r="DE3355" s="484"/>
      <c r="DF3355" s="440"/>
      <c r="EB3355" s="436"/>
      <c r="EC3355" s="223"/>
      <c r="ED3355" s="480"/>
      <c r="EE3355" s="484"/>
      <c r="EF3355" s="440"/>
    </row>
    <row r="3356" spans="54:136">
      <c r="BB3356" s="436"/>
      <c r="BC3356" s="120"/>
      <c r="BD3356" s="120"/>
      <c r="BE3356" s="467"/>
      <c r="BF3356" s="440"/>
      <c r="CB3356" s="436"/>
      <c r="CC3356" s="120"/>
      <c r="CD3356" s="120"/>
      <c r="CE3356" s="467"/>
      <c r="CF3356" s="440"/>
      <c r="DB3356" s="436"/>
      <c r="DC3356" s="120"/>
      <c r="DD3356" s="120"/>
      <c r="DE3356" s="467"/>
      <c r="DF3356" s="440"/>
      <c r="EB3356" s="436"/>
      <c r="EC3356" s="120"/>
      <c r="ED3356" s="120"/>
      <c r="EE3356" s="467"/>
      <c r="EF3356" s="440"/>
    </row>
    <row r="3357" spans="54:136">
      <c r="BB3357" s="436"/>
      <c r="BC3357" s="120"/>
      <c r="BD3357" s="120"/>
      <c r="BE3357" s="467"/>
      <c r="BF3357" s="440"/>
      <c r="CB3357" s="436"/>
      <c r="CC3357" s="120"/>
      <c r="CD3357" s="120"/>
      <c r="CE3357" s="467"/>
      <c r="CF3357" s="440"/>
      <c r="DB3357" s="436"/>
      <c r="DC3357" s="120"/>
      <c r="DD3357" s="120"/>
      <c r="DE3357" s="467"/>
      <c r="DF3357" s="440"/>
      <c r="EB3357" s="436"/>
      <c r="EC3357" s="120"/>
      <c r="ED3357" s="120"/>
      <c r="EE3357" s="467"/>
      <c r="EF3357" s="440"/>
    </row>
    <row r="3358" spans="54:136">
      <c r="BB3358" s="436"/>
      <c r="BC3358" s="120"/>
      <c r="BD3358" s="120"/>
      <c r="BE3358" s="467"/>
      <c r="BF3358" s="440"/>
      <c r="CB3358" s="436"/>
      <c r="CC3358" s="120"/>
      <c r="CD3358" s="120"/>
      <c r="CE3358" s="467"/>
      <c r="CF3358" s="440"/>
      <c r="DB3358" s="436"/>
      <c r="DC3358" s="120"/>
      <c r="DD3358" s="120"/>
      <c r="DE3358" s="467"/>
      <c r="DF3358" s="440"/>
      <c r="EB3358" s="436"/>
      <c r="EC3358" s="120"/>
      <c r="ED3358" s="120"/>
      <c r="EE3358" s="467"/>
      <c r="EF3358" s="440"/>
    </row>
    <row r="3359" spans="54:136">
      <c r="BB3359" s="436"/>
      <c r="BC3359" s="120"/>
      <c r="BD3359" s="120"/>
      <c r="BE3359" s="467"/>
      <c r="BF3359" s="440"/>
      <c r="CB3359" s="436"/>
      <c r="CC3359" s="120"/>
      <c r="CD3359" s="120"/>
      <c r="CE3359" s="467"/>
      <c r="CF3359" s="440"/>
      <c r="DB3359" s="436"/>
      <c r="DC3359" s="120"/>
      <c r="DD3359" s="120"/>
      <c r="DE3359" s="467"/>
      <c r="DF3359" s="440"/>
      <c r="EB3359" s="436"/>
      <c r="EC3359" s="120"/>
      <c r="ED3359" s="120"/>
      <c r="EE3359" s="467"/>
      <c r="EF3359" s="440"/>
    </row>
    <row r="3360" spans="54:136">
      <c r="BB3360" s="436"/>
      <c r="BC3360" s="120"/>
      <c r="BD3360" s="120"/>
      <c r="BE3360" s="467"/>
      <c r="BF3360" s="440"/>
      <c r="CB3360" s="436"/>
      <c r="CC3360" s="120"/>
      <c r="CD3360" s="120"/>
      <c r="CE3360" s="467"/>
      <c r="CF3360" s="440"/>
      <c r="DB3360" s="436"/>
      <c r="DC3360" s="120"/>
      <c r="DD3360" s="120"/>
      <c r="DE3360" s="467"/>
      <c r="DF3360" s="440"/>
      <c r="EB3360" s="436"/>
      <c r="EC3360" s="120"/>
      <c r="ED3360" s="120"/>
      <c r="EE3360" s="467"/>
      <c r="EF3360" s="440"/>
    </row>
    <row r="3361" spans="54:136">
      <c r="BB3361" s="436"/>
      <c r="BC3361" s="120"/>
      <c r="BD3361" s="120"/>
      <c r="BE3361" s="467"/>
      <c r="BF3361" s="440"/>
      <c r="CB3361" s="436"/>
      <c r="CC3361" s="120"/>
      <c r="CD3361" s="120"/>
      <c r="CE3361" s="467"/>
      <c r="CF3361" s="440"/>
      <c r="DB3361" s="436"/>
      <c r="DC3361" s="120"/>
      <c r="DD3361" s="120"/>
      <c r="DE3361" s="467"/>
      <c r="DF3361" s="440"/>
      <c r="EB3361" s="436"/>
      <c r="EC3361" s="120"/>
      <c r="ED3361" s="120"/>
      <c r="EE3361" s="467"/>
      <c r="EF3361" s="440"/>
    </row>
    <row r="3362" spans="54:136">
      <c r="BB3362" s="436"/>
      <c r="BC3362" s="120"/>
      <c r="BD3362" s="120"/>
      <c r="BE3362" s="467"/>
      <c r="BF3362" s="440"/>
      <c r="CB3362" s="436"/>
      <c r="CC3362" s="120"/>
      <c r="CD3362" s="120"/>
      <c r="CE3362" s="467"/>
      <c r="CF3362" s="440"/>
      <c r="DB3362" s="436"/>
      <c r="DC3362" s="120"/>
      <c r="DD3362" s="120"/>
      <c r="DE3362" s="467"/>
      <c r="DF3362" s="440"/>
      <c r="EB3362" s="436"/>
      <c r="EC3362" s="120"/>
      <c r="ED3362" s="120"/>
      <c r="EE3362" s="467"/>
      <c r="EF3362" s="440"/>
    </row>
    <row r="3363" spans="54:136">
      <c r="BB3363" s="436"/>
      <c r="BC3363" s="120"/>
      <c r="BD3363" s="120"/>
      <c r="BE3363" s="467"/>
      <c r="BF3363" s="440"/>
      <c r="CB3363" s="436"/>
      <c r="CC3363" s="120"/>
      <c r="CD3363" s="120"/>
      <c r="CE3363" s="467"/>
      <c r="CF3363" s="440"/>
      <c r="DB3363" s="436"/>
      <c r="DC3363" s="120"/>
      <c r="DD3363" s="120"/>
      <c r="DE3363" s="467"/>
      <c r="DF3363" s="440"/>
      <c r="EB3363" s="436"/>
      <c r="EC3363" s="120"/>
      <c r="ED3363" s="120"/>
      <c r="EE3363" s="467"/>
      <c r="EF3363" s="440"/>
    </row>
    <row r="3364" spans="54:136">
      <c r="BB3364" s="436"/>
      <c r="BC3364" s="120"/>
      <c r="BD3364" s="120"/>
      <c r="BE3364" s="467"/>
      <c r="BF3364" s="440"/>
      <c r="CB3364" s="436"/>
      <c r="CC3364" s="120"/>
      <c r="CD3364" s="120"/>
      <c r="CE3364" s="467"/>
      <c r="CF3364" s="440"/>
      <c r="DB3364" s="436"/>
      <c r="DC3364" s="120"/>
      <c r="DD3364" s="120"/>
      <c r="DE3364" s="467"/>
      <c r="DF3364" s="440"/>
      <c r="EB3364" s="436"/>
      <c r="EC3364" s="120"/>
      <c r="ED3364" s="120"/>
      <c r="EE3364" s="467"/>
      <c r="EF3364" s="440"/>
    </row>
    <row r="3365" spans="54:136">
      <c r="BB3365" s="436"/>
      <c r="BC3365" s="120"/>
      <c r="BD3365" s="120"/>
      <c r="BE3365" s="467"/>
      <c r="BF3365" s="440"/>
      <c r="CB3365" s="436"/>
      <c r="CC3365" s="120"/>
      <c r="CD3365" s="120"/>
      <c r="CE3365" s="467"/>
      <c r="CF3365" s="440"/>
      <c r="DB3365" s="436"/>
      <c r="DC3365" s="120"/>
      <c r="DD3365" s="120"/>
      <c r="DE3365" s="467"/>
      <c r="DF3365" s="440"/>
      <c r="EB3365" s="436"/>
      <c r="EC3365" s="120"/>
      <c r="ED3365" s="120"/>
      <c r="EE3365" s="467"/>
      <c r="EF3365" s="440"/>
    </row>
    <row r="3366" spans="54:136">
      <c r="BB3366" s="436"/>
      <c r="BC3366" s="120"/>
      <c r="BD3366" s="120"/>
      <c r="BE3366" s="467"/>
      <c r="BF3366" s="440"/>
      <c r="CB3366" s="436"/>
      <c r="CC3366" s="120"/>
      <c r="CD3366" s="120"/>
      <c r="CE3366" s="467"/>
      <c r="CF3366" s="440"/>
      <c r="DB3366" s="436"/>
      <c r="DC3366" s="120"/>
      <c r="DD3366" s="120"/>
      <c r="DE3366" s="467"/>
      <c r="DF3366" s="440"/>
      <c r="EB3366" s="436"/>
      <c r="EC3366" s="120"/>
      <c r="ED3366" s="120"/>
      <c r="EE3366" s="467"/>
      <c r="EF3366" s="440"/>
    </row>
    <row r="3367" spans="54:136">
      <c r="BB3367" s="456"/>
      <c r="BC3367" s="457"/>
      <c r="BD3367" s="457"/>
      <c r="BE3367" s="477"/>
      <c r="BF3367" s="458"/>
      <c r="CB3367" s="456"/>
      <c r="CC3367" s="457"/>
      <c r="CD3367" s="457"/>
      <c r="CE3367" s="477"/>
      <c r="CF3367" s="458"/>
      <c r="DB3367" s="456"/>
      <c r="DC3367" s="457"/>
      <c r="DD3367" s="457"/>
      <c r="DE3367" s="477"/>
      <c r="DF3367" s="458"/>
      <c r="EB3367" s="456"/>
      <c r="EC3367" s="457"/>
      <c r="ED3367" s="457"/>
      <c r="EE3367" s="477"/>
      <c r="EF3367" s="458"/>
    </row>
    <row r="3368" spans="54:136">
      <c r="BB3368" s="456"/>
      <c r="BC3368" s="457"/>
      <c r="BD3368" s="457"/>
      <c r="BE3368" s="457"/>
      <c r="BF3368" s="458"/>
      <c r="CB3368" s="456"/>
      <c r="CC3368" s="457"/>
      <c r="CD3368" s="457"/>
      <c r="CE3368" s="457"/>
      <c r="CF3368" s="458"/>
      <c r="DB3368" s="456"/>
      <c r="DC3368" s="457"/>
      <c r="DD3368" s="457"/>
      <c r="DE3368" s="457"/>
      <c r="DF3368" s="458"/>
      <c r="EB3368" s="456"/>
      <c r="EC3368" s="457"/>
      <c r="ED3368" s="457"/>
      <c r="EE3368" s="457"/>
      <c r="EF3368" s="458"/>
    </row>
    <row r="3369" spans="54:136">
      <c r="BB3369" s="449" t="s">
        <v>475</v>
      </c>
      <c r="BC3369" s="120"/>
      <c r="BD3369" s="120"/>
      <c r="BE3369" s="120"/>
      <c r="BF3369" s="440"/>
      <c r="CB3369" s="449" t="s">
        <v>475</v>
      </c>
      <c r="CC3369" s="120"/>
      <c r="CD3369" s="120"/>
      <c r="CE3369" s="120"/>
      <c r="CF3369" s="440"/>
      <c r="DB3369" s="449" t="s">
        <v>475</v>
      </c>
      <c r="DC3369" s="120"/>
      <c r="DD3369" s="120"/>
      <c r="DE3369" s="120"/>
      <c r="DF3369" s="440"/>
      <c r="EB3369" s="449" t="s">
        <v>475</v>
      </c>
      <c r="EC3369" s="120"/>
      <c r="ED3369" s="120"/>
      <c r="EE3369" s="120"/>
      <c r="EF3369" s="440"/>
    </row>
    <row r="3370" spans="54:136">
      <c r="BB3370" s="436" t="s">
        <v>509</v>
      </c>
      <c r="BC3370" s="120"/>
      <c r="BD3370" s="120"/>
      <c r="BE3370" s="120"/>
      <c r="BF3370" s="440"/>
      <c r="CB3370" s="436" t="s">
        <v>509</v>
      </c>
      <c r="CC3370" s="120"/>
      <c r="CD3370" s="120"/>
      <c r="CE3370" s="120"/>
      <c r="CF3370" s="440"/>
      <c r="DB3370" s="436" t="s">
        <v>509</v>
      </c>
      <c r="DC3370" s="120"/>
      <c r="DD3370" s="120"/>
      <c r="DE3370" s="120"/>
      <c r="DF3370" s="440"/>
      <c r="EB3370" s="436" t="s">
        <v>509</v>
      </c>
      <c r="EC3370" s="120"/>
      <c r="ED3370" s="120"/>
      <c r="EE3370" s="120"/>
      <c r="EF3370" s="440"/>
    </row>
    <row r="3371" spans="54:136">
      <c r="BB3371" s="436" t="s">
        <v>510</v>
      </c>
      <c r="BC3371" s="120"/>
      <c r="BD3371" s="120"/>
      <c r="BE3371" s="120"/>
      <c r="BF3371" s="440"/>
      <c r="CB3371" s="436" t="s">
        <v>510</v>
      </c>
      <c r="CC3371" s="120"/>
      <c r="CD3371" s="120"/>
      <c r="CE3371" s="120"/>
      <c r="CF3371" s="440"/>
      <c r="DB3371" s="436" t="s">
        <v>510</v>
      </c>
      <c r="DC3371" s="120"/>
      <c r="DD3371" s="120"/>
      <c r="DE3371" s="120"/>
      <c r="DF3371" s="440"/>
      <c r="EB3371" s="436" t="s">
        <v>510</v>
      </c>
      <c r="EC3371" s="120"/>
      <c r="ED3371" s="120"/>
      <c r="EE3371" s="120"/>
      <c r="EF3371" s="440"/>
    </row>
    <row r="3372" spans="54:136">
      <c r="BB3372" s="436"/>
      <c r="BC3372" s="120"/>
      <c r="BD3372" s="120"/>
      <c r="BE3372" s="120"/>
      <c r="BF3372" s="440"/>
      <c r="CB3372" s="436"/>
      <c r="CC3372" s="120"/>
      <c r="CD3372" s="120"/>
      <c r="CE3372" s="120"/>
      <c r="CF3372" s="440"/>
      <c r="DB3372" s="436"/>
      <c r="DC3372" s="120"/>
      <c r="DD3372" s="120"/>
      <c r="DE3372" s="120"/>
      <c r="DF3372" s="440"/>
      <c r="EB3372" s="436"/>
      <c r="EC3372" s="120"/>
      <c r="ED3372" s="120"/>
      <c r="EE3372" s="120"/>
      <c r="EF3372" s="440"/>
    </row>
    <row r="3373" spans="54:136">
      <c r="BB3373" s="436"/>
      <c r="BC3373" s="120"/>
      <c r="BD3373" s="120"/>
      <c r="BE3373" s="120"/>
      <c r="BF3373" s="440"/>
      <c r="CB3373" s="436"/>
      <c r="CC3373" s="120"/>
      <c r="CD3373" s="120"/>
      <c r="CE3373" s="120"/>
      <c r="CF3373" s="440"/>
      <c r="DB3373" s="436"/>
      <c r="DC3373" s="120"/>
      <c r="DD3373" s="120"/>
      <c r="DE3373" s="120"/>
      <c r="DF3373" s="440"/>
      <c r="EB3373" s="436"/>
      <c r="EC3373" s="120"/>
      <c r="ED3373" s="120"/>
      <c r="EE3373" s="120"/>
      <c r="EF3373" s="440"/>
    </row>
    <row r="3374" spans="54:136">
      <c r="BB3374" s="436"/>
      <c r="BC3374" s="120"/>
      <c r="BD3374" s="120"/>
      <c r="BE3374" s="120"/>
      <c r="BF3374" s="440"/>
      <c r="CB3374" s="436"/>
      <c r="CC3374" s="120"/>
      <c r="CD3374" s="120"/>
      <c r="CE3374" s="120"/>
      <c r="CF3374" s="440"/>
      <c r="DB3374" s="436"/>
      <c r="DC3374" s="120"/>
      <c r="DD3374" s="120"/>
      <c r="DE3374" s="120"/>
      <c r="DF3374" s="440"/>
      <c r="EB3374" s="436"/>
      <c r="EC3374" s="120"/>
      <c r="ED3374" s="120"/>
      <c r="EE3374" s="120"/>
      <c r="EF3374" s="440"/>
    </row>
    <row r="3375" spans="54:136">
      <c r="BB3375" s="436"/>
      <c r="BC3375" s="120"/>
      <c r="BD3375" s="120"/>
      <c r="BE3375" s="120"/>
      <c r="BF3375" s="440"/>
      <c r="CB3375" s="436"/>
      <c r="CC3375" s="120"/>
      <c r="CD3375" s="120"/>
      <c r="CE3375" s="120"/>
      <c r="CF3375" s="440"/>
      <c r="DB3375" s="436"/>
      <c r="DC3375" s="120"/>
      <c r="DD3375" s="120"/>
      <c r="DE3375" s="120"/>
      <c r="DF3375" s="440"/>
      <c r="EB3375" s="436"/>
      <c r="EC3375" s="120"/>
      <c r="ED3375" s="120"/>
      <c r="EE3375" s="120"/>
      <c r="EF3375" s="440"/>
    </row>
    <row r="3376" spans="54:136">
      <c r="BB3376" s="436" t="s">
        <v>511</v>
      </c>
      <c r="BC3376" s="120">
        <v>0</v>
      </c>
      <c r="BD3376" s="120" t="s">
        <v>512</v>
      </c>
      <c r="BE3376" s="120"/>
      <c r="BF3376" s="440"/>
      <c r="CB3376" s="436" t="s">
        <v>511</v>
      </c>
      <c r="CC3376" s="120">
        <v>0</v>
      </c>
      <c r="CD3376" s="120" t="s">
        <v>512</v>
      </c>
      <c r="CE3376" s="120"/>
      <c r="CF3376" s="440"/>
      <c r="DB3376" s="436" t="s">
        <v>511</v>
      </c>
      <c r="DC3376" s="120">
        <v>0</v>
      </c>
      <c r="DD3376" s="120" t="s">
        <v>512</v>
      </c>
      <c r="DE3376" s="120"/>
      <c r="DF3376" s="440"/>
      <c r="EB3376" s="436" t="s">
        <v>511</v>
      </c>
      <c r="EC3376" s="120">
        <v>0</v>
      </c>
      <c r="ED3376" s="120" t="s">
        <v>512</v>
      </c>
      <c r="EE3376" s="120"/>
      <c r="EF3376" s="440"/>
    </row>
    <row r="3377" spans="54:136">
      <c r="BB3377" s="436" t="s">
        <v>513</v>
      </c>
      <c r="BC3377" s="120">
        <v>0</v>
      </c>
      <c r="BD3377" s="120" t="s">
        <v>512</v>
      </c>
      <c r="BE3377" s="120"/>
      <c r="BF3377" s="440"/>
      <c r="CB3377" s="436" t="s">
        <v>513</v>
      </c>
      <c r="CC3377" s="120">
        <v>0</v>
      </c>
      <c r="CD3377" s="120" t="s">
        <v>512</v>
      </c>
      <c r="CE3377" s="120"/>
      <c r="CF3377" s="440"/>
      <c r="DB3377" s="436" t="s">
        <v>513</v>
      </c>
      <c r="DC3377" s="120">
        <v>0</v>
      </c>
      <c r="DD3377" s="120" t="s">
        <v>512</v>
      </c>
      <c r="DE3377" s="120"/>
      <c r="DF3377" s="440"/>
      <c r="EB3377" s="436" t="s">
        <v>513</v>
      </c>
      <c r="EC3377" s="120">
        <v>0</v>
      </c>
      <c r="ED3377" s="120" t="s">
        <v>512</v>
      </c>
      <c r="EE3377" s="120"/>
      <c r="EF3377" s="440"/>
    </row>
    <row r="3378" spans="54:136">
      <c r="BB3378" s="456"/>
      <c r="BC3378" s="457"/>
      <c r="BD3378" s="457"/>
      <c r="BE3378" s="457"/>
      <c r="BF3378" s="458"/>
      <c r="CB3378" s="456"/>
      <c r="CC3378" s="457"/>
      <c r="CD3378" s="457"/>
      <c r="CE3378" s="457"/>
      <c r="CF3378" s="458"/>
      <c r="DB3378" s="456"/>
      <c r="DC3378" s="457"/>
      <c r="DD3378" s="457"/>
      <c r="DE3378" s="457"/>
      <c r="DF3378" s="458"/>
      <c r="EB3378" s="456"/>
      <c r="EC3378" s="457"/>
      <c r="ED3378" s="457"/>
      <c r="EE3378" s="457"/>
      <c r="EF3378" s="458"/>
    </row>
    <row r="3379" spans="54:136">
      <c r="BB3379" s="449" t="s">
        <v>461</v>
      </c>
      <c r="BC3379" s="120"/>
      <c r="BD3379" s="120"/>
      <c r="BE3379" s="120"/>
      <c r="BF3379" s="440"/>
      <c r="CB3379" s="449" t="s">
        <v>461</v>
      </c>
      <c r="CC3379" s="120"/>
      <c r="CD3379" s="120"/>
      <c r="CE3379" s="120"/>
      <c r="CF3379" s="440"/>
      <c r="DB3379" s="449" t="s">
        <v>461</v>
      </c>
      <c r="DC3379" s="120"/>
      <c r="DD3379" s="120"/>
      <c r="DE3379" s="120"/>
      <c r="DF3379" s="440"/>
      <c r="EB3379" s="449" t="s">
        <v>461</v>
      </c>
      <c r="EC3379" s="120"/>
      <c r="ED3379" s="120"/>
      <c r="EE3379" s="120"/>
      <c r="EF3379" s="440"/>
    </row>
    <row r="3380" spans="54:136">
      <c r="BB3380" s="436" t="s">
        <v>514</v>
      </c>
      <c r="BC3380" s="120">
        <f>VLOOKUP(BB3308,'Unit Ops'!$B$140:$K$209,10,FALSE)</f>
        <v>0</v>
      </c>
      <c r="BD3380" s="120" t="s">
        <v>515</v>
      </c>
      <c r="BE3380" s="120"/>
      <c r="BF3380" s="440"/>
      <c r="CB3380" s="436" t="s">
        <v>514</v>
      </c>
      <c r="CC3380" s="120">
        <f>VLOOKUP(CB3308,'Unit Ops'!$B$140:$K$209,10,FALSE)</f>
        <v>0</v>
      </c>
      <c r="CD3380" s="120" t="s">
        <v>515</v>
      </c>
      <c r="CE3380" s="120"/>
      <c r="CF3380" s="440"/>
      <c r="DB3380" s="436" t="s">
        <v>514</v>
      </c>
      <c r="DC3380" s="120">
        <f>VLOOKUP(DB3308,'Unit Ops'!$B$140:$K$209,10,FALSE)</f>
        <v>0</v>
      </c>
      <c r="DD3380" s="120" t="s">
        <v>515</v>
      </c>
      <c r="DE3380" s="120"/>
      <c r="DF3380" s="440"/>
      <c r="EB3380" s="436" t="s">
        <v>514</v>
      </c>
      <c r="EC3380" s="120">
        <f>VLOOKUP(EB3308,'Unit Ops'!$B$140:$K$209,10,FALSE)</f>
        <v>0</v>
      </c>
      <c r="ED3380" s="120" t="s">
        <v>515</v>
      </c>
      <c r="EE3380" s="120"/>
      <c r="EF3380" s="440"/>
    </row>
    <row r="3381" spans="54:136">
      <c r="BB3381" s="436" t="s">
        <v>516</v>
      </c>
      <c r="BC3381" s="120">
        <v>0</v>
      </c>
      <c r="BD3381" s="120" t="s">
        <v>515</v>
      </c>
      <c r="BE3381" s="120"/>
      <c r="BF3381" s="440"/>
      <c r="CB3381" s="436" t="s">
        <v>516</v>
      </c>
      <c r="CC3381" s="120">
        <v>0</v>
      </c>
      <c r="CD3381" s="120" t="s">
        <v>515</v>
      </c>
      <c r="CE3381" s="120"/>
      <c r="CF3381" s="440"/>
      <c r="DB3381" s="436" t="s">
        <v>516</v>
      </c>
      <c r="DC3381" s="120">
        <v>0</v>
      </c>
      <c r="DD3381" s="120" t="s">
        <v>515</v>
      </c>
      <c r="DE3381" s="120"/>
      <c r="DF3381" s="440"/>
      <c r="EB3381" s="436" t="s">
        <v>516</v>
      </c>
      <c r="EC3381" s="120">
        <v>0</v>
      </c>
      <c r="ED3381" s="120" t="s">
        <v>515</v>
      </c>
      <c r="EE3381" s="120"/>
      <c r="EF3381" s="440"/>
    </row>
    <row r="3382" spans="54:136">
      <c r="BB3382" s="436"/>
      <c r="BC3382" s="120"/>
      <c r="BD3382" s="120"/>
      <c r="BE3382" s="120"/>
      <c r="BF3382" s="440"/>
      <c r="CB3382" s="436"/>
      <c r="CC3382" s="120"/>
      <c r="CD3382" s="120"/>
      <c r="CE3382" s="120"/>
      <c r="CF3382" s="440"/>
      <c r="DB3382" s="436"/>
      <c r="DC3382" s="120"/>
      <c r="DD3382" s="120"/>
      <c r="DE3382" s="120"/>
      <c r="DF3382" s="440"/>
      <c r="EB3382" s="436"/>
      <c r="EC3382" s="120"/>
      <c r="ED3382" s="120"/>
      <c r="EE3382" s="120"/>
      <c r="EF3382" s="440"/>
    </row>
    <row r="3383" spans="54:136">
      <c r="BB3383" s="436"/>
      <c r="BC3383" s="120"/>
      <c r="BD3383" s="120"/>
      <c r="BE3383" s="120"/>
      <c r="BF3383" s="440"/>
      <c r="CB3383" s="436"/>
      <c r="CC3383" s="120"/>
      <c r="CD3383" s="120"/>
      <c r="CE3383" s="120"/>
      <c r="CF3383" s="440"/>
      <c r="DB3383" s="436"/>
      <c r="DC3383" s="120"/>
      <c r="DD3383" s="120"/>
      <c r="DE3383" s="120"/>
      <c r="DF3383" s="440"/>
      <c r="EB3383" s="436"/>
      <c r="EC3383" s="120"/>
      <c r="ED3383" s="120"/>
      <c r="EE3383" s="120"/>
      <c r="EF3383" s="440"/>
    </row>
    <row r="3384" spans="54:136">
      <c r="BB3384" s="436"/>
      <c r="BC3384" s="120"/>
      <c r="BD3384" s="120"/>
      <c r="BE3384" s="120"/>
      <c r="BF3384" s="440"/>
      <c r="CB3384" s="436"/>
      <c r="CC3384" s="120"/>
      <c r="CD3384" s="120"/>
      <c r="CE3384" s="120"/>
      <c r="CF3384" s="440"/>
      <c r="DB3384" s="436"/>
      <c r="DC3384" s="120"/>
      <c r="DD3384" s="120"/>
      <c r="DE3384" s="120"/>
      <c r="DF3384" s="440"/>
      <c r="EB3384" s="436"/>
      <c r="EC3384" s="120"/>
      <c r="ED3384" s="120"/>
      <c r="EE3384" s="120"/>
      <c r="EF3384" s="440"/>
    </row>
    <row r="3385" spans="54:136">
      <c r="BB3385" s="436"/>
      <c r="BC3385" s="120"/>
      <c r="BD3385" s="120"/>
      <c r="BE3385" s="120"/>
      <c r="BF3385" s="440"/>
      <c r="CB3385" s="436"/>
      <c r="CC3385" s="120"/>
      <c r="CD3385" s="120"/>
      <c r="CE3385" s="120"/>
      <c r="CF3385" s="440"/>
      <c r="DB3385" s="436"/>
      <c r="DC3385" s="120"/>
      <c r="DD3385" s="120"/>
      <c r="DE3385" s="120"/>
      <c r="DF3385" s="440"/>
      <c r="EB3385" s="436"/>
      <c r="EC3385" s="120"/>
      <c r="ED3385" s="120"/>
      <c r="EE3385" s="120"/>
      <c r="EF3385" s="440"/>
    </row>
    <row r="3386" spans="54:136">
      <c r="BB3386" s="436"/>
      <c r="BC3386" s="120"/>
      <c r="BD3386" s="120"/>
      <c r="BE3386" s="120"/>
      <c r="BF3386" s="440"/>
      <c r="CB3386" s="436"/>
      <c r="CC3386" s="120"/>
      <c r="CD3386" s="120"/>
      <c r="CE3386" s="120"/>
      <c r="CF3386" s="440"/>
      <c r="DB3386" s="436"/>
      <c r="DC3386" s="120"/>
      <c r="DD3386" s="120"/>
      <c r="DE3386" s="120"/>
      <c r="DF3386" s="440"/>
      <c r="EB3386" s="436"/>
      <c r="EC3386" s="120"/>
      <c r="ED3386" s="120"/>
      <c r="EE3386" s="120"/>
      <c r="EF3386" s="440"/>
    </row>
    <row r="3387" spans="54:136">
      <c r="BB3387" s="436" t="s">
        <v>464</v>
      </c>
      <c r="BC3387" s="120"/>
      <c r="BD3387" s="120"/>
      <c r="BE3387" s="120"/>
      <c r="BF3387" s="440"/>
      <c r="CB3387" s="436" t="s">
        <v>464</v>
      </c>
      <c r="CC3387" s="120"/>
      <c r="CD3387" s="120"/>
      <c r="CE3387" s="120"/>
      <c r="CF3387" s="440"/>
      <c r="DB3387" s="436" t="s">
        <v>464</v>
      </c>
      <c r="DC3387" s="120"/>
      <c r="DD3387" s="120"/>
      <c r="DE3387" s="120"/>
      <c r="DF3387" s="440"/>
      <c r="EB3387" s="436" t="s">
        <v>464</v>
      </c>
      <c r="EC3387" s="120"/>
      <c r="ED3387" s="120"/>
      <c r="EE3387" s="120"/>
      <c r="EF3387" s="440"/>
    </row>
    <row r="3388" spans="54:136">
      <c r="BB3388" s="456"/>
      <c r="BC3388" s="457"/>
      <c r="BD3388" s="457"/>
      <c r="BE3388" s="457"/>
      <c r="BF3388" s="458"/>
      <c r="CB3388" s="456"/>
      <c r="CC3388" s="457"/>
      <c r="CD3388" s="457"/>
      <c r="CE3388" s="457"/>
      <c r="CF3388" s="458"/>
      <c r="DB3388" s="456"/>
      <c r="DC3388" s="457"/>
      <c r="DD3388" s="457"/>
      <c r="DE3388" s="457"/>
      <c r="DF3388" s="458"/>
      <c r="EB3388" s="456"/>
      <c r="EC3388" s="457"/>
      <c r="ED3388" s="457"/>
      <c r="EE3388" s="457"/>
      <c r="EF3388" s="458"/>
    </row>
    <row r="3389" spans="54:136">
      <c r="BB3389" s="449" t="s">
        <v>472</v>
      </c>
      <c r="BC3389" s="467" t="s">
        <v>517</v>
      </c>
      <c r="BD3389" s="120" t="s">
        <v>518</v>
      </c>
      <c r="BE3389" s="467" t="s">
        <v>519</v>
      </c>
      <c r="BF3389" s="440" t="s">
        <v>518</v>
      </c>
      <c r="CB3389" s="449" t="s">
        <v>472</v>
      </c>
      <c r="CC3389" s="467" t="s">
        <v>517</v>
      </c>
      <c r="CD3389" s="120" t="s">
        <v>518</v>
      </c>
      <c r="CE3389" s="467" t="s">
        <v>519</v>
      </c>
      <c r="CF3389" s="440" t="s">
        <v>518</v>
      </c>
      <c r="DB3389" s="449" t="s">
        <v>472</v>
      </c>
      <c r="DC3389" s="467" t="s">
        <v>517</v>
      </c>
      <c r="DD3389" s="120" t="s">
        <v>518</v>
      </c>
      <c r="DE3389" s="467" t="s">
        <v>519</v>
      </c>
      <c r="DF3389" s="440" t="s">
        <v>518</v>
      </c>
      <c r="EB3389" s="449" t="s">
        <v>472</v>
      </c>
      <c r="EC3389" s="467" t="s">
        <v>517</v>
      </c>
      <c r="ED3389" s="120" t="s">
        <v>518</v>
      </c>
      <c r="EE3389" s="467" t="s">
        <v>519</v>
      </c>
      <c r="EF3389" s="440" t="s">
        <v>518</v>
      </c>
    </row>
    <row r="3390" spans="54:136">
      <c r="BB3390" s="436" t="s">
        <v>520</v>
      </c>
      <c r="BC3390" s="120"/>
      <c r="BD3390" s="120"/>
      <c r="BE3390" s="472">
        <f>((VLOOKUP(BB3308,'Unit Ops'!$B$140:$J$209,3,FALSE)*BC3310^VLOOKUP(BB3308,'Unit Ops'!$B$140:$J$209,4,FALSE)+VLOOKUP(BB3308,'Unit Ops'!$B$140:$J$209,5,FALSE))*VLOOKUP(BB3308,'Unit Ops'!$B$140:$J$209,6,FALSE))*IF(VLOOKUP(BB3308,'Unit Ops'!$B$140:$L$209,11,FALSE)=1,1,2)</f>
        <v>0</v>
      </c>
      <c r="BF3390" s="490">
        <f>$C$7</f>
        <v>2022</v>
      </c>
      <c r="CB3390" s="436" t="s">
        <v>520</v>
      </c>
      <c r="CC3390" s="120"/>
      <c r="CD3390" s="120"/>
      <c r="CE3390" s="472">
        <f>((VLOOKUP(CB3308,'Unit Ops'!$B$140:$J$209,3,FALSE)*CC3310^VLOOKUP(CB3308,'Unit Ops'!$B$140:$J$209,4,FALSE)+VLOOKUP(CB3308,'Unit Ops'!$B$140:$J$209,5,FALSE))*VLOOKUP(CB3308,'Unit Ops'!$B$140:$J$209,6,FALSE))*IF(VLOOKUP(CB3308,'Unit Ops'!$B$140:$L$209,11,FALSE)=1,1,2)</f>
        <v>0</v>
      </c>
      <c r="CF3390" s="490">
        <f>$C$7</f>
        <v>2022</v>
      </c>
      <c r="DB3390" s="436" t="s">
        <v>520</v>
      </c>
      <c r="DC3390" s="120"/>
      <c r="DD3390" s="120"/>
      <c r="DE3390" s="472">
        <f>((VLOOKUP(DB3308,'Unit Ops'!$B$140:$J$209,3,FALSE)*DC3310^VLOOKUP(DB3308,'Unit Ops'!$B$140:$J$209,4,FALSE)+VLOOKUP(DB3308,'Unit Ops'!$B$140:$J$209,5,FALSE))*VLOOKUP(DB3308,'Unit Ops'!$B$140:$J$209,6,FALSE))*IF(VLOOKUP(DB3308,'Unit Ops'!$B$140:$L$209,11,FALSE)=1,1,2)</f>
        <v>0</v>
      </c>
      <c r="DF3390" s="490">
        <f>$C$7</f>
        <v>2022</v>
      </c>
      <c r="EB3390" s="436" t="s">
        <v>520</v>
      </c>
      <c r="EC3390" s="120"/>
      <c r="ED3390" s="120"/>
      <c r="EE3390" s="472">
        <f>((VLOOKUP(EB3308,'Unit Ops'!$B$140:$J$209,3,FALSE)*EC3310^VLOOKUP(EB3308,'Unit Ops'!$B$140:$J$209,4,FALSE)+VLOOKUP(EB3308,'Unit Ops'!$B$140:$J$209,5,FALSE))*VLOOKUP(EB3308,'Unit Ops'!$B$140:$J$209,6,FALSE))*IF(VLOOKUP(EB3308,'Unit Ops'!$B$140:$L$209,11,FALSE)=1,1,2)</f>
        <v>0</v>
      </c>
      <c r="EF3390" s="490">
        <f>$C$7</f>
        <v>2022</v>
      </c>
    </row>
    <row r="3391" spans="54:136">
      <c r="BB3391" s="436"/>
      <c r="BC3391" s="120"/>
      <c r="BD3391" s="120"/>
      <c r="BE3391" s="120"/>
      <c r="BF3391" s="440"/>
      <c r="CB3391" s="436"/>
      <c r="CC3391" s="120"/>
      <c r="CD3391" s="120"/>
      <c r="CE3391" s="120"/>
      <c r="CF3391" s="440"/>
      <c r="DB3391" s="436"/>
      <c r="DC3391" s="120"/>
      <c r="DD3391" s="120"/>
      <c r="DE3391" s="120"/>
      <c r="DF3391" s="440"/>
      <c r="EB3391" s="436"/>
      <c r="EC3391" s="120"/>
      <c r="ED3391" s="120"/>
      <c r="EE3391" s="120"/>
      <c r="EF3391" s="440"/>
    </row>
    <row r="3392" spans="54:136">
      <c r="BB3392" s="436"/>
      <c r="BC3392" s="120"/>
      <c r="BD3392" s="120"/>
      <c r="BE3392" s="120"/>
      <c r="BF3392" s="440"/>
      <c r="CB3392" s="436"/>
      <c r="CC3392" s="120"/>
      <c r="CD3392" s="120"/>
      <c r="CE3392" s="120"/>
      <c r="CF3392" s="440"/>
      <c r="DB3392" s="436"/>
      <c r="DC3392" s="120"/>
      <c r="DD3392" s="120"/>
      <c r="DE3392" s="120"/>
      <c r="DF3392" s="440"/>
      <c r="EB3392" s="436"/>
      <c r="EC3392" s="120"/>
      <c r="ED3392" s="120"/>
      <c r="EE3392" s="120"/>
      <c r="EF3392" s="440"/>
    </row>
    <row r="3393" spans="53:136">
      <c r="BB3393" s="436"/>
      <c r="BC3393" s="120"/>
      <c r="BD3393" s="120"/>
      <c r="BE3393" s="120"/>
      <c r="BF3393" s="440"/>
      <c r="CB3393" s="436"/>
      <c r="CC3393" s="120"/>
      <c r="CD3393" s="120"/>
      <c r="CE3393" s="120"/>
      <c r="CF3393" s="440"/>
      <c r="DB3393" s="436"/>
      <c r="DC3393" s="120"/>
      <c r="DD3393" s="120"/>
      <c r="DE3393" s="120"/>
      <c r="DF3393" s="440"/>
      <c r="EB3393" s="436"/>
      <c r="EC3393" s="120"/>
      <c r="ED3393" s="120"/>
      <c r="EE3393" s="120"/>
      <c r="EF3393" s="440"/>
    </row>
    <row r="3394" spans="53:136">
      <c r="BB3394" s="436"/>
      <c r="BC3394" s="120"/>
      <c r="BD3394" s="120"/>
      <c r="BE3394" s="120"/>
      <c r="BF3394" s="440"/>
      <c r="CB3394" s="436"/>
      <c r="CC3394" s="120"/>
      <c r="CD3394" s="120"/>
      <c r="CE3394" s="120"/>
      <c r="CF3394" s="440"/>
      <c r="DB3394" s="436"/>
      <c r="DC3394" s="120"/>
      <c r="DD3394" s="120"/>
      <c r="DE3394" s="120"/>
      <c r="DF3394" s="440"/>
      <c r="EB3394" s="436"/>
      <c r="EC3394" s="120"/>
      <c r="ED3394" s="120"/>
      <c r="EE3394" s="120"/>
      <c r="EF3394" s="440"/>
    </row>
    <row r="3395" spans="53:136">
      <c r="BB3395" s="436"/>
      <c r="BC3395" s="120"/>
      <c r="BD3395" s="120"/>
      <c r="BE3395" s="120"/>
      <c r="BF3395" s="440"/>
      <c r="CB3395" s="436"/>
      <c r="CC3395" s="120"/>
      <c r="CD3395" s="120"/>
      <c r="CE3395" s="120"/>
      <c r="CF3395" s="440"/>
      <c r="DB3395" s="436"/>
      <c r="DC3395" s="120"/>
      <c r="DD3395" s="120"/>
      <c r="DE3395" s="120"/>
      <c r="DF3395" s="440"/>
      <c r="EB3395" s="436"/>
      <c r="EC3395" s="120"/>
      <c r="ED3395" s="120"/>
      <c r="EE3395" s="120"/>
      <c r="EF3395" s="440"/>
    </row>
    <row r="3396" spans="53:136">
      <c r="BB3396" s="436"/>
      <c r="BC3396" s="120"/>
      <c r="BD3396" s="120"/>
      <c r="BE3396" s="120"/>
      <c r="BF3396" s="440"/>
      <c r="CB3396" s="436"/>
      <c r="CC3396" s="120"/>
      <c r="CD3396" s="120"/>
      <c r="CE3396" s="120"/>
      <c r="CF3396" s="440"/>
      <c r="DB3396" s="436"/>
      <c r="DC3396" s="120"/>
      <c r="DD3396" s="120"/>
      <c r="DE3396" s="120"/>
      <c r="DF3396" s="440"/>
      <c r="EB3396" s="436"/>
      <c r="EC3396" s="120"/>
      <c r="ED3396" s="120"/>
      <c r="EE3396" s="120"/>
      <c r="EF3396" s="440"/>
    </row>
    <row r="3397" spans="53:136">
      <c r="BB3397" s="436"/>
      <c r="BC3397" s="120"/>
      <c r="BD3397" s="120"/>
      <c r="BE3397" s="120"/>
      <c r="BF3397" s="440"/>
      <c r="CB3397" s="436"/>
      <c r="CC3397" s="120"/>
      <c r="CD3397" s="120"/>
      <c r="CE3397" s="120"/>
      <c r="CF3397" s="440"/>
      <c r="DB3397" s="436"/>
      <c r="DC3397" s="120"/>
      <c r="DD3397" s="120"/>
      <c r="DE3397" s="120"/>
      <c r="DF3397" s="440"/>
      <c r="EB3397" s="436"/>
      <c r="EC3397" s="120"/>
      <c r="ED3397" s="120"/>
      <c r="EE3397" s="120"/>
      <c r="EF3397" s="440"/>
    </row>
    <row r="3398" spans="53:136">
      <c r="BB3398" s="436"/>
      <c r="BC3398" s="120"/>
      <c r="BD3398" s="120"/>
      <c r="BE3398" s="120"/>
      <c r="BF3398" s="440"/>
      <c r="CB3398" s="436"/>
      <c r="CC3398" s="120"/>
      <c r="CD3398" s="120"/>
      <c r="CE3398" s="120"/>
      <c r="CF3398" s="440"/>
      <c r="DB3398" s="436"/>
      <c r="DC3398" s="120"/>
      <c r="DD3398" s="120"/>
      <c r="DE3398" s="120"/>
      <c r="DF3398" s="440"/>
      <c r="EB3398" s="436"/>
      <c r="EC3398" s="120"/>
      <c r="ED3398" s="120"/>
      <c r="EE3398" s="120"/>
      <c r="EF3398" s="440"/>
    </row>
    <row r="3399" spans="53:136">
      <c r="BB3399" s="436"/>
      <c r="BC3399" s="120"/>
      <c r="BD3399" s="120"/>
      <c r="BE3399" s="120"/>
      <c r="BF3399" s="440"/>
      <c r="CB3399" s="436"/>
      <c r="CC3399" s="120"/>
      <c r="CD3399" s="120"/>
      <c r="CE3399" s="120"/>
      <c r="CF3399" s="440"/>
      <c r="DB3399" s="436"/>
      <c r="DC3399" s="120"/>
      <c r="DD3399" s="120"/>
      <c r="DE3399" s="120"/>
      <c r="DF3399" s="440"/>
      <c r="EB3399" s="436"/>
      <c r="EC3399" s="120"/>
      <c r="ED3399" s="120"/>
      <c r="EE3399" s="120"/>
      <c r="EF3399" s="440"/>
    </row>
    <row r="3400" spans="53:136">
      <c r="BB3400" s="436"/>
      <c r="BC3400" s="120"/>
      <c r="BD3400" s="120"/>
      <c r="BE3400" s="120"/>
      <c r="BF3400" s="440"/>
      <c r="CB3400" s="436"/>
      <c r="CC3400" s="120"/>
      <c r="CD3400" s="120"/>
      <c r="CE3400" s="120"/>
      <c r="CF3400" s="440"/>
      <c r="DB3400" s="436"/>
      <c r="DC3400" s="120"/>
      <c r="DD3400" s="120"/>
      <c r="DE3400" s="120"/>
      <c r="DF3400" s="440"/>
      <c r="EB3400" s="436"/>
      <c r="EC3400" s="120"/>
      <c r="ED3400" s="120"/>
      <c r="EE3400" s="120"/>
      <c r="EF3400" s="440"/>
    </row>
    <row r="3401" spans="53:136">
      <c r="BB3401" s="436"/>
      <c r="BC3401" s="120"/>
      <c r="BD3401" s="120"/>
      <c r="BE3401" s="120"/>
      <c r="BF3401" s="440"/>
      <c r="CB3401" s="436"/>
      <c r="CC3401" s="120"/>
      <c r="CD3401" s="120"/>
      <c r="CE3401" s="120"/>
      <c r="CF3401" s="440"/>
      <c r="DB3401" s="436"/>
      <c r="DC3401" s="120"/>
      <c r="DD3401" s="120"/>
      <c r="DE3401" s="120"/>
      <c r="DF3401" s="440"/>
      <c r="EB3401" s="436"/>
      <c r="EC3401" s="120"/>
      <c r="ED3401" s="120"/>
      <c r="EE3401" s="120"/>
      <c r="EF3401" s="440"/>
    </row>
    <row r="3402" spans="53:136">
      <c r="BB3402" s="436"/>
      <c r="BC3402" s="120"/>
      <c r="BD3402" s="120"/>
      <c r="BE3402" s="120"/>
      <c r="BF3402" s="440"/>
      <c r="CB3402" s="436"/>
      <c r="CC3402" s="120"/>
      <c r="CD3402" s="120"/>
      <c r="CE3402" s="120"/>
      <c r="CF3402" s="440"/>
      <c r="DB3402" s="436"/>
      <c r="DC3402" s="120"/>
      <c r="DD3402" s="120"/>
      <c r="DE3402" s="120"/>
      <c r="DF3402" s="440"/>
      <c r="EB3402" s="436"/>
      <c r="EC3402" s="120"/>
      <c r="ED3402" s="120"/>
      <c r="EE3402" s="120"/>
      <c r="EF3402" s="440"/>
    </row>
    <row r="3403" spans="53:136">
      <c r="BB3403" s="436"/>
      <c r="BC3403" s="120"/>
      <c r="BD3403" s="120"/>
      <c r="BE3403" s="120"/>
      <c r="BF3403" s="440"/>
      <c r="CB3403" s="436"/>
      <c r="CC3403" s="120"/>
      <c r="CD3403" s="120"/>
      <c r="CE3403" s="120"/>
      <c r="CF3403" s="440"/>
      <c r="DB3403" s="436"/>
      <c r="DC3403" s="120"/>
      <c r="DD3403" s="120"/>
      <c r="DE3403" s="120"/>
      <c r="DF3403" s="440"/>
      <c r="EB3403" s="436"/>
      <c r="EC3403" s="120"/>
      <c r="ED3403" s="120"/>
      <c r="EE3403" s="120"/>
      <c r="EF3403" s="440"/>
    </row>
    <row r="3404" spans="53:136" ht="14.5" thickBot="1">
      <c r="BB3404" s="492"/>
      <c r="BC3404" s="493"/>
      <c r="BD3404" s="493"/>
      <c r="BE3404" s="493"/>
      <c r="BF3404" s="453"/>
      <c r="CB3404" s="492"/>
      <c r="CC3404" s="493"/>
      <c r="CD3404" s="493"/>
      <c r="CE3404" s="493"/>
      <c r="CF3404" s="453"/>
      <c r="DB3404" s="492"/>
      <c r="DC3404" s="493"/>
      <c r="DD3404" s="493"/>
      <c r="DE3404" s="493"/>
      <c r="DF3404" s="453"/>
      <c r="EB3404" s="492"/>
      <c r="EC3404" s="493"/>
      <c r="ED3404" s="493"/>
      <c r="EE3404" s="493"/>
      <c r="EF3404" s="453"/>
    </row>
    <row r="3407" spans="53:136" ht="14.5" thickBot="1"/>
    <row r="3408" spans="53:136">
      <c r="BA3408" s="114" t="s">
        <v>478</v>
      </c>
      <c r="BB3408" s="431" t="str">
        <f>BB83</f>
        <v>Select Equipment</v>
      </c>
      <c r="BC3408" s="432"/>
      <c r="BD3408" s="433"/>
      <c r="BE3408" s="434"/>
      <c r="BF3408" s="435"/>
      <c r="CA3408" s="114" t="s">
        <v>478</v>
      </c>
      <c r="CB3408" s="431" t="str">
        <f>CB83</f>
        <v>Select Equipment</v>
      </c>
      <c r="CC3408" s="432"/>
      <c r="CD3408" s="433"/>
      <c r="CE3408" s="434"/>
      <c r="CF3408" s="435"/>
      <c r="DA3408" s="114" t="s">
        <v>478</v>
      </c>
      <c r="DB3408" s="431" t="str">
        <f>DB83</f>
        <v>Select Equipment</v>
      </c>
      <c r="DC3408" s="432"/>
      <c r="DD3408" s="433"/>
      <c r="DE3408" s="434"/>
      <c r="DF3408" s="435"/>
      <c r="EA3408" s="114" t="s">
        <v>478</v>
      </c>
      <c r="EB3408" s="431" t="str">
        <f>EB85</f>
        <v>Select Equipment</v>
      </c>
      <c r="EC3408" s="432"/>
      <c r="ED3408" s="433"/>
      <c r="EE3408" s="434"/>
      <c r="EF3408" s="435"/>
    </row>
    <row r="3409" spans="53:136">
      <c r="BA3409" s="114" t="s">
        <v>5</v>
      </c>
      <c r="BB3409" s="436" t="s">
        <v>1</v>
      </c>
      <c r="BC3409" s="437">
        <f>BC$25/BC$22/BC$21*VLOOKUP(BB3408,'Unit Ops'!$B$140:$J$209,2,FALSE)</f>
        <v>0.92592592592592593</v>
      </c>
      <c r="BD3409" s="438" t="s">
        <v>586</v>
      </c>
      <c r="BE3409" s="1027">
        <f>BC3409*BC$310*BC$311</f>
        <v>10000</v>
      </c>
      <c r="BF3409" s="439" t="s">
        <v>585</v>
      </c>
      <c r="CA3409" s="114" t="s">
        <v>5</v>
      </c>
      <c r="CB3409" s="436" t="s">
        <v>1</v>
      </c>
      <c r="CC3409" s="437">
        <f>CC$25/CC$22/CC$21*VLOOKUP(CB3408,'Unit Ops'!$B$140:$J$209,2,FALSE)</f>
        <v>0.91324200913242004</v>
      </c>
      <c r="CD3409" s="438" t="s">
        <v>586</v>
      </c>
      <c r="CE3409" s="1027">
        <f>CC3409*CC$310*CC$311</f>
        <v>10000</v>
      </c>
      <c r="CF3409" s="439" t="s">
        <v>585</v>
      </c>
      <c r="DA3409" s="114" t="s">
        <v>5</v>
      </c>
      <c r="DB3409" s="436" t="s">
        <v>1</v>
      </c>
      <c r="DC3409" s="437">
        <f>DC$25/DC$22/DC$21*VLOOKUP(DB3408,'Unit Ops'!$B$140:$J$209,2,FALSE)</f>
        <v>0.92592592592592593</v>
      </c>
      <c r="DD3409" s="438" t="s">
        <v>586</v>
      </c>
      <c r="DE3409" s="1027">
        <f>DC3409*DC$310*DC$311</f>
        <v>10000</v>
      </c>
      <c r="DF3409" s="439" t="s">
        <v>585</v>
      </c>
      <c r="EA3409" s="114" t="s">
        <v>5</v>
      </c>
      <c r="EB3409" s="436" t="s">
        <v>1</v>
      </c>
      <c r="EC3409" s="437">
        <f>EC$26/EC$23/EC$22*VLOOKUP(EB3408,'Unit Ops'!$B$140:$J$209,2,FALSE)</f>
        <v>1.3020833333333333</v>
      </c>
      <c r="ED3409" s="438" t="s">
        <v>586</v>
      </c>
      <c r="EE3409" s="1027">
        <f>EC3409*EC$310*EC$311</f>
        <v>10000</v>
      </c>
      <c r="EF3409" s="439" t="s">
        <v>585</v>
      </c>
    </row>
    <row r="3410" spans="53:136">
      <c r="BA3410" s="114" t="str">
        <f>$BB$54</f>
        <v>Hopper</v>
      </c>
      <c r="BB3410" s="436" t="s">
        <v>505</v>
      </c>
      <c r="BC3410" s="437">
        <f>ROUNDUP(BC3409*IF(VLOOKUP(BB3408,'Unit Ops'!$B$140:$L$209,11,FALSE)=1,1.5,0.75),1)</f>
        <v>0.7</v>
      </c>
      <c r="BD3410" s="438" t="s">
        <v>586</v>
      </c>
      <c r="BE3410" s="120">
        <f>BC3410*BC$310*BC$311</f>
        <v>7560</v>
      </c>
      <c r="BF3410" s="439" t="s">
        <v>585</v>
      </c>
      <c r="CA3410" s="114" t="str">
        <f>$CB$54</f>
        <v>Conveyor</v>
      </c>
      <c r="CB3410" s="436" t="s">
        <v>505</v>
      </c>
      <c r="CC3410" s="437">
        <f>ROUNDUP(CC3409*IF(VLOOKUP(CB3408,'Unit Ops'!$B$140:$L$209,11,FALSE)=1,1.5,0.75),1)</f>
        <v>0.7</v>
      </c>
      <c r="CD3410" s="438" t="s">
        <v>586</v>
      </c>
      <c r="CE3410" s="120">
        <f>CC3410*CC$310*CC$311</f>
        <v>7665</v>
      </c>
      <c r="CF3410" s="439" t="s">
        <v>585</v>
      </c>
      <c r="DA3410" s="114" t="str">
        <f>$DB$54</f>
        <v>Conveyor</v>
      </c>
      <c r="DB3410" s="436" t="s">
        <v>505</v>
      </c>
      <c r="DC3410" s="437">
        <f>ROUNDUP(DC3409*IF(VLOOKUP(DB3408,'Unit Ops'!$B$140:$L$209,11,FALSE)=1,1.5,0.75),1)</f>
        <v>0.7</v>
      </c>
      <c r="DD3410" s="438" t="s">
        <v>586</v>
      </c>
      <c r="DE3410" s="120">
        <f>DC3410*DC$310*DC$311</f>
        <v>7560</v>
      </c>
      <c r="DF3410" s="439" t="s">
        <v>585</v>
      </c>
      <c r="EA3410" s="114" t="str">
        <f>$EB$56</f>
        <v>Conveyor</v>
      </c>
      <c r="EB3410" s="436" t="s">
        <v>505</v>
      </c>
      <c r="EC3410" s="437">
        <f>ROUNDUP(EC3409*IF(VLOOKUP(EB3408,'Unit Ops'!$B$140:$L$209,11,FALSE)=1,1.5,0.75),1)</f>
        <v>1</v>
      </c>
      <c r="ED3410" s="438" t="s">
        <v>586</v>
      </c>
      <c r="EE3410" s="120">
        <f>EC3410*EC$310*EC$311</f>
        <v>7680</v>
      </c>
      <c r="EF3410" s="439" t="s">
        <v>585</v>
      </c>
    </row>
    <row r="3411" spans="53:136">
      <c r="BA3411" s="114" t="str">
        <f>$BB$55</f>
        <v>Conveyor</v>
      </c>
      <c r="BB3411" s="441" t="s">
        <v>521</v>
      </c>
      <c r="BC3411" s="442">
        <f>BC3409/BC3410</f>
        <v>1.3227513227513228</v>
      </c>
      <c r="BD3411" s="438"/>
      <c r="BE3411" s="443"/>
      <c r="BF3411" s="440"/>
      <c r="CA3411" s="114" t="str">
        <f>$CB$55</f>
        <v>Leaching tank</v>
      </c>
      <c r="CB3411" s="441" t="s">
        <v>521</v>
      </c>
      <c r="CC3411" s="442">
        <f>CC3409/CC3410</f>
        <v>1.3046314416177429</v>
      </c>
      <c r="CD3411" s="438"/>
      <c r="CE3411" s="443"/>
      <c r="CF3411" s="440"/>
      <c r="DA3411" s="114" t="str">
        <f>$DB$55</f>
        <v>Froth flotation cell</v>
      </c>
      <c r="DB3411" s="441" t="s">
        <v>521</v>
      </c>
      <c r="DC3411" s="442">
        <f>DC3409/DC3410</f>
        <v>1.3227513227513228</v>
      </c>
      <c r="DD3411" s="438"/>
      <c r="DE3411" s="443"/>
      <c r="DF3411" s="440"/>
      <c r="EA3411" s="114" t="str">
        <f>$EB$57</f>
        <v>Leaching tank</v>
      </c>
      <c r="EB3411" s="441" t="s">
        <v>521</v>
      </c>
      <c r="EC3411" s="442">
        <f>EC3409/EC3410</f>
        <v>1.3020833333333333</v>
      </c>
      <c r="ED3411" s="438"/>
      <c r="EE3411" s="443"/>
      <c r="EF3411" s="440"/>
    </row>
    <row r="3412" spans="53:136">
      <c r="BA3412" s="114" t="str">
        <f>$BB$56</f>
        <v>Smelter</v>
      </c>
      <c r="BB3412" s="441" t="s">
        <v>506</v>
      </c>
      <c r="BC3412" s="445"/>
      <c r="BD3412" s="438" t="s">
        <v>454</v>
      </c>
      <c r="BE3412" s="443"/>
      <c r="BF3412" s="440"/>
      <c r="CA3412" s="114" t="str">
        <f>$CB$56</f>
        <v>Mixing tank</v>
      </c>
      <c r="CB3412" s="441" t="s">
        <v>506</v>
      </c>
      <c r="CC3412" s="445"/>
      <c r="CD3412" s="438" t="s">
        <v>454</v>
      </c>
      <c r="CE3412" s="443"/>
      <c r="CF3412" s="440"/>
      <c r="DA3412" s="114" t="str">
        <f>$DB$56</f>
        <v>Filter press</v>
      </c>
      <c r="DB3412" s="441" t="s">
        <v>506</v>
      </c>
      <c r="DC3412" s="445"/>
      <c r="DD3412" s="438" t="s">
        <v>454</v>
      </c>
      <c r="DE3412" s="443"/>
      <c r="DF3412" s="440"/>
      <c r="EA3412" s="114" t="str">
        <f>$EB$58</f>
        <v>Mixing tank</v>
      </c>
      <c r="EB3412" s="441" t="s">
        <v>506</v>
      </c>
      <c r="EC3412" s="445"/>
      <c r="ED3412" s="438" t="s">
        <v>454</v>
      </c>
      <c r="EE3412" s="443"/>
      <c r="EF3412" s="440"/>
    </row>
    <row r="3413" spans="53:136">
      <c r="BA3413" s="114" t="str">
        <f>$BB$57</f>
        <v>Gas treatment</v>
      </c>
      <c r="BB3413" s="436" t="s">
        <v>507</v>
      </c>
      <c r="BC3413" s="225">
        <f>(VLOOKUP(BB3408,'Unit Ops'!$B$140:$J$209,7,FALSE)*BC3410^VLOOKUP(BB3408,'Unit Ops'!$B$140:$J$209,8,FALSE)+VLOOKUP(BB3408,'Unit Ops'!$B$140:$J$209,9,FALSE))*IF(VLOOKUP(BB3408,'Unit Ops'!$B$140:$L$209,11,FALSE)=1,1,2)</f>
        <v>0</v>
      </c>
      <c r="BD3413" s="446" t="s">
        <v>454</v>
      </c>
      <c r="BE3413" s="443"/>
      <c r="BF3413" s="440"/>
      <c r="CA3413" s="114" t="str">
        <f>$CB$57</f>
        <v>Filter press</v>
      </c>
      <c r="CB3413" s="436" t="s">
        <v>507</v>
      </c>
      <c r="CC3413" s="225">
        <f>(VLOOKUP(CB3408,'Unit Ops'!$B$140:$J$209,7,FALSE)*CC3410^VLOOKUP(CB3408,'Unit Ops'!$B$140:$J$209,8,FALSE)+VLOOKUP(CB3408,'Unit Ops'!$B$140:$J$209,9,FALSE))*IF(VLOOKUP(CB3408,'Unit Ops'!$B$140:$L$209,11,FALSE)=1,1,2)</f>
        <v>0</v>
      </c>
      <c r="CD3413" s="446" t="s">
        <v>454</v>
      </c>
      <c r="CE3413" s="443"/>
      <c r="CF3413" s="440"/>
      <c r="DA3413" s="114" t="str">
        <f>$DB$57</f>
        <v>Froth flotation cell</v>
      </c>
      <c r="DB3413" s="436" t="s">
        <v>507</v>
      </c>
      <c r="DC3413" s="225">
        <f>(VLOOKUP(DB3408,'Unit Ops'!$B$140:$J$209,7,FALSE)*DC3410^VLOOKUP(DB3408,'Unit Ops'!$B$140:$J$209,8,FALSE)+VLOOKUP(DB3408,'Unit Ops'!$B$140:$J$209,9,FALSE))*IF(VLOOKUP(DB3408,'Unit Ops'!$B$140:$L$209,11,FALSE)=1,1,2)</f>
        <v>0</v>
      </c>
      <c r="DD3413" s="446" t="s">
        <v>454</v>
      </c>
      <c r="DE3413" s="443"/>
      <c r="DF3413" s="440"/>
      <c r="EA3413" s="114" t="str">
        <f>$EB$59</f>
        <v>Filter press</v>
      </c>
      <c r="EB3413" s="436" t="s">
        <v>507</v>
      </c>
      <c r="EC3413" s="225">
        <f>(VLOOKUP(EB3408,'Unit Ops'!$B$140:$J$209,7,FALSE)*EC3410^VLOOKUP(EB3408,'Unit Ops'!$B$140:$J$209,8,FALSE)+VLOOKUP(EB3408,'Unit Ops'!$B$140:$J$209,9,FALSE))*IF(VLOOKUP(EB3408,'Unit Ops'!$B$140:$L$209,11,FALSE)=1,1,2)</f>
        <v>0</v>
      </c>
      <c r="ED3413" s="446" t="s">
        <v>454</v>
      </c>
      <c r="EE3413" s="443"/>
      <c r="EF3413" s="440"/>
    </row>
    <row r="3414" spans="53:136">
      <c r="BA3414" s="114" t="str">
        <f>$BB$58</f>
        <v>Conveyor</v>
      </c>
      <c r="BB3414" s="441"/>
      <c r="BC3414" s="445"/>
      <c r="BD3414" s="447"/>
      <c r="BE3414" s="443"/>
      <c r="BF3414" s="440"/>
      <c r="CA3414" s="114" t="str">
        <f>$CB$58</f>
        <v>Solvent extraction unit</v>
      </c>
      <c r="CB3414" s="441"/>
      <c r="CC3414" s="445"/>
      <c r="CD3414" s="447"/>
      <c r="CE3414" s="443"/>
      <c r="CF3414" s="440"/>
      <c r="DA3414" s="114" t="str">
        <f>$DB$58</f>
        <v>Filter press</v>
      </c>
      <c r="DB3414" s="441"/>
      <c r="DC3414" s="445"/>
      <c r="DD3414" s="447"/>
      <c r="DE3414" s="443"/>
      <c r="DF3414" s="440"/>
      <c r="EA3414" s="114" t="str">
        <f>$EB$60</f>
        <v>Solvent extraction unit</v>
      </c>
      <c r="EB3414" s="441"/>
      <c r="EC3414" s="445"/>
      <c r="ED3414" s="447"/>
      <c r="EE3414" s="443"/>
      <c r="EF3414" s="440"/>
    </row>
    <row r="3415" spans="53:136">
      <c r="BA3415" s="114" t="str">
        <f>$BB$59</f>
        <v>Granulator</v>
      </c>
      <c r="BB3415" s="441"/>
      <c r="BC3415" s="445"/>
      <c r="BD3415" s="447"/>
      <c r="BE3415" s="443"/>
      <c r="BF3415" s="440"/>
      <c r="CA3415" s="114" t="str">
        <f>$CB$59</f>
        <v>Solvent extraction unit</v>
      </c>
      <c r="CB3415" s="441"/>
      <c r="CC3415" s="445"/>
      <c r="CD3415" s="447"/>
      <c r="CE3415" s="443"/>
      <c r="CF3415" s="440"/>
      <c r="DA3415" s="114" t="str">
        <f>$DB$59</f>
        <v>Dryer</v>
      </c>
      <c r="DB3415" s="441"/>
      <c r="DC3415" s="445"/>
      <c r="DD3415" s="447"/>
      <c r="DE3415" s="443"/>
      <c r="DF3415" s="440"/>
      <c r="EA3415" s="114" t="str">
        <f>$EB$61</f>
        <v>Solvent extraction unit</v>
      </c>
      <c r="EB3415" s="441"/>
      <c r="EC3415" s="445"/>
      <c r="ED3415" s="447"/>
      <c r="EE3415" s="443"/>
      <c r="EF3415" s="440"/>
    </row>
    <row r="3416" spans="53:136">
      <c r="BA3416" s="114" t="str">
        <f>$BB$60</f>
        <v>Leaching tank</v>
      </c>
      <c r="BB3416" s="449"/>
      <c r="BC3416" s="445"/>
      <c r="BD3416" s="447"/>
      <c r="BE3416" s="443"/>
      <c r="BF3416" s="440"/>
      <c r="CA3416" s="114" t="str">
        <f>$CB$60</f>
        <v>Solvent extraction unit</v>
      </c>
      <c r="CB3416" s="449"/>
      <c r="CC3416" s="445"/>
      <c r="CD3416" s="447"/>
      <c r="CE3416" s="443"/>
      <c r="CF3416" s="440"/>
      <c r="DA3416" s="114" t="str">
        <f>$DB$60</f>
        <v>Ball mill</v>
      </c>
      <c r="DB3416" s="449"/>
      <c r="DC3416" s="445"/>
      <c r="DD3416" s="447"/>
      <c r="DE3416" s="443"/>
      <c r="DF3416" s="440"/>
      <c r="EA3416" s="114" t="str">
        <f>$EB$62</f>
        <v>Solvent extraction unit</v>
      </c>
      <c r="EB3416" s="449"/>
      <c r="EC3416" s="445"/>
      <c r="ED3416" s="447"/>
      <c r="EE3416" s="443"/>
      <c r="EF3416" s="440"/>
    </row>
    <row r="3417" spans="53:136" ht="14.5" thickBot="1">
      <c r="BA3417" s="114" t="str">
        <f>$BB$61</f>
        <v>Solvent extraction unit</v>
      </c>
      <c r="BB3417" s="450"/>
      <c r="BC3417" s="451"/>
      <c r="BD3417" s="451"/>
      <c r="BE3417" s="452"/>
      <c r="BF3417" s="453"/>
      <c r="CA3417" s="114" t="str">
        <f>$CB$61</f>
        <v>Evaporator</v>
      </c>
      <c r="CB3417" s="450"/>
      <c r="CC3417" s="451"/>
      <c r="CD3417" s="451"/>
      <c r="CE3417" s="452"/>
      <c r="CF3417" s="453"/>
      <c r="DA3417" s="114" t="str">
        <f>$DB$61</f>
        <v>Furnace+saggar handling system</v>
      </c>
      <c r="DB3417" s="450"/>
      <c r="DC3417" s="451"/>
      <c r="DD3417" s="451"/>
      <c r="DE3417" s="452"/>
      <c r="DF3417" s="453"/>
      <c r="EA3417" s="114" t="str">
        <f>$EB$63</f>
        <v>Evaporator</v>
      </c>
      <c r="EB3417" s="450"/>
      <c r="EC3417" s="451"/>
      <c r="ED3417" s="451"/>
      <c r="EE3417" s="452"/>
      <c r="EF3417" s="453"/>
    </row>
    <row r="3418" spans="53:136">
      <c r="BA3418" s="114" t="str">
        <f>$BB$62</f>
        <v>Electrowinning cell</v>
      </c>
      <c r="BB3418" s="449" t="s">
        <v>470</v>
      </c>
      <c r="BC3418" s="120"/>
      <c r="BD3418" s="454"/>
      <c r="BE3418" s="120"/>
      <c r="BF3418" s="440"/>
      <c r="CA3418" s="114" t="str">
        <f>$CB$62</f>
        <v>Precipitation tank</v>
      </c>
      <c r="CB3418" s="449" t="s">
        <v>470</v>
      </c>
      <c r="CC3418" s="120"/>
      <c r="CD3418" s="454"/>
      <c r="CE3418" s="120"/>
      <c r="CF3418" s="440"/>
      <c r="DA3418" s="114" t="str">
        <f>$DB$62</f>
        <v>Water treatment</v>
      </c>
      <c r="DB3418" s="449" t="s">
        <v>470</v>
      </c>
      <c r="DC3418" s="120"/>
      <c r="DD3418" s="454"/>
      <c r="DE3418" s="120"/>
      <c r="DF3418" s="440"/>
      <c r="EA3418" s="114" t="str">
        <f>$EB$64</f>
        <v>Precipitation tank</v>
      </c>
      <c r="EB3418" s="449" t="s">
        <v>470</v>
      </c>
      <c r="EC3418" s="120"/>
      <c r="ED3418" s="454"/>
      <c r="EE3418" s="120"/>
      <c r="EF3418" s="440"/>
    </row>
    <row r="3419" spans="53:136" ht="14.5" customHeight="1">
      <c r="BA3419" s="114" t="str">
        <f>$BB$63</f>
        <v>Solvent extraction unit</v>
      </c>
      <c r="BB3419" s="1698"/>
      <c r="BC3419" s="1699"/>
      <c r="BD3419" s="1699"/>
      <c r="BE3419" s="1699"/>
      <c r="BF3419" s="1700"/>
      <c r="CA3419" s="114" t="str">
        <f>$CB$63</f>
        <v>Centrifuge</v>
      </c>
      <c r="CB3419" s="1698"/>
      <c r="CC3419" s="1699"/>
      <c r="CD3419" s="1699"/>
      <c r="CE3419" s="1699"/>
      <c r="CF3419" s="1700"/>
      <c r="DA3419" s="114" t="str">
        <f>$DB$63</f>
        <v>Wheel loader</v>
      </c>
      <c r="DB3419" s="1698"/>
      <c r="DC3419" s="1699"/>
      <c r="DD3419" s="1699"/>
      <c r="DE3419" s="1699"/>
      <c r="DF3419" s="1700"/>
      <c r="EA3419" s="114" t="str">
        <f>$EB$65</f>
        <v>Centrifuge</v>
      </c>
      <c r="EB3419" s="1698"/>
      <c r="EC3419" s="1699"/>
      <c r="ED3419" s="1699"/>
      <c r="EE3419" s="1699"/>
      <c r="EF3419" s="1700"/>
    </row>
    <row r="3420" spans="53:136">
      <c r="BA3420" s="114" t="str">
        <f>$BB$64</f>
        <v>Solvent extraction unit</v>
      </c>
      <c r="BB3420" s="436"/>
      <c r="BC3420" s="120"/>
      <c r="BD3420" s="455"/>
      <c r="BE3420" s="120"/>
      <c r="BF3420" s="440"/>
      <c r="CA3420" s="114" t="str">
        <f>$CB$64</f>
        <v>Dryer</v>
      </c>
      <c r="CB3420" s="436"/>
      <c r="CC3420" s="120"/>
      <c r="CD3420" s="455"/>
      <c r="CE3420" s="120"/>
      <c r="CF3420" s="440"/>
      <c r="DA3420" s="114" t="str">
        <f>$DB$64</f>
        <v>Select Equipment</v>
      </c>
      <c r="DB3420" s="436"/>
      <c r="DC3420" s="120"/>
      <c r="DD3420" s="455"/>
      <c r="DE3420" s="120"/>
      <c r="DF3420" s="440"/>
      <c r="EA3420" s="114" t="str">
        <f>$EB$66</f>
        <v>Dryer</v>
      </c>
      <c r="EB3420" s="436"/>
      <c r="EC3420" s="120"/>
      <c r="ED3420" s="455"/>
      <c r="EE3420" s="120"/>
      <c r="EF3420" s="440"/>
    </row>
    <row r="3421" spans="53:136">
      <c r="BA3421" s="114" t="str">
        <f>$BB$65</f>
        <v>Wheel loader</v>
      </c>
      <c r="BB3421" s="436"/>
      <c r="BC3421" s="120"/>
      <c r="BD3421" s="455"/>
      <c r="BE3421" s="120"/>
      <c r="BF3421" s="440"/>
      <c r="CA3421" s="114" t="str">
        <f>$CB$65</f>
        <v>Water treatment</v>
      </c>
      <c r="CB3421" s="436"/>
      <c r="CC3421" s="120"/>
      <c r="CD3421" s="455"/>
      <c r="CE3421" s="120"/>
      <c r="CF3421" s="440"/>
      <c r="DA3421" s="114" t="str">
        <f>$DB$65</f>
        <v>Select Equipment</v>
      </c>
      <c r="DB3421" s="436"/>
      <c r="DC3421" s="120"/>
      <c r="DD3421" s="455"/>
      <c r="DE3421" s="120"/>
      <c r="DF3421" s="440"/>
      <c r="EA3421" s="114" t="str">
        <f>$EB$67</f>
        <v>Water treatment</v>
      </c>
      <c r="EB3421" s="436"/>
      <c r="EC3421" s="120"/>
      <c r="ED3421" s="455"/>
      <c r="EE3421" s="120"/>
      <c r="EF3421" s="440"/>
    </row>
    <row r="3422" spans="53:136">
      <c r="BA3422" s="114" t="str">
        <f>$BB$66</f>
        <v>Water treatment</v>
      </c>
      <c r="BB3422" s="456"/>
      <c r="BC3422" s="457"/>
      <c r="BD3422" s="457"/>
      <c r="BE3422" s="457"/>
      <c r="BF3422" s="458"/>
      <c r="CA3422" s="114" t="str">
        <f>$CB$66</f>
        <v>Wheel loader</v>
      </c>
      <c r="CB3422" s="456"/>
      <c r="CC3422" s="457"/>
      <c r="CD3422" s="457"/>
      <c r="CE3422" s="457"/>
      <c r="CF3422" s="458"/>
      <c r="DA3422" s="114" t="str">
        <f>$DB$66</f>
        <v>Select Equipment</v>
      </c>
      <c r="DB3422" s="456"/>
      <c r="DC3422" s="457"/>
      <c r="DD3422" s="457"/>
      <c r="DE3422" s="457"/>
      <c r="DF3422" s="458"/>
      <c r="EA3422" s="114" t="str">
        <f>$EB$68</f>
        <v>Wheel loader</v>
      </c>
      <c r="EB3422" s="456"/>
      <c r="EC3422" s="457"/>
      <c r="ED3422" s="457"/>
      <c r="EE3422" s="457"/>
      <c r="EF3422" s="458"/>
    </row>
    <row r="3423" spans="53:136">
      <c r="BA3423" s="114" t="str">
        <f>$BB$67</f>
        <v>Select Equipment</v>
      </c>
      <c r="BB3423" s="449" t="s">
        <v>471</v>
      </c>
      <c r="BC3423" s="120"/>
      <c r="BD3423" s="454"/>
      <c r="BE3423" s="120"/>
      <c r="BF3423" s="440"/>
      <c r="CA3423" s="114" t="str">
        <f>$CB$67</f>
        <v>Select Equipment</v>
      </c>
      <c r="CB3423" s="449" t="s">
        <v>471</v>
      </c>
      <c r="CC3423" s="120"/>
      <c r="CD3423" s="454"/>
      <c r="CE3423" s="120"/>
      <c r="CF3423" s="440"/>
      <c r="DA3423" s="114" t="str">
        <f>$DB$67</f>
        <v>Select Equipment</v>
      </c>
      <c r="DB3423" s="449" t="s">
        <v>471</v>
      </c>
      <c r="DC3423" s="120"/>
      <c r="DD3423" s="454"/>
      <c r="DE3423" s="120"/>
      <c r="DF3423" s="440"/>
      <c r="EA3423" s="114" t="str">
        <f>$EB$69</f>
        <v>Select Equipment</v>
      </c>
      <c r="EB3423" s="449" t="s">
        <v>471</v>
      </c>
      <c r="EC3423" s="120"/>
      <c r="ED3423" s="454"/>
      <c r="EE3423" s="120"/>
      <c r="EF3423" s="440"/>
    </row>
    <row r="3424" spans="53:136">
      <c r="BA3424" s="114" t="str">
        <f>$BB$68</f>
        <v>Select Equipment</v>
      </c>
      <c r="BB3424" s="436" t="s">
        <v>577</v>
      </c>
      <c r="BC3424" s="225">
        <f>BC3413*IF(BC3411&gt;1,1,BC3411)</f>
        <v>0</v>
      </c>
      <c r="BD3424" s="446" t="s">
        <v>454</v>
      </c>
      <c r="BE3424" s="120"/>
      <c r="BF3424" s="440"/>
      <c r="CA3424" s="114" t="str">
        <f>$CB$68</f>
        <v>Select Equipment</v>
      </c>
      <c r="CB3424" s="436" t="s">
        <v>577</v>
      </c>
      <c r="CC3424" s="225">
        <f>CC3413*IF(CC3411&gt;1,1,CC3411)</f>
        <v>0</v>
      </c>
      <c r="CD3424" s="446" t="s">
        <v>454</v>
      </c>
      <c r="CE3424" s="120"/>
      <c r="CF3424" s="440"/>
      <c r="DA3424" s="114" t="str">
        <f>$DB$68</f>
        <v>Select Equipment</v>
      </c>
      <c r="DB3424" s="436" t="s">
        <v>577</v>
      </c>
      <c r="DC3424" s="225">
        <f>DC3413*IF(DC3411&gt;1,1,DC3411)</f>
        <v>0</v>
      </c>
      <c r="DD3424" s="446" t="s">
        <v>454</v>
      </c>
      <c r="DE3424" s="120"/>
      <c r="DF3424" s="440"/>
      <c r="EA3424" s="114" t="str">
        <f>$EB$70</f>
        <v>Select Equipment</v>
      </c>
      <c r="EB3424" s="436" t="s">
        <v>577</v>
      </c>
      <c r="EC3424" s="225">
        <f>EC3413*IF(EC3411&gt;1,1,EC3411)</f>
        <v>0</v>
      </c>
      <c r="ED3424" s="446" t="s">
        <v>454</v>
      </c>
      <c r="EE3424" s="120"/>
      <c r="EF3424" s="440"/>
    </row>
    <row r="3425" spans="53:136">
      <c r="BA3425" s="114" t="str">
        <f>$BB$69</f>
        <v>Select Equipment</v>
      </c>
      <c r="BB3425" s="436" t="s">
        <v>578</v>
      </c>
      <c r="BC3425" s="225"/>
      <c r="BD3425" s="446" t="s">
        <v>579</v>
      </c>
      <c r="BE3425" s="120"/>
      <c r="BF3425" s="440"/>
      <c r="CA3425" s="114" t="str">
        <f>$CB$69</f>
        <v>Select Equipment</v>
      </c>
      <c r="CB3425" s="436" t="s">
        <v>578</v>
      </c>
      <c r="CC3425" s="225"/>
      <c r="CD3425" s="446" t="s">
        <v>579</v>
      </c>
      <c r="CE3425" s="120"/>
      <c r="CF3425" s="440"/>
      <c r="DA3425" s="114" t="str">
        <f>$DB$69</f>
        <v>Select Equipment</v>
      </c>
      <c r="DB3425" s="436" t="s">
        <v>578</v>
      </c>
      <c r="DC3425" s="225"/>
      <c r="DD3425" s="446" t="s">
        <v>579</v>
      </c>
      <c r="DE3425" s="120"/>
      <c r="DF3425" s="440"/>
      <c r="EA3425" s="114" t="str">
        <f>$EB$71</f>
        <v>Select Equipment</v>
      </c>
      <c r="EB3425" s="436" t="s">
        <v>578</v>
      </c>
      <c r="EC3425" s="225"/>
      <c r="ED3425" s="446" t="s">
        <v>579</v>
      </c>
      <c r="EE3425" s="120"/>
      <c r="EF3425" s="440"/>
    </row>
    <row r="3426" spans="53:136">
      <c r="BA3426" s="114" t="str">
        <f>$BB$70</f>
        <v>Select Equipment</v>
      </c>
      <c r="BB3426" s="436"/>
      <c r="BC3426" s="120"/>
      <c r="BD3426" s="446"/>
      <c r="BE3426" s="120"/>
      <c r="BF3426" s="440"/>
      <c r="CA3426" s="114" t="str">
        <f>$CB$70</f>
        <v>Select Equipment</v>
      </c>
      <c r="CB3426" s="436"/>
      <c r="CC3426" s="120"/>
      <c r="CD3426" s="446"/>
      <c r="CE3426" s="120"/>
      <c r="CF3426" s="440"/>
      <c r="DA3426" s="114" t="str">
        <f>$DB$70</f>
        <v>Select Equipment</v>
      </c>
      <c r="DB3426" s="436"/>
      <c r="DC3426" s="120"/>
      <c r="DD3426" s="446"/>
      <c r="DE3426" s="120"/>
      <c r="DF3426" s="440"/>
      <c r="EA3426" s="114" t="str">
        <f>$EB$72</f>
        <v>Select Equipment</v>
      </c>
      <c r="EB3426" s="436"/>
      <c r="EC3426" s="120"/>
      <c r="ED3426" s="446"/>
      <c r="EE3426" s="120"/>
      <c r="EF3426" s="440"/>
    </row>
    <row r="3427" spans="53:136">
      <c r="BA3427" s="114" t="str">
        <f>$BB$71</f>
        <v>Select Equipment</v>
      </c>
      <c r="BB3427" s="436" t="s">
        <v>8</v>
      </c>
      <c r="BC3427" s="120"/>
      <c r="BD3427" s="459" t="s">
        <v>564</v>
      </c>
      <c r="BE3427" s="120"/>
      <c r="BF3427" s="440"/>
      <c r="CA3427" s="114" t="str">
        <f>$CB$71</f>
        <v>Select Equipment</v>
      </c>
      <c r="CB3427" s="436" t="s">
        <v>8</v>
      </c>
      <c r="CC3427" s="120"/>
      <c r="CD3427" s="459" t="s">
        <v>564</v>
      </c>
      <c r="CE3427" s="120"/>
      <c r="CF3427" s="440"/>
      <c r="DA3427" s="114" t="str">
        <f>$DB$71</f>
        <v>Select Equipment</v>
      </c>
      <c r="DB3427" s="436" t="s">
        <v>8</v>
      </c>
      <c r="DC3427" s="120"/>
      <c r="DD3427" s="459" t="s">
        <v>564</v>
      </c>
      <c r="DE3427" s="120"/>
      <c r="DF3427" s="440"/>
      <c r="EA3427" s="114" t="str">
        <f>$EB$73</f>
        <v>Select Equipment</v>
      </c>
      <c r="EB3427" s="436" t="s">
        <v>8</v>
      </c>
      <c r="EC3427" s="120"/>
      <c r="ED3427" s="459" t="s">
        <v>564</v>
      </c>
      <c r="EE3427" s="120"/>
      <c r="EF3427" s="440"/>
    </row>
    <row r="3428" spans="53:136">
      <c r="BA3428" s="114" t="str">
        <f>$BB$72</f>
        <v>Select Equipment</v>
      </c>
      <c r="BB3428" s="436"/>
      <c r="BC3428" s="120"/>
      <c r="BD3428" s="459"/>
      <c r="BE3428" s="120"/>
      <c r="BF3428" s="440"/>
      <c r="CA3428" s="114" t="str">
        <f>$CB$72</f>
        <v>Select Equipment</v>
      </c>
      <c r="CB3428" s="436"/>
      <c r="CC3428" s="120"/>
      <c r="CD3428" s="459"/>
      <c r="CE3428" s="120"/>
      <c r="CF3428" s="440"/>
      <c r="DA3428" s="114" t="str">
        <f>$DB$72</f>
        <v>Select Equipment</v>
      </c>
      <c r="DB3428" s="436"/>
      <c r="DC3428" s="120"/>
      <c r="DD3428" s="459"/>
      <c r="DE3428" s="120"/>
      <c r="DF3428" s="440"/>
      <c r="EA3428" s="114" t="str">
        <f>$EB$74</f>
        <v>Select Equipment</v>
      </c>
      <c r="EB3428" s="436"/>
      <c r="EC3428" s="120"/>
      <c r="ED3428" s="459"/>
      <c r="EE3428" s="120"/>
      <c r="EF3428" s="440"/>
    </row>
    <row r="3429" spans="53:136">
      <c r="BA3429" s="114" t="str">
        <f>$BB$73</f>
        <v>Select Equipment</v>
      </c>
      <c r="BB3429" s="436" t="s">
        <v>7</v>
      </c>
      <c r="BC3429" s="120"/>
      <c r="BD3429" s="459" t="s">
        <v>564</v>
      </c>
      <c r="BE3429" s="120"/>
      <c r="BF3429" s="440"/>
      <c r="CA3429" s="114" t="str">
        <f>$CB$73</f>
        <v>Select Equipment</v>
      </c>
      <c r="CB3429" s="436" t="s">
        <v>7</v>
      </c>
      <c r="CC3429" s="120"/>
      <c r="CD3429" s="459" t="s">
        <v>564</v>
      </c>
      <c r="CE3429" s="120"/>
      <c r="CF3429" s="440"/>
      <c r="DA3429" s="114" t="str">
        <f>$DB$73</f>
        <v>Select Equipment</v>
      </c>
      <c r="DB3429" s="436" t="s">
        <v>7</v>
      </c>
      <c r="DC3429" s="120"/>
      <c r="DD3429" s="459" t="s">
        <v>564</v>
      </c>
      <c r="DE3429" s="120"/>
      <c r="DF3429" s="440"/>
      <c r="EA3429" s="114" t="str">
        <f>$EB$75</f>
        <v>Select Equipment</v>
      </c>
      <c r="EB3429" s="436" t="s">
        <v>7</v>
      </c>
      <c r="EC3429" s="120"/>
      <c r="ED3429" s="459" t="s">
        <v>564</v>
      </c>
      <c r="EE3429" s="120"/>
      <c r="EF3429" s="440"/>
    </row>
    <row r="3430" spans="53:136">
      <c r="BA3430" s="114" t="str">
        <f>$BB$74</f>
        <v>Select Equipment</v>
      </c>
      <c r="BB3430" s="436"/>
      <c r="BC3430" s="120"/>
      <c r="BD3430" s="459"/>
      <c r="BE3430" s="120"/>
      <c r="BF3430" s="440"/>
      <c r="CA3430" s="114" t="str">
        <f>$CB$74</f>
        <v>Select Equipment</v>
      </c>
      <c r="CB3430" s="436"/>
      <c r="CC3430" s="120"/>
      <c r="CD3430" s="459"/>
      <c r="CE3430" s="120"/>
      <c r="CF3430" s="440"/>
      <c r="DA3430" s="114" t="str">
        <f>$DB$74</f>
        <v>Select Equipment</v>
      </c>
      <c r="DB3430" s="436"/>
      <c r="DC3430" s="120"/>
      <c r="DD3430" s="459"/>
      <c r="DE3430" s="120"/>
      <c r="DF3430" s="440"/>
      <c r="EA3430" s="114" t="str">
        <f>$EB$76</f>
        <v>Select Equipment</v>
      </c>
      <c r="EB3430" s="436"/>
      <c r="EC3430" s="120"/>
      <c r="ED3430" s="459"/>
      <c r="EE3430" s="120"/>
      <c r="EF3430" s="440"/>
    </row>
    <row r="3431" spans="53:136">
      <c r="BA3431" s="114" t="str">
        <f>$BB$75</f>
        <v>Select Equipment</v>
      </c>
      <c r="BB3431" s="436" t="s">
        <v>9</v>
      </c>
      <c r="BC3431" s="120"/>
      <c r="BD3431" s="459" t="s">
        <v>564</v>
      </c>
      <c r="BE3431" s="120"/>
      <c r="BF3431" s="440"/>
      <c r="CA3431" s="114" t="str">
        <f>$CB$75</f>
        <v>Select Equipment</v>
      </c>
      <c r="CB3431" s="436" t="s">
        <v>9</v>
      </c>
      <c r="CC3431" s="120"/>
      <c r="CD3431" s="459" t="s">
        <v>564</v>
      </c>
      <c r="CE3431" s="120"/>
      <c r="CF3431" s="440"/>
      <c r="DA3431" s="114" t="str">
        <f>$DB$75</f>
        <v>Select Equipment</v>
      </c>
      <c r="DB3431" s="436" t="s">
        <v>9</v>
      </c>
      <c r="DC3431" s="120"/>
      <c r="DD3431" s="459" t="s">
        <v>564</v>
      </c>
      <c r="DE3431" s="120"/>
      <c r="DF3431" s="440"/>
      <c r="EA3431" s="114" t="str">
        <f>$EB$77</f>
        <v>Select Equipment</v>
      </c>
      <c r="EB3431" s="436" t="s">
        <v>9</v>
      </c>
      <c r="EC3431" s="120"/>
      <c r="ED3431" s="459" t="s">
        <v>564</v>
      </c>
      <c r="EE3431" s="120"/>
      <c r="EF3431" s="440"/>
    </row>
    <row r="3432" spans="53:136">
      <c r="BA3432" s="114" t="str">
        <f>$BB$76</f>
        <v>Select Equipment</v>
      </c>
      <c r="BB3432" s="436"/>
      <c r="BC3432" s="120"/>
      <c r="BD3432" s="459"/>
      <c r="BE3432" s="120"/>
      <c r="BF3432" s="440"/>
      <c r="CA3432" s="114" t="str">
        <f>$CB$76</f>
        <v>Select Equipment</v>
      </c>
      <c r="CB3432" s="436"/>
      <c r="CC3432" s="120"/>
      <c r="CD3432" s="459"/>
      <c r="CE3432" s="120"/>
      <c r="CF3432" s="440"/>
      <c r="DA3432" s="114" t="str">
        <f>$DB$76</f>
        <v>Select Equipment</v>
      </c>
      <c r="DB3432" s="436"/>
      <c r="DC3432" s="120"/>
      <c r="DD3432" s="459"/>
      <c r="DE3432" s="120"/>
      <c r="DF3432" s="440"/>
      <c r="EA3432" s="114" t="str">
        <f>$EB$78</f>
        <v>Select Equipment</v>
      </c>
      <c r="EB3432" s="436"/>
      <c r="EC3432" s="120"/>
      <c r="ED3432" s="459"/>
      <c r="EE3432" s="120"/>
      <c r="EF3432" s="440"/>
    </row>
    <row r="3433" spans="53:136">
      <c r="BA3433" s="114" t="str">
        <f>$BB$77</f>
        <v>Select Equipment</v>
      </c>
      <c r="BB3433" s="436" t="s">
        <v>324</v>
      </c>
      <c r="BC3433" s="120"/>
      <c r="BD3433" s="459" t="s">
        <v>564</v>
      </c>
      <c r="BE3433" s="120"/>
      <c r="BF3433" s="440" t="s">
        <v>569</v>
      </c>
      <c r="CA3433" s="114" t="str">
        <f>$CB$77</f>
        <v>Select Equipment</v>
      </c>
      <c r="CB3433" s="436" t="s">
        <v>324</v>
      </c>
      <c r="CC3433" s="120"/>
      <c r="CD3433" s="459" t="s">
        <v>564</v>
      </c>
      <c r="CE3433" s="120"/>
      <c r="CF3433" s="440" t="s">
        <v>569</v>
      </c>
      <c r="DA3433" s="114" t="str">
        <f>$DB$77</f>
        <v>Select Equipment</v>
      </c>
      <c r="DB3433" s="436" t="s">
        <v>324</v>
      </c>
      <c r="DC3433" s="120"/>
      <c r="DD3433" s="459" t="s">
        <v>564</v>
      </c>
      <c r="DE3433" s="120"/>
      <c r="DF3433" s="440" t="s">
        <v>569</v>
      </c>
      <c r="EA3433" s="114" t="str">
        <f>$EB$79</f>
        <v>Select Equipment</v>
      </c>
      <c r="EB3433" s="436" t="s">
        <v>324</v>
      </c>
      <c r="EC3433" s="120"/>
      <c r="ED3433" s="459" t="s">
        <v>564</v>
      </c>
      <c r="EE3433" s="120"/>
      <c r="EF3433" s="440" t="s">
        <v>569</v>
      </c>
    </row>
    <row r="3434" spans="53:136">
      <c r="BA3434" s="114" t="str">
        <f>$BB$78</f>
        <v>Select Equipment</v>
      </c>
      <c r="BB3434" s="436"/>
      <c r="BC3434" s="120"/>
      <c r="BD3434" s="468"/>
      <c r="BE3434" s="469"/>
      <c r="BF3434" s="440"/>
      <c r="CA3434" s="114" t="str">
        <f>$CB$78</f>
        <v>Select Equipment</v>
      </c>
      <c r="CB3434" s="436"/>
      <c r="CC3434" s="120"/>
      <c r="CD3434" s="468"/>
      <c r="CE3434" s="469"/>
      <c r="CF3434" s="440"/>
      <c r="DA3434" s="114" t="str">
        <f>$DB$78</f>
        <v>Select Equipment</v>
      </c>
      <c r="DB3434" s="436"/>
      <c r="DC3434" s="120"/>
      <c r="DD3434" s="468"/>
      <c r="DE3434" s="469"/>
      <c r="DF3434" s="440"/>
      <c r="EA3434" s="114" t="str">
        <f>$EB$80</f>
        <v>Select Equipment</v>
      </c>
      <c r="EB3434" s="436"/>
      <c r="EC3434" s="120"/>
      <c r="ED3434" s="468"/>
      <c r="EE3434" s="469"/>
      <c r="EF3434" s="440"/>
    </row>
    <row r="3435" spans="53:136">
      <c r="BA3435" s="114" t="str">
        <f>$BB$79</f>
        <v>Select Equipment</v>
      </c>
      <c r="BB3435" s="436" t="s">
        <v>374</v>
      </c>
      <c r="BC3435" s="120"/>
      <c r="BD3435" s="459" t="s">
        <v>564</v>
      </c>
      <c r="BE3435" s="469"/>
      <c r="BF3435" s="440" t="s">
        <v>569</v>
      </c>
      <c r="CA3435" s="114" t="str">
        <f>$CB$79</f>
        <v>Select Equipment</v>
      </c>
      <c r="CB3435" s="436" t="s">
        <v>374</v>
      </c>
      <c r="CC3435" s="120"/>
      <c r="CD3435" s="459" t="s">
        <v>564</v>
      </c>
      <c r="CE3435" s="469"/>
      <c r="CF3435" s="440" t="s">
        <v>569</v>
      </c>
      <c r="DA3435" s="114" t="str">
        <f>$DB$79</f>
        <v>Select Equipment</v>
      </c>
      <c r="DB3435" s="436" t="s">
        <v>374</v>
      </c>
      <c r="DC3435" s="120"/>
      <c r="DD3435" s="459" t="s">
        <v>564</v>
      </c>
      <c r="DE3435" s="469"/>
      <c r="DF3435" s="440" t="s">
        <v>569</v>
      </c>
      <c r="EA3435" s="114" t="str">
        <f>$EB$81</f>
        <v>Select Equipment</v>
      </c>
      <c r="EB3435" s="436" t="s">
        <v>374</v>
      </c>
      <c r="EC3435" s="120"/>
      <c r="ED3435" s="459" t="s">
        <v>564</v>
      </c>
      <c r="EE3435" s="469"/>
      <c r="EF3435" s="440" t="s">
        <v>569</v>
      </c>
    </row>
    <row r="3436" spans="53:136">
      <c r="BA3436" s="114" t="str">
        <f>$BB$80</f>
        <v>Select Equipment</v>
      </c>
      <c r="BB3436" s="436"/>
      <c r="BC3436" s="120"/>
      <c r="BD3436" s="472"/>
      <c r="BE3436" s="473"/>
      <c r="BF3436" s="440"/>
      <c r="CA3436" s="114" t="str">
        <f>$CB$80</f>
        <v>Select Equipment</v>
      </c>
      <c r="CB3436" s="436"/>
      <c r="CC3436" s="120"/>
      <c r="CD3436" s="472"/>
      <c r="CE3436" s="473"/>
      <c r="CF3436" s="440"/>
      <c r="DA3436" s="114" t="str">
        <f>$DB$80</f>
        <v>Select Equipment</v>
      </c>
      <c r="DB3436" s="436"/>
      <c r="DC3436" s="120"/>
      <c r="DD3436" s="472"/>
      <c r="DE3436" s="473"/>
      <c r="DF3436" s="440"/>
      <c r="EA3436" s="114" t="str">
        <f>$EB$82</f>
        <v>Select Equipment</v>
      </c>
      <c r="EB3436" s="436"/>
      <c r="EC3436" s="120"/>
      <c r="ED3436" s="472"/>
      <c r="EE3436" s="473"/>
      <c r="EF3436" s="440"/>
    </row>
    <row r="3437" spans="53:136">
      <c r="BA3437" s="114" t="str">
        <f>$BB$81</f>
        <v>Select Equipment</v>
      </c>
      <c r="BB3437" s="436" t="s">
        <v>580</v>
      </c>
      <c r="BC3437" s="120"/>
      <c r="BD3437" s="459" t="s">
        <v>564</v>
      </c>
      <c r="BE3437" s="473"/>
      <c r="BF3437" s="440" t="s">
        <v>569</v>
      </c>
      <c r="CA3437" s="114" t="str">
        <f>$CB$81</f>
        <v>Select Equipment</v>
      </c>
      <c r="CB3437" s="436" t="s">
        <v>580</v>
      </c>
      <c r="CC3437" s="120"/>
      <c r="CD3437" s="459" t="s">
        <v>564</v>
      </c>
      <c r="CE3437" s="473"/>
      <c r="CF3437" s="440" t="s">
        <v>569</v>
      </c>
      <c r="DA3437" s="114" t="str">
        <f>$DB$81</f>
        <v>Select Equipment</v>
      </c>
      <c r="DB3437" s="436" t="s">
        <v>580</v>
      </c>
      <c r="DC3437" s="120"/>
      <c r="DD3437" s="459" t="s">
        <v>564</v>
      </c>
      <c r="DE3437" s="473"/>
      <c r="DF3437" s="440" t="s">
        <v>569</v>
      </c>
      <c r="EA3437" s="114" t="str">
        <f>$EB$83</f>
        <v>Select Equipment</v>
      </c>
      <c r="EB3437" s="436" t="s">
        <v>580</v>
      </c>
      <c r="EC3437" s="120"/>
      <c r="ED3437" s="459" t="s">
        <v>564</v>
      </c>
      <c r="EE3437" s="473"/>
      <c r="EF3437" s="440" t="s">
        <v>569</v>
      </c>
    </row>
    <row r="3438" spans="53:136">
      <c r="BA3438" s="114" t="str">
        <f>$BB$82</f>
        <v>Select Equipment</v>
      </c>
      <c r="BB3438" s="476"/>
      <c r="BC3438" s="477"/>
      <c r="BD3438" s="478"/>
      <c r="BE3438" s="479"/>
      <c r="BF3438" s="458"/>
      <c r="CA3438" s="114" t="str">
        <f>$CB$82</f>
        <v>Select Equipment</v>
      </c>
      <c r="CB3438" s="476"/>
      <c r="CC3438" s="477"/>
      <c r="CD3438" s="478"/>
      <c r="CE3438" s="479"/>
      <c r="CF3438" s="458"/>
      <c r="DA3438" s="114" t="str">
        <f>$DB$82</f>
        <v>Select Equipment</v>
      </c>
      <c r="DB3438" s="476"/>
      <c r="DC3438" s="477"/>
      <c r="DD3438" s="478"/>
      <c r="DE3438" s="479"/>
      <c r="DF3438" s="458"/>
      <c r="EA3438" s="114" t="str">
        <f>$EB$84</f>
        <v>Select Equipment</v>
      </c>
      <c r="EB3438" s="476"/>
      <c r="EC3438" s="477"/>
      <c r="ED3438" s="478"/>
      <c r="EE3438" s="479"/>
      <c r="EF3438" s="458"/>
    </row>
    <row r="3439" spans="53:136">
      <c r="BA3439" s="114" t="str">
        <f>$BB$83</f>
        <v>Select Equipment</v>
      </c>
      <c r="BB3439" s="449" t="s">
        <v>473</v>
      </c>
      <c r="BC3439" s="467" t="s">
        <v>508</v>
      </c>
      <c r="BD3439" s="480"/>
      <c r="BE3439" s="481" t="s">
        <v>308</v>
      </c>
      <c r="BF3439" s="440"/>
      <c r="CA3439" s="114" t="str">
        <f>$CB$83</f>
        <v>Select Equipment</v>
      </c>
      <c r="CB3439" s="449" t="s">
        <v>473</v>
      </c>
      <c r="CC3439" s="467" t="s">
        <v>508</v>
      </c>
      <c r="CD3439" s="480"/>
      <c r="CE3439" s="481" t="s">
        <v>308</v>
      </c>
      <c r="CF3439" s="440"/>
      <c r="DA3439" s="114" t="str">
        <f>$DB$83</f>
        <v>Select Equipment</v>
      </c>
      <c r="DB3439" s="449" t="s">
        <v>473</v>
      </c>
      <c r="DC3439" s="467" t="s">
        <v>508</v>
      </c>
      <c r="DD3439" s="480"/>
      <c r="DE3439" s="481" t="s">
        <v>308</v>
      </c>
      <c r="DF3439" s="440"/>
      <c r="EA3439" s="114" t="str">
        <f>$EB$85</f>
        <v>Select Equipment</v>
      </c>
      <c r="EB3439" s="449" t="s">
        <v>473</v>
      </c>
      <c r="EC3439" s="467" t="s">
        <v>508</v>
      </c>
      <c r="ED3439" s="480"/>
      <c r="EE3439" s="481" t="s">
        <v>308</v>
      </c>
      <c r="EF3439" s="440"/>
    </row>
    <row r="3440" spans="53:136">
      <c r="BB3440" s="436"/>
      <c r="BC3440" s="483"/>
      <c r="BD3440" s="480"/>
      <c r="BE3440" s="484"/>
      <c r="BF3440" s="440"/>
      <c r="CB3440" s="436"/>
      <c r="CC3440" s="483"/>
      <c r="CD3440" s="480"/>
      <c r="CE3440" s="484"/>
      <c r="CF3440" s="440"/>
      <c r="DB3440" s="436"/>
      <c r="DC3440" s="483"/>
      <c r="DD3440" s="480"/>
      <c r="DE3440" s="484"/>
      <c r="DF3440" s="440"/>
      <c r="EB3440" s="436"/>
      <c r="EC3440" s="483"/>
      <c r="ED3440" s="480"/>
      <c r="EE3440" s="484"/>
      <c r="EF3440" s="440"/>
    </row>
    <row r="3441" spans="54:136">
      <c r="BB3441" s="436"/>
      <c r="BC3441" s="120"/>
      <c r="BD3441" s="223"/>
      <c r="BE3441" s="467"/>
      <c r="BF3441" s="440"/>
      <c r="CB3441" s="436"/>
      <c r="CC3441" s="120"/>
      <c r="CD3441" s="223"/>
      <c r="CE3441" s="467"/>
      <c r="CF3441" s="440"/>
      <c r="DB3441" s="436"/>
      <c r="DC3441" s="120"/>
      <c r="DD3441" s="223"/>
      <c r="DE3441" s="467"/>
      <c r="DF3441" s="440"/>
      <c r="EB3441" s="436"/>
      <c r="EC3441" s="120"/>
      <c r="ED3441" s="223"/>
      <c r="EE3441" s="467"/>
      <c r="EF3441" s="440"/>
    </row>
    <row r="3442" spans="54:136">
      <c r="BB3442" s="436"/>
      <c r="BC3442" s="120"/>
      <c r="BD3442" s="466"/>
      <c r="BE3442" s="467"/>
      <c r="BF3442" s="440"/>
      <c r="CB3442" s="436"/>
      <c r="CC3442" s="120"/>
      <c r="CD3442" s="466"/>
      <c r="CE3442" s="467"/>
      <c r="CF3442" s="440"/>
      <c r="DB3442" s="436"/>
      <c r="DC3442" s="120"/>
      <c r="DD3442" s="466"/>
      <c r="DE3442" s="467"/>
      <c r="DF3442" s="440"/>
      <c r="EB3442" s="436"/>
      <c r="EC3442" s="120"/>
      <c r="ED3442" s="466"/>
      <c r="EE3442" s="467"/>
      <c r="EF3442" s="440"/>
    </row>
    <row r="3443" spans="54:136">
      <c r="BB3443" s="436"/>
      <c r="BC3443" s="120"/>
      <c r="BD3443" s="223"/>
      <c r="BE3443" s="467"/>
      <c r="BF3443" s="440"/>
      <c r="CB3443" s="436"/>
      <c r="CC3443" s="120"/>
      <c r="CD3443" s="223"/>
      <c r="CE3443" s="467"/>
      <c r="CF3443" s="440"/>
      <c r="DB3443" s="436"/>
      <c r="DC3443" s="120"/>
      <c r="DD3443" s="223"/>
      <c r="DE3443" s="467"/>
      <c r="DF3443" s="440"/>
      <c r="EB3443" s="436"/>
      <c r="EC3443" s="120"/>
      <c r="ED3443" s="223"/>
      <c r="EE3443" s="467"/>
      <c r="EF3443" s="440"/>
    </row>
    <row r="3444" spans="54:136">
      <c r="BB3444" s="436"/>
      <c r="BC3444" s="120"/>
      <c r="BD3444" s="223"/>
      <c r="BE3444" s="467"/>
      <c r="BF3444" s="440"/>
      <c r="CB3444" s="436"/>
      <c r="CC3444" s="120"/>
      <c r="CD3444" s="223"/>
      <c r="CE3444" s="467"/>
      <c r="CF3444" s="440"/>
      <c r="DB3444" s="436"/>
      <c r="DC3444" s="120"/>
      <c r="DD3444" s="223"/>
      <c r="DE3444" s="467"/>
      <c r="DF3444" s="440"/>
      <c r="EB3444" s="436"/>
      <c r="EC3444" s="120"/>
      <c r="ED3444" s="223"/>
      <c r="EE3444" s="467"/>
      <c r="EF3444" s="440"/>
    </row>
    <row r="3445" spans="54:136">
      <c r="BB3445" s="436"/>
      <c r="BC3445" s="120"/>
      <c r="BD3445" s="471"/>
      <c r="BE3445" s="467"/>
      <c r="BF3445" s="440"/>
      <c r="CB3445" s="436"/>
      <c r="CC3445" s="120"/>
      <c r="CD3445" s="471"/>
      <c r="CE3445" s="467"/>
      <c r="CF3445" s="440"/>
      <c r="DB3445" s="436"/>
      <c r="DC3445" s="120"/>
      <c r="DD3445" s="471"/>
      <c r="DE3445" s="467"/>
      <c r="DF3445" s="440"/>
      <c r="EB3445" s="436"/>
      <c r="EC3445" s="120"/>
      <c r="ED3445" s="471"/>
      <c r="EE3445" s="467"/>
      <c r="EF3445" s="440"/>
    </row>
    <row r="3446" spans="54:136">
      <c r="BB3446" s="436"/>
      <c r="BC3446" s="120"/>
      <c r="BD3446" s="223"/>
      <c r="BE3446" s="467"/>
      <c r="BF3446" s="440"/>
      <c r="CB3446" s="436"/>
      <c r="CC3446" s="120"/>
      <c r="CD3446" s="223"/>
      <c r="CE3446" s="467"/>
      <c r="CF3446" s="440"/>
      <c r="DB3446" s="436"/>
      <c r="DC3446" s="120"/>
      <c r="DD3446" s="223"/>
      <c r="DE3446" s="467"/>
      <c r="DF3446" s="440"/>
      <c r="EB3446" s="436"/>
      <c r="EC3446" s="120"/>
      <c r="ED3446" s="223"/>
      <c r="EE3446" s="467"/>
      <c r="EF3446" s="440"/>
    </row>
    <row r="3447" spans="54:136">
      <c r="BB3447" s="436"/>
      <c r="BC3447" s="120"/>
      <c r="BD3447" s="475"/>
      <c r="BE3447" s="467"/>
      <c r="BF3447" s="440"/>
      <c r="CB3447" s="436"/>
      <c r="CC3447" s="120"/>
      <c r="CD3447" s="475"/>
      <c r="CE3447" s="467"/>
      <c r="CF3447" s="440"/>
      <c r="DB3447" s="436"/>
      <c r="DC3447" s="120"/>
      <c r="DD3447" s="475"/>
      <c r="DE3447" s="467"/>
      <c r="DF3447" s="440"/>
      <c r="EB3447" s="436"/>
      <c r="EC3447" s="120"/>
      <c r="ED3447" s="475"/>
      <c r="EE3447" s="467"/>
      <c r="EF3447" s="440"/>
    </row>
    <row r="3448" spans="54:136">
      <c r="BB3448" s="436"/>
      <c r="BC3448" s="120"/>
      <c r="BD3448" s="223"/>
      <c r="BE3448" s="467"/>
      <c r="BF3448" s="440"/>
      <c r="CB3448" s="436"/>
      <c r="CC3448" s="120"/>
      <c r="CD3448" s="223"/>
      <c r="CE3448" s="467"/>
      <c r="CF3448" s="440"/>
      <c r="DB3448" s="436"/>
      <c r="DC3448" s="120"/>
      <c r="DD3448" s="223"/>
      <c r="DE3448" s="467"/>
      <c r="DF3448" s="440"/>
      <c r="EB3448" s="436"/>
      <c r="EC3448" s="120"/>
      <c r="ED3448" s="223"/>
      <c r="EE3448" s="467"/>
      <c r="EF3448" s="440"/>
    </row>
    <row r="3449" spans="54:136">
      <c r="BB3449" s="436"/>
      <c r="BC3449" s="120"/>
      <c r="BD3449" s="223"/>
      <c r="BE3449" s="467"/>
      <c r="BF3449" s="440"/>
      <c r="CB3449" s="436"/>
      <c r="CC3449" s="120"/>
      <c r="CD3449" s="223"/>
      <c r="CE3449" s="467"/>
      <c r="CF3449" s="440"/>
      <c r="DB3449" s="436"/>
      <c r="DC3449" s="120"/>
      <c r="DD3449" s="223"/>
      <c r="DE3449" s="467"/>
      <c r="DF3449" s="440"/>
      <c r="EB3449" s="436"/>
      <c r="EC3449" s="120"/>
      <c r="ED3449" s="223"/>
      <c r="EE3449" s="467"/>
      <c r="EF3449" s="440"/>
    </row>
    <row r="3450" spans="54:136">
      <c r="BB3450" s="436"/>
      <c r="BC3450" s="120"/>
      <c r="BD3450" s="223"/>
      <c r="BE3450" s="467"/>
      <c r="BF3450" s="440"/>
      <c r="CB3450" s="436"/>
      <c r="CC3450" s="120"/>
      <c r="CD3450" s="223"/>
      <c r="CE3450" s="467"/>
      <c r="CF3450" s="440"/>
      <c r="DB3450" s="436"/>
      <c r="DC3450" s="120"/>
      <c r="DD3450" s="223"/>
      <c r="DE3450" s="467"/>
      <c r="DF3450" s="440"/>
      <c r="EB3450" s="436"/>
      <c r="EC3450" s="120"/>
      <c r="ED3450" s="223"/>
      <c r="EE3450" s="467"/>
      <c r="EF3450" s="440"/>
    </row>
    <row r="3451" spans="54:136">
      <c r="BB3451" s="436"/>
      <c r="BC3451" s="120"/>
      <c r="BD3451" s="223"/>
      <c r="BE3451" s="467"/>
      <c r="BF3451" s="440"/>
      <c r="CB3451" s="436"/>
      <c r="CC3451" s="120"/>
      <c r="CD3451" s="223"/>
      <c r="CE3451" s="467"/>
      <c r="CF3451" s="440"/>
      <c r="DB3451" s="436"/>
      <c r="DC3451" s="120"/>
      <c r="DD3451" s="223"/>
      <c r="DE3451" s="467"/>
      <c r="DF3451" s="440"/>
      <c r="EB3451" s="436"/>
      <c r="EC3451" s="120"/>
      <c r="ED3451" s="223"/>
      <c r="EE3451" s="467"/>
      <c r="EF3451" s="440"/>
    </row>
    <row r="3452" spans="54:136">
      <c r="BB3452" s="436"/>
      <c r="BC3452" s="120"/>
      <c r="BD3452" s="120"/>
      <c r="BE3452" s="467"/>
      <c r="BF3452" s="440"/>
      <c r="CB3452" s="436"/>
      <c r="CC3452" s="120"/>
      <c r="CD3452" s="120"/>
      <c r="CE3452" s="467"/>
      <c r="CF3452" s="440"/>
      <c r="DB3452" s="436"/>
      <c r="DC3452" s="120"/>
      <c r="DD3452" s="120"/>
      <c r="DE3452" s="467"/>
      <c r="DF3452" s="440"/>
      <c r="EB3452" s="436"/>
      <c r="EC3452" s="120"/>
      <c r="ED3452" s="120"/>
      <c r="EE3452" s="467"/>
      <c r="EF3452" s="440"/>
    </row>
    <row r="3453" spans="54:136">
      <c r="BB3453" s="456"/>
      <c r="BC3453" s="457"/>
      <c r="BD3453" s="457"/>
      <c r="BE3453" s="477"/>
      <c r="BF3453" s="458"/>
      <c r="CB3453" s="456"/>
      <c r="CC3453" s="457"/>
      <c r="CD3453" s="457"/>
      <c r="CE3453" s="477"/>
      <c r="CF3453" s="458"/>
      <c r="DB3453" s="456"/>
      <c r="DC3453" s="457"/>
      <c r="DD3453" s="457"/>
      <c r="DE3453" s="477"/>
      <c r="DF3453" s="458"/>
      <c r="EB3453" s="456"/>
      <c r="EC3453" s="457"/>
      <c r="ED3453" s="457"/>
      <c r="EE3453" s="477"/>
      <c r="EF3453" s="458"/>
    </row>
    <row r="3454" spans="54:136">
      <c r="BB3454" s="449" t="s">
        <v>474</v>
      </c>
      <c r="BC3454" s="120"/>
      <c r="BD3454" s="120" t="s">
        <v>1</v>
      </c>
      <c r="BE3454" s="310" t="s">
        <v>307</v>
      </c>
      <c r="BF3454" s="440"/>
      <c r="CB3454" s="449" t="s">
        <v>474</v>
      </c>
      <c r="CC3454" s="120"/>
      <c r="CD3454" s="120" t="s">
        <v>1</v>
      </c>
      <c r="CE3454" s="310" t="s">
        <v>307</v>
      </c>
      <c r="CF3454" s="440"/>
      <c r="DB3454" s="449" t="s">
        <v>474</v>
      </c>
      <c r="DC3454" s="120"/>
      <c r="DD3454" s="120" t="s">
        <v>1</v>
      </c>
      <c r="DE3454" s="310" t="s">
        <v>307</v>
      </c>
      <c r="DF3454" s="440"/>
      <c r="EB3454" s="449" t="s">
        <v>474</v>
      </c>
      <c r="EC3454" s="120"/>
      <c r="ED3454" s="120" t="s">
        <v>1</v>
      </c>
      <c r="EE3454" s="310" t="s">
        <v>307</v>
      </c>
      <c r="EF3454" s="440"/>
    </row>
    <row r="3455" spans="54:136">
      <c r="BB3455" s="436"/>
      <c r="BC3455" s="223"/>
      <c r="BD3455" s="480"/>
      <c r="BE3455" s="484"/>
      <c r="BF3455" s="440"/>
      <c r="CB3455" s="436"/>
      <c r="CC3455" s="223"/>
      <c r="CD3455" s="480"/>
      <c r="CE3455" s="484"/>
      <c r="CF3455" s="440"/>
      <c r="DB3455" s="436"/>
      <c r="DC3455" s="223"/>
      <c r="DD3455" s="480"/>
      <c r="DE3455" s="484"/>
      <c r="DF3455" s="440"/>
      <c r="EB3455" s="436"/>
      <c r="EC3455" s="223"/>
      <c r="ED3455" s="480"/>
      <c r="EE3455" s="484"/>
      <c r="EF3455" s="440"/>
    </row>
    <row r="3456" spans="54:136">
      <c r="BB3456" s="436"/>
      <c r="BC3456" s="120"/>
      <c r="BD3456" s="120"/>
      <c r="BE3456" s="467"/>
      <c r="BF3456" s="440"/>
      <c r="CB3456" s="436"/>
      <c r="CC3456" s="120"/>
      <c r="CD3456" s="120"/>
      <c r="CE3456" s="467"/>
      <c r="CF3456" s="440"/>
      <c r="DB3456" s="436"/>
      <c r="DC3456" s="120"/>
      <c r="DD3456" s="120"/>
      <c r="DE3456" s="467"/>
      <c r="DF3456" s="440"/>
      <c r="EB3456" s="436"/>
      <c r="EC3456" s="120"/>
      <c r="ED3456" s="120"/>
      <c r="EE3456" s="467"/>
      <c r="EF3456" s="440"/>
    </row>
    <row r="3457" spans="54:136">
      <c r="BB3457" s="436"/>
      <c r="BC3457" s="120"/>
      <c r="BD3457" s="120"/>
      <c r="BE3457" s="467"/>
      <c r="BF3457" s="440"/>
      <c r="CB3457" s="436"/>
      <c r="CC3457" s="120"/>
      <c r="CD3457" s="120"/>
      <c r="CE3457" s="467"/>
      <c r="CF3457" s="440"/>
      <c r="DB3457" s="436"/>
      <c r="DC3457" s="120"/>
      <c r="DD3457" s="120"/>
      <c r="DE3457" s="467"/>
      <c r="DF3457" s="440"/>
      <c r="EB3457" s="436"/>
      <c r="EC3457" s="120"/>
      <c r="ED3457" s="120"/>
      <c r="EE3457" s="467"/>
      <c r="EF3457" s="440"/>
    </row>
    <row r="3458" spans="54:136">
      <c r="BB3458" s="436"/>
      <c r="BC3458" s="120"/>
      <c r="BD3458" s="120"/>
      <c r="BE3458" s="467"/>
      <c r="BF3458" s="440"/>
      <c r="CB3458" s="436"/>
      <c r="CC3458" s="120"/>
      <c r="CD3458" s="120"/>
      <c r="CE3458" s="467"/>
      <c r="CF3458" s="440"/>
      <c r="DB3458" s="436"/>
      <c r="DC3458" s="120"/>
      <c r="DD3458" s="120"/>
      <c r="DE3458" s="467"/>
      <c r="DF3458" s="440"/>
      <c r="EB3458" s="436"/>
      <c r="EC3458" s="120"/>
      <c r="ED3458" s="120"/>
      <c r="EE3458" s="467"/>
      <c r="EF3458" s="440"/>
    </row>
    <row r="3459" spans="54:136">
      <c r="BB3459" s="436"/>
      <c r="BC3459" s="120"/>
      <c r="BD3459" s="120"/>
      <c r="BE3459" s="467"/>
      <c r="BF3459" s="440"/>
      <c r="CB3459" s="436"/>
      <c r="CC3459" s="120"/>
      <c r="CD3459" s="120"/>
      <c r="CE3459" s="467"/>
      <c r="CF3459" s="440"/>
      <c r="DB3459" s="436"/>
      <c r="DC3459" s="120"/>
      <c r="DD3459" s="120"/>
      <c r="DE3459" s="467"/>
      <c r="DF3459" s="440"/>
      <c r="EB3459" s="436"/>
      <c r="EC3459" s="120"/>
      <c r="ED3459" s="120"/>
      <c r="EE3459" s="467"/>
      <c r="EF3459" s="440"/>
    </row>
    <row r="3460" spans="54:136">
      <c r="BB3460" s="436"/>
      <c r="BC3460" s="120"/>
      <c r="BD3460" s="120"/>
      <c r="BE3460" s="467"/>
      <c r="BF3460" s="440"/>
      <c r="CB3460" s="436"/>
      <c r="CC3460" s="120"/>
      <c r="CD3460" s="120"/>
      <c r="CE3460" s="467"/>
      <c r="CF3460" s="440"/>
      <c r="DB3460" s="436"/>
      <c r="DC3460" s="120"/>
      <c r="DD3460" s="120"/>
      <c r="DE3460" s="467"/>
      <c r="DF3460" s="440"/>
      <c r="EB3460" s="436"/>
      <c r="EC3460" s="120"/>
      <c r="ED3460" s="120"/>
      <c r="EE3460" s="467"/>
      <c r="EF3460" s="440"/>
    </row>
    <row r="3461" spans="54:136">
      <c r="BB3461" s="436"/>
      <c r="BC3461" s="120"/>
      <c r="BD3461" s="120"/>
      <c r="BE3461" s="467"/>
      <c r="BF3461" s="440"/>
      <c r="CB3461" s="436"/>
      <c r="CC3461" s="120"/>
      <c r="CD3461" s="120"/>
      <c r="CE3461" s="467"/>
      <c r="CF3461" s="440"/>
      <c r="DB3461" s="436"/>
      <c r="DC3461" s="120"/>
      <c r="DD3461" s="120"/>
      <c r="DE3461" s="467"/>
      <c r="DF3461" s="440"/>
      <c r="EB3461" s="436"/>
      <c r="EC3461" s="120"/>
      <c r="ED3461" s="120"/>
      <c r="EE3461" s="467"/>
      <c r="EF3461" s="440"/>
    </row>
    <row r="3462" spans="54:136">
      <c r="BB3462" s="436"/>
      <c r="BC3462" s="120"/>
      <c r="BD3462" s="120"/>
      <c r="BE3462" s="467"/>
      <c r="BF3462" s="440"/>
      <c r="CB3462" s="436"/>
      <c r="CC3462" s="120"/>
      <c r="CD3462" s="120"/>
      <c r="CE3462" s="467"/>
      <c r="CF3462" s="440"/>
      <c r="DB3462" s="436"/>
      <c r="DC3462" s="120"/>
      <c r="DD3462" s="120"/>
      <c r="DE3462" s="467"/>
      <c r="DF3462" s="440"/>
      <c r="EB3462" s="436"/>
      <c r="EC3462" s="120"/>
      <c r="ED3462" s="120"/>
      <c r="EE3462" s="467"/>
      <c r="EF3462" s="440"/>
    </row>
    <row r="3463" spans="54:136">
      <c r="BB3463" s="436"/>
      <c r="BC3463" s="120"/>
      <c r="BD3463" s="120"/>
      <c r="BE3463" s="467"/>
      <c r="BF3463" s="440"/>
      <c r="CB3463" s="436"/>
      <c r="CC3463" s="120"/>
      <c r="CD3463" s="120"/>
      <c r="CE3463" s="467"/>
      <c r="CF3463" s="440"/>
      <c r="DB3463" s="436"/>
      <c r="DC3463" s="120"/>
      <c r="DD3463" s="120"/>
      <c r="DE3463" s="467"/>
      <c r="DF3463" s="440"/>
      <c r="EB3463" s="436"/>
      <c r="EC3463" s="120"/>
      <c r="ED3463" s="120"/>
      <c r="EE3463" s="467"/>
      <c r="EF3463" s="440"/>
    </row>
    <row r="3464" spans="54:136">
      <c r="BB3464" s="436"/>
      <c r="BC3464" s="120"/>
      <c r="BD3464" s="120"/>
      <c r="BE3464" s="467"/>
      <c r="BF3464" s="440"/>
      <c r="CB3464" s="436"/>
      <c r="CC3464" s="120"/>
      <c r="CD3464" s="120"/>
      <c r="CE3464" s="467"/>
      <c r="CF3464" s="440"/>
      <c r="DB3464" s="436"/>
      <c r="DC3464" s="120"/>
      <c r="DD3464" s="120"/>
      <c r="DE3464" s="467"/>
      <c r="DF3464" s="440"/>
      <c r="EB3464" s="436"/>
      <c r="EC3464" s="120"/>
      <c r="ED3464" s="120"/>
      <c r="EE3464" s="467"/>
      <c r="EF3464" s="440"/>
    </row>
    <row r="3465" spans="54:136">
      <c r="BB3465" s="436"/>
      <c r="BC3465" s="120"/>
      <c r="BD3465" s="120"/>
      <c r="BE3465" s="467"/>
      <c r="BF3465" s="440"/>
      <c r="CB3465" s="436"/>
      <c r="CC3465" s="120"/>
      <c r="CD3465" s="120"/>
      <c r="CE3465" s="467"/>
      <c r="CF3465" s="440"/>
      <c r="DB3465" s="436"/>
      <c r="DC3465" s="120"/>
      <c r="DD3465" s="120"/>
      <c r="DE3465" s="467"/>
      <c r="DF3465" s="440"/>
      <c r="EB3465" s="436"/>
      <c r="EC3465" s="120"/>
      <c r="ED3465" s="120"/>
      <c r="EE3465" s="467"/>
      <c r="EF3465" s="440"/>
    </row>
    <row r="3466" spans="54:136">
      <c r="BB3466" s="436"/>
      <c r="BC3466" s="120"/>
      <c r="BD3466" s="120"/>
      <c r="BE3466" s="467"/>
      <c r="BF3466" s="440"/>
      <c r="CB3466" s="436"/>
      <c r="CC3466" s="120"/>
      <c r="CD3466" s="120"/>
      <c r="CE3466" s="467"/>
      <c r="CF3466" s="440"/>
      <c r="DB3466" s="436"/>
      <c r="DC3466" s="120"/>
      <c r="DD3466" s="120"/>
      <c r="DE3466" s="467"/>
      <c r="DF3466" s="440"/>
      <c r="EB3466" s="436"/>
      <c r="EC3466" s="120"/>
      <c r="ED3466" s="120"/>
      <c r="EE3466" s="467"/>
      <c r="EF3466" s="440"/>
    </row>
    <row r="3467" spans="54:136">
      <c r="BB3467" s="456"/>
      <c r="BC3467" s="457"/>
      <c r="BD3467" s="457"/>
      <c r="BE3467" s="477"/>
      <c r="BF3467" s="458"/>
      <c r="CB3467" s="456"/>
      <c r="CC3467" s="457"/>
      <c r="CD3467" s="457"/>
      <c r="CE3467" s="477"/>
      <c r="CF3467" s="458"/>
      <c r="DB3467" s="456"/>
      <c r="DC3467" s="457"/>
      <c r="DD3467" s="457"/>
      <c r="DE3467" s="477"/>
      <c r="DF3467" s="458"/>
      <c r="EB3467" s="456"/>
      <c r="EC3467" s="457"/>
      <c r="ED3467" s="457"/>
      <c r="EE3467" s="477"/>
      <c r="EF3467" s="458"/>
    </row>
    <row r="3468" spans="54:136">
      <c r="BB3468" s="456"/>
      <c r="BC3468" s="457"/>
      <c r="BD3468" s="457"/>
      <c r="BE3468" s="457"/>
      <c r="BF3468" s="458"/>
      <c r="CB3468" s="456"/>
      <c r="CC3468" s="457"/>
      <c r="CD3468" s="457"/>
      <c r="CE3468" s="457"/>
      <c r="CF3468" s="458"/>
      <c r="DB3468" s="456"/>
      <c r="DC3468" s="457"/>
      <c r="DD3468" s="457"/>
      <c r="DE3468" s="457"/>
      <c r="DF3468" s="458"/>
      <c r="EB3468" s="456"/>
      <c r="EC3468" s="457"/>
      <c r="ED3468" s="457"/>
      <c r="EE3468" s="457"/>
      <c r="EF3468" s="458"/>
    </row>
    <row r="3469" spans="54:136">
      <c r="BB3469" s="449" t="s">
        <v>475</v>
      </c>
      <c r="BC3469" s="120"/>
      <c r="BD3469" s="120"/>
      <c r="BE3469" s="120"/>
      <c r="BF3469" s="440"/>
      <c r="CB3469" s="449" t="s">
        <v>475</v>
      </c>
      <c r="CC3469" s="120"/>
      <c r="CD3469" s="120"/>
      <c r="CE3469" s="120"/>
      <c r="CF3469" s="440"/>
      <c r="DB3469" s="449" t="s">
        <v>475</v>
      </c>
      <c r="DC3469" s="120"/>
      <c r="DD3469" s="120"/>
      <c r="DE3469" s="120"/>
      <c r="DF3469" s="440"/>
      <c r="EB3469" s="449" t="s">
        <v>475</v>
      </c>
      <c r="EC3469" s="120"/>
      <c r="ED3469" s="120"/>
      <c r="EE3469" s="120"/>
      <c r="EF3469" s="440"/>
    </row>
    <row r="3470" spans="54:136">
      <c r="BB3470" s="436" t="s">
        <v>509</v>
      </c>
      <c r="BC3470" s="120"/>
      <c r="BD3470" s="120"/>
      <c r="BE3470" s="120"/>
      <c r="BF3470" s="440"/>
      <c r="CB3470" s="436" t="s">
        <v>509</v>
      </c>
      <c r="CC3470" s="120"/>
      <c r="CD3470" s="120"/>
      <c r="CE3470" s="120"/>
      <c r="CF3470" s="440"/>
      <c r="DB3470" s="436" t="s">
        <v>509</v>
      </c>
      <c r="DC3470" s="120"/>
      <c r="DD3470" s="120"/>
      <c r="DE3470" s="120"/>
      <c r="DF3470" s="440"/>
      <c r="EB3470" s="436" t="s">
        <v>509</v>
      </c>
      <c r="EC3470" s="120"/>
      <c r="ED3470" s="120"/>
      <c r="EE3470" s="120"/>
      <c r="EF3470" s="440"/>
    </row>
    <row r="3471" spans="54:136">
      <c r="BB3471" s="436" t="s">
        <v>510</v>
      </c>
      <c r="BC3471" s="120"/>
      <c r="BD3471" s="120"/>
      <c r="BE3471" s="120"/>
      <c r="BF3471" s="440"/>
      <c r="CB3471" s="436" t="s">
        <v>510</v>
      </c>
      <c r="CC3471" s="120"/>
      <c r="CD3471" s="120"/>
      <c r="CE3471" s="120"/>
      <c r="CF3471" s="440"/>
      <c r="DB3471" s="436" t="s">
        <v>510</v>
      </c>
      <c r="DC3471" s="120"/>
      <c r="DD3471" s="120"/>
      <c r="DE3471" s="120"/>
      <c r="DF3471" s="440"/>
      <c r="EB3471" s="436" t="s">
        <v>510</v>
      </c>
      <c r="EC3471" s="120"/>
      <c r="ED3471" s="120"/>
      <c r="EE3471" s="120"/>
      <c r="EF3471" s="440"/>
    </row>
    <row r="3472" spans="54:136">
      <c r="BB3472" s="436"/>
      <c r="BC3472" s="120"/>
      <c r="BD3472" s="120"/>
      <c r="BE3472" s="120"/>
      <c r="BF3472" s="440"/>
      <c r="CB3472" s="436"/>
      <c r="CC3472" s="120"/>
      <c r="CD3472" s="120"/>
      <c r="CE3472" s="120"/>
      <c r="CF3472" s="440"/>
      <c r="DB3472" s="436"/>
      <c r="DC3472" s="120"/>
      <c r="DD3472" s="120"/>
      <c r="DE3472" s="120"/>
      <c r="DF3472" s="440"/>
      <c r="EB3472" s="436"/>
      <c r="EC3472" s="120"/>
      <c r="ED3472" s="120"/>
      <c r="EE3472" s="120"/>
      <c r="EF3472" s="440"/>
    </row>
    <row r="3473" spans="54:136">
      <c r="BB3473" s="436"/>
      <c r="BC3473" s="120"/>
      <c r="BD3473" s="120"/>
      <c r="BE3473" s="120"/>
      <c r="BF3473" s="440"/>
      <c r="CB3473" s="436"/>
      <c r="CC3473" s="120"/>
      <c r="CD3473" s="120"/>
      <c r="CE3473" s="120"/>
      <c r="CF3473" s="440"/>
      <c r="DB3473" s="436"/>
      <c r="DC3473" s="120"/>
      <c r="DD3473" s="120"/>
      <c r="DE3473" s="120"/>
      <c r="DF3473" s="440"/>
      <c r="EB3473" s="436"/>
      <c r="EC3473" s="120"/>
      <c r="ED3473" s="120"/>
      <c r="EE3473" s="120"/>
      <c r="EF3473" s="440"/>
    </row>
    <row r="3474" spans="54:136">
      <c r="BB3474" s="436"/>
      <c r="BC3474" s="120"/>
      <c r="BD3474" s="120"/>
      <c r="BE3474" s="120"/>
      <c r="BF3474" s="440"/>
      <c r="CB3474" s="436"/>
      <c r="CC3474" s="120"/>
      <c r="CD3474" s="120"/>
      <c r="CE3474" s="120"/>
      <c r="CF3474" s="440"/>
      <c r="DB3474" s="436"/>
      <c r="DC3474" s="120"/>
      <c r="DD3474" s="120"/>
      <c r="DE3474" s="120"/>
      <c r="DF3474" s="440"/>
      <c r="EB3474" s="436"/>
      <c r="EC3474" s="120"/>
      <c r="ED3474" s="120"/>
      <c r="EE3474" s="120"/>
      <c r="EF3474" s="440"/>
    </row>
    <row r="3475" spans="54:136">
      <c r="BB3475" s="436"/>
      <c r="BC3475" s="120"/>
      <c r="BD3475" s="120"/>
      <c r="BE3475" s="120"/>
      <c r="BF3475" s="440"/>
      <c r="CB3475" s="436"/>
      <c r="CC3475" s="120"/>
      <c r="CD3475" s="120"/>
      <c r="CE3475" s="120"/>
      <c r="CF3475" s="440"/>
      <c r="DB3475" s="436"/>
      <c r="DC3475" s="120"/>
      <c r="DD3475" s="120"/>
      <c r="DE3475" s="120"/>
      <c r="DF3475" s="440"/>
      <c r="EB3475" s="436"/>
      <c r="EC3475" s="120"/>
      <c r="ED3475" s="120"/>
      <c r="EE3475" s="120"/>
      <c r="EF3475" s="440"/>
    </row>
    <row r="3476" spans="54:136">
      <c r="BB3476" s="436" t="s">
        <v>511</v>
      </c>
      <c r="BC3476" s="120">
        <v>0</v>
      </c>
      <c r="BD3476" s="120" t="s">
        <v>512</v>
      </c>
      <c r="BE3476" s="120"/>
      <c r="BF3476" s="440"/>
      <c r="CB3476" s="436" t="s">
        <v>511</v>
      </c>
      <c r="CC3476" s="120">
        <v>0</v>
      </c>
      <c r="CD3476" s="120" t="s">
        <v>512</v>
      </c>
      <c r="CE3476" s="120"/>
      <c r="CF3476" s="440"/>
      <c r="DB3476" s="436" t="s">
        <v>511</v>
      </c>
      <c r="DC3476" s="120">
        <v>0</v>
      </c>
      <c r="DD3476" s="120" t="s">
        <v>512</v>
      </c>
      <c r="DE3476" s="120"/>
      <c r="DF3476" s="440"/>
      <c r="EB3476" s="436" t="s">
        <v>511</v>
      </c>
      <c r="EC3476" s="120">
        <v>0</v>
      </c>
      <c r="ED3476" s="120" t="s">
        <v>512</v>
      </c>
      <c r="EE3476" s="120"/>
      <c r="EF3476" s="440"/>
    </row>
    <row r="3477" spans="54:136">
      <c r="BB3477" s="436" t="s">
        <v>513</v>
      </c>
      <c r="BC3477" s="120">
        <v>0</v>
      </c>
      <c r="BD3477" s="120" t="s">
        <v>512</v>
      </c>
      <c r="BE3477" s="120"/>
      <c r="BF3477" s="440"/>
      <c r="CB3477" s="436" t="s">
        <v>513</v>
      </c>
      <c r="CC3477" s="120">
        <v>0</v>
      </c>
      <c r="CD3477" s="120" t="s">
        <v>512</v>
      </c>
      <c r="CE3477" s="120"/>
      <c r="CF3477" s="440"/>
      <c r="DB3477" s="436" t="s">
        <v>513</v>
      </c>
      <c r="DC3477" s="120">
        <v>0</v>
      </c>
      <c r="DD3477" s="120" t="s">
        <v>512</v>
      </c>
      <c r="DE3477" s="120"/>
      <c r="DF3477" s="440"/>
      <c r="EB3477" s="436" t="s">
        <v>513</v>
      </c>
      <c r="EC3477" s="120">
        <v>0</v>
      </c>
      <c r="ED3477" s="120" t="s">
        <v>512</v>
      </c>
      <c r="EE3477" s="120"/>
      <c r="EF3477" s="440"/>
    </row>
    <row r="3478" spans="54:136">
      <c r="BB3478" s="456"/>
      <c r="BC3478" s="457"/>
      <c r="BD3478" s="457"/>
      <c r="BE3478" s="457"/>
      <c r="BF3478" s="458"/>
      <c r="CB3478" s="456"/>
      <c r="CC3478" s="457"/>
      <c r="CD3478" s="457"/>
      <c r="CE3478" s="457"/>
      <c r="CF3478" s="458"/>
      <c r="DB3478" s="456"/>
      <c r="DC3478" s="457"/>
      <c r="DD3478" s="457"/>
      <c r="DE3478" s="457"/>
      <c r="DF3478" s="458"/>
      <c r="EB3478" s="456"/>
      <c r="EC3478" s="457"/>
      <c r="ED3478" s="457"/>
      <c r="EE3478" s="457"/>
      <c r="EF3478" s="458"/>
    </row>
    <row r="3479" spans="54:136">
      <c r="BB3479" s="449" t="s">
        <v>461</v>
      </c>
      <c r="BC3479" s="120"/>
      <c r="BD3479" s="120"/>
      <c r="BE3479" s="120"/>
      <c r="BF3479" s="440"/>
      <c r="CB3479" s="449" t="s">
        <v>461</v>
      </c>
      <c r="CC3479" s="120"/>
      <c r="CD3479" s="120"/>
      <c r="CE3479" s="120"/>
      <c r="CF3479" s="440"/>
      <c r="DB3479" s="449" t="s">
        <v>461</v>
      </c>
      <c r="DC3479" s="120"/>
      <c r="DD3479" s="120"/>
      <c r="DE3479" s="120"/>
      <c r="DF3479" s="440"/>
      <c r="EB3479" s="449" t="s">
        <v>461</v>
      </c>
      <c r="EC3479" s="120"/>
      <c r="ED3479" s="120"/>
      <c r="EE3479" s="120"/>
      <c r="EF3479" s="440"/>
    </row>
    <row r="3480" spans="54:136">
      <c r="BB3480" s="436" t="s">
        <v>514</v>
      </c>
      <c r="BC3480" s="120">
        <f>VLOOKUP(BB3408,'Unit Ops'!$B$140:$K$209,10,FALSE)</f>
        <v>0</v>
      </c>
      <c r="BD3480" s="120" t="s">
        <v>515</v>
      </c>
      <c r="BE3480" s="120"/>
      <c r="BF3480" s="440"/>
      <c r="CB3480" s="436" t="s">
        <v>514</v>
      </c>
      <c r="CC3480" s="120">
        <f>VLOOKUP(CB3408,'Unit Ops'!$B$140:$K$209,10,FALSE)</f>
        <v>0</v>
      </c>
      <c r="CD3480" s="120" t="s">
        <v>515</v>
      </c>
      <c r="CE3480" s="120"/>
      <c r="CF3480" s="440"/>
      <c r="DB3480" s="436" t="s">
        <v>514</v>
      </c>
      <c r="DC3480" s="120">
        <f>VLOOKUP(DB3408,'Unit Ops'!$B$140:$K$209,10,FALSE)</f>
        <v>0</v>
      </c>
      <c r="DD3480" s="120" t="s">
        <v>515</v>
      </c>
      <c r="DE3480" s="120"/>
      <c r="DF3480" s="440"/>
      <c r="EB3480" s="436" t="s">
        <v>514</v>
      </c>
      <c r="EC3480" s="120">
        <f>VLOOKUP(EB3408,'Unit Ops'!$B$140:$K$209,10,FALSE)</f>
        <v>0</v>
      </c>
      <c r="ED3480" s="120" t="s">
        <v>515</v>
      </c>
      <c r="EE3480" s="120"/>
      <c r="EF3480" s="440"/>
    </row>
    <row r="3481" spans="54:136">
      <c r="BB3481" s="436" t="s">
        <v>516</v>
      </c>
      <c r="BC3481" s="120">
        <v>0</v>
      </c>
      <c r="BD3481" s="120" t="s">
        <v>515</v>
      </c>
      <c r="BE3481" s="120"/>
      <c r="BF3481" s="440"/>
      <c r="CB3481" s="436" t="s">
        <v>516</v>
      </c>
      <c r="CC3481" s="120">
        <v>0</v>
      </c>
      <c r="CD3481" s="120" t="s">
        <v>515</v>
      </c>
      <c r="CE3481" s="120"/>
      <c r="CF3481" s="440"/>
      <c r="DB3481" s="436" t="s">
        <v>516</v>
      </c>
      <c r="DC3481" s="120">
        <v>0</v>
      </c>
      <c r="DD3481" s="120" t="s">
        <v>515</v>
      </c>
      <c r="DE3481" s="120"/>
      <c r="DF3481" s="440"/>
      <c r="EB3481" s="436" t="s">
        <v>516</v>
      </c>
      <c r="EC3481" s="120">
        <v>0</v>
      </c>
      <c r="ED3481" s="120" t="s">
        <v>515</v>
      </c>
      <c r="EE3481" s="120"/>
      <c r="EF3481" s="440"/>
    </row>
    <row r="3482" spans="54:136">
      <c r="BB3482" s="436"/>
      <c r="BC3482" s="120"/>
      <c r="BD3482" s="120"/>
      <c r="BE3482" s="120"/>
      <c r="BF3482" s="440"/>
      <c r="CB3482" s="436"/>
      <c r="CC3482" s="120"/>
      <c r="CD3482" s="120"/>
      <c r="CE3482" s="120"/>
      <c r="CF3482" s="440"/>
      <c r="DB3482" s="436"/>
      <c r="DC3482" s="120"/>
      <c r="DD3482" s="120"/>
      <c r="DE3482" s="120"/>
      <c r="DF3482" s="440"/>
      <c r="EB3482" s="436"/>
      <c r="EC3482" s="120"/>
      <c r="ED3482" s="120"/>
      <c r="EE3482" s="120"/>
      <c r="EF3482" s="440"/>
    </row>
    <row r="3483" spans="54:136">
      <c r="BB3483" s="436"/>
      <c r="BC3483" s="120"/>
      <c r="BD3483" s="120"/>
      <c r="BE3483" s="120"/>
      <c r="BF3483" s="440"/>
      <c r="CB3483" s="436"/>
      <c r="CC3483" s="120"/>
      <c r="CD3483" s="120"/>
      <c r="CE3483" s="120"/>
      <c r="CF3483" s="440"/>
      <c r="DB3483" s="436"/>
      <c r="DC3483" s="120"/>
      <c r="DD3483" s="120"/>
      <c r="DE3483" s="120"/>
      <c r="DF3483" s="440"/>
      <c r="EB3483" s="436"/>
      <c r="EC3483" s="120"/>
      <c r="ED3483" s="120"/>
      <c r="EE3483" s="120"/>
      <c r="EF3483" s="440"/>
    </row>
    <row r="3484" spans="54:136">
      <c r="BB3484" s="436"/>
      <c r="BC3484" s="120"/>
      <c r="BD3484" s="120"/>
      <c r="BE3484" s="120"/>
      <c r="BF3484" s="440"/>
      <c r="CB3484" s="436"/>
      <c r="CC3484" s="120"/>
      <c r="CD3484" s="120"/>
      <c r="CE3484" s="120"/>
      <c r="CF3484" s="440"/>
      <c r="DB3484" s="436"/>
      <c r="DC3484" s="120"/>
      <c r="DD3484" s="120"/>
      <c r="DE3484" s="120"/>
      <c r="DF3484" s="440"/>
      <c r="EB3484" s="436"/>
      <c r="EC3484" s="120"/>
      <c r="ED3484" s="120"/>
      <c r="EE3484" s="120"/>
      <c r="EF3484" s="440"/>
    </row>
    <row r="3485" spans="54:136">
      <c r="BB3485" s="436"/>
      <c r="BC3485" s="120"/>
      <c r="BD3485" s="120"/>
      <c r="BE3485" s="120"/>
      <c r="BF3485" s="440"/>
      <c r="CB3485" s="436"/>
      <c r="CC3485" s="120"/>
      <c r="CD3485" s="120"/>
      <c r="CE3485" s="120"/>
      <c r="CF3485" s="440"/>
      <c r="DB3485" s="436"/>
      <c r="DC3485" s="120"/>
      <c r="DD3485" s="120"/>
      <c r="DE3485" s="120"/>
      <c r="DF3485" s="440"/>
      <c r="EB3485" s="436"/>
      <c r="EC3485" s="120"/>
      <c r="ED3485" s="120"/>
      <c r="EE3485" s="120"/>
      <c r="EF3485" s="440"/>
    </row>
    <row r="3486" spans="54:136">
      <c r="BB3486" s="436"/>
      <c r="BC3486" s="120"/>
      <c r="BD3486" s="120"/>
      <c r="BE3486" s="120"/>
      <c r="BF3486" s="440"/>
      <c r="CB3486" s="436"/>
      <c r="CC3486" s="120"/>
      <c r="CD3486" s="120"/>
      <c r="CE3486" s="120"/>
      <c r="CF3486" s="440"/>
      <c r="DB3486" s="436"/>
      <c r="DC3486" s="120"/>
      <c r="DD3486" s="120"/>
      <c r="DE3486" s="120"/>
      <c r="DF3486" s="440"/>
      <c r="EB3486" s="436"/>
      <c r="EC3486" s="120"/>
      <c r="ED3486" s="120"/>
      <c r="EE3486" s="120"/>
      <c r="EF3486" s="440"/>
    </row>
    <row r="3487" spans="54:136">
      <c r="BB3487" s="436" t="s">
        <v>464</v>
      </c>
      <c r="BC3487" s="120"/>
      <c r="BD3487" s="120"/>
      <c r="BE3487" s="120"/>
      <c r="BF3487" s="440"/>
      <c r="CB3487" s="436" t="s">
        <v>464</v>
      </c>
      <c r="CC3487" s="120"/>
      <c r="CD3487" s="120"/>
      <c r="CE3487" s="120"/>
      <c r="CF3487" s="440"/>
      <c r="DB3487" s="436" t="s">
        <v>464</v>
      </c>
      <c r="DC3487" s="120"/>
      <c r="DD3487" s="120"/>
      <c r="DE3487" s="120"/>
      <c r="DF3487" s="440"/>
      <c r="EB3487" s="436" t="s">
        <v>464</v>
      </c>
      <c r="EC3487" s="120"/>
      <c r="ED3487" s="120"/>
      <c r="EE3487" s="120"/>
      <c r="EF3487" s="440"/>
    </row>
    <row r="3488" spans="54:136">
      <c r="BB3488" s="456"/>
      <c r="BC3488" s="457"/>
      <c r="BD3488" s="457"/>
      <c r="BE3488" s="457"/>
      <c r="BF3488" s="458"/>
      <c r="CB3488" s="456"/>
      <c r="CC3488" s="457"/>
      <c r="CD3488" s="457"/>
      <c r="CE3488" s="457"/>
      <c r="CF3488" s="458"/>
      <c r="DB3488" s="456"/>
      <c r="DC3488" s="457"/>
      <c r="DD3488" s="457"/>
      <c r="DE3488" s="457"/>
      <c r="DF3488" s="458"/>
      <c r="EB3488" s="456"/>
      <c r="EC3488" s="457"/>
      <c r="ED3488" s="457"/>
      <c r="EE3488" s="457"/>
      <c r="EF3488" s="458"/>
    </row>
    <row r="3489" spans="54:136">
      <c r="BB3489" s="449" t="s">
        <v>472</v>
      </c>
      <c r="BC3489" s="467" t="s">
        <v>517</v>
      </c>
      <c r="BD3489" s="120" t="s">
        <v>518</v>
      </c>
      <c r="BE3489" s="467" t="s">
        <v>519</v>
      </c>
      <c r="BF3489" s="440" t="s">
        <v>518</v>
      </c>
      <c r="CB3489" s="449" t="s">
        <v>472</v>
      </c>
      <c r="CC3489" s="467" t="s">
        <v>517</v>
      </c>
      <c r="CD3489" s="120" t="s">
        <v>518</v>
      </c>
      <c r="CE3489" s="467" t="s">
        <v>519</v>
      </c>
      <c r="CF3489" s="440" t="s">
        <v>518</v>
      </c>
      <c r="DB3489" s="449" t="s">
        <v>472</v>
      </c>
      <c r="DC3489" s="467" t="s">
        <v>517</v>
      </c>
      <c r="DD3489" s="120" t="s">
        <v>518</v>
      </c>
      <c r="DE3489" s="467" t="s">
        <v>519</v>
      </c>
      <c r="DF3489" s="440" t="s">
        <v>518</v>
      </c>
      <c r="EB3489" s="449" t="s">
        <v>472</v>
      </c>
      <c r="EC3489" s="467" t="s">
        <v>517</v>
      </c>
      <c r="ED3489" s="120" t="s">
        <v>518</v>
      </c>
      <c r="EE3489" s="467" t="s">
        <v>519</v>
      </c>
      <c r="EF3489" s="440" t="s">
        <v>518</v>
      </c>
    </row>
    <row r="3490" spans="54:136">
      <c r="BB3490" s="436" t="s">
        <v>520</v>
      </c>
      <c r="BC3490" s="120"/>
      <c r="BD3490" s="120"/>
      <c r="BE3490" s="472">
        <f>((VLOOKUP(BB3408,'Unit Ops'!$B$140:$J$209,3,FALSE)*BC3410^VLOOKUP(BB3408,'Unit Ops'!$B$140:$J$209,4,FALSE)+VLOOKUP(BB3408,'Unit Ops'!$B$140:$J$209,5,FALSE))*VLOOKUP(BB3408,'Unit Ops'!$B$140:$J$209,6,FALSE))*IF(VLOOKUP(BB3408,'Unit Ops'!$B$140:$L$209,11,FALSE)=1,1,2)</f>
        <v>0</v>
      </c>
      <c r="BF3490" s="490">
        <f>$C$7</f>
        <v>2022</v>
      </c>
      <c r="CB3490" s="436" t="s">
        <v>520</v>
      </c>
      <c r="CC3490" s="120"/>
      <c r="CD3490" s="120"/>
      <c r="CE3490" s="472">
        <f>((VLOOKUP(CB3408,'Unit Ops'!$B$140:$J$209,3,FALSE)*CC3410^VLOOKUP(CB3408,'Unit Ops'!$B$140:$J$209,4,FALSE)+VLOOKUP(CB3408,'Unit Ops'!$B$140:$J$209,5,FALSE))*VLOOKUP(CB3408,'Unit Ops'!$B$140:$J$209,6,FALSE))*IF(VLOOKUP(CB3408,'Unit Ops'!$B$140:$L$209,11,FALSE)=1,1,2)</f>
        <v>0</v>
      </c>
      <c r="CF3490" s="490">
        <f>$C$7</f>
        <v>2022</v>
      </c>
      <c r="DB3490" s="436" t="s">
        <v>520</v>
      </c>
      <c r="DC3490" s="120"/>
      <c r="DD3490" s="120"/>
      <c r="DE3490" s="472">
        <f>((VLOOKUP(DB3408,'Unit Ops'!$B$140:$J$209,3,FALSE)*DC3410^VLOOKUP(DB3408,'Unit Ops'!$B$140:$J$209,4,FALSE)+VLOOKUP(DB3408,'Unit Ops'!$B$140:$J$209,5,FALSE))*VLOOKUP(DB3408,'Unit Ops'!$B$140:$J$209,6,FALSE))*IF(VLOOKUP(DB3408,'Unit Ops'!$B$140:$L$209,11,FALSE)=1,1,2)</f>
        <v>0</v>
      </c>
      <c r="DF3490" s="490">
        <f>$C$7</f>
        <v>2022</v>
      </c>
      <c r="EB3490" s="436" t="s">
        <v>520</v>
      </c>
      <c r="EC3490" s="120"/>
      <c r="ED3490" s="120"/>
      <c r="EE3490" s="472">
        <f>((VLOOKUP(EB3408,'Unit Ops'!$B$140:$J$209,3,FALSE)*EC3410^VLOOKUP(EB3408,'Unit Ops'!$B$140:$J$209,4,FALSE)+VLOOKUP(EB3408,'Unit Ops'!$B$140:$J$209,5,FALSE))*VLOOKUP(EB3408,'Unit Ops'!$B$140:$J$209,6,FALSE))*IF(VLOOKUP(EB3408,'Unit Ops'!$B$140:$L$209,11,FALSE)=1,1,2)</f>
        <v>0</v>
      </c>
      <c r="EF3490" s="490">
        <f>$C$7</f>
        <v>2022</v>
      </c>
    </row>
    <row r="3491" spans="54:136">
      <c r="BB3491" s="436"/>
      <c r="BC3491" s="120"/>
      <c r="BD3491" s="120"/>
      <c r="BE3491" s="120"/>
      <c r="BF3491" s="440"/>
      <c r="CB3491" s="436"/>
      <c r="CC3491" s="120"/>
      <c r="CD3491" s="120"/>
      <c r="CE3491" s="120"/>
      <c r="CF3491" s="440"/>
      <c r="DB3491" s="436"/>
      <c r="DC3491" s="120"/>
      <c r="DD3491" s="120"/>
      <c r="DE3491" s="120"/>
      <c r="DF3491" s="440"/>
      <c r="EB3491" s="436"/>
      <c r="EC3491" s="120"/>
      <c r="ED3491" s="120"/>
      <c r="EE3491" s="120"/>
      <c r="EF3491" s="440"/>
    </row>
    <row r="3492" spans="54:136">
      <c r="BB3492" s="436"/>
      <c r="BC3492" s="120"/>
      <c r="BD3492" s="120"/>
      <c r="BE3492" s="120"/>
      <c r="BF3492" s="440"/>
      <c r="CB3492" s="436"/>
      <c r="CC3492" s="120"/>
      <c r="CD3492" s="120"/>
      <c r="CE3492" s="120"/>
      <c r="CF3492" s="440"/>
      <c r="DB3492" s="436"/>
      <c r="DC3492" s="120"/>
      <c r="DD3492" s="120"/>
      <c r="DE3492" s="120"/>
      <c r="DF3492" s="440"/>
      <c r="EB3492" s="436"/>
      <c r="EC3492" s="120"/>
      <c r="ED3492" s="120"/>
      <c r="EE3492" s="120"/>
      <c r="EF3492" s="440"/>
    </row>
    <row r="3493" spans="54:136">
      <c r="BB3493" s="436"/>
      <c r="BC3493" s="120"/>
      <c r="BD3493" s="120"/>
      <c r="BE3493" s="120"/>
      <c r="BF3493" s="440"/>
      <c r="CB3493" s="436"/>
      <c r="CC3493" s="120"/>
      <c r="CD3493" s="120"/>
      <c r="CE3493" s="120"/>
      <c r="CF3493" s="440"/>
      <c r="DB3493" s="436"/>
      <c r="DC3493" s="120"/>
      <c r="DD3493" s="120"/>
      <c r="DE3493" s="120"/>
      <c r="DF3493" s="440"/>
      <c r="EB3493" s="436"/>
      <c r="EC3493" s="120"/>
      <c r="ED3493" s="120"/>
      <c r="EE3493" s="120"/>
      <c r="EF3493" s="440"/>
    </row>
    <row r="3494" spans="54:136">
      <c r="BB3494" s="436"/>
      <c r="BC3494" s="120"/>
      <c r="BD3494" s="120"/>
      <c r="BE3494" s="120"/>
      <c r="BF3494" s="440"/>
      <c r="CB3494" s="436"/>
      <c r="CC3494" s="120"/>
      <c r="CD3494" s="120"/>
      <c r="CE3494" s="120"/>
      <c r="CF3494" s="440"/>
      <c r="DB3494" s="436"/>
      <c r="DC3494" s="120"/>
      <c r="DD3494" s="120"/>
      <c r="DE3494" s="120"/>
      <c r="DF3494" s="440"/>
      <c r="EB3494" s="436"/>
      <c r="EC3494" s="120"/>
      <c r="ED3494" s="120"/>
      <c r="EE3494" s="120"/>
      <c r="EF3494" s="440"/>
    </row>
    <row r="3495" spans="54:136">
      <c r="BB3495" s="436"/>
      <c r="BC3495" s="120"/>
      <c r="BD3495" s="120"/>
      <c r="BE3495" s="120"/>
      <c r="BF3495" s="440"/>
      <c r="CB3495" s="436"/>
      <c r="CC3495" s="120"/>
      <c r="CD3495" s="120"/>
      <c r="CE3495" s="120"/>
      <c r="CF3495" s="440"/>
      <c r="DB3495" s="436"/>
      <c r="DC3495" s="120"/>
      <c r="DD3495" s="120"/>
      <c r="DE3495" s="120"/>
      <c r="DF3495" s="440"/>
      <c r="EB3495" s="436"/>
      <c r="EC3495" s="120"/>
      <c r="ED3495" s="120"/>
      <c r="EE3495" s="120"/>
      <c r="EF3495" s="440"/>
    </row>
    <row r="3496" spans="54:136">
      <c r="BB3496" s="436"/>
      <c r="BC3496" s="120"/>
      <c r="BD3496" s="120"/>
      <c r="BE3496" s="120"/>
      <c r="BF3496" s="440"/>
      <c r="CB3496" s="436"/>
      <c r="CC3496" s="120"/>
      <c r="CD3496" s="120"/>
      <c r="CE3496" s="120"/>
      <c r="CF3496" s="440"/>
      <c r="DB3496" s="436"/>
      <c r="DC3496" s="120"/>
      <c r="DD3496" s="120"/>
      <c r="DE3496" s="120"/>
      <c r="DF3496" s="440"/>
      <c r="EB3496" s="436"/>
      <c r="EC3496" s="120"/>
      <c r="ED3496" s="120"/>
      <c r="EE3496" s="120"/>
      <c r="EF3496" s="440"/>
    </row>
    <row r="3497" spans="54:136">
      <c r="BB3497" s="436"/>
      <c r="BC3497" s="120"/>
      <c r="BD3497" s="120"/>
      <c r="BE3497" s="120"/>
      <c r="BF3497" s="440"/>
      <c r="CB3497" s="436"/>
      <c r="CC3497" s="120"/>
      <c r="CD3497" s="120"/>
      <c r="CE3497" s="120"/>
      <c r="CF3497" s="440"/>
      <c r="DB3497" s="436"/>
      <c r="DC3497" s="120"/>
      <c r="DD3497" s="120"/>
      <c r="DE3497" s="120"/>
      <c r="DF3497" s="440"/>
      <c r="EB3497" s="436"/>
      <c r="EC3497" s="120"/>
      <c r="ED3497" s="120"/>
      <c r="EE3497" s="120"/>
      <c r="EF3497" s="440"/>
    </row>
    <row r="3498" spans="54:136">
      <c r="BB3498" s="436"/>
      <c r="BC3498" s="120"/>
      <c r="BD3498" s="120"/>
      <c r="BE3498" s="120"/>
      <c r="BF3498" s="440"/>
      <c r="CB3498" s="436"/>
      <c r="CC3498" s="120"/>
      <c r="CD3498" s="120"/>
      <c r="CE3498" s="120"/>
      <c r="CF3498" s="440"/>
      <c r="DB3498" s="436"/>
      <c r="DC3498" s="120"/>
      <c r="DD3498" s="120"/>
      <c r="DE3498" s="120"/>
      <c r="DF3498" s="440"/>
      <c r="EB3498" s="436"/>
      <c r="EC3498" s="120"/>
      <c r="ED3498" s="120"/>
      <c r="EE3498" s="120"/>
      <c r="EF3498" s="440"/>
    </row>
    <row r="3499" spans="54:136">
      <c r="BB3499" s="436"/>
      <c r="BC3499" s="120"/>
      <c r="BD3499" s="120"/>
      <c r="BE3499" s="120"/>
      <c r="BF3499" s="440"/>
      <c r="CB3499" s="436"/>
      <c r="CC3499" s="120"/>
      <c r="CD3499" s="120"/>
      <c r="CE3499" s="120"/>
      <c r="CF3499" s="440"/>
      <c r="DB3499" s="436"/>
      <c r="DC3499" s="120"/>
      <c r="DD3499" s="120"/>
      <c r="DE3499" s="120"/>
      <c r="DF3499" s="440"/>
      <c r="EB3499" s="436"/>
      <c r="EC3499" s="120"/>
      <c r="ED3499" s="120"/>
      <c r="EE3499" s="120"/>
      <c r="EF3499" s="440"/>
    </row>
    <row r="3500" spans="54:136">
      <c r="BB3500" s="436"/>
      <c r="BC3500" s="120"/>
      <c r="BD3500" s="120"/>
      <c r="BE3500" s="120"/>
      <c r="BF3500" s="440"/>
      <c r="CB3500" s="436"/>
      <c r="CC3500" s="120"/>
      <c r="CD3500" s="120"/>
      <c r="CE3500" s="120"/>
      <c r="CF3500" s="440"/>
      <c r="DB3500" s="436"/>
      <c r="DC3500" s="120"/>
      <c r="DD3500" s="120"/>
      <c r="DE3500" s="120"/>
      <c r="DF3500" s="440"/>
      <c r="EB3500" s="436"/>
      <c r="EC3500" s="120"/>
      <c r="ED3500" s="120"/>
      <c r="EE3500" s="120"/>
      <c r="EF3500" s="440"/>
    </row>
    <row r="3501" spans="54:136">
      <c r="BB3501" s="436"/>
      <c r="BC3501" s="120"/>
      <c r="BD3501" s="120"/>
      <c r="BE3501" s="120"/>
      <c r="BF3501" s="440"/>
      <c r="CB3501" s="436"/>
      <c r="CC3501" s="120"/>
      <c r="CD3501" s="120"/>
      <c r="CE3501" s="120"/>
      <c r="CF3501" s="440"/>
      <c r="DB3501" s="436"/>
      <c r="DC3501" s="120"/>
      <c r="DD3501" s="120"/>
      <c r="DE3501" s="120"/>
      <c r="DF3501" s="440"/>
      <c r="EB3501" s="436"/>
      <c r="EC3501" s="120"/>
      <c r="ED3501" s="120"/>
      <c r="EE3501" s="120"/>
      <c r="EF3501" s="440"/>
    </row>
    <row r="3502" spans="54:136">
      <c r="BB3502" s="436"/>
      <c r="BC3502" s="120"/>
      <c r="BD3502" s="120"/>
      <c r="BE3502" s="120"/>
      <c r="BF3502" s="440"/>
      <c r="CB3502" s="436"/>
      <c r="CC3502" s="120"/>
      <c r="CD3502" s="120"/>
      <c r="CE3502" s="120"/>
      <c r="CF3502" s="440"/>
      <c r="DB3502" s="436"/>
      <c r="DC3502" s="120"/>
      <c r="DD3502" s="120"/>
      <c r="DE3502" s="120"/>
      <c r="DF3502" s="440"/>
      <c r="EB3502" s="436"/>
      <c r="EC3502" s="120"/>
      <c r="ED3502" s="120"/>
      <c r="EE3502" s="120"/>
      <c r="EF3502" s="440"/>
    </row>
    <row r="3503" spans="54:136">
      <c r="BB3503" s="436"/>
      <c r="BC3503" s="120"/>
      <c r="BD3503" s="120"/>
      <c r="BE3503" s="120"/>
      <c r="BF3503" s="440"/>
      <c r="CB3503" s="436"/>
      <c r="CC3503" s="120"/>
      <c r="CD3503" s="120"/>
      <c r="CE3503" s="120"/>
      <c r="CF3503" s="440"/>
      <c r="DB3503" s="436"/>
      <c r="DC3503" s="120"/>
      <c r="DD3503" s="120"/>
      <c r="DE3503" s="120"/>
      <c r="DF3503" s="440"/>
      <c r="EB3503" s="436"/>
      <c r="EC3503" s="120"/>
      <c r="ED3503" s="120"/>
      <c r="EE3503" s="120"/>
      <c r="EF3503" s="440"/>
    </row>
    <row r="3504" spans="54:136" ht="14.5" thickBot="1">
      <c r="BB3504" s="492"/>
      <c r="BC3504" s="493"/>
      <c r="BD3504" s="493"/>
      <c r="BE3504" s="493"/>
      <c r="BF3504" s="453"/>
      <c r="CB3504" s="492"/>
      <c r="CC3504" s="493"/>
      <c r="CD3504" s="493"/>
      <c r="CE3504" s="493"/>
      <c r="CF3504" s="453"/>
      <c r="DB3504" s="492"/>
      <c r="DC3504" s="493"/>
      <c r="DD3504" s="493"/>
      <c r="DE3504" s="493"/>
      <c r="DF3504" s="453"/>
      <c r="EB3504" s="492"/>
      <c r="EC3504" s="493"/>
      <c r="ED3504" s="493"/>
      <c r="EE3504" s="493"/>
      <c r="EF3504" s="453"/>
    </row>
    <row r="3508" spans="54:137" ht="15" customHeight="1">
      <c r="BB3508" s="410"/>
      <c r="BC3508" s="410"/>
      <c r="BD3508" s="410"/>
      <c r="BE3508" s="410"/>
      <c r="BF3508" s="410"/>
      <c r="BG3508" s="410"/>
      <c r="CB3508" s="410"/>
      <c r="CC3508" s="410"/>
      <c r="CD3508" s="410"/>
      <c r="CE3508" s="410"/>
      <c r="CF3508" s="410"/>
      <c r="CG3508" s="410"/>
      <c r="DB3508" s="410"/>
      <c r="DC3508" s="410"/>
      <c r="DD3508" s="410"/>
      <c r="DE3508" s="410"/>
      <c r="DF3508" s="410"/>
      <c r="DG3508" s="410"/>
      <c r="EB3508" s="410"/>
      <c r="EC3508" s="410"/>
      <c r="ED3508" s="410"/>
      <c r="EE3508" s="410"/>
      <c r="EF3508" s="410"/>
      <c r="EG3508" s="410"/>
    </row>
    <row r="3509" spans="54:137" ht="15" customHeight="1">
      <c r="BB3509" s="410"/>
      <c r="BC3509" s="410"/>
      <c r="BD3509" s="410"/>
      <c r="BE3509" s="410"/>
      <c r="BF3509" s="410"/>
      <c r="BG3509" s="410"/>
      <c r="CB3509" s="410"/>
      <c r="CC3509" s="410"/>
      <c r="CD3509" s="410"/>
      <c r="CE3509" s="410"/>
      <c r="CF3509" s="410"/>
      <c r="CG3509" s="410"/>
      <c r="DB3509" s="410"/>
      <c r="DC3509" s="410"/>
      <c r="DD3509" s="410"/>
      <c r="DE3509" s="410"/>
      <c r="DF3509" s="410"/>
      <c r="DG3509" s="410"/>
      <c r="EB3509" s="410"/>
      <c r="EC3509" s="410"/>
      <c r="ED3509" s="410"/>
      <c r="EE3509" s="410"/>
      <c r="EF3509" s="410"/>
      <c r="EG3509" s="410"/>
    </row>
    <row r="3510" spans="54:137">
      <c r="BB3510" s="522"/>
      <c r="BC3510" s="522"/>
      <c r="BD3510" s="507"/>
      <c r="BE3510" s="522"/>
      <c r="BF3510" s="522"/>
      <c r="BG3510" s="507"/>
      <c r="CB3510" s="522"/>
      <c r="CC3510" s="522"/>
      <c r="CD3510" s="507"/>
      <c r="CE3510" s="522"/>
      <c r="CF3510" s="522"/>
      <c r="CG3510" s="507"/>
      <c r="DB3510" s="522"/>
      <c r="DC3510" s="522"/>
      <c r="DD3510" s="507"/>
      <c r="DE3510" s="522"/>
      <c r="DF3510" s="522"/>
      <c r="DG3510" s="507"/>
      <c r="EB3510" s="522"/>
      <c r="EC3510" s="522"/>
      <c r="ED3510" s="507"/>
      <c r="EE3510" s="522"/>
      <c r="EF3510" s="522"/>
      <c r="EG3510" s="507"/>
    </row>
    <row r="3511" spans="54:137">
      <c r="BB3511" s="522"/>
      <c r="BC3511" s="522"/>
      <c r="BD3511" s="523"/>
      <c r="BE3511" s="522"/>
      <c r="BF3511" s="522"/>
      <c r="BG3511" s="523"/>
      <c r="CB3511" s="522"/>
      <c r="CC3511" s="522"/>
      <c r="CD3511" s="523"/>
      <c r="CE3511" s="522"/>
      <c r="CF3511" s="522"/>
      <c r="CG3511" s="523"/>
      <c r="DB3511" s="522"/>
      <c r="DC3511" s="522"/>
      <c r="DD3511" s="523"/>
      <c r="DE3511" s="522"/>
      <c r="DF3511" s="522"/>
      <c r="DG3511" s="523"/>
      <c r="EB3511" s="522"/>
      <c r="EC3511" s="522"/>
      <c r="ED3511" s="523"/>
      <c r="EE3511" s="522"/>
      <c r="EF3511" s="522"/>
      <c r="EG3511" s="523"/>
    </row>
    <row r="3512" spans="54:137">
      <c r="BB3512" s="522"/>
      <c r="BC3512" s="522"/>
      <c r="BD3512" s="507"/>
      <c r="BE3512" s="522"/>
      <c r="BF3512" s="522"/>
      <c r="BG3512" s="507"/>
      <c r="CB3512" s="522"/>
      <c r="CC3512" s="522"/>
      <c r="CD3512" s="507"/>
      <c r="CE3512" s="522"/>
      <c r="CF3512" s="522"/>
      <c r="CG3512" s="507"/>
      <c r="DB3512" s="522"/>
      <c r="DC3512" s="522"/>
      <c r="DD3512" s="507"/>
      <c r="DE3512" s="522"/>
      <c r="DF3512" s="522"/>
      <c r="DG3512" s="507"/>
      <c r="EB3512" s="522"/>
      <c r="EC3512" s="522"/>
      <c r="ED3512" s="507"/>
      <c r="EE3512" s="522"/>
      <c r="EF3512" s="522"/>
      <c r="EG3512" s="507"/>
    </row>
    <row r="3513" spans="54:137">
      <c r="BB3513" s="522"/>
      <c r="BC3513" s="522"/>
      <c r="BD3513" s="518"/>
      <c r="BE3513" s="522"/>
      <c r="BF3513" s="522"/>
      <c r="BG3513" s="518"/>
    </row>
    <row r="3514" spans="54:137">
      <c r="BB3514" s="522"/>
      <c r="BC3514" s="522"/>
      <c r="BD3514" s="519"/>
      <c r="BE3514" s="522"/>
      <c r="BF3514" s="522"/>
      <c r="BG3514" s="519"/>
    </row>
    <row r="3515" spans="54:137">
      <c r="BB3515" s="522"/>
      <c r="BC3515" s="522"/>
      <c r="BD3515" s="524"/>
      <c r="BE3515" s="522"/>
      <c r="BF3515" s="522"/>
      <c r="BG3515" s="524"/>
    </row>
    <row r="3516" spans="54:137">
      <c r="BB3516" s="522"/>
      <c r="BC3516" s="522"/>
      <c r="BD3516" s="524"/>
      <c r="BE3516" s="522"/>
      <c r="BF3516" s="522"/>
      <c r="BG3516" s="524"/>
    </row>
    <row r="3517" spans="54:137">
      <c r="BB3517" s="522"/>
      <c r="BC3517" s="522"/>
      <c r="BD3517" s="524"/>
      <c r="BE3517" s="522"/>
      <c r="BF3517" s="522"/>
      <c r="BG3517" s="524"/>
    </row>
    <row r="3518" spans="54:137">
      <c r="BB3518" s="463"/>
      <c r="BC3518" s="463"/>
      <c r="BD3518" s="460"/>
      <c r="BE3518" s="463"/>
      <c r="BF3518" s="463"/>
      <c r="BG3518" s="460"/>
    </row>
    <row r="3519" spans="54:137">
      <c r="BD3519" s="474"/>
      <c r="BF3519" s="525"/>
      <c r="BG3519" s="474"/>
    </row>
    <row r="3520" spans="54:137">
      <c r="BD3520" s="505"/>
      <c r="BE3520" s="491"/>
      <c r="BF3520" s="491"/>
      <c r="BG3520" s="505"/>
    </row>
    <row r="3521" spans="54:60">
      <c r="BD3521" s="408"/>
      <c r="BE3521" s="463"/>
      <c r="BF3521" s="463"/>
      <c r="BG3521" s="408"/>
    </row>
    <row r="3522" spans="54:60">
      <c r="BB3522" s="407"/>
      <c r="BC3522" s="463"/>
      <c r="BD3522" s="460"/>
      <c r="BE3522" s="463"/>
      <c r="BF3522" s="463"/>
      <c r="BG3522" s="460"/>
      <c r="BH3522" s="502"/>
    </row>
    <row r="3523" spans="54:60">
      <c r="BB3523" s="407"/>
      <c r="BD3523" s="474"/>
      <c r="BF3523" s="525"/>
      <c r="BG3523" s="474"/>
      <c r="BH3523" s="502"/>
    </row>
    <row r="3524" spans="54:60" ht="15.5">
      <c r="BB3524" s="526"/>
      <c r="BD3524" s="527"/>
      <c r="BE3524" s="407"/>
      <c r="BF3524" s="407"/>
      <c r="BG3524" s="527"/>
      <c r="BH3524" s="502"/>
    </row>
    <row r="3525" spans="54:60">
      <c r="BD3525" s="528"/>
      <c r="BE3525" s="407"/>
      <c r="BF3525" s="407"/>
      <c r="BG3525" s="528"/>
      <c r="BH3525" s="502"/>
    </row>
    <row r="3526" spans="54:60">
      <c r="BD3526" s="508"/>
      <c r="BE3526" s="407"/>
      <c r="BF3526" s="407"/>
      <c r="BG3526" s="508"/>
      <c r="BH3526" s="502"/>
    </row>
    <row r="3527" spans="54:60">
      <c r="BD3527" s="507"/>
      <c r="BE3527" s="407"/>
      <c r="BF3527" s="407"/>
      <c r="BG3527" s="507"/>
    </row>
    <row r="3528" spans="54:60">
      <c r="BD3528" s="408"/>
      <c r="BE3528" s="407"/>
      <c r="BF3528" s="407"/>
      <c r="BG3528" s="408"/>
    </row>
    <row r="3529" spans="54:60">
      <c r="BD3529" s="408"/>
      <c r="BE3529" s="407"/>
      <c r="BF3529" s="407"/>
      <c r="BG3529" s="408"/>
    </row>
    <row r="3530" spans="54:60">
      <c r="BD3530" s="529"/>
      <c r="BE3530" s="407"/>
      <c r="BF3530" s="407"/>
      <c r="BG3530" s="529"/>
    </row>
    <row r="3531" spans="54:60">
      <c r="BD3531" s="530"/>
      <c r="BE3531" s="407"/>
      <c r="BF3531" s="407"/>
      <c r="BG3531" s="530"/>
    </row>
    <row r="3532" spans="54:60">
      <c r="BD3532" s="474"/>
      <c r="BE3532" s="407"/>
      <c r="BF3532" s="407"/>
      <c r="BG3532" s="474"/>
    </row>
    <row r="3533" spans="54:60">
      <c r="BD3533" s="408"/>
      <c r="BE3533" s="407"/>
      <c r="BF3533" s="407"/>
      <c r="BG3533" s="408"/>
    </row>
    <row r="3534" spans="54:60">
      <c r="BD3534" s="530"/>
      <c r="BE3534" s="407"/>
      <c r="BF3534" s="407"/>
      <c r="BG3534" s="530"/>
    </row>
    <row r="3535" spans="54:60">
      <c r="BD3535" s="474"/>
      <c r="BE3535" s="407"/>
      <c r="BF3535" s="407"/>
      <c r="BG3535" s="474"/>
    </row>
    <row r="3536" spans="54:60">
      <c r="BB3536" s="133"/>
      <c r="BD3536" s="531"/>
      <c r="BE3536" s="407"/>
      <c r="BF3536" s="525"/>
      <c r="BG3536" s="531"/>
    </row>
    <row r="3537" spans="54:60">
      <c r="BD3537" s="532"/>
      <c r="BE3537" s="463"/>
      <c r="BF3537" s="463"/>
      <c r="BG3537" s="532"/>
    </row>
    <row r="3538" spans="54:60">
      <c r="BD3538" s="474"/>
      <c r="BG3538" s="474"/>
    </row>
    <row r="3539" spans="54:60">
      <c r="BD3539" s="474"/>
      <c r="BG3539" s="474"/>
    </row>
    <row r="3540" spans="54:60">
      <c r="BD3540" s="503"/>
      <c r="BG3540" s="503"/>
    </row>
    <row r="3541" spans="54:60">
      <c r="BB3541" s="133"/>
      <c r="BC3541" s="133"/>
      <c r="BD3541" s="531"/>
      <c r="BG3541" s="531"/>
    </row>
    <row r="3542" spans="54:60">
      <c r="BD3542" s="474"/>
      <c r="BG3542" s="474"/>
    </row>
    <row r="3543" spans="54:60">
      <c r="BD3543" s="474"/>
      <c r="BG3543" s="474"/>
      <c r="BH3543" s="533"/>
    </row>
    <row r="3544" spans="54:60">
      <c r="BD3544" s="534"/>
      <c r="BG3544" s="534"/>
      <c r="BH3544" s="533"/>
    </row>
    <row r="3545" spans="54:60">
      <c r="BD3545" s="534"/>
      <c r="BG3545" s="534"/>
      <c r="BH3545" s="502"/>
    </row>
    <row r="3546" spans="54:60">
      <c r="BD3546" s="534"/>
      <c r="BG3546" s="534"/>
    </row>
    <row r="3547" spans="54:60">
      <c r="BD3547" s="474"/>
      <c r="BG3547" s="474"/>
    </row>
    <row r="3549" spans="54:60">
      <c r="BD3549" s="119"/>
      <c r="BG3549" s="119"/>
    </row>
    <row r="3550" spans="54:60">
      <c r="BD3550" s="119"/>
      <c r="BG3550" s="119"/>
    </row>
    <row r="3551" spans="54:60">
      <c r="BD3551" s="119"/>
      <c r="BG3551" s="119"/>
    </row>
    <row r="3552" spans="54:60">
      <c r="BD3552" s="119"/>
      <c r="BG3552" s="119"/>
    </row>
    <row r="3553" spans="55:59">
      <c r="BD3553" s="180"/>
      <c r="BG3553" s="180"/>
    </row>
    <row r="3554" spans="55:59">
      <c r="BD3554" s="119"/>
      <c r="BG3554" s="119"/>
    </row>
    <row r="3555" spans="55:59">
      <c r="BD3555" s="408"/>
      <c r="BG3555" s="408"/>
    </row>
    <row r="3556" spans="55:59">
      <c r="BD3556" s="408"/>
      <c r="BG3556" s="408"/>
    </row>
    <row r="3558" spans="55:59">
      <c r="BD3558" s="460"/>
      <c r="BE3558" s="535"/>
      <c r="BF3558" s="535"/>
      <c r="BG3558" s="460"/>
    </row>
    <row r="3559" spans="55:59">
      <c r="BC3559" s="460"/>
      <c r="BD3559" s="408"/>
      <c r="BE3559" s="218"/>
      <c r="BF3559" s="218"/>
      <c r="BG3559" s="408"/>
    </row>
    <row r="3560" spans="55:59">
      <c r="BD3560" s="460"/>
      <c r="BE3560" s="535"/>
      <c r="BF3560" s="535"/>
      <c r="BG3560" s="460"/>
    </row>
    <row r="3561" spans="55:59">
      <c r="BC3561" s="460"/>
      <c r="BD3561" s="408"/>
      <c r="BE3561" s="218"/>
      <c r="BF3561" s="218"/>
      <c r="BG3561" s="408"/>
    </row>
    <row r="3562" spans="55:59">
      <c r="BD3562" s="460"/>
      <c r="BE3562" s="535"/>
      <c r="BF3562" s="535"/>
      <c r="BG3562" s="460"/>
    </row>
    <row r="3563" spans="55:59">
      <c r="BC3563" s="460"/>
      <c r="BD3563" s="408"/>
      <c r="BE3563" s="218"/>
      <c r="BF3563" s="218"/>
      <c r="BG3563" s="408"/>
    </row>
    <row r="3564" spans="55:59">
      <c r="BC3564" s="408"/>
      <c r="BD3564" s="411"/>
      <c r="BG3564" s="411"/>
    </row>
    <row r="3565" spans="55:59">
      <c r="BD3565" s="520"/>
      <c r="BG3565" s="520"/>
    </row>
    <row r="3566" spans="55:59">
      <c r="BD3566" s="520"/>
      <c r="BG3566" s="520"/>
    </row>
    <row r="3567" spans="55:59">
      <c r="BD3567" s="520"/>
      <c r="BG3567" s="520"/>
    </row>
    <row r="3568" spans="55:59">
      <c r="BD3568" s="536"/>
      <c r="BG3568" s="536"/>
    </row>
    <row r="3569" spans="54:59">
      <c r="BD3569" s="408"/>
      <c r="BG3569" s="408"/>
    </row>
    <row r="3570" spans="54:59">
      <c r="BD3570" s="408"/>
      <c r="BG3570" s="408"/>
    </row>
    <row r="3571" spans="54:59">
      <c r="BD3571" s="408"/>
      <c r="BG3571" s="408"/>
    </row>
    <row r="3572" spans="54:59">
      <c r="BD3572" s="408"/>
      <c r="BG3572" s="408"/>
    </row>
    <row r="3573" spans="54:59">
      <c r="BD3573" s="408"/>
      <c r="BG3573" s="408"/>
    </row>
    <row r="3574" spans="54:59">
      <c r="BD3574" s="408"/>
      <c r="BG3574" s="408"/>
    </row>
    <row r="3575" spans="54:59">
      <c r="BD3575" s="537"/>
      <c r="BG3575" s="537"/>
    </row>
    <row r="3576" spans="54:59">
      <c r="BD3576" s="408"/>
      <c r="BG3576" s="408"/>
    </row>
    <row r="3577" spans="54:59">
      <c r="BD3577" s="408"/>
      <c r="BG3577" s="408"/>
    </row>
    <row r="3578" spans="54:59">
      <c r="BD3578" s="474"/>
      <c r="BG3578" s="474"/>
    </row>
    <row r="3579" spans="54:59">
      <c r="BD3579" s="474"/>
      <c r="BG3579" s="474"/>
    </row>
    <row r="3580" spans="54:59">
      <c r="BD3580" s="474"/>
      <c r="BG3580" s="474"/>
    </row>
    <row r="3582" spans="54:59">
      <c r="BB3582" s="133"/>
    </row>
    <row r="3583" spans="54:59">
      <c r="BD3583" s="266"/>
      <c r="BG3583" s="266"/>
    </row>
    <row r="3584" spans="54:59">
      <c r="BD3584" s="266"/>
      <c r="BG3584" s="266"/>
    </row>
    <row r="3585" spans="56:59">
      <c r="BD3585" s="266"/>
      <c r="BG3585" s="266"/>
    </row>
    <row r="3586" spans="56:59">
      <c r="BD3586" s="266"/>
      <c r="BG3586" s="266"/>
    </row>
    <row r="3587" spans="56:59">
      <c r="BD3587" s="266"/>
      <c r="BG3587" s="266"/>
    </row>
    <row r="3588" spans="56:59">
      <c r="BD3588" s="266"/>
      <c r="BG3588" s="266"/>
    </row>
    <row r="3589" spans="56:59">
      <c r="BD3589" s="266"/>
      <c r="BG3589" s="266"/>
    </row>
    <row r="3590" spans="56:59">
      <c r="BD3590" s="266"/>
      <c r="BG3590" s="266"/>
    </row>
    <row r="3591" spans="56:59">
      <c r="BD3591" s="266"/>
      <c r="BG3591" s="266"/>
    </row>
    <row r="3592" spans="56:59">
      <c r="BD3592" s="266"/>
      <c r="BG3592" s="266"/>
    </row>
    <row r="3593" spans="56:59">
      <c r="BD3593" s="266"/>
      <c r="BG3593" s="266"/>
    </row>
    <row r="3594" spans="56:59">
      <c r="BD3594" s="266"/>
      <c r="BG3594" s="266"/>
    </row>
    <row r="3599" spans="56:59">
      <c r="BD3599" s="266"/>
      <c r="BG3599" s="266"/>
    </row>
    <row r="3602" spans="54:59" ht="20">
      <c r="BB3602" s="538"/>
      <c r="BC3602" s="538"/>
      <c r="BD3602" s="539"/>
      <c r="BE3602" s="540"/>
      <c r="BF3602" s="540"/>
      <c r="BG3602" s="539"/>
    </row>
    <row r="3603" spans="54:59">
      <c r="BE3603" s="540"/>
      <c r="BF3603" s="540"/>
    </row>
    <row r="3604" spans="54:59">
      <c r="BB3604" s="541"/>
      <c r="BD3604" s="542"/>
      <c r="BE3604" s="514"/>
      <c r="BF3604" s="514"/>
      <c r="BG3604" s="542"/>
    </row>
    <row r="3605" spans="54:59">
      <c r="BB3605" s="541"/>
      <c r="BC3605" s="542"/>
      <c r="BD3605" s="540"/>
      <c r="BE3605" s="514"/>
      <c r="BF3605" s="514"/>
      <c r="BG3605" s="540"/>
    </row>
    <row r="3606" spans="54:59">
      <c r="BB3606" s="541"/>
      <c r="BD3606" s="542"/>
      <c r="BE3606" s="540"/>
      <c r="BF3606" s="540"/>
      <c r="BG3606" s="542"/>
    </row>
    <row r="3607" spans="54:59">
      <c r="BB3607" s="541"/>
      <c r="BC3607" s="542"/>
      <c r="BD3607" s="540"/>
      <c r="BE3607" s="540"/>
      <c r="BF3607" s="540"/>
      <c r="BG3607" s="540"/>
    </row>
    <row r="3608" spans="54:59">
      <c r="BB3608" s="541"/>
      <c r="BD3608" s="542"/>
      <c r="BG3608" s="542"/>
    </row>
    <row r="3609" spans="54:59">
      <c r="BB3609" s="541"/>
      <c r="BC3609" s="542"/>
      <c r="BD3609" s="540"/>
      <c r="BG3609" s="540"/>
    </row>
    <row r="3610" spans="54:59">
      <c r="BB3610" s="541"/>
      <c r="BD3610" s="542"/>
      <c r="BG3610" s="542"/>
    </row>
    <row r="3611" spans="54:59">
      <c r="BB3611" s="541"/>
      <c r="BC3611" s="542"/>
      <c r="BD3611" s="540"/>
      <c r="BG3611" s="540"/>
    </row>
    <row r="3612" spans="54:59">
      <c r="BB3612" s="541"/>
      <c r="BD3612" s="542"/>
      <c r="BG3612" s="542"/>
    </row>
    <row r="3613" spans="54:59">
      <c r="BB3613" s="541"/>
      <c r="BC3613" s="542"/>
      <c r="BD3613" s="540"/>
      <c r="BG3613" s="540"/>
    </row>
    <row r="3614" spans="54:59">
      <c r="BD3614" s="542"/>
      <c r="BG3614" s="542"/>
    </row>
    <row r="3615" spans="54:59">
      <c r="BC3615" s="542"/>
      <c r="BD3615" s="540"/>
      <c r="BG3615" s="540"/>
    </row>
    <row r="3616" spans="54:59">
      <c r="BD3616" s="542"/>
      <c r="BG3616" s="542"/>
    </row>
    <row r="3617" spans="54:61">
      <c r="BC3617" s="542"/>
      <c r="BD3617" s="540"/>
      <c r="BG3617" s="540"/>
    </row>
    <row r="3618" spans="54:61">
      <c r="BD3618" s="542"/>
      <c r="BG3618" s="542"/>
    </row>
    <row r="3619" spans="54:61">
      <c r="BC3619" s="542"/>
      <c r="BD3619" s="540"/>
      <c r="BG3619" s="540"/>
    </row>
    <row r="3620" spans="54:61" ht="20">
      <c r="BB3620" s="538"/>
      <c r="BC3620" s="538"/>
      <c r="BD3620" s="539"/>
      <c r="BE3620" s="540"/>
      <c r="BF3620" s="540"/>
      <c r="BG3620" s="539"/>
    </row>
    <row r="3621" spans="54:61">
      <c r="BD3621" s="542"/>
      <c r="BE3621" s="540"/>
      <c r="BF3621" s="540"/>
      <c r="BG3621" s="542"/>
    </row>
    <row r="3622" spans="54:61">
      <c r="BC3622" s="542"/>
      <c r="BD3622" s="543"/>
      <c r="BE3622" s="540"/>
      <c r="BF3622" s="540"/>
      <c r="BG3622" s="543"/>
    </row>
    <row r="3623" spans="54:61">
      <c r="BD3623" s="542"/>
      <c r="BG3623" s="542"/>
    </row>
    <row r="3624" spans="54:61">
      <c r="BC3624" s="542"/>
      <c r="BD3624" s="543"/>
      <c r="BG3624" s="543"/>
    </row>
    <row r="3625" spans="54:61">
      <c r="BD3625" s="542"/>
      <c r="BG3625" s="542"/>
    </row>
    <row r="3626" spans="54:61">
      <c r="BC3626" s="542"/>
      <c r="BD3626" s="543"/>
      <c r="BG3626" s="543"/>
    </row>
    <row r="3627" spans="54:61" ht="20">
      <c r="BB3627" s="538"/>
      <c r="BC3627" s="538"/>
      <c r="BD3627" s="539"/>
      <c r="BG3627" s="539"/>
    </row>
    <row r="3629" spans="54:61" ht="20">
      <c r="BB3629" s="538"/>
      <c r="BC3629" s="538"/>
      <c r="BD3629" s="544"/>
      <c r="BG3629" s="544"/>
      <c r="BI3629" s="504"/>
    </row>
    <row r="3630" spans="54:61" ht="20">
      <c r="BB3630" s="538"/>
      <c r="BC3630" s="544"/>
      <c r="BD3630" s="545"/>
      <c r="BG3630" s="545"/>
      <c r="BI3630" s="504"/>
    </row>
    <row r="3631" spans="54:61">
      <c r="BB3631" s="541"/>
      <c r="BC3631" s="541"/>
      <c r="BI3631" s="504"/>
    </row>
    <row r="3632" spans="54:61" ht="20">
      <c r="BB3632" s="538"/>
      <c r="BC3632" s="538"/>
      <c r="BD3632" s="539"/>
      <c r="BE3632" s="514"/>
      <c r="BF3632" s="180"/>
      <c r="BG3632" s="539"/>
      <c r="BI3632" s="504"/>
    </row>
    <row r="3633" spans="54:61">
      <c r="BI3633" s="504"/>
    </row>
    <row r="3634" spans="54:61" ht="20">
      <c r="BB3634" s="538"/>
      <c r="BC3634" s="538"/>
      <c r="BD3634" s="546"/>
      <c r="BE3634" s="119"/>
      <c r="BF3634" s="119"/>
      <c r="BG3634" s="546"/>
      <c r="BI3634" s="504"/>
    </row>
    <row r="3635" spans="54:61">
      <c r="BD3635" s="540"/>
      <c r="BE3635" s="540"/>
      <c r="BF3635" s="540"/>
      <c r="BG3635" s="540"/>
      <c r="BI3635" s="504"/>
    </row>
    <row r="3636" spans="54:61">
      <c r="BB3636" s="541"/>
      <c r="BD3636" s="547"/>
      <c r="BG3636" s="547"/>
      <c r="BI3636" s="504"/>
    </row>
    <row r="3637" spans="54:61">
      <c r="BB3637" s="541"/>
      <c r="BC3637" s="547"/>
      <c r="BD3637" s="540"/>
      <c r="BE3637" s="119"/>
      <c r="BG3637" s="540"/>
      <c r="BH3637" s="119"/>
      <c r="BI3637" s="504"/>
    </row>
    <row r="3638" spans="54:61">
      <c r="BB3638" s="541"/>
      <c r="BD3638" s="548"/>
      <c r="BE3638" s="119"/>
      <c r="BF3638" s="119"/>
      <c r="BG3638" s="548"/>
      <c r="BI3638" s="504"/>
    </row>
    <row r="3639" spans="54:61">
      <c r="BB3639" s="541"/>
      <c r="BC3639" s="542"/>
      <c r="BD3639" s="540"/>
      <c r="BE3639" s="119"/>
      <c r="BF3639" s="180"/>
      <c r="BG3639" s="540"/>
      <c r="BI3639" s="504"/>
    </row>
    <row r="3640" spans="54:61">
      <c r="BB3640" s="541"/>
      <c r="BD3640" s="542"/>
      <c r="BE3640" s="119"/>
      <c r="BF3640" s="180"/>
      <c r="BG3640" s="542"/>
      <c r="BI3640" s="504"/>
    </row>
    <row r="3641" spans="54:61">
      <c r="BB3641" s="541"/>
      <c r="BC3641" s="542"/>
      <c r="BD3641" s="540"/>
      <c r="BE3641" s="119"/>
      <c r="BF3641" s="119"/>
      <c r="BG3641" s="540"/>
      <c r="BI3641" s="504"/>
    </row>
    <row r="3642" spans="54:61">
      <c r="BB3642" s="541"/>
      <c r="BD3642" s="548"/>
      <c r="BE3642" s="119"/>
      <c r="BF3642" s="119"/>
      <c r="BG3642" s="548"/>
      <c r="BI3642" s="504"/>
    </row>
    <row r="3643" spans="54:61">
      <c r="BB3643" s="541"/>
      <c r="BC3643" s="548"/>
      <c r="BD3643" s="540"/>
      <c r="BE3643" s="514"/>
      <c r="BF3643" s="180"/>
      <c r="BG3643" s="540"/>
      <c r="BI3643" s="504"/>
    </row>
    <row r="3644" spans="54:61">
      <c r="BB3644" s="541"/>
      <c r="BD3644" s="542"/>
      <c r="BE3644" s="180"/>
      <c r="BF3644" s="180"/>
      <c r="BG3644" s="542"/>
      <c r="BI3644" s="504"/>
    </row>
    <row r="3645" spans="54:61">
      <c r="BB3645" s="541"/>
      <c r="BC3645" s="542"/>
      <c r="BD3645" s="540"/>
      <c r="BG3645" s="540"/>
      <c r="BI3645" s="504"/>
    </row>
    <row r="3646" spans="54:61">
      <c r="BB3646" s="541"/>
      <c r="BD3646" s="542"/>
      <c r="BG3646" s="542"/>
      <c r="BI3646" s="504"/>
    </row>
    <row r="3647" spans="54:61">
      <c r="BB3647" s="541"/>
      <c r="BC3647" s="542"/>
      <c r="BD3647" s="543"/>
      <c r="BG3647" s="543"/>
      <c r="BI3647" s="504"/>
    </row>
    <row r="3648" spans="54:61">
      <c r="BB3648" s="541"/>
      <c r="BD3648" s="542"/>
      <c r="BG3648" s="542"/>
      <c r="BI3648" s="504"/>
    </row>
    <row r="3649" spans="54:61">
      <c r="BB3649" s="541"/>
      <c r="BC3649" s="542"/>
      <c r="BD3649" s="543"/>
      <c r="BG3649" s="543"/>
      <c r="BI3649" s="504"/>
    </row>
    <row r="3650" spans="54:61">
      <c r="BB3650" s="541"/>
      <c r="BD3650" s="542"/>
      <c r="BG3650" s="542"/>
      <c r="BI3650" s="504"/>
    </row>
    <row r="3651" spans="54:61">
      <c r="BB3651" s="541"/>
      <c r="BC3651" s="542"/>
      <c r="BD3651" s="540"/>
      <c r="BE3651" s="180"/>
      <c r="BF3651" s="180"/>
      <c r="BG3651" s="540"/>
      <c r="BI3651" s="504"/>
    </row>
    <row r="3652" spans="54:61">
      <c r="BC3652" s="540"/>
      <c r="BD3652" s="540"/>
      <c r="BE3652" s="514"/>
      <c r="BF3652" s="180"/>
      <c r="BG3652" s="540"/>
      <c r="BI3652" s="504"/>
    </row>
    <row r="3653" spans="54:61">
      <c r="BB3653" s="541"/>
      <c r="BD3653" s="548"/>
      <c r="BG3653" s="548"/>
      <c r="BI3653" s="504"/>
    </row>
    <row r="3654" spans="54:61">
      <c r="BB3654" s="541"/>
      <c r="BD3654" s="540"/>
      <c r="BE3654" s="514"/>
      <c r="BF3654" s="180"/>
      <c r="BG3654" s="540"/>
      <c r="BI3654" s="504"/>
    </row>
    <row r="3655" spans="54:61">
      <c r="BB3655" s="541"/>
      <c r="BD3655" s="542"/>
      <c r="BG3655" s="542"/>
      <c r="BI3655" s="504"/>
    </row>
    <row r="3656" spans="54:61">
      <c r="BB3656" s="541"/>
      <c r="BC3656" s="542"/>
      <c r="BD3656" s="543"/>
      <c r="BG3656" s="543"/>
      <c r="BI3656" s="504"/>
    </row>
    <row r="3657" spans="54:61">
      <c r="BB3657" s="541"/>
      <c r="BD3657" s="542"/>
      <c r="BG3657" s="542"/>
      <c r="BI3657" s="504"/>
    </row>
    <row r="3658" spans="54:61">
      <c r="BB3658" s="541"/>
      <c r="BC3658" s="542"/>
      <c r="BD3658" s="543"/>
      <c r="BG3658" s="543"/>
      <c r="BI3658" s="504"/>
    </row>
    <row r="3659" spans="54:61">
      <c r="BB3659" s="541"/>
      <c r="BD3659" s="542"/>
      <c r="BG3659" s="542"/>
      <c r="BI3659" s="504"/>
    </row>
    <row r="3660" spans="54:61">
      <c r="BB3660" s="541"/>
      <c r="BC3660" s="542"/>
      <c r="BD3660" s="543"/>
      <c r="BG3660" s="543"/>
      <c r="BI3660" s="504"/>
    </row>
    <row r="3661" spans="54:61">
      <c r="BB3661" s="541"/>
      <c r="BC3661" s="542"/>
      <c r="BD3661" s="542"/>
      <c r="BG3661" s="542"/>
      <c r="BI3661" s="504"/>
    </row>
    <row r="3662" spans="54:61">
      <c r="BB3662" s="541"/>
      <c r="BC3662" s="542"/>
      <c r="BD3662" s="543"/>
      <c r="BG3662" s="543"/>
      <c r="BI3662" s="504"/>
    </row>
    <row r="3663" spans="54:61">
      <c r="BD3663" s="542"/>
      <c r="BG3663" s="542"/>
      <c r="BI3663" s="504"/>
    </row>
    <row r="3664" spans="54:61">
      <c r="BC3664" s="542"/>
      <c r="BD3664" s="540"/>
      <c r="BE3664" s="514"/>
      <c r="BF3664" s="180"/>
      <c r="BG3664" s="540"/>
      <c r="BI3664" s="504"/>
    </row>
    <row r="3665" spans="54:61" ht="20">
      <c r="BB3665" s="538"/>
      <c r="BC3665" s="538"/>
      <c r="BD3665" s="546"/>
      <c r="BE3665" s="514"/>
      <c r="BF3665" s="540"/>
      <c r="BG3665" s="546"/>
      <c r="BI3665" s="504"/>
    </row>
    <row r="3666" spans="54:61">
      <c r="BD3666" s="542"/>
      <c r="BG3666" s="542"/>
      <c r="BI3666" s="504"/>
    </row>
    <row r="3667" spans="54:61">
      <c r="BC3667" s="542"/>
      <c r="BD3667" s="540"/>
      <c r="BG3667" s="540"/>
      <c r="BI3667" s="504"/>
    </row>
    <row r="3668" spans="54:61">
      <c r="BD3668" s="542"/>
      <c r="BG3668" s="542"/>
      <c r="BI3668" s="504"/>
    </row>
    <row r="3669" spans="54:61">
      <c r="BC3669" s="542"/>
      <c r="BD3669" s="540"/>
      <c r="BE3669" s="514"/>
      <c r="BF3669" s="180"/>
      <c r="BG3669" s="540"/>
      <c r="BI3669" s="504"/>
    </row>
    <row r="3670" spans="54:61">
      <c r="BD3670" s="542"/>
      <c r="BG3670" s="542"/>
      <c r="BI3670" s="504"/>
    </row>
    <row r="3671" spans="54:61">
      <c r="BC3671" s="542"/>
      <c r="BD3671" s="540"/>
      <c r="BE3671" s="514"/>
      <c r="BF3671" s="180"/>
      <c r="BG3671" s="540"/>
      <c r="BI3671" s="504"/>
    </row>
    <row r="3672" spans="54:61">
      <c r="BC3672" s="314"/>
      <c r="BD3672" s="543"/>
      <c r="BG3672" s="543"/>
      <c r="BI3672" s="504"/>
    </row>
    <row r="3673" spans="54:61" ht="20">
      <c r="BB3673" s="538"/>
      <c r="BC3673" s="538"/>
      <c r="BD3673" s="546"/>
      <c r="BG3673" s="546"/>
      <c r="BI3673" s="504"/>
    </row>
    <row r="3674" spans="54:61">
      <c r="BD3674" s="549"/>
      <c r="BG3674" s="549"/>
      <c r="BI3674" s="504"/>
    </row>
    <row r="3675" spans="54:61">
      <c r="BD3675" s="540"/>
      <c r="BG3675" s="540"/>
      <c r="BI3675" s="504"/>
    </row>
    <row r="3676" spans="54:61">
      <c r="BB3676" s="541"/>
      <c r="BD3676" s="550"/>
      <c r="BG3676" s="550"/>
      <c r="BH3676" s="541"/>
      <c r="BI3676" s="504"/>
    </row>
    <row r="3677" spans="54:61">
      <c r="BE3677" s="550"/>
      <c r="BF3677" s="550"/>
      <c r="BI3677" s="504"/>
    </row>
    <row r="3678" spans="54:61">
      <c r="BB3678" s="551"/>
      <c r="BC3678" s="551"/>
      <c r="BE3678" s="543"/>
      <c r="BF3678" s="543"/>
      <c r="BI3678" s="504"/>
    </row>
    <row r="3679" spans="54:61">
      <c r="BB3679" s="541"/>
      <c r="BC3679" s="541"/>
      <c r="BD3679" s="552"/>
      <c r="BE3679" s="543"/>
      <c r="BF3679" s="543"/>
      <c r="BG3679" s="552"/>
    </row>
    <row r="3680" spans="54:61">
      <c r="BG3680" s="550"/>
      <c r="BI3680" s="119"/>
    </row>
    <row r="3681" spans="59:61">
      <c r="BG3681" s="550"/>
      <c r="BI3681" s="119"/>
    </row>
    <row r="3682" spans="59:61">
      <c r="BG3682" s="550"/>
    </row>
    <row r="3683" spans="59:61">
      <c r="BG3683" s="550"/>
    </row>
  </sheetData>
  <mergeCells count="132">
    <mergeCell ref="EB9:ED9"/>
    <mergeCell ref="EB3119:EF3119"/>
    <mergeCell ref="EB3219:EF3219"/>
    <mergeCell ref="EB3319:EF3319"/>
    <mergeCell ref="EB3419:EF3419"/>
    <mergeCell ref="EB2519:EF2519"/>
    <mergeCell ref="EB2619:EF2619"/>
    <mergeCell ref="EB2719:EF2719"/>
    <mergeCell ref="EB2819:EF2819"/>
    <mergeCell ref="EB2919:EF2919"/>
    <mergeCell ref="EB3019:EF3019"/>
    <mergeCell ref="EB2019:EF2019"/>
    <mergeCell ref="EB2119:EF2119"/>
    <mergeCell ref="EB2219:EF2219"/>
    <mergeCell ref="EB2319:EF2319"/>
    <mergeCell ref="EB2419:EF2419"/>
    <mergeCell ref="EB1519:EF1519"/>
    <mergeCell ref="EB1619:EF1619"/>
    <mergeCell ref="EB1719:EF1719"/>
    <mergeCell ref="EB1819:EF1819"/>
    <mergeCell ref="EB1919:EF1919"/>
    <mergeCell ref="EB619:EF619"/>
    <mergeCell ref="EB719:EF719"/>
    <mergeCell ref="EB819:EF819"/>
    <mergeCell ref="EB919:EF919"/>
    <mergeCell ref="DB1919:DF1919"/>
    <mergeCell ref="DB519:DF519"/>
    <mergeCell ref="DB619:DF619"/>
    <mergeCell ref="DB719:DF719"/>
    <mergeCell ref="DB819:DF819"/>
    <mergeCell ref="DB919:DF919"/>
    <mergeCell ref="DB1019:DF1019"/>
    <mergeCell ref="DB1119:DF1119"/>
    <mergeCell ref="EB1019:EF1019"/>
    <mergeCell ref="DB1219:DF1219"/>
    <mergeCell ref="DB1319:DF1319"/>
    <mergeCell ref="EB1119:EF1119"/>
    <mergeCell ref="EB1219:EF1219"/>
    <mergeCell ref="EB1319:EF1319"/>
    <mergeCell ref="EB1419:EF1419"/>
    <mergeCell ref="DB1519:DF1519"/>
    <mergeCell ref="EB519:EF519"/>
    <mergeCell ref="DB3319:DF3319"/>
    <mergeCell ref="DB1419:DF1419"/>
    <mergeCell ref="DB3419:DF3419"/>
    <mergeCell ref="DB2519:DF2519"/>
    <mergeCell ref="DB2619:DF2619"/>
    <mergeCell ref="DB2719:DF2719"/>
    <mergeCell ref="DB2819:DF2819"/>
    <mergeCell ref="DB2919:DF2919"/>
    <mergeCell ref="DB2219:DF2219"/>
    <mergeCell ref="DB2319:DF2319"/>
    <mergeCell ref="DB2419:DF2419"/>
    <mergeCell ref="DB3019:DF3019"/>
    <mergeCell ref="DB3119:DF3119"/>
    <mergeCell ref="DB3219:DF3219"/>
    <mergeCell ref="DB1619:DF1619"/>
    <mergeCell ref="DB1719:DF1719"/>
    <mergeCell ref="DB1819:DF1819"/>
    <mergeCell ref="DB2019:DF2019"/>
    <mergeCell ref="DB2119:DF2119"/>
    <mergeCell ref="BB3419:BF3419"/>
    <mergeCell ref="CB519:CF519"/>
    <mergeCell ref="CB619:CF619"/>
    <mergeCell ref="CB719:CF719"/>
    <mergeCell ref="CB819:CF819"/>
    <mergeCell ref="CB919:CF919"/>
    <mergeCell ref="CB1019:CF1019"/>
    <mergeCell ref="CB1119:CF1119"/>
    <mergeCell ref="CB1219:CF1219"/>
    <mergeCell ref="CB1319:CF1319"/>
    <mergeCell ref="CB1419:CF1419"/>
    <mergeCell ref="CB1519:CF1519"/>
    <mergeCell ref="CB1619:CF1619"/>
    <mergeCell ref="CB1719:CF1719"/>
    <mergeCell ref="CB1919:CF1919"/>
    <mergeCell ref="BB2919:BF2919"/>
    <mergeCell ref="BB3019:BF3019"/>
    <mergeCell ref="BB3119:BF3119"/>
    <mergeCell ref="CB3019:CF3019"/>
    <mergeCell ref="CB3119:CF3119"/>
    <mergeCell ref="CB3219:CF3219"/>
    <mergeCell ref="CB3319:CF3319"/>
    <mergeCell ref="CB3419:CF3419"/>
    <mergeCell ref="CB2419:CF2419"/>
    <mergeCell ref="CB2619:CF2619"/>
    <mergeCell ref="BB919:BF919"/>
    <mergeCell ref="BB1019:BF1019"/>
    <mergeCell ref="BB3219:BF3219"/>
    <mergeCell ref="BB3319:BF3319"/>
    <mergeCell ref="BB2419:BF2419"/>
    <mergeCell ref="BB2519:BF2519"/>
    <mergeCell ref="BB2619:BF2619"/>
    <mergeCell ref="BB2719:BF2719"/>
    <mergeCell ref="BB2819:BF2819"/>
    <mergeCell ref="BB1919:BF1919"/>
    <mergeCell ref="BB2019:BF2019"/>
    <mergeCell ref="BB2119:BF2119"/>
    <mergeCell ref="BB2219:BF2219"/>
    <mergeCell ref="BB2319:BF2319"/>
    <mergeCell ref="CB2719:CF2719"/>
    <mergeCell ref="CB2819:CF2819"/>
    <mergeCell ref="CB2919:CF2919"/>
    <mergeCell ref="CB2019:CF2019"/>
    <mergeCell ref="CB2119:CF2119"/>
    <mergeCell ref="CB2219:CF2219"/>
    <mergeCell ref="CB2519:CF2519"/>
    <mergeCell ref="CB2319:CF2319"/>
    <mergeCell ref="BB1819:BF1819"/>
    <mergeCell ref="DC124:DE124"/>
    <mergeCell ref="DC86:DE86"/>
    <mergeCell ref="DA126:DA130"/>
    <mergeCell ref="CB1819:CF1819"/>
    <mergeCell ref="CB5:CE5"/>
    <mergeCell ref="BB5:BE5"/>
    <mergeCell ref="BB519:BF519"/>
    <mergeCell ref="BB619:BF619"/>
    <mergeCell ref="BB719:BF719"/>
    <mergeCell ref="BB819:BF819"/>
    <mergeCell ref="BB1419:BF1419"/>
    <mergeCell ref="BB1519:BF1519"/>
    <mergeCell ref="BB1619:BF1619"/>
    <mergeCell ref="BB1719:BF1719"/>
    <mergeCell ref="BB1119:BF1119"/>
    <mergeCell ref="BB1219:BF1219"/>
    <mergeCell ref="BB1319:BF1319"/>
    <mergeCell ref="BC86:BE86"/>
    <mergeCell ref="CC86:CE86"/>
    <mergeCell ref="CC124:CE124"/>
    <mergeCell ref="BB9:BD9"/>
    <mergeCell ref="CB9:CD9"/>
    <mergeCell ref="DB9:DD9"/>
  </mergeCells>
  <phoneticPr fontId="153" type="noConversion"/>
  <conditionalFormatting sqref="G80:G82">
    <cfRule type="duplicateValues" dxfId="4" priority="2"/>
  </conditionalFormatting>
  <conditionalFormatting sqref="G69:G71">
    <cfRule type="duplicateValues" dxfId="3" priority="4"/>
  </conditionalFormatting>
  <dataValidations count="12">
    <dataValidation type="list" allowBlank="1" showInputMessage="1" showErrorMessage="1" sqref="DC113:DC121 CC113:CC121 BC113:BC121 EC115:EC123" xr:uid="{00000000-0002-0000-0600-000000000000}">
      <formula1>Fate</formula1>
    </dataValidation>
    <dataValidation type="list" allowBlank="1" showInputMessage="1" showErrorMessage="1" sqref="C93" xr:uid="{00000000-0002-0000-0600-000001000000}">
      <formula1>Allocation</formula1>
    </dataValidation>
    <dataValidation type="list" allowBlank="1" showInputMessage="1" showErrorMessage="1" sqref="EB56:EB85 DB54:DB83 CB54:CB83 BB54:BB83" xr:uid="{00000000-0002-0000-0600-000002000000}">
      <formula1>Equipment</formula1>
    </dataValidation>
    <dataValidation type="list" allowBlank="1" showInputMessage="1" showErrorMessage="1" sqref="BB88:BB97 EB89:EB98 DB88:DB97 CB88:CB97" xr:uid="{00000000-0002-0000-0600-000003000000}">
      <formula1>Material</formula1>
    </dataValidation>
    <dataValidation type="list" allowBlank="1" showInputMessage="1" showErrorMessage="1" sqref="EB127:EB137" xr:uid="{00000000-0002-0000-0600-000004000000}">
      <formula1>Custom_Output</formula1>
    </dataValidation>
    <dataValidation type="list" allowBlank="1" showInputMessage="1" showErrorMessage="1" sqref="DC317 CC317 BC317 EC317" xr:uid="{00000000-0002-0000-0600-000005000000}">
      <formula1>"Batch, Semi-Batch, Continuous"</formula1>
    </dataValidation>
    <dataValidation type="list" allowBlank="1" showInputMessage="1" showErrorMessage="1" sqref="C7" xr:uid="{00000000-0002-0000-0600-000007000000}">
      <formula1>DollarYear</formula1>
    </dataValidation>
    <dataValidation type="list" allowBlank="1" showInputMessage="1" showErrorMessage="1" sqref="BB127:BB133" xr:uid="{00000000-0002-0000-0600-000008000000}">
      <formula1>Pyro_Output</formula1>
    </dataValidation>
    <dataValidation type="list" allowBlank="1" showInputMessage="1" showErrorMessage="1" sqref="CB126:CB134" xr:uid="{00000000-0002-0000-0600-000009000000}">
      <formula1>Hydro_Output</formula1>
    </dataValidation>
    <dataValidation type="list" allowBlank="1" showInputMessage="1" showErrorMessage="1" sqref="DB126:DB134" xr:uid="{00000000-0002-0000-0600-00000A000000}">
      <formula1>Direct_Output</formula1>
    </dataValidation>
    <dataValidation type="list" allowBlank="1" showInputMessage="1" showErrorMessage="1" sqref="BC8 CC8 DC8 EC8" xr:uid="{951D2C37-32EA-4AA7-8226-742761B8BF35}">
      <formula1>Preprocessing</formula1>
    </dataValidation>
    <dataValidation type="list" allowBlank="1" showInputMessage="1" showErrorMessage="1" sqref="EC19" xr:uid="{49D9A5F6-DF70-40AC-8AED-6392E6B45769}">
      <formula1>Select_plant_type</formula1>
    </dataValidation>
  </dataValidations>
  <hyperlinks>
    <hyperlink ref="DD99" location="Materials!A120" tooltip="Go to specify properties of entered material" display="Materials!A120" xr:uid="{00000000-0004-0000-0600-000000000000}"/>
    <hyperlink ref="DD100" location="Materials!A120" tooltip="Go to specify properties of entered material" display="Materials!A120" xr:uid="{00000000-0004-0000-0600-000001000000}"/>
    <hyperlink ref="ED100" location="Materials!A120" tooltip="Go to specify properties of entered material" display="Materials!A120" xr:uid="{00000000-0004-0000-0600-000002000000}"/>
    <hyperlink ref="ED101" location="Materials!A120" tooltip="Go to specify properties of entered material" display="Materials!A120" xr:uid="{00000000-0004-0000-0600-000003000000}"/>
    <hyperlink ref="BA54" location="'CM Rec Par.'!BA536" display="'CM Rec Par.'!BA536" xr:uid="{00000000-0004-0000-0600-000005000000}"/>
    <hyperlink ref="BA55" location="'CM Rec Par.'!BA636" display="'CM Rec Par.'!BA636" xr:uid="{00000000-0004-0000-0600-000006000000}"/>
    <hyperlink ref="BA56" location="'CM Rec Par.'!BA736" display="'CM Rec Par.'!BA736" xr:uid="{00000000-0004-0000-0600-000007000000}"/>
    <hyperlink ref="BA57" location="'CM Rec Par.'!BA836" display="'CM Rec Par.'!BA836" xr:uid="{00000000-0004-0000-0600-000008000000}"/>
    <hyperlink ref="BA58" location="'CM Rec Par.'!BA936" display="'CM Rec Par.'!BA936" xr:uid="{00000000-0004-0000-0600-000009000000}"/>
    <hyperlink ref="BA59" location="'CM Rec Par.'!BA1036" display="'CM Rec Par.'!BA1036" xr:uid="{00000000-0004-0000-0600-00000A000000}"/>
    <hyperlink ref="BA60" location="'CM Rec Par.'!BA1136" display="'CM Rec Par.'!BA1136" xr:uid="{00000000-0004-0000-0600-00000B000000}"/>
    <hyperlink ref="BA61" location="'CM Rec Par.'!BA1236" display="'CM Rec Par.'!BA1236" xr:uid="{00000000-0004-0000-0600-00000C000000}"/>
    <hyperlink ref="BA62" location="'CM Rec Par.'!BA1336" display="'CM Rec Par.'!BA1336" xr:uid="{00000000-0004-0000-0600-00000D000000}"/>
    <hyperlink ref="BA63" location="'CM Rec Par.'!BA1436" display="'CM Rec Par.'!BA1436" xr:uid="{00000000-0004-0000-0600-00000E000000}"/>
    <hyperlink ref="BA64" location="'CM Rec Par.'!BA1536" display="'CM Rec Par.'!BA1536" xr:uid="{00000000-0004-0000-0600-00000F000000}"/>
    <hyperlink ref="BA65" location="'CM Rec Par.'!BA1636" display="'CM Rec Par.'!BA1636" xr:uid="{00000000-0004-0000-0600-000010000000}"/>
    <hyperlink ref="BA66" location="'CM Rec Par.'!BA1736" display="'CM Rec Par.'!BA1736" xr:uid="{00000000-0004-0000-0600-000011000000}"/>
    <hyperlink ref="BA67" location="'CM Rec Par.'!BA1836" display="'CM Rec Par.'!BA1836" xr:uid="{00000000-0004-0000-0600-000012000000}"/>
    <hyperlink ref="BA68" location="'CM Rec Par.'!BA1936" display="'CM Rec Par.'!BA1936" xr:uid="{00000000-0004-0000-0600-000013000000}"/>
    <hyperlink ref="BA69" location="'CM Rec Par.'!BA2036" display="'CM Rec Par.'!BA2036" xr:uid="{00000000-0004-0000-0600-000014000000}"/>
    <hyperlink ref="BA70" location="'CM Rec Par.'!BA2136" display="'CM Rec Par.'!BA2136" xr:uid="{00000000-0004-0000-0600-000015000000}"/>
    <hyperlink ref="BA71" location="'CM Rec Par.'!BA2236" display="'CM Rec Par.'!BA2236" xr:uid="{00000000-0004-0000-0600-000016000000}"/>
    <hyperlink ref="BA72" location="'CM Rec Par.'!BA2336" display="'CM Rec Par.'!BA2336" xr:uid="{00000000-0004-0000-0600-000017000000}"/>
    <hyperlink ref="BA73" location="'CM Rec Par.'!BA2436" display="'CM Rec Par.'!BA2436" xr:uid="{00000000-0004-0000-0600-000018000000}"/>
    <hyperlink ref="BA74" location="'CM Rec Par.'!BA2536" display="'CM Rec Par.'!BA2536" xr:uid="{00000000-0004-0000-0600-000019000000}"/>
    <hyperlink ref="BA75" location="'CM Rec Par.'!BA2636" display="'CM Rec Par.'!BA2636" xr:uid="{00000000-0004-0000-0600-00001A000000}"/>
    <hyperlink ref="BA76" location="'CM Rec Par.'!BA2736" display="'CM Rec Par.'!BA2736" xr:uid="{00000000-0004-0000-0600-00001B000000}"/>
    <hyperlink ref="BA77" location="'CM Rec Par.'!BA2836" display="'CM Rec Par.'!BA2836" xr:uid="{00000000-0004-0000-0600-00001C000000}"/>
    <hyperlink ref="BA78" location="'CM Rec Par.'!BA2936" display="'CM Rec Par.'!BA2936" xr:uid="{00000000-0004-0000-0600-00001D000000}"/>
    <hyperlink ref="BA79" location="'CM Rec Par.'!BA3036" display="'CM Rec Par.'!BA3036" xr:uid="{00000000-0004-0000-0600-00001E000000}"/>
    <hyperlink ref="BA80" location="'CM Rec Par.'!BA3136" display="'CM Rec Par.'!BA3136" xr:uid="{00000000-0004-0000-0600-00001F000000}"/>
    <hyperlink ref="BA81" location="'CM Rec Par.'!BA3236" display="'CM Rec Par.'!BA3236" xr:uid="{00000000-0004-0000-0600-000020000000}"/>
    <hyperlink ref="BA82" location="'CM Rec Par.'!BA3336" display="'CM Rec Par.'!BA3336" xr:uid="{00000000-0004-0000-0600-000021000000}"/>
    <hyperlink ref="BA83" location="'CM Rec Par.'!BA3436" display="'CM Rec Par.'!BA3436" xr:uid="{00000000-0004-0000-0600-000022000000}"/>
    <hyperlink ref="CA510" location="'CM Rec Par.'!CA508" display="'CM Rec Par.'!CA508" xr:uid="{00000000-0004-0000-0600-000063000000}"/>
    <hyperlink ref="CA509" location="'CM Rec Par.'!CA50" display="Process" xr:uid="{00000000-0004-0000-0600-000064000000}"/>
    <hyperlink ref="CA508" location="'CM Rec Par.'!CA6" display="Top" xr:uid="{00000000-0004-0000-0600-000065000000}"/>
    <hyperlink ref="CA511" location="'CM Rec Par.'!CA608" display="'CM Rec Par.'!CA608" xr:uid="{00000000-0004-0000-0600-000066000000}"/>
    <hyperlink ref="CA512" location="'CM Rec Par.'!CA708" display="'CM Rec Par.'!CA708" xr:uid="{00000000-0004-0000-0600-000067000000}"/>
    <hyperlink ref="CA513" location="'CM Rec Par.'!CA808" display="'CM Rec Par.'!CA808" xr:uid="{00000000-0004-0000-0600-000068000000}"/>
    <hyperlink ref="CA514" location="'CM Rec Par.'!CA908" display="'CM Rec Par.'!CA908" xr:uid="{00000000-0004-0000-0600-000069000000}"/>
    <hyperlink ref="CA515" location="'CM Rec Par.'!CA1008" display="'CM Rec Par.'!CA1008" xr:uid="{00000000-0004-0000-0600-00006A000000}"/>
    <hyperlink ref="CA516" location="'CM Rec Par.'!CA1108" display="'CM Rec Par.'!CA1108" xr:uid="{00000000-0004-0000-0600-00006B000000}"/>
    <hyperlink ref="CA517" location="'CM Rec Par.'!CA1208" display="'CM Rec Par.'!CA1208" xr:uid="{00000000-0004-0000-0600-00006C000000}"/>
    <hyperlink ref="CA518" location="'CM Rec Par.'!CA1308" display="'CM Rec Par.'!CA1308" xr:uid="{00000000-0004-0000-0600-00006D000000}"/>
    <hyperlink ref="CA519" location="'CM Rec Par.'!CA1408" display="'CM Rec Par.'!CA1408" xr:uid="{00000000-0004-0000-0600-00006E000000}"/>
    <hyperlink ref="CA520" location="'CM Rec Par.'!CA1508" display="'CM Rec Par.'!CA1508" xr:uid="{00000000-0004-0000-0600-00006F000000}"/>
    <hyperlink ref="CA521" location="'CM Rec Par.'!CA1608" display="'CM Rec Par.'!CA1608" xr:uid="{00000000-0004-0000-0600-000070000000}"/>
    <hyperlink ref="CA522" location="'CM Rec Par.'!CA1708" display="'CM Rec Par.'!CA1708" xr:uid="{00000000-0004-0000-0600-000071000000}"/>
    <hyperlink ref="CA523" location="'CM Rec Par.'!CA1808" display="'CM Rec Par.'!CA1808" xr:uid="{00000000-0004-0000-0600-000072000000}"/>
    <hyperlink ref="CA524" location="'CM Rec Par.'!CA1908" display="'CM Rec Par.'!CA1908" xr:uid="{00000000-0004-0000-0600-000073000000}"/>
    <hyperlink ref="CA525" location="'CM Rec Par.'!CA2008" display="'CM Rec Par.'!CA2008" xr:uid="{00000000-0004-0000-0600-000074000000}"/>
    <hyperlink ref="CA526" location="'CM Rec Par.'!CA2108" display="'CM Rec Par.'!CA2108" xr:uid="{00000000-0004-0000-0600-000075000000}"/>
    <hyperlink ref="CA527" location="'CM Rec Par.'!CA2208" display="'CM Rec Par.'!CA2208" xr:uid="{00000000-0004-0000-0600-000076000000}"/>
    <hyperlink ref="CA528" location="'CM Rec Par.'!CA2308" display="'CM Rec Par.'!CA2308" xr:uid="{00000000-0004-0000-0600-000077000000}"/>
    <hyperlink ref="CA529" location="'CM Rec Par.'!CA2408" display="'CM Rec Par.'!CA2408" xr:uid="{00000000-0004-0000-0600-000078000000}"/>
    <hyperlink ref="CA530" location="'CM Rec Par.'!CA2508" display="'CM Rec Par.'!CA2508" xr:uid="{00000000-0004-0000-0600-000079000000}"/>
    <hyperlink ref="CA531" location="'CM Rec Par.'!CA2608" display="'CM Rec Par.'!CA2608" xr:uid="{00000000-0004-0000-0600-00007A000000}"/>
    <hyperlink ref="CA532" location="'CM Rec Par.'!CA2708" display="'CM Rec Par.'!CA2708" xr:uid="{00000000-0004-0000-0600-00007B000000}"/>
    <hyperlink ref="CA533" location="'CM Rec Par.'!CA2808" display="'CM Rec Par.'!CA2808" xr:uid="{00000000-0004-0000-0600-00007C000000}"/>
    <hyperlink ref="CA534" location="'CM Rec Par.'!CA2908" display="'CM Rec Par.'!CA2908" xr:uid="{00000000-0004-0000-0600-00007D000000}"/>
    <hyperlink ref="CA535" location="'CM Rec Par.'!CA3008" display="'CM Rec Par.'!CA3008" xr:uid="{00000000-0004-0000-0600-00007E000000}"/>
    <hyperlink ref="CA536" location="'CM Rec Par.'!CA3108" display="'CM Rec Par.'!CA3108" xr:uid="{00000000-0004-0000-0600-00007F000000}"/>
    <hyperlink ref="CA537" location="'CM Rec Par.'!CA3208" display="'CM Rec Par.'!CA3208" xr:uid="{00000000-0004-0000-0600-000080000000}"/>
    <hyperlink ref="CA538" location="'CM Rec Par.'!CA3308" display="'CM Rec Par.'!CA3308" xr:uid="{00000000-0004-0000-0600-000081000000}"/>
    <hyperlink ref="CA539" location="'CM Rec Par.'!CA3408" display="'CM Rec Par.'!CA3408" xr:uid="{00000000-0004-0000-0600-000082000000}"/>
    <hyperlink ref="BA510" location="'CM Rec Par.'!BA508" display="'CM Rec Par.'!BA508" xr:uid="{00000000-0004-0000-0600-000023040000}"/>
    <hyperlink ref="BA509" location="'CM Rec Par.'!BA50" display="Process" xr:uid="{00000000-0004-0000-0600-000024040000}"/>
    <hyperlink ref="BA511" location="'CM Rec Par.'!BA608" display="'CM Rec Par.'!BA608" xr:uid="{00000000-0004-0000-0600-000025040000}"/>
    <hyperlink ref="BA512" location="'CM Rec Par.'!BA708" display="'CM Rec Par.'!BA708" xr:uid="{00000000-0004-0000-0600-000026040000}"/>
    <hyperlink ref="BA513" location="'CM Rec Par.'!BA808" display="'CM Rec Par.'!BA808" xr:uid="{00000000-0004-0000-0600-000027040000}"/>
    <hyperlink ref="BA514" location="'CM Rec Par.'!BA908" display="'CM Rec Par.'!BA908" xr:uid="{00000000-0004-0000-0600-000028040000}"/>
    <hyperlink ref="BA515" location="'CM Rec Par.'!BA1008" display="'CM Rec Par.'!BA1008" xr:uid="{00000000-0004-0000-0600-000029040000}"/>
    <hyperlink ref="BA516" location="'CM Rec Par.'!BA1108" display="'CM Rec Par.'!BA1108" xr:uid="{00000000-0004-0000-0600-00002A040000}"/>
    <hyperlink ref="BA517" location="'CM Rec Par.'!BA1208" display="'CM Rec Par.'!BA1208" xr:uid="{00000000-0004-0000-0600-00002B040000}"/>
    <hyperlink ref="BA518" location="'CM Rec Par.'!BA1308" display="'CM Rec Par.'!BA1308" xr:uid="{00000000-0004-0000-0600-00002C040000}"/>
    <hyperlink ref="BA519" location="'CM Rec Par.'!BA1408" display="'CM Rec Par.'!BA1408" xr:uid="{00000000-0004-0000-0600-00002D040000}"/>
    <hyperlink ref="BA520" location="'CM Rec Par.'!BA1508" display="'CM Rec Par.'!BA1508" xr:uid="{00000000-0004-0000-0600-00002E040000}"/>
    <hyperlink ref="BA521" location="'CM Rec Par.'!BA1608" display="'CM Rec Par.'!BA1608" xr:uid="{00000000-0004-0000-0600-00002F040000}"/>
    <hyperlink ref="BA522" location="'CM Rec Par.'!BA1708" display="'CM Rec Par.'!BA1708" xr:uid="{00000000-0004-0000-0600-000030040000}"/>
    <hyperlink ref="BA523" location="'CM Rec Par.'!BA1808" display="'CM Rec Par.'!BA1808" xr:uid="{00000000-0004-0000-0600-000031040000}"/>
    <hyperlink ref="BA524" location="'CM Rec Par.'!BA1908" display="'CM Rec Par.'!BA1908" xr:uid="{00000000-0004-0000-0600-000032040000}"/>
    <hyperlink ref="BA525" location="'CM Rec Par.'!BA2008" display="'CM Rec Par.'!BA2008" xr:uid="{00000000-0004-0000-0600-000033040000}"/>
    <hyperlink ref="BA526" location="'CM Rec Par.'!BA2108" display="'CM Rec Par.'!BA2108" xr:uid="{00000000-0004-0000-0600-000034040000}"/>
    <hyperlink ref="BA527" location="'CM Rec Par.'!BA2208" display="'CM Rec Par.'!BA2208" xr:uid="{00000000-0004-0000-0600-000035040000}"/>
    <hyperlink ref="BA528" location="'CM Rec Par.'!BA2308" display="'CM Rec Par.'!BA2308" xr:uid="{00000000-0004-0000-0600-000036040000}"/>
    <hyperlink ref="BA529" location="'CM Rec Par.'!BA2408" display="'CM Rec Par.'!BA2408" xr:uid="{00000000-0004-0000-0600-000037040000}"/>
    <hyperlink ref="BA530" location="'CM Rec Par.'!BA2508" display="'CM Rec Par.'!BA2508" xr:uid="{00000000-0004-0000-0600-000038040000}"/>
    <hyperlink ref="BA531" location="'CM Rec Par.'!BA2608" display="'CM Rec Par.'!BA2608" xr:uid="{00000000-0004-0000-0600-000039040000}"/>
    <hyperlink ref="BA532" location="'CM Rec Par.'!BA2708" display="'CM Rec Par.'!BA2708" xr:uid="{00000000-0004-0000-0600-00003A040000}"/>
    <hyperlink ref="BA533" location="'CM Rec Par.'!BA2808" display="'CM Rec Par.'!BA2808" xr:uid="{00000000-0004-0000-0600-00003B040000}"/>
    <hyperlink ref="BA534" location="'CM Rec Par.'!BA2908" display="'CM Rec Par.'!BA2908" xr:uid="{00000000-0004-0000-0600-00003C040000}"/>
    <hyperlink ref="BA535" location="'CM Rec Par.'!BA3008" display="'CM Rec Par.'!BA3008" xr:uid="{00000000-0004-0000-0600-00003D040000}"/>
    <hyperlink ref="BA536" location="'CM Rec Par.'!BA3108" display="'CM Rec Par.'!BA3108" xr:uid="{00000000-0004-0000-0600-00003E040000}"/>
    <hyperlink ref="BA537" location="'CM Rec Par.'!BA3208" display="'CM Rec Par.'!BA3208" xr:uid="{00000000-0004-0000-0600-00003F040000}"/>
    <hyperlink ref="BA538" location="'CM Rec Par.'!BA3308" display="'CM Rec Par.'!BA3308" xr:uid="{00000000-0004-0000-0600-000040040000}"/>
    <hyperlink ref="BA539" location="'CM Rec Par.'!BA3408" display="'CM Rec Par.'!BA3408" xr:uid="{00000000-0004-0000-0600-000041040000}"/>
    <hyperlink ref="BA508" location="'CM Rec Par.'!BA6" display="Top" xr:uid="{00000000-0004-0000-0600-0000E5070000}"/>
    <hyperlink ref="CA54" location="'CM Rec Par.'!CA536" display="'CM Rec Par.'!CA536" xr:uid="{00000000-0004-0000-0600-000004080000}"/>
    <hyperlink ref="CA55" location="'CM Rec Par.'!CA636" display="'CM Rec Par.'!CA636" xr:uid="{00000000-0004-0000-0600-000005080000}"/>
    <hyperlink ref="CA56" location="'CM Rec Par.'!CA736" display="'CM Rec Par.'!CA736" xr:uid="{00000000-0004-0000-0600-000006080000}"/>
    <hyperlink ref="CA57" location="'CM Rec Par.'!CA836" display="'CM Rec Par.'!CA836" xr:uid="{00000000-0004-0000-0600-000007080000}"/>
    <hyperlink ref="CA58" location="'CM Rec Par.'!CA936" display="'CM Rec Par.'!CA936" xr:uid="{00000000-0004-0000-0600-000008080000}"/>
    <hyperlink ref="CA59" location="'CM Rec Par.'!CA1036" display="'CM Rec Par.'!CA1036" xr:uid="{00000000-0004-0000-0600-000009080000}"/>
    <hyperlink ref="CA60" location="'CM Rec Par.'!CA1136" display="'CM Rec Par.'!CA1136" xr:uid="{00000000-0004-0000-0600-00000A080000}"/>
    <hyperlink ref="CA61" location="'CM Rec Par.'!CA1236" display="'CM Rec Par.'!CA1236" xr:uid="{00000000-0004-0000-0600-00000B080000}"/>
    <hyperlink ref="CA62" location="'CM Rec Par.'!CA1336" display="'CM Rec Par.'!CA1336" xr:uid="{00000000-0004-0000-0600-00000C080000}"/>
    <hyperlink ref="CA63" location="'CM Rec Par.'!CA1436" display="'CM Rec Par.'!CA1436" xr:uid="{00000000-0004-0000-0600-00000D080000}"/>
    <hyperlink ref="CA64" location="'CM Rec Par.'!CA1536" display="'CM Rec Par.'!CA1536" xr:uid="{00000000-0004-0000-0600-00000E080000}"/>
    <hyperlink ref="CA65" location="'CM Rec Par.'!CA1636" display="'CM Rec Par.'!CA1636" xr:uid="{00000000-0004-0000-0600-00000F080000}"/>
    <hyperlink ref="CA66" location="'CM Rec Par.'!CA1736" display="'CM Rec Par.'!CA1736" xr:uid="{00000000-0004-0000-0600-000010080000}"/>
    <hyperlink ref="CA67" location="'CM Rec Par.'!CA1836" display="'CM Rec Par.'!CA1836" xr:uid="{00000000-0004-0000-0600-000011080000}"/>
    <hyperlink ref="CA68" location="'CM Rec Par.'!CA1936" display="'CM Rec Par.'!CA1936" xr:uid="{00000000-0004-0000-0600-000012080000}"/>
    <hyperlink ref="CA69" location="'CM Rec Par.'!CA2036" display="'CM Rec Par.'!CA2036" xr:uid="{00000000-0004-0000-0600-000013080000}"/>
    <hyperlink ref="CA70" location="'CM Rec Par.'!CA2136" display="'CM Rec Par.'!CA2136" xr:uid="{00000000-0004-0000-0600-000014080000}"/>
    <hyperlink ref="CA71" location="'CM Rec Par.'!CA2236" display="'CM Rec Par.'!CA2236" xr:uid="{00000000-0004-0000-0600-000015080000}"/>
    <hyperlink ref="CA72" location="'CM Rec Par.'!CA2336" display="'CM Rec Par.'!CA2336" xr:uid="{00000000-0004-0000-0600-000016080000}"/>
    <hyperlink ref="CA73" location="'CM Rec Par.'!CA2436" display="'CM Rec Par.'!CA2436" xr:uid="{00000000-0004-0000-0600-000017080000}"/>
    <hyperlink ref="CA74" location="'CM Rec Par.'!CA2536" display="'CM Rec Par.'!CA2536" xr:uid="{00000000-0004-0000-0600-000018080000}"/>
    <hyperlink ref="CA75" location="'CM Rec Par.'!CA2636" display="'CM Rec Par.'!CA2636" xr:uid="{00000000-0004-0000-0600-000019080000}"/>
    <hyperlink ref="CA76" location="'CM Rec Par.'!CA2736" display="'CM Rec Par.'!CA2736" xr:uid="{00000000-0004-0000-0600-00001A080000}"/>
    <hyperlink ref="CA77" location="'CM Rec Par.'!CA2836" display="'CM Rec Par.'!CA2836" xr:uid="{00000000-0004-0000-0600-00001B080000}"/>
    <hyperlink ref="CA78" location="'CM Rec Par.'!CA2936" display="'CM Rec Par.'!CA2936" xr:uid="{00000000-0004-0000-0600-00001C080000}"/>
    <hyperlink ref="CA79" location="'CM Rec Par.'!CA3036" display="'CM Rec Par.'!CA3036" xr:uid="{00000000-0004-0000-0600-00001D080000}"/>
    <hyperlink ref="CA80" location="'CM Rec Par.'!CA3136" display="'CM Rec Par.'!CA3136" xr:uid="{00000000-0004-0000-0600-00001E080000}"/>
    <hyperlink ref="CA81" location="'CM Rec Par.'!CA3236" display="'CM Rec Par.'!CA3236" xr:uid="{00000000-0004-0000-0600-00001F080000}"/>
    <hyperlink ref="CA82" location="'CM Rec Par.'!CA3336" display="'CM Rec Par.'!CA3336" xr:uid="{00000000-0004-0000-0600-000020080000}"/>
    <hyperlink ref="CA83" location="'CM Rec Par.'!CA3436" display="'CM Rec Par.'!CA3436" xr:uid="{00000000-0004-0000-0600-000021080000}"/>
    <hyperlink ref="DA56" location="'CM Rec Par.'!DA736" display="'CM Rec Par.'!DA736" xr:uid="{00000000-0004-0000-0600-000022080000}"/>
    <hyperlink ref="DA57" location="'CM Rec Par.'!DA836" display="'CM Rec Par.'!DA836" xr:uid="{00000000-0004-0000-0600-000023080000}"/>
    <hyperlink ref="DA58" location="'CM Rec Par.'!DA936" display="'CM Rec Par.'!DA936" xr:uid="{00000000-0004-0000-0600-000024080000}"/>
    <hyperlink ref="DA59" location="'CM Rec Par.'!DA1036" display="'CM Rec Par.'!DA1036" xr:uid="{00000000-0004-0000-0600-000025080000}"/>
    <hyperlink ref="DA60" location="'CM Rec Par.'!DA1136" display="'CM Rec Par.'!DA1136" xr:uid="{00000000-0004-0000-0600-000026080000}"/>
    <hyperlink ref="DA61" location="'CM Rec Par.'!DA1236" display="'CM Rec Par.'!DA1236" xr:uid="{00000000-0004-0000-0600-000027080000}"/>
    <hyperlink ref="DA62" location="'CM Rec Par.'!DA1336" display="'CM Rec Par.'!DA1336" xr:uid="{00000000-0004-0000-0600-000028080000}"/>
    <hyperlink ref="DA63" location="'CM Rec Par.'!DA1436" display="'CM Rec Par.'!DA1436" xr:uid="{00000000-0004-0000-0600-000029080000}"/>
    <hyperlink ref="DA64" location="'CM Rec Par.'!DA1536" display="'CM Rec Par.'!DA1536" xr:uid="{00000000-0004-0000-0600-00002A080000}"/>
    <hyperlink ref="DA65" location="'CM Rec Par.'!DA1636" display="'CM Rec Par.'!DA1636" xr:uid="{00000000-0004-0000-0600-00002B080000}"/>
    <hyperlink ref="DA66" location="'CM Rec Par.'!DA1736" display="'CM Rec Par.'!DA1736" xr:uid="{00000000-0004-0000-0600-00002C080000}"/>
    <hyperlink ref="DA67" location="'CM Rec Par.'!DA1836" display="'CM Rec Par.'!DA1836" xr:uid="{00000000-0004-0000-0600-00002D080000}"/>
    <hyperlink ref="DA68" location="'CM Rec Par.'!DA1936" display="'CM Rec Par.'!DA1936" xr:uid="{00000000-0004-0000-0600-00002E080000}"/>
    <hyperlink ref="DA69" location="'CM Rec Par.'!DA2036" display="'CM Rec Par.'!DA2036" xr:uid="{00000000-0004-0000-0600-00002F080000}"/>
    <hyperlink ref="DA70" location="'CM Rec Par.'!DA2136" display="'CM Rec Par.'!DA2136" xr:uid="{00000000-0004-0000-0600-000030080000}"/>
    <hyperlink ref="DA71" location="'CM Rec Par.'!DA2236" display="'CM Rec Par.'!DA2236" xr:uid="{00000000-0004-0000-0600-000031080000}"/>
    <hyperlink ref="DA72" location="'CM Rec Par.'!DA2336" display="'CM Rec Par.'!DA2336" xr:uid="{00000000-0004-0000-0600-000032080000}"/>
    <hyperlink ref="DA73" location="'CM Rec Par.'!DA2436" display="'CM Rec Par.'!DA2436" xr:uid="{00000000-0004-0000-0600-000033080000}"/>
    <hyperlink ref="DA74" location="'CM Rec Par.'!DA2536" display="'CM Rec Par.'!DA2536" xr:uid="{00000000-0004-0000-0600-000034080000}"/>
    <hyperlink ref="DA75" location="'CM Rec Par.'!DA2636" display="'CM Rec Par.'!DA2636" xr:uid="{00000000-0004-0000-0600-000035080000}"/>
    <hyperlink ref="DA76" location="'CM Rec Par.'!DA2736" display="'CM Rec Par.'!DA2736" xr:uid="{00000000-0004-0000-0600-000036080000}"/>
    <hyperlink ref="DA77" location="'CM Rec Par.'!DA2836" display="'CM Rec Par.'!DA2836" xr:uid="{00000000-0004-0000-0600-000037080000}"/>
    <hyperlink ref="DA78" location="'CM Rec Par.'!DA2936" display="'CM Rec Par.'!DA2936" xr:uid="{00000000-0004-0000-0600-000038080000}"/>
    <hyperlink ref="DA79" location="'CM Rec Par.'!DA3036" display="'CM Rec Par.'!DA3036" xr:uid="{00000000-0004-0000-0600-000039080000}"/>
    <hyperlink ref="DA80" location="'CM Rec Par.'!DA3136" display="'CM Rec Par.'!DA3136" xr:uid="{00000000-0004-0000-0600-00003A080000}"/>
    <hyperlink ref="DA81" location="'CM Rec Par.'!DA3236" display="'CM Rec Par.'!DA3236" xr:uid="{00000000-0004-0000-0600-00003B080000}"/>
    <hyperlink ref="DA82" location="'CM Rec Par.'!DA3336" display="'CM Rec Par.'!DA3336" xr:uid="{00000000-0004-0000-0600-00003C080000}"/>
    <hyperlink ref="DA83" location="'CM Rec Par.'!DA3436" display="'CM Rec Par.'!DA3436" xr:uid="{00000000-0004-0000-0600-00003D080000}"/>
    <hyperlink ref="BD99" location="Materials!A120" display="Materials!A120" xr:uid="{00000000-0004-0000-0600-00003E080000}"/>
    <hyperlink ref="BD100" location="Materials!A120" display="Materials!A120" xr:uid="{00000000-0004-0000-0600-00003F080000}"/>
    <hyperlink ref="CD99" location="Materials!A120" display="Materials!A120" xr:uid="{00000000-0004-0000-0600-000040080000}"/>
    <hyperlink ref="CD100" location="Materials!A120" display="Materials!A120" xr:uid="{00000000-0004-0000-0600-000041080000}"/>
    <hyperlink ref="DA510" location="'CM Rec Par.'!DA508" display="'CM Rec Par.'!DA508" xr:uid="{00000000-0004-0000-0600-000042080000}"/>
    <hyperlink ref="DA509" location="'CM Rec Par.'!DA50" display="Process" xr:uid="{00000000-0004-0000-0600-000043080000}"/>
    <hyperlink ref="DA508" location="'CM Rec Par.'!DA6" display="Top" xr:uid="{00000000-0004-0000-0600-000044080000}"/>
    <hyperlink ref="DA511" location="'CM Rec Par.'!DA608" display="'CM Rec Par.'!DA608" xr:uid="{00000000-0004-0000-0600-000045080000}"/>
    <hyperlink ref="DA512" location="'CM Rec Par.'!DA708" display="'CM Rec Par.'!DA708" xr:uid="{00000000-0004-0000-0600-000046080000}"/>
    <hyperlink ref="DA513" location="'CM Rec Par.'!DA808" display="'CM Rec Par.'!DA808" xr:uid="{00000000-0004-0000-0600-000047080000}"/>
    <hyperlink ref="DA514" location="'CM Rec Par.'!DA908" display="'CM Rec Par.'!DA908" xr:uid="{00000000-0004-0000-0600-000048080000}"/>
    <hyperlink ref="DA515" location="'CM Rec Par.'!DA1008" display="'CM Rec Par.'!DA1008" xr:uid="{00000000-0004-0000-0600-000049080000}"/>
    <hyperlink ref="DA516" location="'CM Rec Par.'!DA1108" display="'CM Rec Par.'!DA1108" xr:uid="{00000000-0004-0000-0600-00004A080000}"/>
    <hyperlink ref="DA517" location="'CM Rec Par.'!DA1208" display="'CM Rec Par.'!DA1208" xr:uid="{00000000-0004-0000-0600-00004B080000}"/>
    <hyperlink ref="DA518" location="'CM Rec Par.'!DA1308" display="'CM Rec Par.'!DA1308" xr:uid="{00000000-0004-0000-0600-00004C080000}"/>
    <hyperlink ref="DA519" location="'CM Rec Par.'!DA1408" display="'CM Rec Par.'!DA1408" xr:uid="{00000000-0004-0000-0600-00004D080000}"/>
    <hyperlink ref="DA520" location="'CM Rec Par.'!DA1508" display="'CM Rec Par.'!DA1508" xr:uid="{00000000-0004-0000-0600-00004E080000}"/>
    <hyperlink ref="DA521" location="'CM Rec Par.'!DA1608" display="'CM Rec Par.'!DA1608" xr:uid="{00000000-0004-0000-0600-00004F080000}"/>
    <hyperlink ref="DA522" location="'CM Rec Par.'!DA1708" display="'CM Rec Par.'!DA1708" xr:uid="{00000000-0004-0000-0600-000050080000}"/>
    <hyperlink ref="DA523" location="'CM Rec Par.'!DA1808" display="'CM Rec Par.'!DA1808" xr:uid="{00000000-0004-0000-0600-000051080000}"/>
    <hyperlink ref="DA524" location="'CM Rec Par.'!DA1908" display="'CM Rec Par.'!DA1908" xr:uid="{00000000-0004-0000-0600-000052080000}"/>
    <hyperlink ref="DA525" location="'CM Rec Par.'!DA2008" display="'CM Rec Par.'!DA2008" xr:uid="{00000000-0004-0000-0600-000053080000}"/>
    <hyperlink ref="DA526" location="'CM Rec Par.'!DA2108" display="'CM Rec Par.'!DA2108" xr:uid="{00000000-0004-0000-0600-000054080000}"/>
    <hyperlink ref="DA527" location="'CM Rec Par.'!DA2208" display="'CM Rec Par.'!DA2208" xr:uid="{00000000-0004-0000-0600-000055080000}"/>
    <hyperlink ref="DA528" location="'CM Rec Par.'!DA2308" display="'CM Rec Par.'!DA2308" xr:uid="{00000000-0004-0000-0600-000056080000}"/>
    <hyperlink ref="DA529" location="'CM Rec Par.'!DA2408" display="'CM Rec Par.'!DA2408" xr:uid="{00000000-0004-0000-0600-000057080000}"/>
    <hyperlink ref="DA530" location="'CM Rec Par.'!DA2508" display="'CM Rec Par.'!DA2508" xr:uid="{00000000-0004-0000-0600-000058080000}"/>
    <hyperlink ref="DA531" location="'CM Rec Par.'!DA2608" display="'CM Rec Par.'!DA2608" xr:uid="{00000000-0004-0000-0600-000059080000}"/>
    <hyperlink ref="DA532" location="'CM Rec Par.'!DA2708" display="'CM Rec Par.'!DA2708" xr:uid="{00000000-0004-0000-0600-00005A080000}"/>
    <hyperlink ref="DA533" location="'CM Rec Par.'!DA2808" display="'CM Rec Par.'!DA2808" xr:uid="{00000000-0004-0000-0600-00005B080000}"/>
    <hyperlink ref="DA534" location="'CM Rec Par.'!DA2908" display="'CM Rec Par.'!DA2908" xr:uid="{00000000-0004-0000-0600-00005C080000}"/>
    <hyperlink ref="DA535" location="'CM Rec Par.'!DA3008" display="'CM Rec Par.'!DA3008" xr:uid="{00000000-0004-0000-0600-00005D080000}"/>
    <hyperlink ref="DA536" location="'CM Rec Par.'!DA3108" display="'CM Rec Par.'!DA3108" xr:uid="{00000000-0004-0000-0600-00005E080000}"/>
    <hyperlink ref="DA537" location="'CM Rec Par.'!DA3208" display="'CM Rec Par.'!DA3208" xr:uid="{00000000-0004-0000-0600-00005F080000}"/>
    <hyperlink ref="DA538" location="'CM Rec Par.'!DA3308" display="'CM Rec Par.'!DA3308" xr:uid="{00000000-0004-0000-0600-000060080000}"/>
    <hyperlink ref="DA539" location="'CM Rec Par.'!DA3408" display="'CM Rec Par.'!DA3408" xr:uid="{00000000-0004-0000-0600-000061080000}"/>
    <hyperlink ref="DA55" location="'CM Rec Par.'!DA636" display="'CM Rec Par.'!DA636" xr:uid="{00000000-0004-0000-0600-000062080000}"/>
    <hyperlink ref="DA54" location="'CM Rec Par.'!DA536" display="'CM Rec Par.'!DA536" xr:uid="{00000000-0004-0000-0600-000063080000}"/>
    <hyperlink ref="EA58" location="'CM Rec Par.'!EA736" display="'CM Rec Par.'!EA736" xr:uid="{00000000-0004-0000-0600-000065080000}"/>
    <hyperlink ref="EA59" location="'CM Rec Par.'!EA836" display="'CM Rec Par.'!EA836" xr:uid="{00000000-0004-0000-0600-000066080000}"/>
    <hyperlink ref="EA60" location="'CM Rec Par.'!EA936" display="'CM Rec Par.'!EA936" xr:uid="{00000000-0004-0000-0600-000067080000}"/>
    <hyperlink ref="EA61" location="'CM Rec Par.'!EA1036" display="'CM Rec Par.'!EA1036" xr:uid="{00000000-0004-0000-0600-000068080000}"/>
    <hyperlink ref="EA62" location="'CM Rec Par.'!EA1136" display="'CM Rec Par.'!EA1136" xr:uid="{00000000-0004-0000-0600-000069080000}"/>
    <hyperlink ref="EA63" location="'CM Rec Par.'!EA1236" display="'CM Rec Par.'!EA1236" xr:uid="{00000000-0004-0000-0600-00006A080000}"/>
    <hyperlink ref="EA64" location="'CM Rec Par.'!EA1336" display="'CM Rec Par.'!EA1336" xr:uid="{00000000-0004-0000-0600-00006B080000}"/>
    <hyperlink ref="EA65" location="'CM Rec Par.'!EA1436" display="'CM Rec Par.'!EA1436" xr:uid="{00000000-0004-0000-0600-00006C080000}"/>
    <hyperlink ref="EA66" location="'CM Rec Par.'!EA1536" display="'CM Rec Par.'!EA1536" xr:uid="{00000000-0004-0000-0600-00006D080000}"/>
    <hyperlink ref="EA67" location="'CM Rec Par.'!EA1636" display="'CM Rec Par.'!EA1636" xr:uid="{00000000-0004-0000-0600-00006E080000}"/>
    <hyperlink ref="EA68" location="'CM Rec Par.'!EA1736" display="'CM Rec Par.'!EA1736" xr:uid="{00000000-0004-0000-0600-00006F080000}"/>
    <hyperlink ref="EA69" location="'CM Rec Par.'!EA1836" display="'CM Rec Par.'!EA1836" xr:uid="{00000000-0004-0000-0600-000070080000}"/>
    <hyperlink ref="EA70" location="'CM Rec Par.'!EA1936" display="'CM Rec Par.'!EA1936" xr:uid="{00000000-0004-0000-0600-000071080000}"/>
    <hyperlink ref="EA71" location="'CM Rec Par.'!EA2036" display="'CM Rec Par.'!EA2036" xr:uid="{00000000-0004-0000-0600-000072080000}"/>
    <hyperlink ref="EA72" location="'CM Rec Par.'!EA2136" display="'CM Rec Par.'!EA2136" xr:uid="{00000000-0004-0000-0600-000073080000}"/>
    <hyperlink ref="EA73" location="'CM Rec Par.'!EA2236" display="'CM Rec Par.'!EA2236" xr:uid="{00000000-0004-0000-0600-000074080000}"/>
    <hyperlink ref="EA74" location="'CM Rec Par.'!EA2336" display="'CM Rec Par.'!EA2336" xr:uid="{00000000-0004-0000-0600-000075080000}"/>
    <hyperlink ref="EA75" location="'CM Rec Par.'!EA2436" display="'CM Rec Par.'!EA2436" xr:uid="{00000000-0004-0000-0600-000076080000}"/>
    <hyperlink ref="EA76" location="'CM Rec Par.'!EA2536" display="'CM Rec Par.'!EA2536" xr:uid="{00000000-0004-0000-0600-000077080000}"/>
    <hyperlink ref="EA77" location="'CM Rec Par.'!EA2636" display="'CM Rec Par.'!EA2636" xr:uid="{00000000-0004-0000-0600-000078080000}"/>
    <hyperlink ref="EA78" location="'CM Rec Par.'!EA2736" display="'CM Rec Par.'!EA2736" xr:uid="{00000000-0004-0000-0600-000079080000}"/>
    <hyperlink ref="EA79" location="'CM Rec Par.'!EA2836" display="'CM Rec Par.'!EA2836" xr:uid="{00000000-0004-0000-0600-00007A080000}"/>
    <hyperlink ref="EA80" location="'CM Rec Par.'!EA2936" display="'CM Rec Par.'!EA2936" xr:uid="{00000000-0004-0000-0600-00007B080000}"/>
    <hyperlink ref="EA81" location="'CM Rec Par.'!EA3036" display="'CM Rec Par.'!EA3036" xr:uid="{00000000-0004-0000-0600-00007C080000}"/>
    <hyperlink ref="EA82" location="'CM Rec Par.'!EA3136" display="'CM Rec Par.'!EA3136" xr:uid="{00000000-0004-0000-0600-00007D080000}"/>
    <hyperlink ref="EA83" location="'CM Rec Par.'!EA3236" display="'CM Rec Par.'!EA3236" xr:uid="{00000000-0004-0000-0600-00007E080000}"/>
    <hyperlink ref="EA84" location="'CM Rec Par.'!EA3336" display="'CM Rec Par.'!EA3336" xr:uid="{00000000-0004-0000-0600-00007F080000}"/>
    <hyperlink ref="EA85" location="'CM Rec Par.'!EA3436" display="'CM Rec Par.'!EA3436" xr:uid="{00000000-0004-0000-0600-000080080000}"/>
    <hyperlink ref="EA57" location="'CM Rec Par.'!EA636" display="'CM Rec Par.'!EA636" xr:uid="{00000000-0004-0000-0600-000081080000}"/>
    <hyperlink ref="EA510" location="'CM Rec Par.'!EA508" display="'CM Rec Par.'!EA508" xr:uid="{00000000-0004-0000-0600-0000440C0000}"/>
    <hyperlink ref="EA509" location="'CM Rec Par.'!EA50" display="Process" xr:uid="{00000000-0004-0000-0600-0000450C0000}"/>
    <hyperlink ref="EA508" location="'CM Rec Par.'!EA6" display="Top" xr:uid="{00000000-0004-0000-0600-0000460C0000}"/>
    <hyperlink ref="EA511" location="'CM Rec Par.'!EA608" display="'CM Rec Par.'!EA608" xr:uid="{00000000-0004-0000-0600-0000470C0000}"/>
    <hyperlink ref="EA512" location="'CM Rec Par.'!EA708" display="'CM Rec Par.'!EA708" xr:uid="{00000000-0004-0000-0600-0000480C0000}"/>
    <hyperlink ref="EA513" location="'CM Rec Par.'!EA808" display="'CM Rec Par.'!EA808" xr:uid="{00000000-0004-0000-0600-0000490C0000}"/>
    <hyperlink ref="EA514" location="'CM Rec Par.'!EA908" display="'CM Rec Par.'!EA908" xr:uid="{00000000-0004-0000-0600-00004A0C0000}"/>
    <hyperlink ref="EA515" location="'CM Rec Par.'!EA1008" display="'CM Rec Par.'!EA1008" xr:uid="{00000000-0004-0000-0600-00004B0C0000}"/>
    <hyperlink ref="EA516" location="'CM Rec Par.'!EA1108" display="'CM Rec Par.'!EA1108" xr:uid="{00000000-0004-0000-0600-00004C0C0000}"/>
    <hyperlink ref="EA517" location="'CM Rec Par.'!EA1208" display="'CM Rec Par.'!EA1208" xr:uid="{00000000-0004-0000-0600-00004D0C0000}"/>
    <hyperlink ref="EA518" location="'CM Rec Par.'!EA1308" display="'CM Rec Par.'!EA1308" xr:uid="{00000000-0004-0000-0600-00004E0C0000}"/>
    <hyperlink ref="EA519" location="'CM Rec Par.'!EA1408" display="'CM Rec Par.'!EA1408" xr:uid="{00000000-0004-0000-0600-00004F0C0000}"/>
    <hyperlink ref="EA520" location="'CM Rec Par.'!EA1508" display="'CM Rec Par.'!EA1508" xr:uid="{00000000-0004-0000-0600-0000500C0000}"/>
    <hyperlink ref="EA521" location="'CM Rec Par.'!EA1608" display="'CM Rec Par.'!EA1608" xr:uid="{00000000-0004-0000-0600-0000510C0000}"/>
    <hyperlink ref="EA522" location="'CM Rec Par.'!EA1708" display="'CM Rec Par.'!EA1708" xr:uid="{00000000-0004-0000-0600-0000520C0000}"/>
    <hyperlink ref="EA523" location="'CM Rec Par.'!EA1808" display="'CM Rec Par.'!EA1808" xr:uid="{00000000-0004-0000-0600-0000530C0000}"/>
    <hyperlink ref="EA524" location="'CM Rec Par.'!EA1908" display="'CM Rec Par.'!EA1908" xr:uid="{00000000-0004-0000-0600-0000540C0000}"/>
    <hyperlink ref="EA525" location="'CM Rec Par.'!EA2008" display="'CM Rec Par.'!EA2008" xr:uid="{00000000-0004-0000-0600-0000550C0000}"/>
    <hyperlink ref="EA526" location="'CM Rec Par.'!EA2108" display="'CM Rec Par.'!EA2108" xr:uid="{00000000-0004-0000-0600-0000560C0000}"/>
    <hyperlink ref="EA527" location="'CM Rec Par.'!EA2208" display="'CM Rec Par.'!EA2208" xr:uid="{00000000-0004-0000-0600-0000570C0000}"/>
    <hyperlink ref="EA528" location="'CM Rec Par.'!EA2308" display="'CM Rec Par.'!EA2308" xr:uid="{00000000-0004-0000-0600-0000580C0000}"/>
    <hyperlink ref="EA529" location="'CM Rec Par.'!EA2408" display="'CM Rec Par.'!EA2408" xr:uid="{00000000-0004-0000-0600-0000590C0000}"/>
    <hyperlink ref="EA530" location="'CM Rec Par.'!EA2508" display="'CM Rec Par.'!EA2508" xr:uid="{00000000-0004-0000-0600-00005A0C0000}"/>
    <hyperlink ref="EA531" location="'CM Rec Par.'!EA2608" display="'CM Rec Par.'!EA2608" xr:uid="{00000000-0004-0000-0600-00005B0C0000}"/>
    <hyperlink ref="EA532" location="'CM Rec Par.'!EA2708" display="'CM Rec Par.'!EA2708" xr:uid="{00000000-0004-0000-0600-00005C0C0000}"/>
    <hyperlink ref="EA533" location="'CM Rec Par.'!EA2808" display="'CM Rec Par.'!EA2808" xr:uid="{00000000-0004-0000-0600-00005D0C0000}"/>
    <hyperlink ref="EA534" location="'CM Rec Par.'!EA2908" display="'CM Rec Par.'!EA2908" xr:uid="{00000000-0004-0000-0600-00005E0C0000}"/>
    <hyperlink ref="EA535" location="'CM Rec Par.'!EA3008" display="'CM Rec Par.'!EA3008" xr:uid="{00000000-0004-0000-0600-00005F0C0000}"/>
    <hyperlink ref="EA536" location="'CM Rec Par.'!EA3108" display="'CM Rec Par.'!EA3108" xr:uid="{00000000-0004-0000-0600-0000600C0000}"/>
    <hyperlink ref="EA537" location="'CM Rec Par.'!EA3208" display="'CM Rec Par.'!EA3208" xr:uid="{00000000-0004-0000-0600-0000610C0000}"/>
    <hyperlink ref="EA538" location="'CM Rec Par.'!EA3308" display="'CM Rec Par.'!EA3308" xr:uid="{00000000-0004-0000-0600-0000620C0000}"/>
    <hyperlink ref="EA539" location="'CM Rec Par.'!EA3408" display="'CM Rec Par.'!EA3408" xr:uid="{00000000-0004-0000-0600-0000630C0000}"/>
    <hyperlink ref="BA610" location="'CM Rec Par.'!BA508" display="'CM Rec Par.'!BA508" xr:uid="{39849BB3-86BA-419E-9664-1098123CD6B2}"/>
    <hyperlink ref="BA609" location="'CM Rec Par.'!BA50" display="Process" xr:uid="{141E4000-549D-4C5B-9670-2FB0121C99D0}"/>
    <hyperlink ref="BA611" location="'CM Rec Par.'!BA608" display="'CM Rec Par.'!BA608" xr:uid="{CD3F5CA4-750C-4DB4-A469-C6B8735F3FD4}"/>
    <hyperlink ref="BA612" location="'CM Rec Par.'!BA708" display="'CM Rec Par.'!BA708" xr:uid="{EDC25155-2A54-4419-817D-75248825C282}"/>
    <hyperlink ref="BA613" location="'CM Rec Par.'!BA808" display="'CM Rec Par.'!BA808" xr:uid="{7DEE8D02-8D42-4757-8618-CF959AA631BE}"/>
    <hyperlink ref="BA614" location="'CM Rec Par.'!BA908" display="'CM Rec Par.'!BA908" xr:uid="{4D1608DD-0BA1-403F-A742-77F7DA6547AC}"/>
    <hyperlink ref="BA615" location="'CM Rec Par.'!BA1008" display="'CM Rec Par.'!BA1008" xr:uid="{B0ABCC12-5EC9-4A57-98E2-949C946CE50E}"/>
    <hyperlink ref="BA616" location="'CM Rec Par.'!BA1108" display="'CM Rec Par.'!BA1108" xr:uid="{1FF09556-D8D9-4441-9866-E0B1EE4157A7}"/>
    <hyperlink ref="BA617" location="'CM Rec Par.'!BA1208" display="'CM Rec Par.'!BA1208" xr:uid="{9FAACD24-2995-454D-AFE3-AB377E93ACE9}"/>
    <hyperlink ref="BA618" location="'CM Rec Par.'!BA1308" display="'CM Rec Par.'!BA1308" xr:uid="{5C18ED5B-7AE2-4B0D-B514-0F187E1212FF}"/>
    <hyperlink ref="BA619" location="'CM Rec Par.'!BA1408" display="'CM Rec Par.'!BA1408" xr:uid="{5D84A137-1C02-4570-A1A6-2F7F63F939A9}"/>
    <hyperlink ref="BA620" location="'CM Rec Par.'!BA1508" display="'CM Rec Par.'!BA1508" xr:uid="{124993BC-A828-49B9-B08E-5795C9A4DE4D}"/>
    <hyperlink ref="BA621" location="'CM Rec Par.'!BA1608" display="'CM Rec Par.'!BA1608" xr:uid="{A865184F-350D-4E11-9F20-19DCF5EB0C9B}"/>
    <hyperlink ref="BA622" location="'CM Rec Par.'!BA1708" display="'CM Rec Par.'!BA1708" xr:uid="{59B921B8-2DAA-4944-A885-91F877C43040}"/>
    <hyperlink ref="BA623" location="'CM Rec Par.'!BA1808" display="'CM Rec Par.'!BA1808" xr:uid="{953FF47F-5835-4E62-8021-91472277CB2E}"/>
    <hyperlink ref="BA624" location="'CM Rec Par.'!BA1908" display="'CM Rec Par.'!BA1908" xr:uid="{EE0F4117-EA6D-4013-B558-91F2B214E43C}"/>
    <hyperlink ref="BA625" location="'CM Rec Par.'!BA2008" display="'CM Rec Par.'!BA2008" xr:uid="{36552DFF-C086-4687-ABD9-7BC3C7839C76}"/>
    <hyperlink ref="BA626" location="'CM Rec Par.'!BA2108" display="'CM Rec Par.'!BA2108" xr:uid="{E9924D8A-E07E-4BBA-94D8-E1042DCEC887}"/>
    <hyperlink ref="BA627" location="'CM Rec Par.'!BA2208" display="'CM Rec Par.'!BA2208" xr:uid="{36F0E61E-EAC3-49AB-AE7E-E76798866D50}"/>
    <hyperlink ref="BA628" location="'CM Rec Par.'!BA2308" display="'CM Rec Par.'!BA2308" xr:uid="{9043BEF8-DABA-479A-AD94-0F4CEE16042D}"/>
    <hyperlink ref="BA629" location="'CM Rec Par.'!BA2408" display="'CM Rec Par.'!BA2408" xr:uid="{1E753DF3-5D90-4638-9A87-8EA6C16AB870}"/>
    <hyperlink ref="BA630" location="'CM Rec Par.'!BA2508" display="'CM Rec Par.'!BA2508" xr:uid="{94FB8364-E418-4E31-A542-ACBCA8CB2680}"/>
    <hyperlink ref="BA631" location="'CM Rec Par.'!BA2608" display="'CM Rec Par.'!BA2608" xr:uid="{4373277B-F31A-4DD7-B2B6-1E398683ED72}"/>
    <hyperlink ref="BA632" location="'CM Rec Par.'!BA2708" display="'CM Rec Par.'!BA2708" xr:uid="{FD6533FF-573D-4C77-AFD3-D13061331FDA}"/>
    <hyperlink ref="BA633" location="'CM Rec Par.'!BA2808" display="'CM Rec Par.'!BA2808" xr:uid="{969963F8-CD1E-4C18-B442-24320D56FD85}"/>
    <hyperlink ref="BA634" location="'CM Rec Par.'!BA2908" display="'CM Rec Par.'!BA2908" xr:uid="{D59404DD-1916-4974-9DD1-DA98BE075FAC}"/>
    <hyperlink ref="BA635" location="'CM Rec Par.'!BA3008" display="'CM Rec Par.'!BA3008" xr:uid="{714E4DC3-9CC7-412D-B6D6-29FEE344B063}"/>
    <hyperlink ref="BA636" location="'CM Rec Par.'!BA3108" display="'CM Rec Par.'!BA3108" xr:uid="{67CD2F9F-7CD0-46BF-8C14-60B3D9E48191}"/>
    <hyperlink ref="BA637" location="'CM Rec Par.'!BA3208" display="'CM Rec Par.'!BA3208" xr:uid="{FB7CFE4D-09ED-4AFB-9722-24E2EAD84E88}"/>
    <hyperlink ref="BA638" location="'CM Rec Par.'!BA3308" display="'CM Rec Par.'!BA3308" xr:uid="{5DB92660-525B-4867-8D27-80124186E394}"/>
    <hyperlink ref="BA639" location="'CM Rec Par.'!BA3408" display="'CM Rec Par.'!BA3408" xr:uid="{019F9517-132D-4453-90C5-D53A217054E2}"/>
    <hyperlink ref="BA608" location="'CM Rec Par.'!BA6" display="Top" xr:uid="{0C67E19D-02FB-42D8-B653-E99650F83792}"/>
    <hyperlink ref="BA710" location="'CM Rec Par.'!BA508" display="'CM Rec Par.'!BA508" xr:uid="{404837C6-BC67-4A28-A1B4-A2351D058E1C}"/>
    <hyperlink ref="BA709" location="'CM Rec Par.'!BA50" display="Process" xr:uid="{4F041E45-4D1D-44A5-8BCA-436508676659}"/>
    <hyperlink ref="BA711" location="'CM Rec Par.'!BA608" display="'CM Rec Par.'!BA608" xr:uid="{FBFF9285-F20B-43EC-94BC-D81F8AEDAB3E}"/>
    <hyperlink ref="BA712" location="'CM Rec Par.'!BA708" display="'CM Rec Par.'!BA708" xr:uid="{6065928C-E904-41FB-943B-2404282FF9F0}"/>
    <hyperlink ref="BA713" location="'CM Rec Par.'!BA808" display="'CM Rec Par.'!BA808" xr:uid="{9A6BD116-99B1-438E-9BC1-CE96FBDDCDB8}"/>
    <hyperlink ref="BA714" location="'CM Rec Par.'!BA908" display="'CM Rec Par.'!BA908" xr:uid="{0131AF4B-667A-4E2B-8932-B6F3CB58EC13}"/>
    <hyperlink ref="BA715" location="'CM Rec Par.'!BA1008" display="'CM Rec Par.'!BA1008" xr:uid="{0048140D-5203-485E-AD28-B9522EC7899A}"/>
    <hyperlink ref="BA716" location="'CM Rec Par.'!BA1108" display="'CM Rec Par.'!BA1108" xr:uid="{F76259FE-CC0A-4084-9730-275912BEFCA4}"/>
    <hyperlink ref="BA717" location="'CM Rec Par.'!BA1208" display="'CM Rec Par.'!BA1208" xr:uid="{3B33BB7B-9668-40D8-8F8F-8C6FBA721514}"/>
    <hyperlink ref="BA718" location="'CM Rec Par.'!BA1308" display="'CM Rec Par.'!BA1308" xr:uid="{02627A34-2810-42A0-A859-6DFABAB3E116}"/>
    <hyperlink ref="BA719" location="'CM Rec Par.'!BA1408" display="'CM Rec Par.'!BA1408" xr:uid="{850E49FB-B673-478A-A1FE-A864129C4164}"/>
    <hyperlink ref="BA720" location="'CM Rec Par.'!BA1508" display="'CM Rec Par.'!BA1508" xr:uid="{EDD5839C-97A9-4E10-A333-E567AA7FE450}"/>
    <hyperlink ref="BA721" location="'CM Rec Par.'!BA1608" display="'CM Rec Par.'!BA1608" xr:uid="{1D3A132A-4D7B-4636-8377-D54CB3EE29C6}"/>
    <hyperlink ref="BA722" location="'CM Rec Par.'!BA1708" display="'CM Rec Par.'!BA1708" xr:uid="{FA169167-8304-4B2C-B463-40F78F84F6A3}"/>
    <hyperlink ref="BA723" location="'CM Rec Par.'!BA1808" display="'CM Rec Par.'!BA1808" xr:uid="{8FD081F0-AE0C-4135-B2D7-68868020E995}"/>
    <hyperlink ref="BA724" location="'CM Rec Par.'!BA1908" display="'CM Rec Par.'!BA1908" xr:uid="{AF7A5C6D-CB68-4092-A297-8356A7D57E66}"/>
    <hyperlink ref="BA725" location="'CM Rec Par.'!BA2008" display="'CM Rec Par.'!BA2008" xr:uid="{500C1E14-E3C5-45BD-8F93-D4F9177DD91F}"/>
    <hyperlink ref="BA726" location="'CM Rec Par.'!BA2108" display="'CM Rec Par.'!BA2108" xr:uid="{686896BC-35CB-4952-A338-A5528C40D18A}"/>
    <hyperlink ref="BA727" location="'CM Rec Par.'!BA2208" display="'CM Rec Par.'!BA2208" xr:uid="{5D840EE4-AC1E-45A3-9890-7BAB729E0824}"/>
    <hyperlink ref="BA728" location="'CM Rec Par.'!BA2308" display="'CM Rec Par.'!BA2308" xr:uid="{167FECFD-4B6E-4F71-BF35-654130299F91}"/>
    <hyperlink ref="BA729" location="'CM Rec Par.'!BA2408" display="'CM Rec Par.'!BA2408" xr:uid="{A40E7E5F-6683-4F11-A7A3-E0E04151AE96}"/>
    <hyperlink ref="BA730" location="'CM Rec Par.'!BA2508" display="'CM Rec Par.'!BA2508" xr:uid="{B1FE52FE-F2CA-41AC-859C-08EB473FE14E}"/>
    <hyperlink ref="BA731" location="'CM Rec Par.'!BA2608" display="'CM Rec Par.'!BA2608" xr:uid="{BB6A511D-689A-4826-8E5A-486E78A8ED78}"/>
    <hyperlink ref="BA732" location="'CM Rec Par.'!BA2708" display="'CM Rec Par.'!BA2708" xr:uid="{0C795205-5874-4FCA-9781-BD9BA8B63003}"/>
    <hyperlink ref="BA733" location="'CM Rec Par.'!BA2808" display="'CM Rec Par.'!BA2808" xr:uid="{0B6B4D95-910B-49C0-8789-2B14F9480E41}"/>
    <hyperlink ref="BA734" location="'CM Rec Par.'!BA2908" display="'CM Rec Par.'!BA2908" xr:uid="{ECE343B8-FB24-4985-819A-49A3D779F918}"/>
    <hyperlink ref="BA735" location="'CM Rec Par.'!BA3008" display="'CM Rec Par.'!BA3008" xr:uid="{33868C35-7708-4D6C-A48E-59069B463FDB}"/>
    <hyperlink ref="BA736" location="'CM Rec Par.'!BA3108" display="'CM Rec Par.'!BA3108" xr:uid="{107C7398-7618-4BE4-A351-2B9B5802A946}"/>
    <hyperlink ref="BA737" location="'CM Rec Par.'!BA3208" display="'CM Rec Par.'!BA3208" xr:uid="{290A275C-5549-434D-B2EC-FF5983810E7E}"/>
    <hyperlink ref="BA738" location="'CM Rec Par.'!BA3308" display="'CM Rec Par.'!BA3308" xr:uid="{8860D6C7-E272-43FC-88DC-C87E1A22B90B}"/>
    <hyperlink ref="BA739" location="'CM Rec Par.'!BA3408" display="'CM Rec Par.'!BA3408" xr:uid="{5923B573-9C8C-476F-9ACF-4C84EC26C0E8}"/>
    <hyperlink ref="BA708" location="'CM Rec Par.'!BA6" display="Top" xr:uid="{A3782412-E490-4A47-AD0D-62B53691B43E}"/>
    <hyperlink ref="BA810" location="'CM Rec Par.'!BA508" display="'CM Rec Par.'!BA508" xr:uid="{0DE0F6A6-38FF-4A28-9C86-F0D7C22BE0A9}"/>
    <hyperlink ref="BA809" location="'CM Rec Par.'!BA50" display="Process" xr:uid="{6C4BCC08-EEAE-4C3C-8ABC-16B3226E639D}"/>
    <hyperlink ref="BA811" location="'CM Rec Par.'!BA608" display="'CM Rec Par.'!BA608" xr:uid="{1F18D7A2-2E07-4312-BBB0-E7B0C581518F}"/>
    <hyperlink ref="BA812" location="'CM Rec Par.'!BA708" display="'CM Rec Par.'!BA708" xr:uid="{71A0E52E-5C7B-4137-A2CA-A2B5BDCC9A6D}"/>
    <hyperlink ref="BA813" location="'CM Rec Par.'!BA808" display="'CM Rec Par.'!BA808" xr:uid="{1E341035-8088-497F-ABDD-B4DBF8FF7F24}"/>
    <hyperlink ref="BA814" location="'CM Rec Par.'!BA908" display="'CM Rec Par.'!BA908" xr:uid="{6212DA2D-B600-4C06-8DA5-11224A646247}"/>
    <hyperlink ref="BA815" location="'CM Rec Par.'!BA1008" display="'CM Rec Par.'!BA1008" xr:uid="{C996F7F3-AD3D-466B-AB61-DC9E1966C320}"/>
    <hyperlink ref="BA816" location="'CM Rec Par.'!BA1108" display="'CM Rec Par.'!BA1108" xr:uid="{63675361-C230-44CA-A649-3AA9C1B15E12}"/>
    <hyperlink ref="BA817" location="'CM Rec Par.'!BA1208" display="'CM Rec Par.'!BA1208" xr:uid="{067B9B9C-B155-483A-979D-244B107D1DD1}"/>
    <hyperlink ref="BA818" location="'CM Rec Par.'!BA1308" display="'CM Rec Par.'!BA1308" xr:uid="{45B4B67F-F0B9-47F3-8B81-B57D73A2AF16}"/>
    <hyperlink ref="BA819" location="'CM Rec Par.'!BA1408" display="'CM Rec Par.'!BA1408" xr:uid="{5D5A03AC-F8CE-4BEB-A753-873321E9436D}"/>
    <hyperlink ref="BA820" location="'CM Rec Par.'!BA1508" display="'CM Rec Par.'!BA1508" xr:uid="{3956EC8E-1857-49F2-9A51-F2D5CE4E0F29}"/>
    <hyperlink ref="BA821" location="'CM Rec Par.'!BA1608" display="'CM Rec Par.'!BA1608" xr:uid="{DDB31269-6836-4DEE-9F41-94012EA4BE5F}"/>
    <hyperlink ref="BA822" location="'CM Rec Par.'!BA1708" display="'CM Rec Par.'!BA1708" xr:uid="{BE7A9648-4524-4DF8-96E4-61FD5869B07A}"/>
    <hyperlink ref="BA823" location="'CM Rec Par.'!BA1808" display="'CM Rec Par.'!BA1808" xr:uid="{9FB82236-2829-4404-B9CD-C6EE5673E7EF}"/>
    <hyperlink ref="BA824" location="'CM Rec Par.'!BA1908" display="'CM Rec Par.'!BA1908" xr:uid="{9FD3F577-2B69-4EC8-BC54-A68BF02BFE70}"/>
    <hyperlink ref="BA825" location="'CM Rec Par.'!BA2008" display="'CM Rec Par.'!BA2008" xr:uid="{8B594E1F-3730-41E1-B422-6237B73E4747}"/>
    <hyperlink ref="BA826" location="'CM Rec Par.'!BA2108" display="'CM Rec Par.'!BA2108" xr:uid="{5368597F-324D-4073-A0D3-654651063842}"/>
    <hyperlink ref="BA827" location="'CM Rec Par.'!BA2208" display="'CM Rec Par.'!BA2208" xr:uid="{0538F6A9-C4D1-48ED-B36C-E6597795FB8D}"/>
    <hyperlink ref="BA828" location="'CM Rec Par.'!BA2308" display="'CM Rec Par.'!BA2308" xr:uid="{ACB0F26C-3810-4B1E-BA92-AB6FA2EDC667}"/>
    <hyperlink ref="BA829" location="'CM Rec Par.'!BA2408" display="'CM Rec Par.'!BA2408" xr:uid="{570D9029-5A56-45B5-82C3-6818F9D19030}"/>
    <hyperlink ref="BA830" location="'CM Rec Par.'!BA2508" display="'CM Rec Par.'!BA2508" xr:uid="{4D47A2FC-D8EE-414A-8E13-DDF971829670}"/>
    <hyperlink ref="BA831" location="'CM Rec Par.'!BA2608" display="'CM Rec Par.'!BA2608" xr:uid="{135F4EB5-2F6D-4A28-A757-CD686419E86D}"/>
    <hyperlink ref="BA832" location="'CM Rec Par.'!BA2708" display="'CM Rec Par.'!BA2708" xr:uid="{3A8EBD23-A705-4378-AC35-EB98DFC40B7C}"/>
    <hyperlink ref="BA833" location="'CM Rec Par.'!BA2808" display="'CM Rec Par.'!BA2808" xr:uid="{17664D18-ED84-4F4F-97D8-C761FB4F329B}"/>
    <hyperlink ref="BA834" location="'CM Rec Par.'!BA2908" display="'CM Rec Par.'!BA2908" xr:uid="{BACF1CC2-0B98-4933-AF0A-A872D188C06C}"/>
    <hyperlink ref="BA835" location="'CM Rec Par.'!BA3008" display="'CM Rec Par.'!BA3008" xr:uid="{9D840FCF-AD29-47C0-9854-40737EA3225C}"/>
    <hyperlink ref="BA836" location="'CM Rec Par.'!BA3108" display="'CM Rec Par.'!BA3108" xr:uid="{9B75E7CA-6BD8-45AB-ABE5-5269499FC172}"/>
    <hyperlink ref="BA837" location="'CM Rec Par.'!BA3208" display="'CM Rec Par.'!BA3208" xr:uid="{F9536E05-A2CC-4C33-84F7-8F104DE8A0B0}"/>
    <hyperlink ref="BA838" location="'CM Rec Par.'!BA3308" display="'CM Rec Par.'!BA3308" xr:uid="{DA55A202-5902-4542-84BD-984DE06C7253}"/>
    <hyperlink ref="BA839" location="'CM Rec Par.'!BA3408" display="'CM Rec Par.'!BA3408" xr:uid="{80A239E8-0A79-43FC-866F-6F15522871EC}"/>
    <hyperlink ref="BA808" location="'CM Rec Par.'!BA6" display="Top" xr:uid="{3A07933A-796A-4496-953A-E989EF96C33B}"/>
    <hyperlink ref="BA910" location="'CM Rec Par.'!BA508" display="'CM Rec Par.'!BA508" xr:uid="{5342E6A3-F198-44B1-B4C7-2BF0370ED7B0}"/>
    <hyperlink ref="BA909" location="'CM Rec Par.'!BA50" display="Process" xr:uid="{DB8704FF-0F8C-4EE0-B561-F2F1F63EB376}"/>
    <hyperlink ref="BA911" location="'CM Rec Par.'!BA608" display="'CM Rec Par.'!BA608" xr:uid="{7C5A9902-121B-4050-82B6-1C14CDBA7EE3}"/>
    <hyperlink ref="BA912" location="'CM Rec Par.'!BA708" display="'CM Rec Par.'!BA708" xr:uid="{205BA349-F08D-4784-9ADB-F96A3B453BCD}"/>
    <hyperlink ref="BA913" location="'CM Rec Par.'!BA808" display="'CM Rec Par.'!BA808" xr:uid="{42A7C8A8-376E-4FF9-AF42-027BE432158C}"/>
    <hyperlink ref="BA914" location="'CM Rec Par.'!BA908" display="'CM Rec Par.'!BA908" xr:uid="{98E78E3A-B0F9-4691-8F82-E7AD5FD289CA}"/>
    <hyperlink ref="BA915" location="'CM Rec Par.'!BA1008" display="'CM Rec Par.'!BA1008" xr:uid="{C389753B-2167-49DA-A8E3-1BB8BD1D9EE4}"/>
    <hyperlink ref="BA916" location="'CM Rec Par.'!BA1108" display="'CM Rec Par.'!BA1108" xr:uid="{CAD8A721-4D1B-4520-8CE0-B28D59641044}"/>
    <hyperlink ref="BA917" location="'CM Rec Par.'!BA1208" display="'CM Rec Par.'!BA1208" xr:uid="{1AA43051-DACD-4360-988E-C06C61E26005}"/>
    <hyperlink ref="BA918" location="'CM Rec Par.'!BA1308" display="'CM Rec Par.'!BA1308" xr:uid="{DEABEB00-F0A7-4448-971C-105AF9CCFC26}"/>
    <hyperlink ref="BA919" location="'CM Rec Par.'!BA1408" display="'CM Rec Par.'!BA1408" xr:uid="{159A3D75-5E14-46E9-B87E-73EAE54AEAD0}"/>
    <hyperlink ref="BA920" location="'CM Rec Par.'!BA1508" display="'CM Rec Par.'!BA1508" xr:uid="{35428D13-F3E2-49C0-B314-7BDB0552AB88}"/>
    <hyperlink ref="BA921" location="'CM Rec Par.'!BA1608" display="'CM Rec Par.'!BA1608" xr:uid="{E478FFF7-5E0C-43D7-AA9E-B4EF8CEFA216}"/>
    <hyperlink ref="BA922" location="'CM Rec Par.'!BA1708" display="'CM Rec Par.'!BA1708" xr:uid="{2C9871C0-665F-4307-92C1-418BC1AE60D3}"/>
    <hyperlink ref="BA923" location="'CM Rec Par.'!BA1808" display="'CM Rec Par.'!BA1808" xr:uid="{9BBA66B8-43B2-45A6-B1C1-7ACA1EFBD373}"/>
    <hyperlink ref="BA924" location="'CM Rec Par.'!BA1908" display="'CM Rec Par.'!BA1908" xr:uid="{E023A0BD-5633-4533-9A43-AB8C174CF87F}"/>
    <hyperlink ref="BA925" location="'CM Rec Par.'!BA2008" display="'CM Rec Par.'!BA2008" xr:uid="{8F1A0054-0AD5-481F-BCD2-8D4435A29F57}"/>
    <hyperlink ref="BA926" location="'CM Rec Par.'!BA2108" display="'CM Rec Par.'!BA2108" xr:uid="{33BADE9F-BA75-4005-904A-792772C4084D}"/>
    <hyperlink ref="BA927" location="'CM Rec Par.'!BA2208" display="'CM Rec Par.'!BA2208" xr:uid="{1D17DF8D-C004-4A10-A01E-0E7B5F923FA7}"/>
    <hyperlink ref="BA928" location="'CM Rec Par.'!BA2308" display="'CM Rec Par.'!BA2308" xr:uid="{112AD52B-F9E5-4482-81BD-208179411C52}"/>
    <hyperlink ref="BA929" location="'CM Rec Par.'!BA2408" display="'CM Rec Par.'!BA2408" xr:uid="{9157F63A-610E-4874-AD10-D962E1EF7808}"/>
    <hyperlink ref="BA930" location="'CM Rec Par.'!BA2508" display="'CM Rec Par.'!BA2508" xr:uid="{0D9BB77A-230F-453B-961C-8D656A6D264E}"/>
    <hyperlink ref="BA931" location="'CM Rec Par.'!BA2608" display="'CM Rec Par.'!BA2608" xr:uid="{04E7B251-6E89-4D59-BF1E-01D361894987}"/>
    <hyperlink ref="BA932" location="'CM Rec Par.'!BA2708" display="'CM Rec Par.'!BA2708" xr:uid="{AB287EFE-8A93-4B40-A9FB-60A261FA4331}"/>
    <hyperlink ref="BA933" location="'CM Rec Par.'!BA2808" display="'CM Rec Par.'!BA2808" xr:uid="{B5BB4E25-3227-4D60-BF03-B4B430EACCD8}"/>
    <hyperlink ref="BA934" location="'CM Rec Par.'!BA2908" display="'CM Rec Par.'!BA2908" xr:uid="{CDB7510D-9422-41C7-A64A-FC88EECA4F6C}"/>
    <hyperlink ref="BA935" location="'CM Rec Par.'!BA3008" display="'CM Rec Par.'!BA3008" xr:uid="{22C96090-F19A-414A-9A8F-9E6C15C09E22}"/>
    <hyperlink ref="BA936" location="'CM Rec Par.'!BA3108" display="'CM Rec Par.'!BA3108" xr:uid="{2B9902A9-B0C1-4FCD-B5BB-57EEBEE00F5C}"/>
    <hyperlink ref="BA937" location="'CM Rec Par.'!BA3208" display="'CM Rec Par.'!BA3208" xr:uid="{AB252D3A-43C2-48FA-9B8F-D374054D0DE2}"/>
    <hyperlink ref="BA938" location="'CM Rec Par.'!BA3308" display="'CM Rec Par.'!BA3308" xr:uid="{856FDA85-BDCD-4C00-9332-D3AF033E1D98}"/>
    <hyperlink ref="BA939" location="'CM Rec Par.'!BA3408" display="'CM Rec Par.'!BA3408" xr:uid="{CCA7C067-C799-4563-9A16-276383D240C7}"/>
    <hyperlink ref="BA908" location="'CM Rec Par.'!BA6" display="Top" xr:uid="{93F7D930-8E6F-4DD7-B13B-3C7133D55D40}"/>
    <hyperlink ref="BA1010" location="'CM Rec Par.'!BA508" display="'CM Rec Par.'!BA508" xr:uid="{650DD6D2-B699-4EC4-8629-7D3D384E0CCB}"/>
    <hyperlink ref="BA1009" location="'CM Rec Par.'!BA50" display="Process" xr:uid="{56F0748D-D371-4943-917C-9BF791D54C3D}"/>
    <hyperlink ref="BA1011" location="'CM Rec Par.'!BA608" display="'CM Rec Par.'!BA608" xr:uid="{825AC1AD-E6F5-443D-A7B6-1937B2741994}"/>
    <hyperlink ref="BA1012" location="'CM Rec Par.'!BA708" display="'CM Rec Par.'!BA708" xr:uid="{73BB1172-CB1F-4CE0-A674-9D1CCBF47C4B}"/>
    <hyperlink ref="BA1013" location="'CM Rec Par.'!BA808" display="'CM Rec Par.'!BA808" xr:uid="{AA00BFFB-0F41-40A3-8242-06DE5D69F94A}"/>
    <hyperlink ref="BA1014" location="'CM Rec Par.'!BA908" display="'CM Rec Par.'!BA908" xr:uid="{782C3748-4640-4DB6-8E13-F6DDB46D8C05}"/>
    <hyperlink ref="BA1015" location="'CM Rec Par.'!BA1008" display="'CM Rec Par.'!BA1008" xr:uid="{920F5BD5-68A5-4008-8FF7-4FD41839B7E0}"/>
    <hyperlink ref="BA1016" location="'CM Rec Par.'!BA1108" display="'CM Rec Par.'!BA1108" xr:uid="{46B8E0F5-B706-4A3E-912F-A762701D059D}"/>
    <hyperlink ref="BA1017" location="'CM Rec Par.'!BA1208" display="'CM Rec Par.'!BA1208" xr:uid="{3BDED7B7-E097-4F78-A17D-E7DF9C7206C2}"/>
    <hyperlink ref="BA1018" location="'CM Rec Par.'!BA1308" display="'CM Rec Par.'!BA1308" xr:uid="{6C9F5B19-8F9B-4CA4-AF8C-0553CB7FA662}"/>
    <hyperlink ref="BA1019" location="'CM Rec Par.'!BA1408" display="'CM Rec Par.'!BA1408" xr:uid="{E0F93E11-C695-4091-BB14-122E66BCD7D6}"/>
    <hyperlink ref="BA1020" location="'CM Rec Par.'!BA1508" display="'CM Rec Par.'!BA1508" xr:uid="{362DADF2-5496-4D8C-B886-F752B3F18C5A}"/>
    <hyperlink ref="BA1021" location="'CM Rec Par.'!BA1608" display="'CM Rec Par.'!BA1608" xr:uid="{00FDEC8D-E419-4448-B10A-3367736DA1C1}"/>
    <hyperlink ref="BA1022" location="'CM Rec Par.'!BA1708" display="'CM Rec Par.'!BA1708" xr:uid="{28D58001-A46D-4504-B62D-4AB6162F6095}"/>
    <hyperlink ref="BA1023" location="'CM Rec Par.'!BA1808" display="'CM Rec Par.'!BA1808" xr:uid="{EFA1DEC7-4648-4635-890F-AA55F4AA26AF}"/>
    <hyperlink ref="BA1024" location="'CM Rec Par.'!BA1908" display="'CM Rec Par.'!BA1908" xr:uid="{2638DD5D-2F26-4003-9F6E-302278A85D85}"/>
    <hyperlink ref="BA1025" location="'CM Rec Par.'!BA2008" display="'CM Rec Par.'!BA2008" xr:uid="{E5A30CE7-9827-4CDF-B870-B7EFC88717EB}"/>
    <hyperlink ref="BA1026" location="'CM Rec Par.'!BA2108" display="'CM Rec Par.'!BA2108" xr:uid="{4261D8F1-8B68-4445-B48C-30D4E18B2AC3}"/>
    <hyperlink ref="BA1027" location="'CM Rec Par.'!BA2208" display="'CM Rec Par.'!BA2208" xr:uid="{EE55EC94-388C-4EF8-A8FA-B5612EA3ABB5}"/>
    <hyperlink ref="BA1028" location="'CM Rec Par.'!BA2308" display="'CM Rec Par.'!BA2308" xr:uid="{8E9C0CCD-5B80-40B0-B459-C32AA4BFA3DB}"/>
    <hyperlink ref="BA1029" location="'CM Rec Par.'!BA2408" display="'CM Rec Par.'!BA2408" xr:uid="{90D0B0BB-513B-44F2-9495-250D6727D7A4}"/>
    <hyperlink ref="BA1030" location="'CM Rec Par.'!BA2508" display="'CM Rec Par.'!BA2508" xr:uid="{0AFDCCA6-034E-4AC3-9135-1205D606910D}"/>
    <hyperlink ref="BA1031" location="'CM Rec Par.'!BA2608" display="'CM Rec Par.'!BA2608" xr:uid="{FF7133D3-51F8-495F-B2C5-8D44910E15F6}"/>
    <hyperlink ref="BA1032" location="'CM Rec Par.'!BA2708" display="'CM Rec Par.'!BA2708" xr:uid="{97F8BD61-C32C-419B-8E19-05BAAB1D481F}"/>
    <hyperlink ref="BA1033" location="'CM Rec Par.'!BA2808" display="'CM Rec Par.'!BA2808" xr:uid="{15B0091D-9AEE-4183-A0EE-83AA5E3289ED}"/>
    <hyperlink ref="BA1034" location="'CM Rec Par.'!BA2908" display="'CM Rec Par.'!BA2908" xr:uid="{2DB3F012-41DB-4DFE-BCF6-E4C9FBFA3AD1}"/>
    <hyperlink ref="BA1035" location="'CM Rec Par.'!BA3008" display="'CM Rec Par.'!BA3008" xr:uid="{874F4DDF-843C-4DEE-BFC2-6FFF454CF135}"/>
    <hyperlink ref="BA1036" location="'CM Rec Par.'!BA3108" display="'CM Rec Par.'!BA3108" xr:uid="{2906E4EC-A475-4710-AE99-645C22431D33}"/>
    <hyperlink ref="BA1037" location="'CM Rec Par.'!BA3208" display="'CM Rec Par.'!BA3208" xr:uid="{AD547771-12AB-405C-AB23-78C7D965F14D}"/>
    <hyperlink ref="BA1038" location="'CM Rec Par.'!BA3308" display="'CM Rec Par.'!BA3308" xr:uid="{1ACCBD05-1C80-4D45-B04B-DC8A9BDD270C}"/>
    <hyperlink ref="BA1039" location="'CM Rec Par.'!BA3408" display="'CM Rec Par.'!BA3408" xr:uid="{A6C56A9D-8054-4462-A55F-50BF2DDAD853}"/>
    <hyperlink ref="BA1008" location="'CM Rec Par.'!BA6" display="Top" xr:uid="{C7A3701E-3215-4CEC-9D33-1A1021DAFA44}"/>
    <hyperlink ref="BA1110" location="'CM Rec Par.'!BA508" display="'CM Rec Par.'!BA508" xr:uid="{434845C1-21BD-4C2A-A460-6C8B08E6CBD4}"/>
    <hyperlink ref="BA1109" location="'CM Rec Par.'!BA50" display="Process" xr:uid="{4D04BB0B-9DF5-4380-95CE-9EE02A2C8B18}"/>
    <hyperlink ref="BA1111" location="'CM Rec Par.'!BA608" display="'CM Rec Par.'!BA608" xr:uid="{21320296-5EB7-429B-98CD-1AD292DDB35C}"/>
    <hyperlink ref="BA1112" location="'CM Rec Par.'!BA708" display="'CM Rec Par.'!BA708" xr:uid="{A653A336-FB65-4286-A63F-4E49166AE14D}"/>
    <hyperlink ref="BA1113" location="'CM Rec Par.'!BA808" display="'CM Rec Par.'!BA808" xr:uid="{156D2B60-6105-4B14-8D21-B7D4D4DD2CA8}"/>
    <hyperlink ref="BA1114" location="'CM Rec Par.'!BA908" display="'CM Rec Par.'!BA908" xr:uid="{A9BD4CE1-E394-41B3-87A9-66CBC0DD26C8}"/>
    <hyperlink ref="BA1115" location="'CM Rec Par.'!BA1008" display="'CM Rec Par.'!BA1008" xr:uid="{6F594E38-7FB4-47A3-B968-F6209887E414}"/>
    <hyperlink ref="BA1116" location="'CM Rec Par.'!BA1108" display="'CM Rec Par.'!BA1108" xr:uid="{57209A0D-64D3-4CE5-8B81-E5AAA72BCDEC}"/>
    <hyperlink ref="BA1117" location="'CM Rec Par.'!BA1208" display="'CM Rec Par.'!BA1208" xr:uid="{269A6A36-2791-4210-8B8B-9C67E7CE96C2}"/>
    <hyperlink ref="BA1118" location="'CM Rec Par.'!BA1308" display="'CM Rec Par.'!BA1308" xr:uid="{D019BEC2-7092-44DE-956D-36D4C7A31CE7}"/>
    <hyperlink ref="BA1119" location="'CM Rec Par.'!BA1408" display="'CM Rec Par.'!BA1408" xr:uid="{FCBC94A1-26E6-49E5-94B0-E102140526BF}"/>
    <hyperlink ref="BA1120" location="'CM Rec Par.'!BA1508" display="'CM Rec Par.'!BA1508" xr:uid="{4B611160-383A-46A6-A5D2-6FEB3BA62B21}"/>
    <hyperlink ref="BA1121" location="'CM Rec Par.'!BA1608" display="'CM Rec Par.'!BA1608" xr:uid="{40E1BB45-6BF9-4A60-9770-086454D703AE}"/>
    <hyperlink ref="BA1122" location="'CM Rec Par.'!BA1708" display="'CM Rec Par.'!BA1708" xr:uid="{74C15A71-BC1C-4655-AE72-59786415D00B}"/>
    <hyperlink ref="BA1123" location="'CM Rec Par.'!BA1808" display="'CM Rec Par.'!BA1808" xr:uid="{4E27F381-39E8-4FB9-B98E-27BF042AF081}"/>
    <hyperlink ref="BA1124" location="'CM Rec Par.'!BA1908" display="'CM Rec Par.'!BA1908" xr:uid="{B4AEA87A-8D2A-43ED-8ECB-B23109D0987E}"/>
    <hyperlink ref="BA1125" location="'CM Rec Par.'!BA2008" display="'CM Rec Par.'!BA2008" xr:uid="{E6CF4368-105D-4422-9911-8A0A88142D81}"/>
    <hyperlink ref="BA1126" location="'CM Rec Par.'!BA2108" display="'CM Rec Par.'!BA2108" xr:uid="{CFC8D7D6-EFDF-4985-8EAC-0858F4933CE1}"/>
    <hyperlink ref="BA1127" location="'CM Rec Par.'!BA2208" display="'CM Rec Par.'!BA2208" xr:uid="{DE93BB55-5848-4CB0-9AB7-E6EEC67DB166}"/>
    <hyperlink ref="BA1128" location="'CM Rec Par.'!BA2308" display="'CM Rec Par.'!BA2308" xr:uid="{6B02A908-CF6D-4919-A04C-7E64E828A65A}"/>
    <hyperlink ref="BA1129" location="'CM Rec Par.'!BA2408" display="'CM Rec Par.'!BA2408" xr:uid="{05ECC05E-A539-4896-8E75-89E6226138B9}"/>
    <hyperlink ref="BA1130" location="'CM Rec Par.'!BA2508" display="'CM Rec Par.'!BA2508" xr:uid="{EEA0D3BA-482E-48AF-81C7-B46BBBECC016}"/>
    <hyperlink ref="BA1131" location="'CM Rec Par.'!BA2608" display="'CM Rec Par.'!BA2608" xr:uid="{56A208EE-9E05-4B79-B84F-EAEEFB69A035}"/>
    <hyperlink ref="BA1132" location="'CM Rec Par.'!BA2708" display="'CM Rec Par.'!BA2708" xr:uid="{550BBC36-2BE3-496F-93F4-8C26FC3A173C}"/>
    <hyperlink ref="BA1133" location="'CM Rec Par.'!BA2808" display="'CM Rec Par.'!BA2808" xr:uid="{0D65A449-2DE0-4394-BE1F-CF56991EE6C4}"/>
    <hyperlink ref="BA1134" location="'CM Rec Par.'!BA2908" display="'CM Rec Par.'!BA2908" xr:uid="{C434ABF6-B1FF-434F-A2E2-CF3DCFEA399C}"/>
    <hyperlink ref="BA1135" location="'CM Rec Par.'!BA3008" display="'CM Rec Par.'!BA3008" xr:uid="{3EFD9F00-A410-485C-B6B4-AC409F69B21D}"/>
    <hyperlink ref="BA1136" location="'CM Rec Par.'!BA3108" display="'CM Rec Par.'!BA3108" xr:uid="{36409831-9818-4DC0-9BAE-411BF4CF463C}"/>
    <hyperlink ref="BA1137" location="'CM Rec Par.'!BA3208" display="'CM Rec Par.'!BA3208" xr:uid="{B06701D2-D489-4932-9C33-A09E406F79B0}"/>
    <hyperlink ref="BA1138" location="'CM Rec Par.'!BA3308" display="'CM Rec Par.'!BA3308" xr:uid="{6C6A8116-1DB0-40A0-9AD1-A77C42F2630A}"/>
    <hyperlink ref="BA1139" location="'CM Rec Par.'!BA3408" display="'CM Rec Par.'!BA3408" xr:uid="{A07026F2-AD01-4BE7-B8FC-073D2AEBB746}"/>
    <hyperlink ref="BA1108" location="'CM Rec Par.'!BA6" display="Top" xr:uid="{6AC855EE-F806-4FB4-B070-F78D826E971D}"/>
    <hyperlink ref="BA1210" location="'CM Rec Par.'!BA508" display="'CM Rec Par.'!BA508" xr:uid="{30150F6A-C7D4-4DD8-9DF5-7D7469FE769B}"/>
    <hyperlink ref="BA1209" location="'CM Rec Par.'!BA50" display="Process" xr:uid="{A6527E57-1E9B-42D7-A5D5-A5D1B2A782A1}"/>
    <hyperlink ref="BA1211" location="'CM Rec Par.'!BA608" display="'CM Rec Par.'!BA608" xr:uid="{0B651279-0021-4858-9CC4-77417E8A1A81}"/>
    <hyperlink ref="BA1212" location="'CM Rec Par.'!BA708" display="'CM Rec Par.'!BA708" xr:uid="{5D61E4F9-B761-4876-ADD8-400684CBF6DA}"/>
    <hyperlink ref="BA1213" location="'CM Rec Par.'!BA808" display="'CM Rec Par.'!BA808" xr:uid="{5417EB20-6E2F-4F05-909C-C185A0318292}"/>
    <hyperlink ref="BA1214" location="'CM Rec Par.'!BA908" display="'CM Rec Par.'!BA908" xr:uid="{3B85D1DA-A4CC-41A2-B13A-C8E07AEABD90}"/>
    <hyperlink ref="BA1215" location="'CM Rec Par.'!BA1008" display="'CM Rec Par.'!BA1008" xr:uid="{9F2FE3F5-32DD-44C4-B7C5-44A7FBDC07AC}"/>
    <hyperlink ref="BA1216" location="'CM Rec Par.'!BA1108" display="'CM Rec Par.'!BA1108" xr:uid="{967707BD-F44D-4591-92EE-80F16AFA9EA8}"/>
    <hyperlink ref="BA1217" location="'CM Rec Par.'!BA1208" display="'CM Rec Par.'!BA1208" xr:uid="{7419564D-9729-49E2-9E8B-859449F83AC6}"/>
    <hyperlink ref="BA1218" location="'CM Rec Par.'!BA1308" display="'CM Rec Par.'!BA1308" xr:uid="{D3BE3B4E-199C-441A-81C0-9753DE798BDF}"/>
    <hyperlink ref="BA1219" location="'CM Rec Par.'!BA1408" display="'CM Rec Par.'!BA1408" xr:uid="{5BFF482C-418F-4D09-878D-43D173E6A25B}"/>
    <hyperlink ref="BA1220" location="'CM Rec Par.'!BA1508" display="'CM Rec Par.'!BA1508" xr:uid="{76279C0A-0B1D-435C-9D51-22C23706B6A9}"/>
    <hyperlink ref="BA1221" location="'CM Rec Par.'!BA1608" display="'CM Rec Par.'!BA1608" xr:uid="{18B1DF9E-6632-46B6-9B33-6A0E471217C6}"/>
    <hyperlink ref="BA1222" location="'CM Rec Par.'!BA1708" display="'CM Rec Par.'!BA1708" xr:uid="{A9E3D42B-35EA-40AC-B7F8-640F89785200}"/>
    <hyperlink ref="BA1223" location="'CM Rec Par.'!BA1808" display="'CM Rec Par.'!BA1808" xr:uid="{DBE82655-73F3-42EB-955C-CCC60F69E18D}"/>
    <hyperlink ref="BA1224" location="'CM Rec Par.'!BA1908" display="'CM Rec Par.'!BA1908" xr:uid="{3F5D41C1-D0D0-4F10-A344-B596500B5A89}"/>
    <hyperlink ref="BA1225" location="'CM Rec Par.'!BA2008" display="'CM Rec Par.'!BA2008" xr:uid="{AF3FC02D-CA92-49BE-B5C6-42C87C661EBE}"/>
    <hyperlink ref="BA1226" location="'CM Rec Par.'!BA2108" display="'CM Rec Par.'!BA2108" xr:uid="{689E207E-BF65-4731-8289-7E3D4FDCF2F9}"/>
    <hyperlink ref="BA1227" location="'CM Rec Par.'!BA2208" display="'CM Rec Par.'!BA2208" xr:uid="{B21CCB0D-BAAC-498D-A119-5AF58A5545B2}"/>
    <hyperlink ref="BA1228" location="'CM Rec Par.'!BA2308" display="'CM Rec Par.'!BA2308" xr:uid="{6723683E-AF6F-41D6-BE8F-FA0F1BBCCDED}"/>
    <hyperlink ref="BA1229" location="'CM Rec Par.'!BA2408" display="'CM Rec Par.'!BA2408" xr:uid="{01619FD4-0A5C-45EF-92D8-2C7B4C1EA925}"/>
    <hyperlink ref="BA1230" location="'CM Rec Par.'!BA2508" display="'CM Rec Par.'!BA2508" xr:uid="{3E841924-0F90-487B-A159-E5F073B1483A}"/>
    <hyperlink ref="BA1231" location="'CM Rec Par.'!BA2608" display="'CM Rec Par.'!BA2608" xr:uid="{F3B2780E-14A2-46C2-A451-C633572C8814}"/>
    <hyperlink ref="BA1232" location="'CM Rec Par.'!BA2708" display="'CM Rec Par.'!BA2708" xr:uid="{0AC82795-FB1D-4E7D-89ED-426A2985EE70}"/>
    <hyperlink ref="BA1233" location="'CM Rec Par.'!BA2808" display="'CM Rec Par.'!BA2808" xr:uid="{5DB5BFDF-3E10-47E4-938B-FC83B101A145}"/>
    <hyperlink ref="BA1234" location="'CM Rec Par.'!BA2908" display="'CM Rec Par.'!BA2908" xr:uid="{3C773D67-DCEC-4896-80AD-DFEAEF4C23DE}"/>
    <hyperlink ref="BA1235" location="'CM Rec Par.'!BA3008" display="'CM Rec Par.'!BA3008" xr:uid="{65440C34-9801-40BF-A31D-091E88F8C7AE}"/>
    <hyperlink ref="BA1236" location="'CM Rec Par.'!BA3108" display="'CM Rec Par.'!BA3108" xr:uid="{97C0A99D-24F1-4A92-9E4F-0F76D12CD1F8}"/>
    <hyperlink ref="BA1237" location="'CM Rec Par.'!BA3208" display="'CM Rec Par.'!BA3208" xr:uid="{FFC128B7-0BBF-4B0F-A510-0C35F61DDA30}"/>
    <hyperlink ref="BA1238" location="'CM Rec Par.'!BA3308" display="'CM Rec Par.'!BA3308" xr:uid="{C75F6857-510E-4D25-AEE3-049262449B28}"/>
    <hyperlink ref="BA1239" location="'CM Rec Par.'!BA3408" display="'CM Rec Par.'!BA3408" xr:uid="{92C254A5-8180-4587-B432-411EA4F6EB1F}"/>
    <hyperlink ref="BA1208" location="'CM Rec Par.'!BA6" display="Top" xr:uid="{7D8F5C3F-156C-4EE7-8B6F-888AE449D31E}"/>
    <hyperlink ref="BA1310" location="'CM Rec Par.'!BA508" display="'CM Rec Par.'!BA508" xr:uid="{E75546D5-C5E2-4780-8DF6-FAB940C6D92A}"/>
    <hyperlink ref="BA1309" location="'CM Rec Par.'!BA50" display="Process" xr:uid="{08118446-5F18-44A0-905C-2B63762FA27E}"/>
    <hyperlink ref="BA1311" location="'CM Rec Par.'!BA608" display="'CM Rec Par.'!BA608" xr:uid="{B110C709-8498-4273-9715-C92DA7695727}"/>
    <hyperlink ref="BA1312" location="'CM Rec Par.'!BA708" display="'CM Rec Par.'!BA708" xr:uid="{1C2C180E-D6CC-4079-836A-96D6041A3F20}"/>
    <hyperlink ref="BA1313" location="'CM Rec Par.'!BA808" display="'CM Rec Par.'!BA808" xr:uid="{6D5525C2-36C1-49F8-AEA9-1D9609B42649}"/>
    <hyperlink ref="BA1314" location="'CM Rec Par.'!BA908" display="'CM Rec Par.'!BA908" xr:uid="{0D630A73-6F0A-4C0E-AA29-557CB982C57A}"/>
    <hyperlink ref="BA1315" location="'CM Rec Par.'!BA1008" display="'CM Rec Par.'!BA1008" xr:uid="{BD19BC28-167D-4A35-80F6-7D413286F20E}"/>
    <hyperlink ref="BA1316" location="'CM Rec Par.'!BA1108" display="'CM Rec Par.'!BA1108" xr:uid="{D04E9793-54D2-43E0-A30C-C6FEDCA52EB4}"/>
    <hyperlink ref="BA1317" location="'CM Rec Par.'!BA1208" display="'CM Rec Par.'!BA1208" xr:uid="{E3CDFDCA-5F1E-4A2D-A9B2-843DBEF32F3E}"/>
    <hyperlink ref="BA1318" location="'CM Rec Par.'!BA1308" display="'CM Rec Par.'!BA1308" xr:uid="{CDE5AAAA-ED4C-4046-89BB-3FF26D6EEF37}"/>
    <hyperlink ref="BA1319" location="'CM Rec Par.'!BA1408" display="'CM Rec Par.'!BA1408" xr:uid="{F8F96B05-10D1-4D1D-8BEA-EC751D9AE882}"/>
    <hyperlink ref="BA1320" location="'CM Rec Par.'!BA1508" display="'CM Rec Par.'!BA1508" xr:uid="{6F2B7F51-5C06-4BDE-9437-0B1A51FE14DA}"/>
    <hyperlink ref="BA1321" location="'CM Rec Par.'!BA1608" display="'CM Rec Par.'!BA1608" xr:uid="{2F6A9B7F-795D-4671-B0BD-271055303E9B}"/>
    <hyperlink ref="BA1322" location="'CM Rec Par.'!BA1708" display="'CM Rec Par.'!BA1708" xr:uid="{5AE5CA54-FCB2-4DEA-B04B-25CC51925007}"/>
    <hyperlink ref="BA1323" location="'CM Rec Par.'!BA1808" display="'CM Rec Par.'!BA1808" xr:uid="{253232C6-FB27-4098-B209-6F83E3F4AE4F}"/>
    <hyperlink ref="BA1324" location="'CM Rec Par.'!BA1908" display="'CM Rec Par.'!BA1908" xr:uid="{206A8309-D4E3-40B5-8868-50E25EC760F0}"/>
    <hyperlink ref="BA1325" location="'CM Rec Par.'!BA2008" display="'CM Rec Par.'!BA2008" xr:uid="{705D5107-8C13-4AC2-9F8C-D6BAD04261A9}"/>
    <hyperlink ref="BA1326" location="'CM Rec Par.'!BA2108" display="'CM Rec Par.'!BA2108" xr:uid="{C5127D10-8557-4A6A-BAC6-6CB762CB70DE}"/>
    <hyperlink ref="BA1327" location="'CM Rec Par.'!BA2208" display="'CM Rec Par.'!BA2208" xr:uid="{F70CD71E-2F8E-4653-ADA3-1C85A512E98B}"/>
    <hyperlink ref="BA1328" location="'CM Rec Par.'!BA2308" display="'CM Rec Par.'!BA2308" xr:uid="{FA7F81FA-D45C-4551-80AF-0BDD0D4FD949}"/>
    <hyperlink ref="BA1329" location="'CM Rec Par.'!BA2408" display="'CM Rec Par.'!BA2408" xr:uid="{E457C7CC-D973-411F-BAAD-AE953D38A223}"/>
    <hyperlink ref="BA1330" location="'CM Rec Par.'!BA2508" display="'CM Rec Par.'!BA2508" xr:uid="{83E87937-F1BE-404A-8289-7AF6F16E24A8}"/>
    <hyperlink ref="BA1331" location="'CM Rec Par.'!BA2608" display="'CM Rec Par.'!BA2608" xr:uid="{E3804475-6E0E-46AF-A820-C4445F44A33C}"/>
    <hyperlink ref="BA1332" location="'CM Rec Par.'!BA2708" display="'CM Rec Par.'!BA2708" xr:uid="{805296F3-DAB2-4AB5-99FD-61B62FBE5DB4}"/>
    <hyperlink ref="BA1333" location="'CM Rec Par.'!BA2808" display="'CM Rec Par.'!BA2808" xr:uid="{160AB6AD-4DC5-40EE-B935-C8856EF9BD28}"/>
    <hyperlink ref="BA1334" location="'CM Rec Par.'!BA2908" display="'CM Rec Par.'!BA2908" xr:uid="{29A37C1A-B7DF-4F35-8076-316297C86D94}"/>
    <hyperlink ref="BA1335" location="'CM Rec Par.'!BA3008" display="'CM Rec Par.'!BA3008" xr:uid="{95B5846F-F9C6-4ED7-83B4-1115F70E66A7}"/>
    <hyperlink ref="BA1336" location="'CM Rec Par.'!BA3108" display="'CM Rec Par.'!BA3108" xr:uid="{09CB25E9-6693-47E6-89B6-89E69A7BCB4D}"/>
    <hyperlink ref="BA1337" location="'CM Rec Par.'!BA3208" display="'CM Rec Par.'!BA3208" xr:uid="{B3FB4327-ABAF-40C3-B8CD-DA10180F38AC}"/>
    <hyperlink ref="BA1338" location="'CM Rec Par.'!BA3308" display="'CM Rec Par.'!BA3308" xr:uid="{69819A1F-3BDD-43EE-9B9D-12AD1CF689F8}"/>
    <hyperlink ref="BA1339" location="'CM Rec Par.'!BA3408" display="'CM Rec Par.'!BA3408" xr:uid="{4B8B1F75-CAAE-423B-A457-81CCA5ECC4D0}"/>
    <hyperlink ref="BA1308" location="'CM Rec Par.'!BA6" display="Top" xr:uid="{136221DA-7A14-40CE-BDB6-3D7152CF5584}"/>
    <hyperlink ref="BA1410" location="'CM Rec Par.'!BA508" display="'CM Rec Par.'!BA508" xr:uid="{351C4A72-E181-497A-8EFE-9D503771A9DB}"/>
    <hyperlink ref="BA1409" location="'CM Rec Par.'!BA50" display="Process" xr:uid="{5977A62F-6E34-49D5-907C-FE58A53C77F9}"/>
    <hyperlink ref="BA1411" location="'CM Rec Par.'!BA608" display="'CM Rec Par.'!BA608" xr:uid="{60622962-B093-46D1-9353-E0D66BBE19A5}"/>
    <hyperlink ref="BA1412" location="'CM Rec Par.'!BA708" display="'CM Rec Par.'!BA708" xr:uid="{6543858A-306D-4154-AAB3-DD5629A6ACA2}"/>
    <hyperlink ref="BA1413" location="'CM Rec Par.'!BA808" display="'CM Rec Par.'!BA808" xr:uid="{B8B70BAB-F1BB-4CBF-9FFC-F40F07F96D5F}"/>
    <hyperlink ref="BA1414" location="'CM Rec Par.'!BA908" display="'CM Rec Par.'!BA908" xr:uid="{FFA2788C-BDEB-432D-8898-E457ADB5ABDD}"/>
    <hyperlink ref="BA1415" location="'CM Rec Par.'!BA1008" display="'CM Rec Par.'!BA1008" xr:uid="{ACC955D4-A93E-46AE-A917-80E23D290CF2}"/>
    <hyperlink ref="BA1416" location="'CM Rec Par.'!BA1108" display="'CM Rec Par.'!BA1108" xr:uid="{897DFE53-F17A-4019-83E0-012BDDA486BD}"/>
    <hyperlink ref="BA1417" location="'CM Rec Par.'!BA1208" display="'CM Rec Par.'!BA1208" xr:uid="{6EB85A98-03B6-4930-B96D-49251037F7EC}"/>
    <hyperlink ref="BA1418" location="'CM Rec Par.'!BA1308" display="'CM Rec Par.'!BA1308" xr:uid="{68255AAC-CFB9-49A3-9F76-95847DCF6753}"/>
    <hyperlink ref="BA1419" location="'CM Rec Par.'!BA1408" display="'CM Rec Par.'!BA1408" xr:uid="{E91A58F4-C84E-4FB2-94AC-590B2BE1E709}"/>
    <hyperlink ref="BA1420" location="'CM Rec Par.'!BA1508" display="'CM Rec Par.'!BA1508" xr:uid="{EADFBF38-2CF3-432F-95C2-80140651C279}"/>
    <hyperlink ref="BA1421" location="'CM Rec Par.'!BA1608" display="'CM Rec Par.'!BA1608" xr:uid="{0B7DE32D-0364-4C36-A596-3A4EBCB92506}"/>
    <hyperlink ref="BA1422" location="'CM Rec Par.'!BA1708" display="'CM Rec Par.'!BA1708" xr:uid="{0FFC7688-656E-4C1D-BD22-CCBCAE5C928F}"/>
    <hyperlink ref="BA1423" location="'CM Rec Par.'!BA1808" display="'CM Rec Par.'!BA1808" xr:uid="{4F88EA51-C71F-469F-9440-6EE5B8610F90}"/>
    <hyperlink ref="BA1424" location="'CM Rec Par.'!BA1908" display="'CM Rec Par.'!BA1908" xr:uid="{21E64061-79D8-44DD-B1C1-830CD280BD49}"/>
    <hyperlink ref="BA1425" location="'CM Rec Par.'!BA2008" display="'CM Rec Par.'!BA2008" xr:uid="{FFDE4321-AAF4-46D8-BA63-CCE72E8EC0BF}"/>
    <hyperlink ref="BA1426" location="'CM Rec Par.'!BA2108" display="'CM Rec Par.'!BA2108" xr:uid="{1AFF9019-FAED-4D47-864D-2EF2AD5E3223}"/>
    <hyperlink ref="BA1427" location="'CM Rec Par.'!BA2208" display="'CM Rec Par.'!BA2208" xr:uid="{F28FE008-B902-45CF-9331-B548C520B2D6}"/>
    <hyperlink ref="BA1428" location="'CM Rec Par.'!BA2308" display="'CM Rec Par.'!BA2308" xr:uid="{977F11FA-027C-4A9E-AF9F-AD1CF6AD0EE2}"/>
    <hyperlink ref="BA1429" location="'CM Rec Par.'!BA2408" display="'CM Rec Par.'!BA2408" xr:uid="{DBB8B754-3171-4A8F-9698-AD6C80F2835C}"/>
    <hyperlink ref="BA1430" location="'CM Rec Par.'!BA2508" display="'CM Rec Par.'!BA2508" xr:uid="{31857814-7F01-48D1-B1D6-8E09E04606BC}"/>
    <hyperlink ref="BA1431" location="'CM Rec Par.'!BA2608" display="'CM Rec Par.'!BA2608" xr:uid="{9C3C0B38-55CE-41C4-A149-6710A4E7C1EA}"/>
    <hyperlink ref="BA1432" location="'CM Rec Par.'!BA2708" display="'CM Rec Par.'!BA2708" xr:uid="{262EAACA-24A3-485E-BFA1-F74BC19E1886}"/>
    <hyperlink ref="BA1433" location="'CM Rec Par.'!BA2808" display="'CM Rec Par.'!BA2808" xr:uid="{E41A9BC6-5026-41C1-B3A8-DD574EEB04A4}"/>
    <hyperlink ref="BA1434" location="'CM Rec Par.'!BA2908" display="'CM Rec Par.'!BA2908" xr:uid="{7DAC997F-53F8-4DD0-A8F4-8CC8BFC830EB}"/>
    <hyperlink ref="BA1435" location="'CM Rec Par.'!BA3008" display="'CM Rec Par.'!BA3008" xr:uid="{C97F8F0A-077D-4BBB-8A42-16669F04787D}"/>
    <hyperlink ref="BA1436" location="'CM Rec Par.'!BA3108" display="'CM Rec Par.'!BA3108" xr:uid="{FC7EC98B-5403-41AF-87FB-75BB068138B3}"/>
    <hyperlink ref="BA1437" location="'CM Rec Par.'!BA3208" display="'CM Rec Par.'!BA3208" xr:uid="{6131ED6A-5046-4D33-9A10-0906667FEAD7}"/>
    <hyperlink ref="BA1438" location="'CM Rec Par.'!BA3308" display="'CM Rec Par.'!BA3308" xr:uid="{D158F21C-88C2-4DA3-B111-DCBC6619F719}"/>
    <hyperlink ref="BA1439" location="'CM Rec Par.'!BA3408" display="'CM Rec Par.'!BA3408" xr:uid="{DEF3DEDD-312B-4BC8-89D9-50FCB5CA3B58}"/>
    <hyperlink ref="BA1408" location="'CM Rec Par.'!BA6" display="Top" xr:uid="{559E186F-41ED-4AC5-92AE-831617DC8945}"/>
    <hyperlink ref="BA1510" location="'CM Rec Par.'!BA508" display="'CM Rec Par.'!BA508" xr:uid="{144ADAE3-DA5B-406C-9229-D6562A7E898D}"/>
    <hyperlink ref="BA1509" location="'CM Rec Par.'!BA50" display="Process" xr:uid="{BBEA6BCF-ED01-46FE-AB0C-2353C00D6BE6}"/>
    <hyperlink ref="BA1511" location="'CM Rec Par.'!BA608" display="'CM Rec Par.'!BA608" xr:uid="{A9F21C2A-72EB-4A6C-BB2C-BD4D78E2C53B}"/>
    <hyperlink ref="BA1512" location="'CM Rec Par.'!BA708" display="'CM Rec Par.'!BA708" xr:uid="{80FFC455-EC68-4925-97ED-853C0A637BA3}"/>
    <hyperlink ref="BA1513" location="'CM Rec Par.'!BA808" display="'CM Rec Par.'!BA808" xr:uid="{8E5F4BD3-1B48-4016-A23E-A3D0CA0543B1}"/>
    <hyperlink ref="BA1514" location="'CM Rec Par.'!BA908" display="'CM Rec Par.'!BA908" xr:uid="{BBE748C2-B0A8-406B-8BCF-455958BF59BA}"/>
    <hyperlink ref="BA1515" location="'CM Rec Par.'!BA1008" display="'CM Rec Par.'!BA1008" xr:uid="{9908A199-563C-4240-B8CE-353B0B51868D}"/>
    <hyperlink ref="BA1516" location="'CM Rec Par.'!BA1108" display="'CM Rec Par.'!BA1108" xr:uid="{2C57BB2E-E663-4ED6-B9EA-A019C31BD826}"/>
    <hyperlink ref="BA1517" location="'CM Rec Par.'!BA1208" display="'CM Rec Par.'!BA1208" xr:uid="{EAE7A8B5-83C2-4AE7-9765-01540A4BCAF9}"/>
    <hyperlink ref="BA1518" location="'CM Rec Par.'!BA1308" display="'CM Rec Par.'!BA1308" xr:uid="{64FB62B0-7610-4984-9ABD-B3872EE7593E}"/>
    <hyperlink ref="BA1519" location="'CM Rec Par.'!BA1408" display="'CM Rec Par.'!BA1408" xr:uid="{D346AFF6-EA42-4A6B-B29E-174991635E01}"/>
    <hyperlink ref="BA1520" location="'CM Rec Par.'!BA1508" display="'CM Rec Par.'!BA1508" xr:uid="{B2F3E565-682E-4221-9FBA-8ED3FEC4A46A}"/>
    <hyperlink ref="BA1521" location="'CM Rec Par.'!BA1608" display="'CM Rec Par.'!BA1608" xr:uid="{F2DDE909-9274-4F9F-B803-7D13EE7F69DC}"/>
    <hyperlink ref="BA1522" location="'CM Rec Par.'!BA1708" display="'CM Rec Par.'!BA1708" xr:uid="{9A4EC4A9-7911-4885-9471-F7EC0C6AB86B}"/>
    <hyperlink ref="BA1523" location="'CM Rec Par.'!BA1808" display="'CM Rec Par.'!BA1808" xr:uid="{732CE353-12E1-4B2B-BE5B-189FD0C7F933}"/>
    <hyperlink ref="BA1524" location="'CM Rec Par.'!BA1908" display="'CM Rec Par.'!BA1908" xr:uid="{BFD9D6D9-7B48-44E9-A05E-E83E703C3B69}"/>
    <hyperlink ref="BA1525" location="'CM Rec Par.'!BA2008" display="'CM Rec Par.'!BA2008" xr:uid="{1FE043F8-F248-48F6-A50C-EAE3FE17A0E1}"/>
    <hyperlink ref="BA1526" location="'CM Rec Par.'!BA2108" display="'CM Rec Par.'!BA2108" xr:uid="{0C51B194-7BDC-4940-919A-3E25004993C2}"/>
    <hyperlink ref="BA1527" location="'CM Rec Par.'!BA2208" display="'CM Rec Par.'!BA2208" xr:uid="{EA6B81C6-B52B-4FF2-A470-F58D4EC83CC9}"/>
    <hyperlink ref="BA1528" location="'CM Rec Par.'!BA2308" display="'CM Rec Par.'!BA2308" xr:uid="{17DEA03F-DE86-43E9-9917-E4FBA0E46484}"/>
    <hyperlink ref="BA1529" location="'CM Rec Par.'!BA2408" display="'CM Rec Par.'!BA2408" xr:uid="{DB75BDD0-12BE-434C-879A-1CBE9E9B00C4}"/>
    <hyperlink ref="BA1530" location="'CM Rec Par.'!BA2508" display="'CM Rec Par.'!BA2508" xr:uid="{F390231E-E887-4126-A0E1-D6BB4322F5D8}"/>
    <hyperlink ref="BA1531" location="'CM Rec Par.'!BA2608" display="'CM Rec Par.'!BA2608" xr:uid="{81592276-C676-457C-A061-EC0EDDD2C7C3}"/>
    <hyperlink ref="BA1532" location="'CM Rec Par.'!BA2708" display="'CM Rec Par.'!BA2708" xr:uid="{8771D5D5-56BF-435C-A4E7-BB9487421F17}"/>
    <hyperlink ref="BA1533" location="'CM Rec Par.'!BA2808" display="'CM Rec Par.'!BA2808" xr:uid="{DA5878EF-0B63-4E38-80F3-A308714E0C16}"/>
    <hyperlink ref="BA1534" location="'CM Rec Par.'!BA2908" display="'CM Rec Par.'!BA2908" xr:uid="{4FA3B8EA-AD7D-4DF6-94E4-B416C0D4FC59}"/>
    <hyperlink ref="BA1535" location="'CM Rec Par.'!BA3008" display="'CM Rec Par.'!BA3008" xr:uid="{0A1F57CD-68BE-4EB6-B67A-B5E1AE313CC4}"/>
    <hyperlink ref="BA1536" location="'CM Rec Par.'!BA3108" display="'CM Rec Par.'!BA3108" xr:uid="{7BAEF867-D61C-43B4-8AA8-1BAD7CC5E695}"/>
    <hyperlink ref="BA1537" location="'CM Rec Par.'!BA3208" display="'CM Rec Par.'!BA3208" xr:uid="{51ECB8A8-A430-487C-A680-EDF79A7F13AE}"/>
    <hyperlink ref="BA1538" location="'CM Rec Par.'!BA3308" display="'CM Rec Par.'!BA3308" xr:uid="{F750BD0B-2499-4ABD-8265-A093DE017DD1}"/>
    <hyperlink ref="BA1539" location="'CM Rec Par.'!BA3408" display="'CM Rec Par.'!BA3408" xr:uid="{10DA67AE-205C-47CD-9E8A-F3C6D3E443E3}"/>
    <hyperlink ref="BA1508" location="'CM Rec Par.'!BA6" display="Top" xr:uid="{C29050CF-39DA-4F3F-A511-1D3BBB6DC9D3}"/>
    <hyperlink ref="BA1610" location="'CM Rec Par.'!BA508" display="'CM Rec Par.'!BA508" xr:uid="{E5DA6F65-F682-49A2-A04A-CDF1147DD76B}"/>
    <hyperlink ref="BA1609" location="'CM Rec Par.'!BA50" display="Process" xr:uid="{8C8A2234-EEF8-4245-80B1-20F60D9407F3}"/>
    <hyperlink ref="BA1611" location="'CM Rec Par.'!BA608" display="'CM Rec Par.'!BA608" xr:uid="{3F49366E-4220-47B1-AFEC-4BE69C373AA7}"/>
    <hyperlink ref="BA1612" location="'CM Rec Par.'!BA708" display="'CM Rec Par.'!BA708" xr:uid="{E4F78D8C-2517-45A2-8F7C-6F75CA2C2901}"/>
    <hyperlink ref="BA1613" location="'CM Rec Par.'!BA808" display="'CM Rec Par.'!BA808" xr:uid="{192CB801-8541-4EB8-82D1-8D779172C439}"/>
    <hyperlink ref="BA1614" location="'CM Rec Par.'!BA908" display="'CM Rec Par.'!BA908" xr:uid="{BD8EA842-4CBB-48C9-8132-D5FE4FE5C781}"/>
    <hyperlink ref="BA1615" location="'CM Rec Par.'!BA1008" display="'CM Rec Par.'!BA1008" xr:uid="{9BBB5E82-4D17-4E1A-8B9C-8C6D073A98F1}"/>
    <hyperlink ref="BA1616" location="'CM Rec Par.'!BA1108" display="'CM Rec Par.'!BA1108" xr:uid="{0408F7C3-6442-422E-BC8A-F52A1FE22976}"/>
    <hyperlink ref="BA1617" location="'CM Rec Par.'!BA1208" display="'CM Rec Par.'!BA1208" xr:uid="{BDFE6C64-AA1E-4C58-828A-23BA627A2BFB}"/>
    <hyperlink ref="BA1618" location="'CM Rec Par.'!BA1308" display="'CM Rec Par.'!BA1308" xr:uid="{059F0E22-957F-4ADA-A47A-49009065042B}"/>
    <hyperlink ref="BA1619" location="'CM Rec Par.'!BA1408" display="'CM Rec Par.'!BA1408" xr:uid="{95891992-10F4-4460-9DE3-442A78F25409}"/>
    <hyperlink ref="BA1620" location="'CM Rec Par.'!BA1508" display="'CM Rec Par.'!BA1508" xr:uid="{C2BFA327-FC2B-4E52-9BB8-066743A86094}"/>
    <hyperlink ref="BA1621" location="'CM Rec Par.'!BA1608" display="'CM Rec Par.'!BA1608" xr:uid="{83A76AB3-A65D-4A93-8C4B-3A7B032CD385}"/>
    <hyperlink ref="BA1622" location="'CM Rec Par.'!BA1708" display="'CM Rec Par.'!BA1708" xr:uid="{2B89272E-8B92-4784-A4AB-D9AF881D60E8}"/>
    <hyperlink ref="BA1623" location="'CM Rec Par.'!BA1808" display="'CM Rec Par.'!BA1808" xr:uid="{8CE5A4BF-BEEF-4BF1-9EBE-498D00C9B704}"/>
    <hyperlink ref="BA1624" location="'CM Rec Par.'!BA1908" display="'CM Rec Par.'!BA1908" xr:uid="{CC759887-7DA2-4E22-86C1-1B9C7B3BB875}"/>
    <hyperlink ref="BA1625" location="'CM Rec Par.'!BA2008" display="'CM Rec Par.'!BA2008" xr:uid="{9524F18C-321B-48C9-B29F-E60457A146B7}"/>
    <hyperlink ref="BA1626" location="'CM Rec Par.'!BA2108" display="'CM Rec Par.'!BA2108" xr:uid="{1746A930-13A6-4DF0-8588-44EFF397DB07}"/>
    <hyperlink ref="BA1627" location="'CM Rec Par.'!BA2208" display="'CM Rec Par.'!BA2208" xr:uid="{E9186D5C-4EAD-4B87-B43B-3E3D17C04387}"/>
    <hyperlink ref="BA1628" location="'CM Rec Par.'!BA2308" display="'CM Rec Par.'!BA2308" xr:uid="{8C67B8CB-EDE7-4380-98C5-C3CE24F1A380}"/>
    <hyperlink ref="BA1629" location="'CM Rec Par.'!BA2408" display="'CM Rec Par.'!BA2408" xr:uid="{8842EF26-6ED1-4A67-9F23-A4595F420BD7}"/>
    <hyperlink ref="BA1630" location="'CM Rec Par.'!BA2508" display="'CM Rec Par.'!BA2508" xr:uid="{64099E99-8BFD-4C0F-82FE-D38F2063099B}"/>
    <hyperlink ref="BA1631" location="'CM Rec Par.'!BA2608" display="'CM Rec Par.'!BA2608" xr:uid="{2DB55074-F6CF-4CCB-B350-2586208B03F1}"/>
    <hyperlink ref="BA1632" location="'CM Rec Par.'!BA2708" display="'CM Rec Par.'!BA2708" xr:uid="{61B87B7B-A2DE-4710-8F75-533034A46EB5}"/>
    <hyperlink ref="BA1633" location="'CM Rec Par.'!BA2808" display="'CM Rec Par.'!BA2808" xr:uid="{46B7005C-359A-45ED-ADF2-47CC5F239673}"/>
    <hyperlink ref="BA1634" location="'CM Rec Par.'!BA2908" display="'CM Rec Par.'!BA2908" xr:uid="{DDD2B0CA-BDF5-42D7-9CEB-0D48648646F2}"/>
    <hyperlink ref="BA1635" location="'CM Rec Par.'!BA3008" display="'CM Rec Par.'!BA3008" xr:uid="{8D0FBBE3-DE94-430D-935B-916FCD4A5250}"/>
    <hyperlink ref="BA1636" location="'CM Rec Par.'!BA3108" display="'CM Rec Par.'!BA3108" xr:uid="{398600F1-CA15-4657-AF19-7E5B32A356BA}"/>
    <hyperlink ref="BA1637" location="'CM Rec Par.'!BA3208" display="'CM Rec Par.'!BA3208" xr:uid="{6786D5C2-02E8-43D9-8B50-06502FE90AE8}"/>
    <hyperlink ref="BA1638" location="'CM Rec Par.'!BA3308" display="'CM Rec Par.'!BA3308" xr:uid="{433CB280-B91C-49F0-9FAB-E6901C11555F}"/>
    <hyperlink ref="BA1639" location="'CM Rec Par.'!BA3408" display="'CM Rec Par.'!BA3408" xr:uid="{BAE6CAAA-7898-4DBA-A9EE-BA3C6E7EA6C1}"/>
    <hyperlink ref="BA1608" location="'CM Rec Par.'!BA6" display="Top" xr:uid="{93918DC2-0543-4D4C-84CE-B186F58E538E}"/>
    <hyperlink ref="BA1710" location="'CM Rec Par.'!BA508" display="'CM Rec Par.'!BA508" xr:uid="{5C287452-BE95-49F8-B724-6EC8E0938DEA}"/>
    <hyperlink ref="BA1709" location="'CM Rec Par.'!BA50" display="Process" xr:uid="{A0BB49AC-0BF6-4590-AB9D-CEF42F1B7397}"/>
    <hyperlink ref="BA1711" location="'CM Rec Par.'!BA608" display="'CM Rec Par.'!BA608" xr:uid="{23761B6F-9006-499F-8508-4311015715F4}"/>
    <hyperlink ref="BA1712" location="'CM Rec Par.'!BA708" display="'CM Rec Par.'!BA708" xr:uid="{D8D05CA9-FF49-4758-858B-3752FFC8D5B3}"/>
    <hyperlink ref="BA1713" location="'CM Rec Par.'!BA808" display="'CM Rec Par.'!BA808" xr:uid="{35AD3E54-7B59-4CB9-AFED-2EA55E9BF1E3}"/>
    <hyperlink ref="BA1714" location="'CM Rec Par.'!BA908" display="'CM Rec Par.'!BA908" xr:uid="{189D2C53-D2C3-413D-9BF5-CA1219CE293B}"/>
    <hyperlink ref="BA1715" location="'CM Rec Par.'!BA1008" display="'CM Rec Par.'!BA1008" xr:uid="{3D141AA6-2D01-4606-8769-860AE25D4108}"/>
    <hyperlink ref="BA1716" location="'CM Rec Par.'!BA1108" display="'CM Rec Par.'!BA1108" xr:uid="{EEA06C21-7EF3-4C9D-9882-0D4077941660}"/>
    <hyperlink ref="BA1717" location="'CM Rec Par.'!BA1208" display="'CM Rec Par.'!BA1208" xr:uid="{057AE81A-DF27-4F9F-9855-E8A3E44654CB}"/>
    <hyperlink ref="BA1718" location="'CM Rec Par.'!BA1308" display="'CM Rec Par.'!BA1308" xr:uid="{5DB352F0-1A8B-4D8C-A78B-D7C49BBBE234}"/>
    <hyperlink ref="BA1719" location="'CM Rec Par.'!BA1408" display="'CM Rec Par.'!BA1408" xr:uid="{FA1497D3-F9A3-43BC-ACE9-EC2179FDF509}"/>
    <hyperlink ref="BA1720" location="'CM Rec Par.'!BA1508" display="'CM Rec Par.'!BA1508" xr:uid="{D73FCC66-9D6A-4EE0-8F43-37717B1646E8}"/>
    <hyperlink ref="BA1721" location="'CM Rec Par.'!BA1608" display="'CM Rec Par.'!BA1608" xr:uid="{423BF40E-0197-451D-9C7A-126547D3CB76}"/>
    <hyperlink ref="BA1722" location="'CM Rec Par.'!BA1708" display="'CM Rec Par.'!BA1708" xr:uid="{4F26F185-CDAD-45F5-96F2-A4B469537627}"/>
    <hyperlink ref="BA1723" location="'CM Rec Par.'!BA1808" display="'CM Rec Par.'!BA1808" xr:uid="{795B5538-B283-428D-9021-CD20FED374E0}"/>
    <hyperlink ref="BA1724" location="'CM Rec Par.'!BA1908" display="'CM Rec Par.'!BA1908" xr:uid="{4230FB5C-0A52-4DCF-8E9F-CD53B352D83E}"/>
    <hyperlink ref="BA1725" location="'CM Rec Par.'!BA2008" display="'CM Rec Par.'!BA2008" xr:uid="{6C14C9A7-58CC-4A75-874E-4503FE9AF566}"/>
    <hyperlink ref="BA1726" location="'CM Rec Par.'!BA2108" display="'CM Rec Par.'!BA2108" xr:uid="{D79AF85F-8C75-4E8D-8935-FB3CBA43FB16}"/>
    <hyperlink ref="BA1727" location="'CM Rec Par.'!BA2208" display="'CM Rec Par.'!BA2208" xr:uid="{C46D0E85-8D9C-4E0F-B6D9-0F6437DAA286}"/>
    <hyperlink ref="BA1728" location="'CM Rec Par.'!BA2308" display="'CM Rec Par.'!BA2308" xr:uid="{B3DB18E3-258C-457C-AF64-0523DFC00675}"/>
    <hyperlink ref="BA1729" location="'CM Rec Par.'!BA2408" display="'CM Rec Par.'!BA2408" xr:uid="{AEBD0039-E7E1-492F-844C-DB3B877996F5}"/>
    <hyperlink ref="BA1730" location="'CM Rec Par.'!BA2508" display="'CM Rec Par.'!BA2508" xr:uid="{7212BAAF-9855-4676-BC16-B0829796FE5E}"/>
    <hyperlink ref="BA1731" location="'CM Rec Par.'!BA2608" display="'CM Rec Par.'!BA2608" xr:uid="{0B46C418-FEE5-4F26-BC16-757C7E06C162}"/>
    <hyperlink ref="BA1732" location="'CM Rec Par.'!BA2708" display="'CM Rec Par.'!BA2708" xr:uid="{E84CDE9E-8E88-456E-94FD-0CA398707070}"/>
    <hyperlink ref="BA1733" location="'CM Rec Par.'!BA2808" display="'CM Rec Par.'!BA2808" xr:uid="{288865E6-6A95-4C01-86AC-33490778CC66}"/>
    <hyperlink ref="BA1734" location="'CM Rec Par.'!BA2908" display="'CM Rec Par.'!BA2908" xr:uid="{6B8FA181-D82A-4FE0-90E6-353D94275A04}"/>
    <hyperlink ref="BA1735" location="'CM Rec Par.'!BA3008" display="'CM Rec Par.'!BA3008" xr:uid="{1C5C364F-6364-4C6E-B5B0-949D965E496F}"/>
    <hyperlink ref="BA1736" location="'CM Rec Par.'!BA3108" display="'CM Rec Par.'!BA3108" xr:uid="{C55C8A6D-BBFB-4E8A-8A67-D61603B51B44}"/>
    <hyperlink ref="BA1737" location="'CM Rec Par.'!BA3208" display="'CM Rec Par.'!BA3208" xr:uid="{12CE960D-0159-45EA-A8DC-7E4CD877AB0D}"/>
    <hyperlink ref="BA1738" location="'CM Rec Par.'!BA3308" display="'CM Rec Par.'!BA3308" xr:uid="{226B5B07-CE46-422D-9BB3-7841800E747F}"/>
    <hyperlink ref="BA1739" location="'CM Rec Par.'!BA3408" display="'CM Rec Par.'!BA3408" xr:uid="{2089B30D-D487-433A-A4AD-9A3DF128A7B5}"/>
    <hyperlink ref="BA1708" location="'CM Rec Par.'!BA6" display="Top" xr:uid="{70A1BBD0-DCE2-44DA-9414-3F32310228CC}"/>
    <hyperlink ref="BA1810" location="'CM Rec Par.'!BA508" display="'CM Rec Par.'!BA508" xr:uid="{FCE9BCD3-3BC2-4B93-9B3B-71FB11E80B9B}"/>
    <hyperlink ref="BA1809" location="'CM Rec Par.'!BA50" display="Process" xr:uid="{07044447-C004-4EF7-8F31-CAA865B9FFDA}"/>
    <hyperlink ref="BA1811" location="'CM Rec Par.'!BA608" display="'CM Rec Par.'!BA608" xr:uid="{CBB43E9F-1F33-4E4A-80EF-F7E2F338C8BB}"/>
    <hyperlink ref="BA1812" location="'CM Rec Par.'!BA708" display="'CM Rec Par.'!BA708" xr:uid="{4EA3D187-93E3-4D1C-87F0-7B7F724E6F5B}"/>
    <hyperlink ref="BA1813" location="'CM Rec Par.'!BA808" display="'CM Rec Par.'!BA808" xr:uid="{4ABC021E-DCD7-4EFA-81FD-4A967800FB36}"/>
    <hyperlink ref="BA1814" location="'CM Rec Par.'!BA908" display="'CM Rec Par.'!BA908" xr:uid="{51FF5C57-9071-49C0-8925-D952CFB8665B}"/>
    <hyperlink ref="BA1815" location="'CM Rec Par.'!BA1008" display="'CM Rec Par.'!BA1008" xr:uid="{54834466-076D-44DC-BA10-B14BC7E89CB9}"/>
    <hyperlink ref="BA1816" location="'CM Rec Par.'!BA1108" display="'CM Rec Par.'!BA1108" xr:uid="{89C6AFF3-C26F-44D3-8E28-D12E0963FE8F}"/>
    <hyperlink ref="BA1817" location="'CM Rec Par.'!BA1208" display="'CM Rec Par.'!BA1208" xr:uid="{7740D684-7B93-4032-85A2-95D896EAF5EC}"/>
    <hyperlink ref="BA1818" location="'CM Rec Par.'!BA1308" display="'CM Rec Par.'!BA1308" xr:uid="{A16F30E8-EED4-4107-90FF-FB3291DEFFD6}"/>
    <hyperlink ref="BA1819" location="'CM Rec Par.'!BA1408" display="'CM Rec Par.'!BA1408" xr:uid="{0AB55147-CBE2-4BB6-91A1-BB7A3E3838B1}"/>
    <hyperlink ref="BA1820" location="'CM Rec Par.'!BA1508" display="'CM Rec Par.'!BA1508" xr:uid="{CDCF154C-9026-4BB2-8D5B-0B3B17979162}"/>
    <hyperlink ref="BA1821" location="'CM Rec Par.'!BA1608" display="'CM Rec Par.'!BA1608" xr:uid="{76548981-6482-4A45-8003-1FC9FEDF4A5B}"/>
    <hyperlink ref="BA1822" location="'CM Rec Par.'!BA1708" display="'CM Rec Par.'!BA1708" xr:uid="{AA88561B-48F2-48C6-B995-B10216D8CD2B}"/>
    <hyperlink ref="BA1823" location="'CM Rec Par.'!BA1808" display="'CM Rec Par.'!BA1808" xr:uid="{81DEE4B5-BF30-44A6-8EFB-2D16C0727C3A}"/>
    <hyperlink ref="BA1824" location="'CM Rec Par.'!BA1908" display="'CM Rec Par.'!BA1908" xr:uid="{5CEC1E63-86BC-44FD-8160-F7F16A0C0A8F}"/>
    <hyperlink ref="BA1825" location="'CM Rec Par.'!BA2008" display="'CM Rec Par.'!BA2008" xr:uid="{2626E9B3-D9D3-48F7-A193-CFA083F44FE9}"/>
    <hyperlink ref="BA1826" location="'CM Rec Par.'!BA2108" display="'CM Rec Par.'!BA2108" xr:uid="{D7508EFF-F685-4752-9932-724E955069FD}"/>
    <hyperlink ref="BA1827" location="'CM Rec Par.'!BA2208" display="'CM Rec Par.'!BA2208" xr:uid="{E23EB63E-7BF8-45CB-A5C1-114311DCFB0C}"/>
    <hyperlink ref="BA1828" location="'CM Rec Par.'!BA2308" display="'CM Rec Par.'!BA2308" xr:uid="{D74092FE-E4C0-4824-BC01-FC522083F0C7}"/>
    <hyperlink ref="BA1829" location="'CM Rec Par.'!BA2408" display="'CM Rec Par.'!BA2408" xr:uid="{ED7703F7-17E9-4A92-8708-E8D10D6C90ED}"/>
    <hyperlink ref="BA1830" location="'CM Rec Par.'!BA2508" display="'CM Rec Par.'!BA2508" xr:uid="{91033A15-9757-446F-AA8B-114B901C2E66}"/>
    <hyperlink ref="BA1831" location="'CM Rec Par.'!BA2608" display="'CM Rec Par.'!BA2608" xr:uid="{518705F9-6952-45F3-95CE-7821B4DB41B6}"/>
    <hyperlink ref="BA1832" location="'CM Rec Par.'!BA2708" display="'CM Rec Par.'!BA2708" xr:uid="{94F46454-F1E7-42DD-9EA2-0EAA2D34B063}"/>
    <hyperlink ref="BA1833" location="'CM Rec Par.'!BA2808" display="'CM Rec Par.'!BA2808" xr:uid="{0687B99E-E2F4-4D74-8E0A-84C8D5E2052E}"/>
    <hyperlink ref="BA1834" location="'CM Rec Par.'!BA2908" display="'CM Rec Par.'!BA2908" xr:uid="{9DFB9E3F-395F-4133-9590-9A0A2AA0661F}"/>
    <hyperlink ref="BA1835" location="'CM Rec Par.'!BA3008" display="'CM Rec Par.'!BA3008" xr:uid="{9B688C6A-AE61-4054-8B50-A1EA89B4D463}"/>
    <hyperlink ref="BA1836" location="'CM Rec Par.'!BA3108" display="'CM Rec Par.'!BA3108" xr:uid="{4AC7C47E-AAD8-42AE-B866-80D0384C7415}"/>
    <hyperlink ref="BA1837" location="'CM Rec Par.'!BA3208" display="'CM Rec Par.'!BA3208" xr:uid="{628D81D0-AAF5-40FB-9D6C-A0A8301AB773}"/>
    <hyperlink ref="BA1838" location="'CM Rec Par.'!BA3308" display="'CM Rec Par.'!BA3308" xr:uid="{5D61D3B5-528A-4B83-882C-F281B5BB8F8B}"/>
    <hyperlink ref="BA1839" location="'CM Rec Par.'!BA3408" display="'CM Rec Par.'!BA3408" xr:uid="{E0927020-814A-4388-BD73-59BF87A286D6}"/>
    <hyperlink ref="BA1808" location="'CM Rec Par.'!BA6" display="Top" xr:uid="{FE1996BB-F1D6-4D42-B8F9-86B87D47F894}"/>
    <hyperlink ref="BA1910" location="'CM Rec Par.'!BA508" display="'CM Rec Par.'!BA508" xr:uid="{6BCF72FF-C105-4012-9504-D8EF0BA19FEF}"/>
    <hyperlink ref="BA1909" location="'CM Rec Par.'!BA50" display="Process" xr:uid="{6E15E9D8-E0EB-490D-B1E5-56A41644A8E5}"/>
    <hyperlink ref="BA1911" location="'CM Rec Par.'!BA608" display="'CM Rec Par.'!BA608" xr:uid="{1ABE7DD7-8696-42C9-A6F7-66F0C639A6D9}"/>
    <hyperlink ref="BA1912" location="'CM Rec Par.'!BA708" display="'CM Rec Par.'!BA708" xr:uid="{660159B9-AABB-471F-8603-7D9DB69853F1}"/>
    <hyperlink ref="BA1913" location="'CM Rec Par.'!BA808" display="'CM Rec Par.'!BA808" xr:uid="{FD1B9C1D-FA9F-4F35-BFAC-CDA039CF752D}"/>
    <hyperlink ref="BA1914" location="'CM Rec Par.'!BA908" display="'CM Rec Par.'!BA908" xr:uid="{BA3C0F60-0B06-48B8-87BF-3575DD95A358}"/>
    <hyperlink ref="BA1915" location="'CM Rec Par.'!BA1008" display="'CM Rec Par.'!BA1008" xr:uid="{9D35B910-554F-4952-B24E-D4222E1D3158}"/>
    <hyperlink ref="BA1916" location="'CM Rec Par.'!BA1108" display="'CM Rec Par.'!BA1108" xr:uid="{EE33C431-FA1E-446A-B5F1-733A4DBEF84D}"/>
    <hyperlink ref="BA1917" location="'CM Rec Par.'!BA1208" display="'CM Rec Par.'!BA1208" xr:uid="{40D8393A-1ED4-4F93-90BB-4F2DCF88CDFB}"/>
    <hyperlink ref="BA1918" location="'CM Rec Par.'!BA1308" display="'CM Rec Par.'!BA1308" xr:uid="{CA5B7301-D387-425A-B44F-3307457DE9EE}"/>
    <hyperlink ref="BA1919" location="'CM Rec Par.'!BA1408" display="'CM Rec Par.'!BA1408" xr:uid="{1A45155C-0E98-4364-B211-AD0705F23DB3}"/>
    <hyperlink ref="BA1920" location="'CM Rec Par.'!BA1508" display="'CM Rec Par.'!BA1508" xr:uid="{34CEF360-4738-4BA6-8687-F35B776AA7EE}"/>
    <hyperlink ref="BA1921" location="'CM Rec Par.'!BA1608" display="'CM Rec Par.'!BA1608" xr:uid="{4914C31F-DD56-46D1-B3E2-C37D3057FEEB}"/>
    <hyperlink ref="BA1922" location="'CM Rec Par.'!BA1708" display="'CM Rec Par.'!BA1708" xr:uid="{A06215C3-BE99-4332-8003-BE1548F52BD1}"/>
    <hyperlink ref="BA1923" location="'CM Rec Par.'!BA1808" display="'CM Rec Par.'!BA1808" xr:uid="{0CB1E066-B42D-48E6-81DA-A06970FE54AE}"/>
    <hyperlink ref="BA1924" location="'CM Rec Par.'!BA1908" display="'CM Rec Par.'!BA1908" xr:uid="{6407E1FC-9FC9-4134-A584-61EDCF2AEED5}"/>
    <hyperlink ref="BA1925" location="'CM Rec Par.'!BA2008" display="'CM Rec Par.'!BA2008" xr:uid="{29B4B3D3-AD15-4727-B6CB-0A2789C8BEF0}"/>
    <hyperlink ref="BA1926" location="'CM Rec Par.'!BA2108" display="'CM Rec Par.'!BA2108" xr:uid="{D6225187-E79B-4CA3-8F7B-5799C6BE5745}"/>
    <hyperlink ref="BA1927" location="'CM Rec Par.'!BA2208" display="'CM Rec Par.'!BA2208" xr:uid="{5E304DB0-8446-4778-9165-A59FB693777A}"/>
    <hyperlink ref="BA1928" location="'CM Rec Par.'!BA2308" display="'CM Rec Par.'!BA2308" xr:uid="{F82E86FA-2DE3-4859-B40A-D65D0D6A17B1}"/>
    <hyperlink ref="BA1929" location="'CM Rec Par.'!BA2408" display="'CM Rec Par.'!BA2408" xr:uid="{C754721E-3D85-4F91-B2CF-DDEF775A5D52}"/>
    <hyperlink ref="BA1930" location="'CM Rec Par.'!BA2508" display="'CM Rec Par.'!BA2508" xr:uid="{153830A4-0FA2-4C63-9BF1-4E4E400219D6}"/>
    <hyperlink ref="BA1931" location="'CM Rec Par.'!BA2608" display="'CM Rec Par.'!BA2608" xr:uid="{039501BA-BD9C-4827-AFDD-DCA5D81FA9D6}"/>
    <hyperlink ref="BA1932" location="'CM Rec Par.'!BA2708" display="'CM Rec Par.'!BA2708" xr:uid="{269B0163-C3F8-4533-9B1F-7D2CC408128A}"/>
    <hyperlink ref="BA1933" location="'CM Rec Par.'!BA2808" display="'CM Rec Par.'!BA2808" xr:uid="{EBF050D6-4C22-449E-9F88-9C496DB7907D}"/>
    <hyperlink ref="BA1934" location="'CM Rec Par.'!BA2908" display="'CM Rec Par.'!BA2908" xr:uid="{9FFA2FC0-67FB-4B7D-A0F2-174863904D19}"/>
    <hyperlink ref="BA1935" location="'CM Rec Par.'!BA3008" display="'CM Rec Par.'!BA3008" xr:uid="{D9563FF9-F1EB-469D-AFFA-607D6BA14E96}"/>
    <hyperlink ref="BA1936" location="'CM Rec Par.'!BA3108" display="'CM Rec Par.'!BA3108" xr:uid="{54F4B597-02D2-4323-9DA9-E2A66190EDA5}"/>
    <hyperlink ref="BA1937" location="'CM Rec Par.'!BA3208" display="'CM Rec Par.'!BA3208" xr:uid="{A6033599-14C3-4012-9D43-C677F86DFF90}"/>
    <hyperlink ref="BA1938" location="'CM Rec Par.'!BA3308" display="'CM Rec Par.'!BA3308" xr:uid="{8E390362-0DCE-4979-82AD-3F71628651E4}"/>
    <hyperlink ref="BA1939" location="'CM Rec Par.'!BA3408" display="'CM Rec Par.'!BA3408" xr:uid="{2EEE662D-64CF-4C8D-BC6F-8159C67E4B3B}"/>
    <hyperlink ref="BA1908" location="'CM Rec Par.'!BA6" display="Top" xr:uid="{AA7CE271-E5B9-4F54-9EAB-999A26A6BFA1}"/>
    <hyperlink ref="BA2010" location="'CM Rec Par.'!BA508" display="'CM Rec Par.'!BA508" xr:uid="{AB9995AE-2D68-4763-BEEE-AA943CEC716B}"/>
    <hyperlink ref="BA2009" location="'CM Rec Par.'!BA50" display="Process" xr:uid="{C60AB3C6-F742-4D73-A8CD-58D80A25C29F}"/>
    <hyperlink ref="BA2011" location="'CM Rec Par.'!BA608" display="'CM Rec Par.'!BA608" xr:uid="{F4CF8C67-35B2-49FD-9ED2-ABBD8F7CDA2B}"/>
    <hyperlink ref="BA2012" location="'CM Rec Par.'!BA708" display="'CM Rec Par.'!BA708" xr:uid="{4FD06A5C-6A02-43AE-A068-14433B2179A0}"/>
    <hyperlink ref="BA2013" location="'CM Rec Par.'!BA808" display="'CM Rec Par.'!BA808" xr:uid="{F36E0F4D-B328-403C-98C2-A3CF5CC7AF7F}"/>
    <hyperlink ref="BA2014" location="'CM Rec Par.'!BA908" display="'CM Rec Par.'!BA908" xr:uid="{483CB851-5640-4A15-BCBD-5A744A588F0F}"/>
    <hyperlink ref="BA2015" location="'CM Rec Par.'!BA1008" display="'CM Rec Par.'!BA1008" xr:uid="{AA56655B-E772-4DDB-9AA3-BE25B1CE596B}"/>
    <hyperlink ref="BA2016" location="'CM Rec Par.'!BA1108" display="'CM Rec Par.'!BA1108" xr:uid="{8AE5E5D6-5B6A-4887-91E4-23C2576117D5}"/>
    <hyperlink ref="BA2017" location="'CM Rec Par.'!BA1208" display="'CM Rec Par.'!BA1208" xr:uid="{1F182222-88F1-40CF-AEB0-54B76D2A775D}"/>
    <hyperlink ref="BA2018" location="'CM Rec Par.'!BA1308" display="'CM Rec Par.'!BA1308" xr:uid="{D983C2E4-C08A-42D2-9CA7-011F2B101074}"/>
    <hyperlink ref="BA2019" location="'CM Rec Par.'!BA1408" display="'CM Rec Par.'!BA1408" xr:uid="{9222B72E-F64B-4935-8FE3-D29EF82BFE80}"/>
    <hyperlink ref="BA2020" location="'CM Rec Par.'!BA1508" display="'CM Rec Par.'!BA1508" xr:uid="{782AAF66-89C5-4C6A-A5E3-5607DC5977DD}"/>
    <hyperlink ref="BA2021" location="'CM Rec Par.'!BA1608" display="'CM Rec Par.'!BA1608" xr:uid="{BF7841B9-2165-4C9B-B35B-45EBCA050D5F}"/>
    <hyperlink ref="BA2022" location="'CM Rec Par.'!BA1708" display="'CM Rec Par.'!BA1708" xr:uid="{4FC49903-3AC9-486C-BCDC-D8F865F08DDD}"/>
    <hyperlink ref="BA2023" location="'CM Rec Par.'!BA1808" display="'CM Rec Par.'!BA1808" xr:uid="{C4B51F4A-2A52-4E56-B28F-1509BD14EB8B}"/>
    <hyperlink ref="BA2024" location="'CM Rec Par.'!BA1908" display="'CM Rec Par.'!BA1908" xr:uid="{20F7F26A-4E7F-4453-B151-7A7B42C11900}"/>
    <hyperlink ref="BA2025" location="'CM Rec Par.'!BA2008" display="'CM Rec Par.'!BA2008" xr:uid="{3B5B851E-A3C1-47D1-A08C-0B9DADFC8500}"/>
    <hyperlink ref="BA2026" location="'CM Rec Par.'!BA2108" display="'CM Rec Par.'!BA2108" xr:uid="{439A91A3-015C-42BE-AA32-8860FBB6B55E}"/>
    <hyperlink ref="BA2027" location="'CM Rec Par.'!BA2208" display="'CM Rec Par.'!BA2208" xr:uid="{F1A8EEE8-F33F-453C-B6D6-9B3EB1D9DA96}"/>
    <hyperlink ref="BA2028" location="'CM Rec Par.'!BA2308" display="'CM Rec Par.'!BA2308" xr:uid="{3AA4FFCF-E390-45F8-AD51-4C4D339881E2}"/>
    <hyperlink ref="BA2029" location="'CM Rec Par.'!BA2408" display="'CM Rec Par.'!BA2408" xr:uid="{AA86575B-CF05-4A82-805F-6C16531FB6FF}"/>
    <hyperlink ref="BA2030" location="'CM Rec Par.'!BA2508" display="'CM Rec Par.'!BA2508" xr:uid="{580F5BB7-7C9E-40A2-9C8A-87F94937A7F6}"/>
    <hyperlink ref="BA2031" location="'CM Rec Par.'!BA2608" display="'CM Rec Par.'!BA2608" xr:uid="{8245517E-6443-41A9-8513-BA01DAB4C656}"/>
    <hyperlink ref="BA2032" location="'CM Rec Par.'!BA2708" display="'CM Rec Par.'!BA2708" xr:uid="{E7D5D2B3-D0C2-41FD-99E0-8EDD8ED01F55}"/>
    <hyperlink ref="BA2033" location="'CM Rec Par.'!BA2808" display="'CM Rec Par.'!BA2808" xr:uid="{6426187D-5BF1-4E8D-ABFB-C1A87759FCD2}"/>
    <hyperlink ref="BA2034" location="'CM Rec Par.'!BA2908" display="'CM Rec Par.'!BA2908" xr:uid="{5CCDA1BD-61D1-4930-8450-00B075BF653C}"/>
    <hyperlink ref="BA2035" location="'CM Rec Par.'!BA3008" display="'CM Rec Par.'!BA3008" xr:uid="{7EEA2B84-349C-4A5D-86A5-03B764BAFEF3}"/>
    <hyperlink ref="BA2036" location="'CM Rec Par.'!BA3108" display="'CM Rec Par.'!BA3108" xr:uid="{B4060E8A-093D-4AE6-A615-E029E5A10833}"/>
    <hyperlink ref="BA2037" location="'CM Rec Par.'!BA3208" display="'CM Rec Par.'!BA3208" xr:uid="{5B84C189-F284-4225-B65A-BEC961116DA5}"/>
    <hyperlink ref="BA2038" location="'CM Rec Par.'!BA3308" display="'CM Rec Par.'!BA3308" xr:uid="{9620C746-590E-4D2F-97F6-BF4991FE39EC}"/>
    <hyperlink ref="BA2039" location="'CM Rec Par.'!BA3408" display="'CM Rec Par.'!BA3408" xr:uid="{A9291AAF-6C98-45E0-BD52-25E740FAB51C}"/>
    <hyperlink ref="BA2008" location="'CM Rec Par.'!BA6" display="Top" xr:uid="{3150B7AA-19AC-4524-AF39-0898115FBD99}"/>
    <hyperlink ref="BA2110" location="'CM Rec Par.'!BA508" display="'CM Rec Par.'!BA508" xr:uid="{CCFADB9B-007A-40D4-9C6F-1E1626AB4FC3}"/>
    <hyperlink ref="BA2109" location="'CM Rec Par.'!BA50" display="Process" xr:uid="{C2882F2D-74A9-4E3A-8FC7-1CD8AA4A38CB}"/>
    <hyperlink ref="BA2111" location="'CM Rec Par.'!BA608" display="'CM Rec Par.'!BA608" xr:uid="{4051265F-8E2A-423D-A66B-864CE44595B4}"/>
    <hyperlink ref="BA2112" location="'CM Rec Par.'!BA708" display="'CM Rec Par.'!BA708" xr:uid="{EB3AE6D6-FB1A-423A-99E1-E8B6F08D4662}"/>
    <hyperlink ref="BA2113" location="'CM Rec Par.'!BA808" display="'CM Rec Par.'!BA808" xr:uid="{9EC0FA12-0F17-4011-B68B-AD55B3D87D52}"/>
    <hyperlink ref="BA2114" location="'CM Rec Par.'!BA908" display="'CM Rec Par.'!BA908" xr:uid="{107B83DE-D878-4383-8193-CDBF65E234BE}"/>
    <hyperlink ref="BA2115" location="'CM Rec Par.'!BA1008" display="'CM Rec Par.'!BA1008" xr:uid="{9B2EB51C-8D2E-475F-8ABE-6D8B853E0655}"/>
    <hyperlink ref="BA2116" location="'CM Rec Par.'!BA1108" display="'CM Rec Par.'!BA1108" xr:uid="{83DC55CB-237C-4D73-9806-976AA36B1019}"/>
    <hyperlink ref="BA2117" location="'CM Rec Par.'!BA1208" display="'CM Rec Par.'!BA1208" xr:uid="{EDBE45C5-1939-425C-BBDE-84B412098C0C}"/>
    <hyperlink ref="BA2118" location="'CM Rec Par.'!BA1308" display="'CM Rec Par.'!BA1308" xr:uid="{E4A0DAFF-B4A6-4A38-A2B7-72975A8F4808}"/>
    <hyperlink ref="BA2119" location="'CM Rec Par.'!BA1408" display="'CM Rec Par.'!BA1408" xr:uid="{79552DFC-1191-4980-A99E-D3C47DF56AF8}"/>
    <hyperlink ref="BA2120" location="'CM Rec Par.'!BA1508" display="'CM Rec Par.'!BA1508" xr:uid="{095718CD-8456-4EE5-8DB6-6FAB29283538}"/>
    <hyperlink ref="BA2121" location="'CM Rec Par.'!BA1608" display="'CM Rec Par.'!BA1608" xr:uid="{B497C005-CC4D-4669-B4DC-72752705F011}"/>
    <hyperlink ref="BA2122" location="'CM Rec Par.'!BA1708" display="'CM Rec Par.'!BA1708" xr:uid="{C7608F08-3D8B-4F2E-B042-2253CD8091E9}"/>
    <hyperlink ref="BA2123" location="'CM Rec Par.'!BA1808" display="'CM Rec Par.'!BA1808" xr:uid="{5B73C886-81DA-4DC5-B6A3-546AA6D7E28E}"/>
    <hyperlink ref="BA2124" location="'CM Rec Par.'!BA1908" display="'CM Rec Par.'!BA1908" xr:uid="{53FF8C82-A93D-47AF-9121-B7EAA8A51974}"/>
    <hyperlink ref="BA2125" location="'CM Rec Par.'!BA2008" display="'CM Rec Par.'!BA2008" xr:uid="{2CFB866C-B34C-4407-8F0A-5673167F1AB4}"/>
    <hyperlink ref="BA2126" location="'CM Rec Par.'!BA2108" display="'CM Rec Par.'!BA2108" xr:uid="{25198FE5-27E1-460E-BAB1-00CF0CA43988}"/>
    <hyperlink ref="BA2127" location="'CM Rec Par.'!BA2208" display="'CM Rec Par.'!BA2208" xr:uid="{E081AC30-DD51-463E-8582-28CADFBF0DED}"/>
    <hyperlink ref="BA2128" location="'CM Rec Par.'!BA2308" display="'CM Rec Par.'!BA2308" xr:uid="{984F15FF-F853-4E4A-A5E1-DC0154372014}"/>
    <hyperlink ref="BA2129" location="'CM Rec Par.'!BA2408" display="'CM Rec Par.'!BA2408" xr:uid="{805A9911-2A91-4D63-BB26-E7D5D74245C8}"/>
    <hyperlink ref="BA2130" location="'CM Rec Par.'!BA2508" display="'CM Rec Par.'!BA2508" xr:uid="{811F5F06-7243-4CC0-99E1-D2FE1521F401}"/>
    <hyperlink ref="BA2131" location="'CM Rec Par.'!BA2608" display="'CM Rec Par.'!BA2608" xr:uid="{67F66D82-7CBC-438F-9D1E-373172593EB6}"/>
    <hyperlink ref="BA2132" location="'CM Rec Par.'!BA2708" display="'CM Rec Par.'!BA2708" xr:uid="{A97F1BDA-06D9-4E97-B327-FD91D4E44E3F}"/>
    <hyperlink ref="BA2133" location="'CM Rec Par.'!BA2808" display="'CM Rec Par.'!BA2808" xr:uid="{C4CCAABA-15E0-4AFA-B742-1402F692568B}"/>
    <hyperlink ref="BA2134" location="'CM Rec Par.'!BA2908" display="'CM Rec Par.'!BA2908" xr:uid="{5B5FA967-A053-46B6-A541-1D9A5D499CA8}"/>
    <hyperlink ref="BA2135" location="'CM Rec Par.'!BA3008" display="'CM Rec Par.'!BA3008" xr:uid="{8480BB65-83EF-4AE2-B8DE-AC1B611DE3B7}"/>
    <hyperlink ref="BA2136" location="'CM Rec Par.'!BA3108" display="'CM Rec Par.'!BA3108" xr:uid="{80C8FF9B-C468-400E-9276-CE914996D619}"/>
    <hyperlink ref="BA2137" location="'CM Rec Par.'!BA3208" display="'CM Rec Par.'!BA3208" xr:uid="{E39244EF-8BB5-4446-9E8E-C4EAD4906E34}"/>
    <hyperlink ref="BA2138" location="'CM Rec Par.'!BA3308" display="'CM Rec Par.'!BA3308" xr:uid="{080BF2BE-E449-4067-B50F-1144A77F1A30}"/>
    <hyperlink ref="BA2139" location="'CM Rec Par.'!BA3408" display="'CM Rec Par.'!BA3408" xr:uid="{980AAF8E-829D-4BFC-9F4A-C13EEFF8E97E}"/>
    <hyperlink ref="BA2108" location="'CM Rec Par.'!BA6" display="Top" xr:uid="{7BBBD409-CA6C-45A4-8806-2BF2DED9D373}"/>
    <hyperlink ref="BA2210" location="'CM Rec Par.'!BA508" display="'CM Rec Par.'!BA508" xr:uid="{DF561557-4CFB-4364-8D6A-746972AF0492}"/>
    <hyperlink ref="BA2209" location="'CM Rec Par.'!BA50" display="Process" xr:uid="{AE0A8B52-E7E5-44C2-BF81-9DE502E079BE}"/>
    <hyperlink ref="BA2211" location="'CM Rec Par.'!BA608" display="'CM Rec Par.'!BA608" xr:uid="{10D24805-0AD0-4F41-9739-49DD6A8F9F62}"/>
    <hyperlink ref="BA2212" location="'CM Rec Par.'!BA708" display="'CM Rec Par.'!BA708" xr:uid="{2DA34D23-8BDF-49BE-A62C-81C73492A465}"/>
    <hyperlink ref="BA2213" location="'CM Rec Par.'!BA808" display="'CM Rec Par.'!BA808" xr:uid="{0C3A7B3D-9E9B-41BA-8FB5-57D1C2E32A56}"/>
    <hyperlink ref="BA2214" location="'CM Rec Par.'!BA908" display="'CM Rec Par.'!BA908" xr:uid="{ABDA24DB-BB61-44F8-824B-52E850801CD0}"/>
    <hyperlink ref="BA2215" location="'CM Rec Par.'!BA1008" display="'CM Rec Par.'!BA1008" xr:uid="{A94CF38B-CB82-49EF-8BD3-8CC7C0E87F90}"/>
    <hyperlink ref="BA2216" location="'CM Rec Par.'!BA1108" display="'CM Rec Par.'!BA1108" xr:uid="{02855A41-1F77-4EC2-AE7F-CB128C3026F5}"/>
    <hyperlink ref="BA2217" location="'CM Rec Par.'!BA1208" display="'CM Rec Par.'!BA1208" xr:uid="{18A2D390-5F02-4253-B8AE-376FE00541F6}"/>
    <hyperlink ref="BA2218" location="'CM Rec Par.'!BA1308" display="'CM Rec Par.'!BA1308" xr:uid="{F6E4E31A-22E7-4845-963E-1B302FC6C783}"/>
    <hyperlink ref="BA2219" location="'CM Rec Par.'!BA1408" display="'CM Rec Par.'!BA1408" xr:uid="{97B22007-E60A-4381-94D1-B6363C82D05A}"/>
    <hyperlink ref="BA2220" location="'CM Rec Par.'!BA1508" display="'CM Rec Par.'!BA1508" xr:uid="{B27FF446-3149-4B37-937A-4EEE29DDA2BC}"/>
    <hyperlink ref="BA2221" location="'CM Rec Par.'!BA1608" display="'CM Rec Par.'!BA1608" xr:uid="{91DDCA70-1193-48FC-9690-B0C41B643CAD}"/>
    <hyperlink ref="BA2222" location="'CM Rec Par.'!BA1708" display="'CM Rec Par.'!BA1708" xr:uid="{D80CF80B-B325-4341-95F5-5E077B0E069F}"/>
    <hyperlink ref="BA2223" location="'CM Rec Par.'!BA1808" display="'CM Rec Par.'!BA1808" xr:uid="{C3824D7E-A4A2-438E-87FF-87994306635C}"/>
    <hyperlink ref="BA2224" location="'CM Rec Par.'!BA1908" display="'CM Rec Par.'!BA1908" xr:uid="{76BF537C-C20B-436F-959B-0288739973FE}"/>
    <hyperlink ref="BA2225" location="'CM Rec Par.'!BA2008" display="'CM Rec Par.'!BA2008" xr:uid="{38D43F5F-5B20-417B-AA2D-306FEC0059A7}"/>
    <hyperlink ref="BA2226" location="'CM Rec Par.'!BA2108" display="'CM Rec Par.'!BA2108" xr:uid="{45B880D1-6615-457B-9DC4-1267F251C8E9}"/>
    <hyperlink ref="BA2227" location="'CM Rec Par.'!BA2208" display="'CM Rec Par.'!BA2208" xr:uid="{B3FFEFD5-A6D7-4F02-A887-79185A16FC86}"/>
    <hyperlink ref="BA2228" location="'CM Rec Par.'!BA2308" display="'CM Rec Par.'!BA2308" xr:uid="{20FA9F33-2C08-43A2-B8FA-87A1C751B9E1}"/>
    <hyperlink ref="BA2229" location="'CM Rec Par.'!BA2408" display="'CM Rec Par.'!BA2408" xr:uid="{FF907861-835E-4CA3-87B8-7E1925F878DA}"/>
    <hyperlink ref="BA2230" location="'CM Rec Par.'!BA2508" display="'CM Rec Par.'!BA2508" xr:uid="{58C6AD27-4E58-4BED-A627-1DE9E257C5BC}"/>
    <hyperlink ref="BA2231" location="'CM Rec Par.'!BA2608" display="'CM Rec Par.'!BA2608" xr:uid="{D86DA8F9-A982-4C6C-B48D-610F1D488D30}"/>
    <hyperlink ref="BA2232" location="'CM Rec Par.'!BA2708" display="'CM Rec Par.'!BA2708" xr:uid="{898C80F1-DCD2-4990-8488-2DCD21A67F89}"/>
    <hyperlink ref="BA2233" location="'CM Rec Par.'!BA2808" display="'CM Rec Par.'!BA2808" xr:uid="{8CC4EB93-53AE-4BF2-A0A4-431157EAE8E6}"/>
    <hyperlink ref="BA2234" location="'CM Rec Par.'!BA2908" display="'CM Rec Par.'!BA2908" xr:uid="{2A5F9D2F-FC51-46FD-A160-D346909EA124}"/>
    <hyperlink ref="BA2235" location="'CM Rec Par.'!BA3008" display="'CM Rec Par.'!BA3008" xr:uid="{ACE5B0AD-FB8E-4A36-98F3-92E48197E2E8}"/>
    <hyperlink ref="BA2236" location="'CM Rec Par.'!BA3108" display="'CM Rec Par.'!BA3108" xr:uid="{115B5FA8-1BC0-4651-A7FA-FE5EF5FEAB80}"/>
    <hyperlink ref="BA2237" location="'CM Rec Par.'!BA3208" display="'CM Rec Par.'!BA3208" xr:uid="{A62AFA80-BF48-4FBF-B97A-10231A4B721C}"/>
    <hyperlink ref="BA2238" location="'CM Rec Par.'!BA3308" display="'CM Rec Par.'!BA3308" xr:uid="{837FE995-22DD-4F97-867C-9E85465232EE}"/>
    <hyperlink ref="BA2239" location="'CM Rec Par.'!BA3408" display="'CM Rec Par.'!BA3408" xr:uid="{8A7F0375-904B-43F6-82BB-2F3CBF9481D8}"/>
    <hyperlink ref="BA2208" location="'CM Rec Par.'!BA6" display="Top" xr:uid="{DB1B57D3-AAD8-42FC-A498-7F458B644169}"/>
    <hyperlink ref="BA2310" location="'CM Rec Par.'!BA508" display="'CM Rec Par.'!BA508" xr:uid="{84F94CBB-07D1-47E3-9B47-F76E3831AF51}"/>
    <hyperlink ref="BA2309" location="'CM Rec Par.'!BA50" display="Process" xr:uid="{8C66ED00-AF6B-4900-8924-9762657D37A9}"/>
    <hyperlink ref="BA2311" location="'CM Rec Par.'!BA608" display="'CM Rec Par.'!BA608" xr:uid="{237C6727-329A-4B86-98E6-0EC74237A4B2}"/>
    <hyperlink ref="BA2312" location="'CM Rec Par.'!BA708" display="'CM Rec Par.'!BA708" xr:uid="{9DA67F21-555E-4D98-86A2-2D231DA31601}"/>
    <hyperlink ref="BA2313" location="'CM Rec Par.'!BA808" display="'CM Rec Par.'!BA808" xr:uid="{6CA3FD95-B51C-4FF4-A28A-4B2ED1107864}"/>
    <hyperlink ref="BA2314" location="'CM Rec Par.'!BA908" display="'CM Rec Par.'!BA908" xr:uid="{683A430B-59C2-40AB-A9E4-8FEC9757481B}"/>
    <hyperlink ref="BA2315" location="'CM Rec Par.'!BA1008" display="'CM Rec Par.'!BA1008" xr:uid="{74A5C6AD-3822-420D-BE0F-24396165DBE4}"/>
    <hyperlink ref="BA2316" location="'CM Rec Par.'!BA1108" display="'CM Rec Par.'!BA1108" xr:uid="{09E1CEA1-93D5-4305-AEBF-238884FBB2A0}"/>
    <hyperlink ref="BA2317" location="'CM Rec Par.'!BA1208" display="'CM Rec Par.'!BA1208" xr:uid="{C8822337-F9A0-457B-AB56-28C27644B36A}"/>
    <hyperlink ref="BA2318" location="'CM Rec Par.'!BA1308" display="'CM Rec Par.'!BA1308" xr:uid="{A2743467-AE70-4597-8510-AD943E7B42B8}"/>
    <hyperlink ref="BA2319" location="'CM Rec Par.'!BA1408" display="'CM Rec Par.'!BA1408" xr:uid="{BD4AFEDB-CB84-4BF3-9DE5-259D11695F2B}"/>
    <hyperlink ref="BA2320" location="'CM Rec Par.'!BA1508" display="'CM Rec Par.'!BA1508" xr:uid="{5C13B681-F1A1-4653-8F42-98279F205BF3}"/>
    <hyperlink ref="BA2321" location="'CM Rec Par.'!BA1608" display="'CM Rec Par.'!BA1608" xr:uid="{DF3DECAA-695A-41D2-8D8F-AB85191C7414}"/>
    <hyperlink ref="BA2322" location="'CM Rec Par.'!BA1708" display="'CM Rec Par.'!BA1708" xr:uid="{AA8280E1-4DF1-41ED-969B-18450C673A00}"/>
    <hyperlink ref="BA2323" location="'CM Rec Par.'!BA1808" display="'CM Rec Par.'!BA1808" xr:uid="{41D7AAA3-2A80-469D-9D5E-E3DC724B7D51}"/>
    <hyperlink ref="BA2324" location="'CM Rec Par.'!BA1908" display="'CM Rec Par.'!BA1908" xr:uid="{3BD74A3B-82FD-4141-9D18-DFA0B7FF47C8}"/>
    <hyperlink ref="BA2325" location="'CM Rec Par.'!BA2008" display="'CM Rec Par.'!BA2008" xr:uid="{5AFBA877-ACC6-454E-966B-DD42F5463176}"/>
    <hyperlink ref="BA2326" location="'CM Rec Par.'!BA2108" display="'CM Rec Par.'!BA2108" xr:uid="{B4BBE1AD-F59F-41DC-B69B-6989377C5B02}"/>
    <hyperlink ref="BA2327" location="'CM Rec Par.'!BA2208" display="'CM Rec Par.'!BA2208" xr:uid="{899FB7F6-47F0-4D6C-B378-43C87C74525B}"/>
    <hyperlink ref="BA2328" location="'CM Rec Par.'!BA2308" display="'CM Rec Par.'!BA2308" xr:uid="{02A894ED-12A6-48BF-93FC-8308B0EDE414}"/>
    <hyperlink ref="BA2329" location="'CM Rec Par.'!BA2408" display="'CM Rec Par.'!BA2408" xr:uid="{46DD496C-0E25-410F-AFC9-2AAFD77614DC}"/>
    <hyperlink ref="BA2330" location="'CM Rec Par.'!BA2508" display="'CM Rec Par.'!BA2508" xr:uid="{0C878EB0-2E67-4A19-84EB-888E2C954225}"/>
    <hyperlink ref="BA2331" location="'CM Rec Par.'!BA2608" display="'CM Rec Par.'!BA2608" xr:uid="{270F77B2-1933-4CFC-9C21-B86D420052D9}"/>
    <hyperlink ref="BA2332" location="'CM Rec Par.'!BA2708" display="'CM Rec Par.'!BA2708" xr:uid="{269184E8-0ABE-4912-AA67-7668493E4C5B}"/>
    <hyperlink ref="BA2333" location="'CM Rec Par.'!BA2808" display="'CM Rec Par.'!BA2808" xr:uid="{2999EBBB-5339-48F7-B032-2824CBA40D67}"/>
    <hyperlink ref="BA2334" location="'CM Rec Par.'!BA2908" display="'CM Rec Par.'!BA2908" xr:uid="{D87D83B4-A3A6-4E54-8B5B-AB571559EBCD}"/>
    <hyperlink ref="BA2335" location="'CM Rec Par.'!BA3008" display="'CM Rec Par.'!BA3008" xr:uid="{07A76994-327E-495E-94BF-341FB2041B61}"/>
    <hyperlink ref="BA2336" location="'CM Rec Par.'!BA3108" display="'CM Rec Par.'!BA3108" xr:uid="{37E594FF-5797-40EE-A9A6-E1B9E04CE4D1}"/>
    <hyperlink ref="BA2337" location="'CM Rec Par.'!BA3208" display="'CM Rec Par.'!BA3208" xr:uid="{F8807C84-D9F0-4E02-9C7F-759889ADAD6E}"/>
    <hyperlink ref="BA2338" location="'CM Rec Par.'!BA3308" display="'CM Rec Par.'!BA3308" xr:uid="{7EEE2B4E-773B-49C1-860E-8D2F9E0953C3}"/>
    <hyperlink ref="BA2339" location="'CM Rec Par.'!BA3408" display="'CM Rec Par.'!BA3408" xr:uid="{B7F73098-E86D-4FD8-BCBF-8D6938180959}"/>
    <hyperlink ref="BA2308" location="'CM Rec Par.'!BA6" display="Top" xr:uid="{599A2E85-F39A-43E4-864B-672A155829D2}"/>
    <hyperlink ref="BA2410" location="'CM Rec Par.'!BA508" display="'CM Rec Par.'!BA508" xr:uid="{68302469-488E-4E8A-9525-31D4370D4476}"/>
    <hyperlink ref="BA2409" location="'CM Rec Par.'!BA50" display="Process" xr:uid="{800027C2-1374-49D1-AE21-49B658328DC3}"/>
    <hyperlink ref="BA2411" location="'CM Rec Par.'!BA608" display="'CM Rec Par.'!BA608" xr:uid="{C0C90697-59A2-48E8-A770-D21446C04B61}"/>
    <hyperlink ref="BA2412" location="'CM Rec Par.'!BA708" display="'CM Rec Par.'!BA708" xr:uid="{DBC0BE6E-31A6-4018-A65E-0515D3FA954C}"/>
    <hyperlink ref="BA2413" location="'CM Rec Par.'!BA808" display="'CM Rec Par.'!BA808" xr:uid="{CD875402-66A5-4185-8565-BCFCEB72DEDB}"/>
    <hyperlink ref="BA2414" location="'CM Rec Par.'!BA908" display="'CM Rec Par.'!BA908" xr:uid="{020B22C5-0929-453F-A300-D139AE98A0E1}"/>
    <hyperlink ref="BA2415" location="'CM Rec Par.'!BA1008" display="'CM Rec Par.'!BA1008" xr:uid="{EE95B7CD-C308-409E-8275-1108B7B7633B}"/>
    <hyperlink ref="BA2416" location="'CM Rec Par.'!BA1108" display="'CM Rec Par.'!BA1108" xr:uid="{1D67FB2D-D98E-42FB-A9BB-98D82369A1CA}"/>
    <hyperlink ref="BA2417" location="'CM Rec Par.'!BA1208" display="'CM Rec Par.'!BA1208" xr:uid="{F23AD574-CCE5-4A3E-9159-4D0F8D8F8821}"/>
    <hyperlink ref="BA2418" location="'CM Rec Par.'!BA1308" display="'CM Rec Par.'!BA1308" xr:uid="{2BFC51D1-4E0C-4BAC-B789-3D12F3DFA603}"/>
    <hyperlink ref="BA2419" location="'CM Rec Par.'!BA1408" display="'CM Rec Par.'!BA1408" xr:uid="{3F4A9A2F-8C93-4D18-A8A9-2856FCBC8EAE}"/>
    <hyperlink ref="BA2420" location="'CM Rec Par.'!BA1508" display="'CM Rec Par.'!BA1508" xr:uid="{5B9134F8-CC07-43CE-B13B-CA97775D4D1A}"/>
    <hyperlink ref="BA2421" location="'CM Rec Par.'!BA1608" display="'CM Rec Par.'!BA1608" xr:uid="{E7D70BB4-7E9C-4858-A7AB-A2D66668800A}"/>
    <hyperlink ref="BA2422" location="'CM Rec Par.'!BA1708" display="'CM Rec Par.'!BA1708" xr:uid="{E63BEFD7-C388-4FB4-84ED-ABD59FF6E481}"/>
    <hyperlink ref="BA2423" location="'CM Rec Par.'!BA1808" display="'CM Rec Par.'!BA1808" xr:uid="{3D76BC5B-ECA7-4149-9DE2-ECC9B3C78DAC}"/>
    <hyperlink ref="BA2424" location="'CM Rec Par.'!BA1908" display="'CM Rec Par.'!BA1908" xr:uid="{9415DAC8-7490-424C-935C-BA715FE5D3FD}"/>
    <hyperlink ref="BA2425" location="'CM Rec Par.'!BA2008" display="'CM Rec Par.'!BA2008" xr:uid="{7EDCE1D8-83D1-4185-9C30-C4C64005D4D8}"/>
    <hyperlink ref="BA2426" location="'CM Rec Par.'!BA2108" display="'CM Rec Par.'!BA2108" xr:uid="{10433E07-34B9-463E-A0A2-A7DBA3BDCF7F}"/>
    <hyperlink ref="BA2427" location="'CM Rec Par.'!BA2208" display="'CM Rec Par.'!BA2208" xr:uid="{F6C0E948-61F5-4E93-9F91-906F8B53FB3A}"/>
    <hyperlink ref="BA2428" location="'CM Rec Par.'!BA2308" display="'CM Rec Par.'!BA2308" xr:uid="{9A01B848-1BD1-42FF-9256-2AFA4AECE649}"/>
    <hyperlink ref="BA2429" location="'CM Rec Par.'!BA2408" display="'CM Rec Par.'!BA2408" xr:uid="{56566AEE-C7B4-4FB4-A98B-B484DF9FBCBA}"/>
    <hyperlink ref="BA2430" location="'CM Rec Par.'!BA2508" display="'CM Rec Par.'!BA2508" xr:uid="{5C388510-B2B1-4127-AB02-392CDA1ABF3B}"/>
    <hyperlink ref="BA2431" location="'CM Rec Par.'!BA2608" display="'CM Rec Par.'!BA2608" xr:uid="{1F4F7E46-6E73-4B18-82F3-9FEF925D8C8F}"/>
    <hyperlink ref="BA2432" location="'CM Rec Par.'!BA2708" display="'CM Rec Par.'!BA2708" xr:uid="{7416E21F-BB9D-4043-B18D-1A50A0D03368}"/>
    <hyperlink ref="BA2433" location="'CM Rec Par.'!BA2808" display="'CM Rec Par.'!BA2808" xr:uid="{6DE9CFC4-F657-44DC-B66F-1DAB47BD1D64}"/>
    <hyperlink ref="BA2434" location="'CM Rec Par.'!BA2908" display="'CM Rec Par.'!BA2908" xr:uid="{2960FCF6-1AAD-4019-A7F2-93EA806CC720}"/>
    <hyperlink ref="BA2435" location="'CM Rec Par.'!BA3008" display="'CM Rec Par.'!BA3008" xr:uid="{E66E08EE-FF23-45A9-A215-0A5E01FCA7AC}"/>
    <hyperlink ref="BA2436" location="'CM Rec Par.'!BA3108" display="'CM Rec Par.'!BA3108" xr:uid="{03AF3368-6092-4F84-AA4D-272C0C1F87DA}"/>
    <hyperlink ref="BA2437" location="'CM Rec Par.'!BA3208" display="'CM Rec Par.'!BA3208" xr:uid="{D300C04F-A0AB-49BD-B1FB-04091B3C4724}"/>
    <hyperlink ref="BA2438" location="'CM Rec Par.'!BA3308" display="'CM Rec Par.'!BA3308" xr:uid="{428BB54C-4B8A-4244-9117-603B4D2042A5}"/>
    <hyperlink ref="BA2439" location="'CM Rec Par.'!BA3408" display="'CM Rec Par.'!BA3408" xr:uid="{9E8268F5-2FCF-41BC-898D-68C16E9474AE}"/>
    <hyperlink ref="BA2408" location="'CM Rec Par.'!BA6" display="Top" xr:uid="{532FAA0F-DBF3-49A8-B121-A21AE647226D}"/>
    <hyperlink ref="BA2510" location="'CM Rec Par.'!BA508" display="'CM Rec Par.'!BA508" xr:uid="{6316EE01-72A2-4C64-A182-485DB6041E67}"/>
    <hyperlink ref="BA2509" location="'CM Rec Par.'!BA50" display="Process" xr:uid="{43807AE1-0882-4A2F-96EF-E42CCFC71A97}"/>
    <hyperlink ref="BA2511" location="'CM Rec Par.'!BA608" display="'CM Rec Par.'!BA608" xr:uid="{4F0BA674-56B1-4C57-A649-1C8BB1A3B2A5}"/>
    <hyperlink ref="BA2512" location="'CM Rec Par.'!BA708" display="'CM Rec Par.'!BA708" xr:uid="{AFDC8F33-85F9-40E9-8641-16DD75192B53}"/>
    <hyperlink ref="BA2513" location="'CM Rec Par.'!BA808" display="'CM Rec Par.'!BA808" xr:uid="{9B3E622F-DD44-4F21-AC87-2EC140B66D45}"/>
    <hyperlink ref="BA2514" location="'CM Rec Par.'!BA908" display="'CM Rec Par.'!BA908" xr:uid="{754EF887-667E-48D7-884C-3D354CF7AC45}"/>
    <hyperlink ref="BA2515" location="'CM Rec Par.'!BA1008" display="'CM Rec Par.'!BA1008" xr:uid="{16C99A30-DD15-4889-88A0-D8024F6C3493}"/>
    <hyperlink ref="BA2516" location="'CM Rec Par.'!BA1108" display="'CM Rec Par.'!BA1108" xr:uid="{ACAEDAB6-434F-41CC-913B-39C372C51CFE}"/>
    <hyperlink ref="BA2517" location="'CM Rec Par.'!BA1208" display="'CM Rec Par.'!BA1208" xr:uid="{CD60654E-A1CB-431B-87F4-9BE469887537}"/>
    <hyperlink ref="BA2518" location="'CM Rec Par.'!BA1308" display="'CM Rec Par.'!BA1308" xr:uid="{A159DB8C-5BA5-41C9-964E-AA596BF2A199}"/>
    <hyperlink ref="BA2519" location="'CM Rec Par.'!BA1408" display="'CM Rec Par.'!BA1408" xr:uid="{DD1E0B1E-347F-49F8-A8E7-08EFAF934AE7}"/>
    <hyperlink ref="BA2520" location="'CM Rec Par.'!BA1508" display="'CM Rec Par.'!BA1508" xr:uid="{9DECF8ED-7D84-4A7C-A14F-DEB837113BB9}"/>
    <hyperlink ref="BA2521" location="'CM Rec Par.'!BA1608" display="'CM Rec Par.'!BA1608" xr:uid="{31DA9F8B-649E-425C-9140-B3A8BE183BE5}"/>
    <hyperlink ref="BA2522" location="'CM Rec Par.'!BA1708" display="'CM Rec Par.'!BA1708" xr:uid="{949EDD85-82A9-4C2F-B225-64BEC8B4C52A}"/>
    <hyperlink ref="BA2523" location="'CM Rec Par.'!BA1808" display="'CM Rec Par.'!BA1808" xr:uid="{CEE904B4-D454-4538-AB49-7FF5A37B1B54}"/>
    <hyperlink ref="BA2524" location="'CM Rec Par.'!BA1908" display="'CM Rec Par.'!BA1908" xr:uid="{9A1C4AD5-4382-45F2-8E8D-7A97B3795DC4}"/>
    <hyperlink ref="BA2525" location="'CM Rec Par.'!BA2008" display="'CM Rec Par.'!BA2008" xr:uid="{74AA934A-66A7-4C29-960A-136C9A55EF6D}"/>
    <hyperlink ref="BA2526" location="'CM Rec Par.'!BA2108" display="'CM Rec Par.'!BA2108" xr:uid="{7D1C06F0-F2C9-4289-AE30-1C057D77147D}"/>
    <hyperlink ref="BA2527" location="'CM Rec Par.'!BA2208" display="'CM Rec Par.'!BA2208" xr:uid="{2FBF2C90-014E-457D-AAC2-483FB0539976}"/>
    <hyperlink ref="BA2528" location="'CM Rec Par.'!BA2308" display="'CM Rec Par.'!BA2308" xr:uid="{7610CD21-664E-4DC1-811A-B429D43FA2D6}"/>
    <hyperlink ref="BA2529" location="'CM Rec Par.'!BA2408" display="'CM Rec Par.'!BA2408" xr:uid="{E7B7BCD1-0883-4AEF-9D1B-973AB5943BAE}"/>
    <hyperlink ref="BA2530" location="'CM Rec Par.'!BA2508" display="'CM Rec Par.'!BA2508" xr:uid="{A91B38C8-BAEE-4D6F-8656-D4D05BBD2137}"/>
    <hyperlink ref="BA2531" location="'CM Rec Par.'!BA2608" display="'CM Rec Par.'!BA2608" xr:uid="{6A3226A6-D9D2-426D-8958-4A5986983ECE}"/>
    <hyperlink ref="BA2532" location="'CM Rec Par.'!BA2708" display="'CM Rec Par.'!BA2708" xr:uid="{831E38DC-55E6-4022-BEE5-D7E9C29492C2}"/>
    <hyperlink ref="BA2533" location="'CM Rec Par.'!BA2808" display="'CM Rec Par.'!BA2808" xr:uid="{68E8B820-2DAB-466F-B581-718F17F921A5}"/>
    <hyperlink ref="BA2534" location="'CM Rec Par.'!BA2908" display="'CM Rec Par.'!BA2908" xr:uid="{0BF0C8DC-96B3-486A-BF1D-7EBCF5C8C752}"/>
    <hyperlink ref="BA2535" location="'CM Rec Par.'!BA3008" display="'CM Rec Par.'!BA3008" xr:uid="{0FAA1730-D106-4371-83C6-2A26026691F1}"/>
    <hyperlink ref="BA2536" location="'CM Rec Par.'!BA3108" display="'CM Rec Par.'!BA3108" xr:uid="{58FD4C0B-3C31-40C9-8668-E8EB846197D1}"/>
    <hyperlink ref="BA2537" location="'CM Rec Par.'!BA3208" display="'CM Rec Par.'!BA3208" xr:uid="{ABA8B336-D11F-4196-91CD-CEF5DE4274A1}"/>
    <hyperlink ref="BA2538" location="'CM Rec Par.'!BA3308" display="'CM Rec Par.'!BA3308" xr:uid="{D05AD73A-2FC7-4DAD-8278-912025369BD3}"/>
    <hyperlink ref="BA2539" location="'CM Rec Par.'!BA3408" display="'CM Rec Par.'!BA3408" xr:uid="{A99D85C1-9884-4128-A4D6-C278C6D5E049}"/>
    <hyperlink ref="BA2508" location="'CM Rec Par.'!BA6" display="Top" xr:uid="{EF8EDC70-7640-4724-8F91-DD052A6CC2E8}"/>
    <hyperlink ref="BA2610" location="'CM Rec Par.'!BA508" display="'CM Rec Par.'!BA508" xr:uid="{007B7315-B8BE-4C2C-8DE5-C9A246A1937E}"/>
    <hyperlink ref="BA2609" location="'CM Rec Par.'!BA50" display="Process" xr:uid="{FC646587-1824-4BB9-B7E2-8494B2F3FC45}"/>
    <hyperlink ref="BA2611" location="'CM Rec Par.'!BA608" display="'CM Rec Par.'!BA608" xr:uid="{D4638951-2297-4930-8EFD-E2370AABF430}"/>
    <hyperlink ref="BA2612" location="'CM Rec Par.'!BA708" display="'CM Rec Par.'!BA708" xr:uid="{8FB2EEEF-498E-4716-8487-73EE2A4B0456}"/>
    <hyperlink ref="BA2613" location="'CM Rec Par.'!BA808" display="'CM Rec Par.'!BA808" xr:uid="{9E658A4E-CA6C-4531-AF7A-27EFD2A38C8E}"/>
    <hyperlink ref="BA2614" location="'CM Rec Par.'!BA908" display="'CM Rec Par.'!BA908" xr:uid="{2275D0A8-CE9E-4CA3-AD4E-A6CDE8322A57}"/>
    <hyperlink ref="BA2615" location="'CM Rec Par.'!BA1008" display="'CM Rec Par.'!BA1008" xr:uid="{844B7FC8-1EA3-4724-BA2F-7B781DF20295}"/>
    <hyperlink ref="BA2616" location="'CM Rec Par.'!BA1108" display="'CM Rec Par.'!BA1108" xr:uid="{C7FCC15B-54FC-4395-8820-079C43317964}"/>
    <hyperlink ref="BA2617" location="'CM Rec Par.'!BA1208" display="'CM Rec Par.'!BA1208" xr:uid="{D5CEDA54-4487-4D7C-99D1-57BCD2F78DB0}"/>
    <hyperlink ref="BA2618" location="'CM Rec Par.'!BA1308" display="'CM Rec Par.'!BA1308" xr:uid="{911865EB-8E95-43A1-A1C5-663FF6D4FA5A}"/>
    <hyperlink ref="BA2619" location="'CM Rec Par.'!BA1408" display="'CM Rec Par.'!BA1408" xr:uid="{3CBD22D4-42D0-4D2D-928B-881AD64DE031}"/>
    <hyperlink ref="BA2620" location="'CM Rec Par.'!BA1508" display="'CM Rec Par.'!BA1508" xr:uid="{84BEA1B5-B28F-4FF0-BE25-A04A89F5926C}"/>
    <hyperlink ref="BA2621" location="'CM Rec Par.'!BA1608" display="'CM Rec Par.'!BA1608" xr:uid="{F2BD5CF5-057D-4B78-97D2-D834B299BA51}"/>
    <hyperlink ref="BA2622" location="'CM Rec Par.'!BA1708" display="'CM Rec Par.'!BA1708" xr:uid="{A8414F51-EB8A-45E7-9324-E56830BB1B64}"/>
    <hyperlink ref="BA2623" location="'CM Rec Par.'!BA1808" display="'CM Rec Par.'!BA1808" xr:uid="{3783BCE1-ADB4-4FB0-A964-5FCE2CFDF824}"/>
    <hyperlink ref="BA2624" location="'CM Rec Par.'!BA1908" display="'CM Rec Par.'!BA1908" xr:uid="{9923FD5E-9930-4454-8A5A-B2EF90152CF9}"/>
    <hyperlink ref="BA2625" location="'CM Rec Par.'!BA2008" display="'CM Rec Par.'!BA2008" xr:uid="{E52B3555-0E76-4C4A-8544-36719D04CC5E}"/>
    <hyperlink ref="BA2626" location="'CM Rec Par.'!BA2108" display="'CM Rec Par.'!BA2108" xr:uid="{EF48A2BF-D1D1-439D-A004-9513FDCBA880}"/>
    <hyperlink ref="BA2627" location="'CM Rec Par.'!BA2208" display="'CM Rec Par.'!BA2208" xr:uid="{FF3A5ECC-BFE9-4DF2-AC4A-49C499F1F62B}"/>
    <hyperlink ref="BA2628" location="'CM Rec Par.'!BA2308" display="'CM Rec Par.'!BA2308" xr:uid="{94948F28-7BA7-44C5-9580-68B0B3950EBB}"/>
    <hyperlink ref="BA2629" location="'CM Rec Par.'!BA2408" display="'CM Rec Par.'!BA2408" xr:uid="{89902F42-51F6-49DA-96E2-43B705CCD53D}"/>
    <hyperlink ref="BA2630" location="'CM Rec Par.'!BA2508" display="'CM Rec Par.'!BA2508" xr:uid="{16B5BCE8-14B1-402E-9D65-7806F0BDC15E}"/>
    <hyperlink ref="BA2631" location="'CM Rec Par.'!BA2608" display="'CM Rec Par.'!BA2608" xr:uid="{3DF2F3C3-09A3-4BE2-B5DF-44130D8B4808}"/>
    <hyperlink ref="BA2632" location="'CM Rec Par.'!BA2708" display="'CM Rec Par.'!BA2708" xr:uid="{7A441023-1551-4DF6-B729-DD9BD627F197}"/>
    <hyperlink ref="BA2633" location="'CM Rec Par.'!BA2808" display="'CM Rec Par.'!BA2808" xr:uid="{4557E8B7-7896-4289-9F55-5AFCC8B549A9}"/>
    <hyperlink ref="BA2634" location="'CM Rec Par.'!BA2908" display="'CM Rec Par.'!BA2908" xr:uid="{D219A376-71B0-4D36-9B11-92A01046C611}"/>
    <hyperlink ref="BA2635" location="'CM Rec Par.'!BA3008" display="'CM Rec Par.'!BA3008" xr:uid="{0DD7483E-3974-4F80-AC36-E3F63FF68CB1}"/>
    <hyperlink ref="BA2636" location="'CM Rec Par.'!BA3108" display="'CM Rec Par.'!BA3108" xr:uid="{FC5D12DB-57FD-4653-8000-B337E8B62CBE}"/>
    <hyperlink ref="BA2637" location="'CM Rec Par.'!BA3208" display="'CM Rec Par.'!BA3208" xr:uid="{1D14C0F2-7C47-4BBB-8379-AFEFCC5447F1}"/>
    <hyperlink ref="BA2638" location="'CM Rec Par.'!BA3308" display="'CM Rec Par.'!BA3308" xr:uid="{818109AC-F981-4A2D-80DA-5607C9859E6B}"/>
    <hyperlink ref="BA2639" location="'CM Rec Par.'!BA3408" display="'CM Rec Par.'!BA3408" xr:uid="{A1638255-67C8-4F57-A8E9-8F6451762A05}"/>
    <hyperlink ref="BA2608" location="'CM Rec Par.'!BA6" display="Top" xr:uid="{9FAD8B85-7EDD-4A59-AFAA-29555C549793}"/>
    <hyperlink ref="BA2710" location="'CM Rec Par.'!BA508" display="'CM Rec Par.'!BA508" xr:uid="{88B6C8FA-3005-454E-8A37-D00FE9185779}"/>
    <hyperlink ref="BA2709" location="'CM Rec Par.'!BA50" display="Process" xr:uid="{2B9CAF12-E861-40E3-B832-FF1EE9190B81}"/>
    <hyperlink ref="BA2711" location="'CM Rec Par.'!BA608" display="'CM Rec Par.'!BA608" xr:uid="{127C5036-6E64-453C-AC4C-787D5675F3D2}"/>
    <hyperlink ref="BA2712" location="'CM Rec Par.'!BA708" display="'CM Rec Par.'!BA708" xr:uid="{4CF0702D-B75F-465C-8384-72BA058B50AF}"/>
    <hyperlink ref="BA2713" location="'CM Rec Par.'!BA808" display="'CM Rec Par.'!BA808" xr:uid="{E2CBA001-F4CF-4ABE-9F57-EE2564C653AA}"/>
    <hyperlink ref="BA2714" location="'CM Rec Par.'!BA908" display="'CM Rec Par.'!BA908" xr:uid="{75AEA2B6-07C3-44AE-A831-008F8AB9BD7E}"/>
    <hyperlink ref="BA2715" location="'CM Rec Par.'!BA1008" display="'CM Rec Par.'!BA1008" xr:uid="{DC78692E-7FED-4D53-B3C0-845AF1D3A92A}"/>
    <hyperlink ref="BA2716" location="'CM Rec Par.'!BA1108" display="'CM Rec Par.'!BA1108" xr:uid="{C6F7BC82-8DCA-4064-BE4E-9A7CE8E2BA7B}"/>
    <hyperlink ref="BA2717" location="'CM Rec Par.'!BA1208" display="'CM Rec Par.'!BA1208" xr:uid="{43DEEC2A-9767-4503-9E45-5483939B321A}"/>
    <hyperlink ref="BA2718" location="'CM Rec Par.'!BA1308" display="'CM Rec Par.'!BA1308" xr:uid="{F3645F72-8BBF-45E4-B0EC-6DDFE6AF9B76}"/>
    <hyperlink ref="BA2719" location="'CM Rec Par.'!BA1408" display="'CM Rec Par.'!BA1408" xr:uid="{99226D5B-2B4E-4EFC-952D-B4A30169BABA}"/>
    <hyperlink ref="BA2720" location="'CM Rec Par.'!BA1508" display="'CM Rec Par.'!BA1508" xr:uid="{F97BE0EF-D35A-414D-923B-B214A7448B5D}"/>
    <hyperlink ref="BA2721" location="'CM Rec Par.'!BA1608" display="'CM Rec Par.'!BA1608" xr:uid="{3BCED49D-EDFC-47DC-BFE1-25292B1DD5A6}"/>
    <hyperlink ref="BA2722" location="'CM Rec Par.'!BA1708" display="'CM Rec Par.'!BA1708" xr:uid="{D0BCC90E-4FAA-47C8-9CA9-790309447420}"/>
    <hyperlink ref="BA2723" location="'CM Rec Par.'!BA1808" display="'CM Rec Par.'!BA1808" xr:uid="{13ED6B99-D339-4C12-94E6-073E5D20EC28}"/>
    <hyperlink ref="BA2724" location="'CM Rec Par.'!BA1908" display="'CM Rec Par.'!BA1908" xr:uid="{67869B02-1574-459E-A7BD-29C6A1430DE8}"/>
    <hyperlink ref="BA2725" location="'CM Rec Par.'!BA2008" display="'CM Rec Par.'!BA2008" xr:uid="{39DF1E89-31AE-4901-8617-6F018FE055AA}"/>
    <hyperlink ref="BA2726" location="'CM Rec Par.'!BA2108" display="'CM Rec Par.'!BA2108" xr:uid="{63A49FE4-31EC-4B5D-9534-9AAD50E89780}"/>
    <hyperlink ref="BA2727" location="'CM Rec Par.'!BA2208" display="'CM Rec Par.'!BA2208" xr:uid="{B44BC317-55AA-4F4C-848A-154B19247B60}"/>
    <hyperlink ref="BA2728" location="'CM Rec Par.'!BA2308" display="'CM Rec Par.'!BA2308" xr:uid="{E0531A32-02E0-41E6-B8FD-CF3787DF6138}"/>
    <hyperlink ref="BA2729" location="'CM Rec Par.'!BA2408" display="'CM Rec Par.'!BA2408" xr:uid="{77883518-14AB-45E1-91F2-7B212C1DBB1D}"/>
    <hyperlink ref="BA2730" location="'CM Rec Par.'!BA2508" display="'CM Rec Par.'!BA2508" xr:uid="{DDA0B657-95D3-41DB-AE08-31BB70808379}"/>
    <hyperlink ref="BA2731" location="'CM Rec Par.'!BA2608" display="'CM Rec Par.'!BA2608" xr:uid="{6EF36EFF-64A0-4AF4-A795-E793DFCBC7FB}"/>
    <hyperlink ref="BA2732" location="'CM Rec Par.'!BA2708" display="'CM Rec Par.'!BA2708" xr:uid="{98FF2801-50AC-48D8-A7ED-4818C7CCDD2F}"/>
    <hyperlink ref="BA2733" location="'CM Rec Par.'!BA2808" display="'CM Rec Par.'!BA2808" xr:uid="{A8B04B05-1363-46B2-8191-242B0BE2A806}"/>
    <hyperlink ref="BA2734" location="'CM Rec Par.'!BA2908" display="'CM Rec Par.'!BA2908" xr:uid="{9637F08B-0312-44D2-AC1D-DED5D0DE1378}"/>
    <hyperlink ref="BA2735" location="'CM Rec Par.'!BA3008" display="'CM Rec Par.'!BA3008" xr:uid="{F55C047D-E1C2-4194-B7E6-4D746229BD9B}"/>
    <hyperlink ref="BA2736" location="'CM Rec Par.'!BA3108" display="'CM Rec Par.'!BA3108" xr:uid="{41385EA8-C941-4221-8625-902A5561C040}"/>
    <hyperlink ref="BA2737" location="'CM Rec Par.'!BA3208" display="'CM Rec Par.'!BA3208" xr:uid="{550545D1-3675-4724-88FE-C22AF8D0BAB2}"/>
    <hyperlink ref="BA2738" location="'CM Rec Par.'!BA3308" display="'CM Rec Par.'!BA3308" xr:uid="{59CDDD6A-7E7D-4450-A6CE-C8E917A73D90}"/>
    <hyperlink ref="BA2739" location="'CM Rec Par.'!BA3408" display="'CM Rec Par.'!BA3408" xr:uid="{D8781332-2457-4C3A-AC71-DAE5BB85EB6D}"/>
    <hyperlink ref="BA2708" location="'CM Rec Par.'!BA6" display="Top" xr:uid="{926B4769-624D-43ED-BD43-5377DC90648F}"/>
    <hyperlink ref="BA2810" location="'CM Rec Par.'!BA508" display="'CM Rec Par.'!BA508" xr:uid="{B14EFDB1-D653-4850-92D9-441D265BE543}"/>
    <hyperlink ref="BA2809" location="'CM Rec Par.'!BA50" display="Process" xr:uid="{7025B552-9D0C-4CF3-8CA3-5EFE70716471}"/>
    <hyperlink ref="BA2811" location="'CM Rec Par.'!BA608" display="'CM Rec Par.'!BA608" xr:uid="{EE180386-F49E-42FE-99C8-5505C74503EB}"/>
    <hyperlink ref="BA2812" location="'CM Rec Par.'!BA708" display="'CM Rec Par.'!BA708" xr:uid="{18CF65A3-044E-4B4B-ACB8-5EBBDF431E8C}"/>
    <hyperlink ref="BA2813" location="'CM Rec Par.'!BA808" display="'CM Rec Par.'!BA808" xr:uid="{A554A658-3DCE-42A8-87AB-4C0E04249E1B}"/>
    <hyperlink ref="BA2814" location="'CM Rec Par.'!BA908" display="'CM Rec Par.'!BA908" xr:uid="{55A3E592-F831-4AB8-8976-22B6F7F4E0D8}"/>
    <hyperlink ref="BA2815" location="'CM Rec Par.'!BA1008" display="'CM Rec Par.'!BA1008" xr:uid="{B1CA2068-4326-4928-A0E9-FC34EBE2F54A}"/>
    <hyperlink ref="BA2816" location="'CM Rec Par.'!BA1108" display="'CM Rec Par.'!BA1108" xr:uid="{E9CCD6A2-AE59-4822-86DE-6D0E67E3DE83}"/>
    <hyperlink ref="BA2817" location="'CM Rec Par.'!BA1208" display="'CM Rec Par.'!BA1208" xr:uid="{1FF7C314-758E-4584-94EF-7E08FE090A05}"/>
    <hyperlink ref="BA2818" location="'CM Rec Par.'!BA1308" display="'CM Rec Par.'!BA1308" xr:uid="{37022556-299A-4ECD-805F-8457C80225FA}"/>
    <hyperlink ref="BA2819" location="'CM Rec Par.'!BA1408" display="'CM Rec Par.'!BA1408" xr:uid="{0E9540FD-9368-4B11-B3AD-D7D245993FEF}"/>
    <hyperlink ref="BA2820" location="'CM Rec Par.'!BA1508" display="'CM Rec Par.'!BA1508" xr:uid="{10AC85EA-1804-4852-B83D-B4B18867B55E}"/>
    <hyperlink ref="BA2821" location="'CM Rec Par.'!BA1608" display="'CM Rec Par.'!BA1608" xr:uid="{AD9C6388-6DD7-4646-AD74-DCCAB914C1ED}"/>
    <hyperlink ref="BA2822" location="'CM Rec Par.'!BA1708" display="'CM Rec Par.'!BA1708" xr:uid="{0662D029-D31C-4D1D-96B2-2AA7CC75BA4E}"/>
    <hyperlink ref="BA2823" location="'CM Rec Par.'!BA1808" display="'CM Rec Par.'!BA1808" xr:uid="{95AFDE8C-A821-4FE6-9F46-A4416F52F7C6}"/>
    <hyperlink ref="BA2824" location="'CM Rec Par.'!BA1908" display="'CM Rec Par.'!BA1908" xr:uid="{8532E9E3-26B5-4EC8-9FF9-FB26D1243E5F}"/>
    <hyperlink ref="BA2825" location="'CM Rec Par.'!BA2008" display="'CM Rec Par.'!BA2008" xr:uid="{4C277248-6942-4C01-BCB7-DFF1E7EDC34F}"/>
    <hyperlink ref="BA2826" location="'CM Rec Par.'!BA2108" display="'CM Rec Par.'!BA2108" xr:uid="{D97C341F-E20A-4E03-80DD-8085C83CF65E}"/>
    <hyperlink ref="BA2827" location="'CM Rec Par.'!BA2208" display="'CM Rec Par.'!BA2208" xr:uid="{02204A17-8C59-4BBC-94BD-7FF5AF1E6E9C}"/>
    <hyperlink ref="BA2828" location="'CM Rec Par.'!BA2308" display="'CM Rec Par.'!BA2308" xr:uid="{FF5A69CB-92EA-42D7-BC87-F3B965125F1F}"/>
    <hyperlink ref="BA2829" location="'CM Rec Par.'!BA2408" display="'CM Rec Par.'!BA2408" xr:uid="{2A1FD0A4-A9E1-4EB1-AF12-663A7F053AC8}"/>
    <hyperlink ref="BA2830" location="'CM Rec Par.'!BA2508" display="'CM Rec Par.'!BA2508" xr:uid="{C7E4252F-4AB1-48EF-895C-064D74455187}"/>
    <hyperlink ref="BA2831" location="'CM Rec Par.'!BA2608" display="'CM Rec Par.'!BA2608" xr:uid="{3E4FFD89-A3E8-439D-9404-9FBA22E61396}"/>
    <hyperlink ref="BA2832" location="'CM Rec Par.'!BA2708" display="'CM Rec Par.'!BA2708" xr:uid="{DB6C7FDC-0B75-4880-ACBA-70C56CD1E36C}"/>
    <hyperlink ref="BA2833" location="'CM Rec Par.'!BA2808" display="'CM Rec Par.'!BA2808" xr:uid="{78250E52-BE0B-4059-BE8C-D026BA7E7D08}"/>
    <hyperlink ref="BA2834" location="'CM Rec Par.'!BA2908" display="'CM Rec Par.'!BA2908" xr:uid="{8E56A93C-DAFA-4647-B2B1-CF8578C98EC3}"/>
    <hyperlink ref="BA2835" location="'CM Rec Par.'!BA3008" display="'CM Rec Par.'!BA3008" xr:uid="{97380C97-A8FD-4A44-8793-74270CCBD4D1}"/>
    <hyperlink ref="BA2836" location="'CM Rec Par.'!BA3108" display="'CM Rec Par.'!BA3108" xr:uid="{5B466D4A-4820-4EE0-B656-B339FB89078A}"/>
    <hyperlink ref="BA2837" location="'CM Rec Par.'!BA3208" display="'CM Rec Par.'!BA3208" xr:uid="{85E24E56-CDC8-4622-BE84-0DCC4C136662}"/>
    <hyperlink ref="BA2838" location="'CM Rec Par.'!BA3308" display="'CM Rec Par.'!BA3308" xr:uid="{0002B323-620A-40A4-B881-48442C2D6398}"/>
    <hyperlink ref="BA2839" location="'CM Rec Par.'!BA3408" display="'CM Rec Par.'!BA3408" xr:uid="{D80C4A7A-5C22-4717-8CEE-D9555F4A4AB6}"/>
    <hyperlink ref="BA2808" location="'CM Rec Par.'!BA6" display="Top" xr:uid="{2E9ED13F-C7C0-41DC-9683-D7566D673481}"/>
    <hyperlink ref="BA2910" location="'CM Rec Par.'!BA508" display="'CM Rec Par.'!BA508" xr:uid="{5D1FC1A8-2281-4994-BEF9-292C1E60F320}"/>
    <hyperlink ref="BA2909" location="'CM Rec Par.'!BA50" display="Process" xr:uid="{728F399B-388C-4B36-97D3-F07D6B6C7883}"/>
    <hyperlink ref="BA2911" location="'CM Rec Par.'!BA608" display="'CM Rec Par.'!BA608" xr:uid="{829EE91A-6FAD-4032-917C-84C41FED72F1}"/>
    <hyperlink ref="BA2912" location="'CM Rec Par.'!BA708" display="'CM Rec Par.'!BA708" xr:uid="{89565051-770D-4897-A50C-EF9BE1826B0A}"/>
    <hyperlink ref="BA2913" location="'CM Rec Par.'!BA808" display="'CM Rec Par.'!BA808" xr:uid="{26E99268-C789-400E-B72C-00ADA509BDBE}"/>
    <hyperlink ref="BA2914" location="'CM Rec Par.'!BA908" display="'CM Rec Par.'!BA908" xr:uid="{60C659C9-E67A-45F2-A332-9D1D65020CF7}"/>
    <hyperlink ref="BA2915" location="'CM Rec Par.'!BA1008" display="'CM Rec Par.'!BA1008" xr:uid="{D1DBA576-D6DC-4942-9040-5B826D0DA56C}"/>
    <hyperlink ref="BA2916" location="'CM Rec Par.'!BA1108" display="'CM Rec Par.'!BA1108" xr:uid="{BE25D4DC-137D-450D-88AB-DE7D9032033A}"/>
    <hyperlink ref="BA2917" location="'CM Rec Par.'!BA1208" display="'CM Rec Par.'!BA1208" xr:uid="{D9E277F9-29FE-4AB3-87F8-2A4CC590B6E9}"/>
    <hyperlink ref="BA2918" location="'CM Rec Par.'!BA1308" display="'CM Rec Par.'!BA1308" xr:uid="{2E1A3BC3-C883-4C68-B8AA-A506258705D3}"/>
    <hyperlink ref="BA2919" location="'CM Rec Par.'!BA1408" display="'CM Rec Par.'!BA1408" xr:uid="{B30D004B-5D1A-4539-9FDB-4C4AA58C30EC}"/>
    <hyperlink ref="BA2920" location="'CM Rec Par.'!BA1508" display="'CM Rec Par.'!BA1508" xr:uid="{6C817711-577D-472A-A035-041171D47400}"/>
    <hyperlink ref="BA2921" location="'CM Rec Par.'!BA1608" display="'CM Rec Par.'!BA1608" xr:uid="{2B111494-7138-43BD-BD95-388AD82DFB92}"/>
    <hyperlink ref="BA2922" location="'CM Rec Par.'!BA1708" display="'CM Rec Par.'!BA1708" xr:uid="{51FCB416-7EBE-42BB-9968-2F2B387AE2BA}"/>
    <hyperlink ref="BA2923" location="'CM Rec Par.'!BA1808" display="'CM Rec Par.'!BA1808" xr:uid="{C5908EBB-9FF4-4309-A97C-CE0EA7B9C43D}"/>
    <hyperlink ref="BA2924" location="'CM Rec Par.'!BA1908" display="'CM Rec Par.'!BA1908" xr:uid="{201C5165-6B36-4A7A-A320-922452EF6E65}"/>
    <hyperlink ref="BA2925" location="'CM Rec Par.'!BA2008" display="'CM Rec Par.'!BA2008" xr:uid="{BB33252D-42F3-4962-828B-957E715C7A6B}"/>
    <hyperlink ref="BA2926" location="'CM Rec Par.'!BA2108" display="'CM Rec Par.'!BA2108" xr:uid="{BB6D1897-1F4D-4828-862B-8449F2305F3A}"/>
    <hyperlink ref="BA2927" location="'CM Rec Par.'!BA2208" display="'CM Rec Par.'!BA2208" xr:uid="{4DF9F258-BA83-4490-8897-D226C6F60D4F}"/>
    <hyperlink ref="BA2928" location="'CM Rec Par.'!BA2308" display="'CM Rec Par.'!BA2308" xr:uid="{1765686C-E5C8-45CB-A9E3-A539A6AD529B}"/>
    <hyperlink ref="BA2929" location="'CM Rec Par.'!BA2408" display="'CM Rec Par.'!BA2408" xr:uid="{FB13CEFA-B4AB-439B-95BD-F3574641E0F3}"/>
    <hyperlink ref="BA2930" location="'CM Rec Par.'!BA2508" display="'CM Rec Par.'!BA2508" xr:uid="{5E80FB16-90CD-451C-8C6F-756B89219DD8}"/>
    <hyperlink ref="BA2931" location="'CM Rec Par.'!BA2608" display="'CM Rec Par.'!BA2608" xr:uid="{4EF3A8C9-FA16-42FB-A0B0-8A0D9176455A}"/>
    <hyperlink ref="BA2932" location="'CM Rec Par.'!BA2708" display="'CM Rec Par.'!BA2708" xr:uid="{4EFCC362-7BC9-4104-A7E0-49E662522E11}"/>
    <hyperlink ref="BA2933" location="'CM Rec Par.'!BA2808" display="'CM Rec Par.'!BA2808" xr:uid="{E705A4B0-33E3-42CD-AF83-CA1F2B84C1B0}"/>
    <hyperlink ref="BA2934" location="'CM Rec Par.'!BA2908" display="'CM Rec Par.'!BA2908" xr:uid="{484797E6-3F6A-41B7-A892-FE1C23A8785D}"/>
    <hyperlink ref="BA2935" location="'CM Rec Par.'!BA3008" display="'CM Rec Par.'!BA3008" xr:uid="{3B80E25F-3F63-4F99-9789-C4CDBDB3FAAD}"/>
    <hyperlink ref="BA2936" location="'CM Rec Par.'!BA3108" display="'CM Rec Par.'!BA3108" xr:uid="{1E75A82B-E0C2-4B3B-A770-48BAF82596A9}"/>
    <hyperlink ref="BA2937" location="'CM Rec Par.'!BA3208" display="'CM Rec Par.'!BA3208" xr:uid="{BEED5189-2597-4199-8482-8939F2AF7253}"/>
    <hyperlink ref="BA2938" location="'CM Rec Par.'!BA3308" display="'CM Rec Par.'!BA3308" xr:uid="{EEE2610D-2258-4C67-85D9-A6E637A9B736}"/>
    <hyperlink ref="BA2939" location="'CM Rec Par.'!BA3408" display="'CM Rec Par.'!BA3408" xr:uid="{13933675-E4A8-41A7-8C68-D9680337C308}"/>
    <hyperlink ref="BA2908" location="'CM Rec Par.'!BA6" display="Top" xr:uid="{13A15E07-1E33-4E73-B22C-1EE09274DBEF}"/>
    <hyperlink ref="BA3010" location="'CM Rec Par.'!BA508" display="'CM Rec Par.'!BA508" xr:uid="{2AB0C8E9-D96A-4345-AB20-D2AEC5D98C07}"/>
    <hyperlink ref="BA3009" location="'CM Rec Par.'!BA50" display="Process" xr:uid="{6DFA7111-0820-43AB-AB65-03250F550C66}"/>
    <hyperlink ref="BA3011" location="'CM Rec Par.'!BA608" display="'CM Rec Par.'!BA608" xr:uid="{D603E095-B23C-4A34-A2C0-4D031CB8755A}"/>
    <hyperlink ref="BA3012" location="'CM Rec Par.'!BA708" display="'CM Rec Par.'!BA708" xr:uid="{E48505B7-E545-4900-82D1-F39B0ECDF696}"/>
    <hyperlink ref="BA3013" location="'CM Rec Par.'!BA808" display="'CM Rec Par.'!BA808" xr:uid="{893E154D-3593-4B18-95A5-BFEAC2B9A715}"/>
    <hyperlink ref="BA3014" location="'CM Rec Par.'!BA908" display="'CM Rec Par.'!BA908" xr:uid="{6AF84C45-CA66-4BE4-BBB1-D1161D907069}"/>
    <hyperlink ref="BA3015" location="'CM Rec Par.'!BA1008" display="'CM Rec Par.'!BA1008" xr:uid="{C6E31663-6A83-4383-9A3D-EA65518CD03E}"/>
    <hyperlink ref="BA3016" location="'CM Rec Par.'!BA1108" display="'CM Rec Par.'!BA1108" xr:uid="{FD0304E1-7463-43AB-8C87-8B6140CDD788}"/>
    <hyperlink ref="BA3017" location="'CM Rec Par.'!BA1208" display="'CM Rec Par.'!BA1208" xr:uid="{E806C3B3-5E98-4E0B-B991-B7436E5A1079}"/>
    <hyperlink ref="BA3018" location="'CM Rec Par.'!BA1308" display="'CM Rec Par.'!BA1308" xr:uid="{7D386DFA-8C08-4C9D-AEDE-0CE4C8A6FDD4}"/>
    <hyperlink ref="BA3019" location="'CM Rec Par.'!BA1408" display="'CM Rec Par.'!BA1408" xr:uid="{86924516-5886-4608-A2E1-FD5D0FDCD2E5}"/>
    <hyperlink ref="BA3020" location="'CM Rec Par.'!BA1508" display="'CM Rec Par.'!BA1508" xr:uid="{CB6629AD-70C1-478E-BCAB-507C5DF6962A}"/>
    <hyperlink ref="BA3021" location="'CM Rec Par.'!BA1608" display="'CM Rec Par.'!BA1608" xr:uid="{3E27E554-D602-46A1-B887-A3D130A6E325}"/>
    <hyperlink ref="BA3022" location="'CM Rec Par.'!BA1708" display="'CM Rec Par.'!BA1708" xr:uid="{5FFAB570-AEFB-42F2-8BB2-042497C45D6C}"/>
    <hyperlink ref="BA3023" location="'CM Rec Par.'!BA1808" display="'CM Rec Par.'!BA1808" xr:uid="{00FE72A1-B01A-44E0-9F7A-F67088A17EB6}"/>
    <hyperlink ref="BA3024" location="'CM Rec Par.'!BA1908" display="'CM Rec Par.'!BA1908" xr:uid="{09671AB2-7C7E-4D04-AE78-1BB1AEB0CFD6}"/>
    <hyperlink ref="BA3025" location="'CM Rec Par.'!BA2008" display="'CM Rec Par.'!BA2008" xr:uid="{4617E0C0-FDAF-4BB3-B4F9-C77DAF690BD7}"/>
    <hyperlink ref="BA3026" location="'CM Rec Par.'!BA2108" display="'CM Rec Par.'!BA2108" xr:uid="{B8550A1A-307F-43B8-8340-D6C70593E57E}"/>
    <hyperlink ref="BA3027" location="'CM Rec Par.'!BA2208" display="'CM Rec Par.'!BA2208" xr:uid="{9DB8B53B-D074-405B-B1BD-F9CCF28B48C4}"/>
    <hyperlink ref="BA3028" location="'CM Rec Par.'!BA2308" display="'CM Rec Par.'!BA2308" xr:uid="{8AA7DC07-197C-4DB5-BDB3-83807A059E10}"/>
    <hyperlink ref="BA3029" location="'CM Rec Par.'!BA2408" display="'CM Rec Par.'!BA2408" xr:uid="{7BA462FF-6FD2-49C5-99FD-D8EDA4958606}"/>
    <hyperlink ref="BA3030" location="'CM Rec Par.'!BA2508" display="'CM Rec Par.'!BA2508" xr:uid="{24EBDC11-3FA6-4D2A-A628-D3291F52312B}"/>
    <hyperlink ref="BA3031" location="'CM Rec Par.'!BA2608" display="'CM Rec Par.'!BA2608" xr:uid="{26193008-1238-431F-A8F3-17EECFDBCEF9}"/>
    <hyperlink ref="BA3032" location="'CM Rec Par.'!BA2708" display="'CM Rec Par.'!BA2708" xr:uid="{3778EAEF-2A45-4B39-93F9-1D99AB6930B4}"/>
    <hyperlink ref="BA3033" location="'CM Rec Par.'!BA2808" display="'CM Rec Par.'!BA2808" xr:uid="{064FA3A7-A8C6-422D-A75E-5B88FC574028}"/>
    <hyperlink ref="BA3034" location="'CM Rec Par.'!BA2908" display="'CM Rec Par.'!BA2908" xr:uid="{CFFDAB1B-E8B3-4D69-9AF1-0FD2D0C1801B}"/>
    <hyperlink ref="BA3035" location="'CM Rec Par.'!BA3008" display="'CM Rec Par.'!BA3008" xr:uid="{4794E1FE-9E94-49F5-B9F0-01FE557EE7FD}"/>
    <hyperlink ref="BA3036" location="'CM Rec Par.'!BA3108" display="'CM Rec Par.'!BA3108" xr:uid="{A3925C5F-207B-4FB8-91AB-31134E901660}"/>
    <hyperlink ref="BA3037" location="'CM Rec Par.'!BA3208" display="'CM Rec Par.'!BA3208" xr:uid="{11AEF8B4-79EC-45E3-9E73-7BC48E0F179F}"/>
    <hyperlink ref="BA3038" location="'CM Rec Par.'!BA3308" display="'CM Rec Par.'!BA3308" xr:uid="{55CA4AF5-04EA-480D-9EF8-D06CE4AFB3BD}"/>
    <hyperlink ref="BA3039" location="'CM Rec Par.'!BA3408" display="'CM Rec Par.'!BA3408" xr:uid="{39C5CEF7-865A-4560-BD85-B50EC3E7BAA8}"/>
    <hyperlink ref="BA3008" location="'CM Rec Par.'!BA6" display="Top" xr:uid="{8F50856B-AD06-47AA-8734-EA9A304E9B5E}"/>
    <hyperlink ref="BA3110" location="'CM Rec Par.'!BA508" display="'CM Rec Par.'!BA508" xr:uid="{08BDAE4F-EE20-4DED-A5CF-7F4DC4A0B169}"/>
    <hyperlink ref="BA3109" location="'CM Rec Par.'!BA50" display="Process" xr:uid="{BB04AD48-9473-47F0-9574-5F4D4995A850}"/>
    <hyperlink ref="BA3111" location="'CM Rec Par.'!BA608" display="'CM Rec Par.'!BA608" xr:uid="{6E4711AA-32F2-4530-99BA-15F37115AEA6}"/>
    <hyperlink ref="BA3112" location="'CM Rec Par.'!BA708" display="'CM Rec Par.'!BA708" xr:uid="{7B65CDBC-496C-46C8-96BA-22DE82A8801E}"/>
    <hyperlink ref="BA3113" location="'CM Rec Par.'!BA808" display="'CM Rec Par.'!BA808" xr:uid="{15391841-8D5C-44E3-8616-53DDBBF0B2EC}"/>
    <hyperlink ref="BA3114" location="'CM Rec Par.'!BA908" display="'CM Rec Par.'!BA908" xr:uid="{EF285E83-91EA-421B-9478-E46D5CC79161}"/>
    <hyperlink ref="BA3115" location="'CM Rec Par.'!BA1008" display="'CM Rec Par.'!BA1008" xr:uid="{64C9151F-EE99-4474-AAA0-03055A889A65}"/>
    <hyperlink ref="BA3116" location="'CM Rec Par.'!BA1108" display="'CM Rec Par.'!BA1108" xr:uid="{C2FA8AAF-7EB9-4DC5-A19C-C98BE6AA4DE6}"/>
    <hyperlink ref="BA3117" location="'CM Rec Par.'!BA1208" display="'CM Rec Par.'!BA1208" xr:uid="{C82C2F56-B6F1-4A89-B435-1EE42BD1E262}"/>
    <hyperlink ref="BA3118" location="'CM Rec Par.'!BA1308" display="'CM Rec Par.'!BA1308" xr:uid="{4A609B66-CFA5-46B7-B4D8-D6769BD46005}"/>
    <hyperlink ref="BA3119" location="'CM Rec Par.'!BA1408" display="'CM Rec Par.'!BA1408" xr:uid="{802E5A3E-BB15-43A6-BA08-D8A1411CB35F}"/>
    <hyperlink ref="BA3120" location="'CM Rec Par.'!BA1508" display="'CM Rec Par.'!BA1508" xr:uid="{18BBCD65-5C39-4DD1-9663-B8097E27FA07}"/>
    <hyperlink ref="BA3121" location="'CM Rec Par.'!BA1608" display="'CM Rec Par.'!BA1608" xr:uid="{8F0FB3EF-4C0C-426E-82B7-7C1137AA0BC5}"/>
    <hyperlink ref="BA3122" location="'CM Rec Par.'!BA1708" display="'CM Rec Par.'!BA1708" xr:uid="{38A3576B-E2F4-463A-88AA-A879D474C00E}"/>
    <hyperlink ref="BA3123" location="'CM Rec Par.'!BA1808" display="'CM Rec Par.'!BA1808" xr:uid="{F6D764B4-8B90-4E64-96B5-7CEB5CD0EF0C}"/>
    <hyperlink ref="BA3124" location="'CM Rec Par.'!BA1908" display="'CM Rec Par.'!BA1908" xr:uid="{6C4999FE-79F3-462A-B735-2A5098991C8D}"/>
    <hyperlink ref="BA3125" location="'CM Rec Par.'!BA2008" display="'CM Rec Par.'!BA2008" xr:uid="{B164366C-AD23-4112-B47F-DBA287A5D2C2}"/>
    <hyperlink ref="BA3126" location="'CM Rec Par.'!BA2108" display="'CM Rec Par.'!BA2108" xr:uid="{678EB68B-071B-459F-BEB2-6A5AB56E2098}"/>
    <hyperlink ref="BA3127" location="'CM Rec Par.'!BA2208" display="'CM Rec Par.'!BA2208" xr:uid="{E0DE0164-142B-496A-B9A5-CCE50F7689DE}"/>
    <hyperlink ref="BA3128" location="'CM Rec Par.'!BA2308" display="'CM Rec Par.'!BA2308" xr:uid="{94A7250D-9B22-4746-AE1A-F77903BA79F7}"/>
    <hyperlink ref="BA3129" location="'CM Rec Par.'!BA2408" display="'CM Rec Par.'!BA2408" xr:uid="{CCE9905E-728E-47E0-82C4-CC0F49E1F42F}"/>
    <hyperlink ref="BA3130" location="'CM Rec Par.'!BA2508" display="'CM Rec Par.'!BA2508" xr:uid="{FDAD97BE-AC5B-4562-BC5F-18B63B045F22}"/>
    <hyperlink ref="BA3131" location="'CM Rec Par.'!BA2608" display="'CM Rec Par.'!BA2608" xr:uid="{5A5CE1F0-3A04-49FB-BAD5-C727A0E6F6AB}"/>
    <hyperlink ref="BA3132" location="'CM Rec Par.'!BA2708" display="'CM Rec Par.'!BA2708" xr:uid="{631B6DC9-C715-4E8C-9A42-FF29F574CC7E}"/>
    <hyperlink ref="BA3133" location="'CM Rec Par.'!BA2808" display="'CM Rec Par.'!BA2808" xr:uid="{4CB39E23-B8A1-4E5C-8168-27546EF1ADF6}"/>
    <hyperlink ref="BA3134" location="'CM Rec Par.'!BA2908" display="'CM Rec Par.'!BA2908" xr:uid="{F5BA5E49-B01B-41B6-9754-8EAD3681F69D}"/>
    <hyperlink ref="BA3135" location="'CM Rec Par.'!BA3008" display="'CM Rec Par.'!BA3008" xr:uid="{FF855D86-46C8-474E-AFE1-D8271500750D}"/>
    <hyperlink ref="BA3136" location="'CM Rec Par.'!BA3108" display="'CM Rec Par.'!BA3108" xr:uid="{58C72C20-257B-4ED4-9FEA-5E4CD6939A62}"/>
    <hyperlink ref="BA3137" location="'CM Rec Par.'!BA3208" display="'CM Rec Par.'!BA3208" xr:uid="{33E1F7C4-5AA8-4CAF-A10E-2469F3485C28}"/>
    <hyperlink ref="BA3138" location="'CM Rec Par.'!BA3308" display="'CM Rec Par.'!BA3308" xr:uid="{CD96AD11-0D27-4681-B0B4-9B9B96946AEA}"/>
    <hyperlink ref="BA3139" location="'CM Rec Par.'!BA3408" display="'CM Rec Par.'!BA3408" xr:uid="{8C025AAF-E151-401C-9AEF-8A80D9BF3217}"/>
    <hyperlink ref="BA3108" location="'CM Rec Par.'!BA6" display="Top" xr:uid="{4577105A-C08C-44B1-BB58-6E6D557E5F18}"/>
    <hyperlink ref="BA3210" location="'CM Rec Par.'!BA508" display="'CM Rec Par.'!BA508" xr:uid="{529B5C00-1607-4E2C-9F3B-5E18F7558477}"/>
    <hyperlink ref="BA3209" location="'CM Rec Par.'!BA50" display="Process" xr:uid="{91653461-EE2C-4CAE-AE9A-204F6EF30484}"/>
    <hyperlink ref="BA3211" location="'CM Rec Par.'!BA608" display="'CM Rec Par.'!BA608" xr:uid="{69FAE296-4768-41F6-8AA6-93DB78D38EBE}"/>
    <hyperlink ref="BA3212" location="'CM Rec Par.'!BA708" display="'CM Rec Par.'!BA708" xr:uid="{8E3E0BB5-0605-469E-95F0-38A3AD4D1DA5}"/>
    <hyperlink ref="BA3213" location="'CM Rec Par.'!BA808" display="'CM Rec Par.'!BA808" xr:uid="{DFC37413-EC4B-4F37-8054-4F3AF642D3D8}"/>
    <hyperlink ref="BA3214" location="'CM Rec Par.'!BA908" display="'CM Rec Par.'!BA908" xr:uid="{ADD66600-BE64-4C41-B2C9-B8B3F70CE831}"/>
    <hyperlink ref="BA3215" location="'CM Rec Par.'!BA1008" display="'CM Rec Par.'!BA1008" xr:uid="{EC06E5D1-D3C9-4119-A806-03609B13A014}"/>
    <hyperlink ref="BA3216" location="'CM Rec Par.'!BA1108" display="'CM Rec Par.'!BA1108" xr:uid="{684E8EC4-E591-48FE-BB7C-63C8F94CB44D}"/>
    <hyperlink ref="BA3217" location="'CM Rec Par.'!BA1208" display="'CM Rec Par.'!BA1208" xr:uid="{2B11822E-7DDA-46DA-8FC0-35CA46EF3D11}"/>
    <hyperlink ref="BA3218" location="'CM Rec Par.'!BA1308" display="'CM Rec Par.'!BA1308" xr:uid="{43DACAAC-E986-46F9-94F3-A9A44AB6DD2F}"/>
    <hyperlink ref="BA3219" location="'CM Rec Par.'!BA1408" display="'CM Rec Par.'!BA1408" xr:uid="{1122DB3F-5265-4872-BF44-F43A770D7CC7}"/>
    <hyperlink ref="BA3220" location="'CM Rec Par.'!BA1508" display="'CM Rec Par.'!BA1508" xr:uid="{2F9EB564-DEB0-467B-9A2F-084EFA6FEB5C}"/>
    <hyperlink ref="BA3221" location="'CM Rec Par.'!BA1608" display="'CM Rec Par.'!BA1608" xr:uid="{6122767A-607D-4CFC-BFEB-A9982EADFEC5}"/>
    <hyperlink ref="BA3222" location="'CM Rec Par.'!BA1708" display="'CM Rec Par.'!BA1708" xr:uid="{7A5A238E-2CF6-4351-8BE0-A5175C94BC35}"/>
    <hyperlink ref="BA3223" location="'CM Rec Par.'!BA1808" display="'CM Rec Par.'!BA1808" xr:uid="{8286E9A8-195A-4B7D-8A86-7129089A493D}"/>
    <hyperlink ref="BA3224" location="'CM Rec Par.'!BA1908" display="'CM Rec Par.'!BA1908" xr:uid="{53D08C1E-5469-476C-80F6-382483E6DE68}"/>
    <hyperlink ref="BA3225" location="'CM Rec Par.'!BA2008" display="'CM Rec Par.'!BA2008" xr:uid="{AF42ACE4-9691-48D3-93C7-180FA889AAD8}"/>
    <hyperlink ref="BA3226" location="'CM Rec Par.'!BA2108" display="'CM Rec Par.'!BA2108" xr:uid="{75682532-3DEB-4FAE-BEC6-58269308059E}"/>
    <hyperlink ref="BA3227" location="'CM Rec Par.'!BA2208" display="'CM Rec Par.'!BA2208" xr:uid="{CF627E26-4385-4DA0-AA9D-00EFC3B5D392}"/>
    <hyperlink ref="BA3228" location="'CM Rec Par.'!BA2308" display="'CM Rec Par.'!BA2308" xr:uid="{CED890E6-4F30-450A-AE0C-A67887CB0414}"/>
    <hyperlink ref="BA3229" location="'CM Rec Par.'!BA2408" display="'CM Rec Par.'!BA2408" xr:uid="{1E4CCFD2-A3A1-4683-9F72-FBBA427724CF}"/>
    <hyperlink ref="BA3230" location="'CM Rec Par.'!BA2508" display="'CM Rec Par.'!BA2508" xr:uid="{E43F8A3A-3D2C-4261-9ED2-961469DA8551}"/>
    <hyperlink ref="BA3231" location="'CM Rec Par.'!BA2608" display="'CM Rec Par.'!BA2608" xr:uid="{B05D95E3-4B41-4020-9074-A7F959CE9A65}"/>
    <hyperlink ref="BA3232" location="'CM Rec Par.'!BA2708" display="'CM Rec Par.'!BA2708" xr:uid="{E24A9699-B2F1-4D43-B6F4-6E6BEFE4AA5D}"/>
    <hyperlink ref="BA3233" location="'CM Rec Par.'!BA2808" display="'CM Rec Par.'!BA2808" xr:uid="{30EA26CC-EA2F-49FD-9EF9-B6B128E98975}"/>
    <hyperlink ref="BA3234" location="'CM Rec Par.'!BA2908" display="'CM Rec Par.'!BA2908" xr:uid="{26CE02BF-881B-49C8-B54B-BDFC0DDEA116}"/>
    <hyperlink ref="BA3235" location="'CM Rec Par.'!BA3008" display="'CM Rec Par.'!BA3008" xr:uid="{05C2AB52-FD2E-486A-B32C-102EC3DADBA9}"/>
    <hyperlink ref="BA3236" location="'CM Rec Par.'!BA3108" display="'CM Rec Par.'!BA3108" xr:uid="{31F81F63-5268-467D-8705-E15657EBC767}"/>
    <hyperlink ref="BA3237" location="'CM Rec Par.'!BA3208" display="'CM Rec Par.'!BA3208" xr:uid="{B907B256-8FFB-401D-B954-F9823DC7CD38}"/>
    <hyperlink ref="BA3238" location="'CM Rec Par.'!BA3308" display="'CM Rec Par.'!BA3308" xr:uid="{B003802D-96C1-4B5E-A984-03C53BFADE33}"/>
    <hyperlink ref="BA3239" location="'CM Rec Par.'!BA3408" display="'CM Rec Par.'!BA3408" xr:uid="{B3DFA27B-B6F2-4A8A-9304-860FA24BAA62}"/>
    <hyperlink ref="BA3208" location="'CM Rec Par.'!BA6" display="Top" xr:uid="{BCCAA463-F95D-4FCD-A1C2-4A84E6EFFAC5}"/>
    <hyperlink ref="BA3310" location="'CM Rec Par.'!BA508" display="'CM Rec Par.'!BA508" xr:uid="{0992A7AB-EEB9-40FC-AC87-A5E464C049CD}"/>
    <hyperlink ref="BA3309" location="'CM Rec Par.'!BA50" display="Process" xr:uid="{1B420F12-9EDF-44BB-8AA3-9D6935B4FDFB}"/>
    <hyperlink ref="BA3311" location="'CM Rec Par.'!BA608" display="'CM Rec Par.'!BA608" xr:uid="{59F49D47-E517-495A-951E-BC4593C5FAF3}"/>
    <hyperlink ref="BA3312" location="'CM Rec Par.'!BA708" display="'CM Rec Par.'!BA708" xr:uid="{A2C2BC5A-7AEA-4527-A029-BF29611ABDF7}"/>
    <hyperlink ref="BA3313" location="'CM Rec Par.'!BA808" display="'CM Rec Par.'!BA808" xr:uid="{B3203D50-7296-4189-B271-926E3EA3E6B5}"/>
    <hyperlink ref="BA3314" location="'CM Rec Par.'!BA908" display="'CM Rec Par.'!BA908" xr:uid="{1716E868-A101-4D24-AD9D-70D4A8FC05F0}"/>
    <hyperlink ref="BA3315" location="'CM Rec Par.'!BA1008" display="'CM Rec Par.'!BA1008" xr:uid="{D8E8360C-D792-43BC-8ED9-35D1664D78E8}"/>
    <hyperlink ref="BA3316" location="'CM Rec Par.'!BA1108" display="'CM Rec Par.'!BA1108" xr:uid="{C44D1EC3-A96C-41FC-8742-1E2F6032ED59}"/>
    <hyperlink ref="BA3317" location="'CM Rec Par.'!BA1208" display="'CM Rec Par.'!BA1208" xr:uid="{DAF33D81-391E-443A-8959-FCA2DCAF8C51}"/>
    <hyperlink ref="BA3318" location="'CM Rec Par.'!BA1308" display="'CM Rec Par.'!BA1308" xr:uid="{4562C4A7-1286-4AE7-A58E-0E796467A3A7}"/>
    <hyperlink ref="BA3319" location="'CM Rec Par.'!BA1408" display="'CM Rec Par.'!BA1408" xr:uid="{677DB2D5-1DB3-46F0-91A6-3F87EEB3A7F1}"/>
    <hyperlink ref="BA3320" location="'CM Rec Par.'!BA1508" display="'CM Rec Par.'!BA1508" xr:uid="{4FEB9A3F-98BA-4C6C-BE63-EEBB19A279EA}"/>
    <hyperlink ref="BA3321" location="'CM Rec Par.'!BA1608" display="'CM Rec Par.'!BA1608" xr:uid="{EFA2DB34-45E5-46D2-865C-024D57046D82}"/>
    <hyperlink ref="BA3322" location="'CM Rec Par.'!BA1708" display="'CM Rec Par.'!BA1708" xr:uid="{CFAD79A8-8FEC-4519-BEC2-D3D6A9E31C45}"/>
    <hyperlink ref="BA3323" location="'CM Rec Par.'!BA1808" display="'CM Rec Par.'!BA1808" xr:uid="{89B3C6C6-167C-45CA-BB36-A3B153234FFE}"/>
    <hyperlink ref="BA3324" location="'CM Rec Par.'!BA1908" display="'CM Rec Par.'!BA1908" xr:uid="{DB1A1A12-1DAF-4903-AA6D-FE967038372B}"/>
    <hyperlink ref="BA3325" location="'CM Rec Par.'!BA2008" display="'CM Rec Par.'!BA2008" xr:uid="{89DF2B64-3479-46DD-9682-8B81C031973A}"/>
    <hyperlink ref="BA3326" location="'CM Rec Par.'!BA2108" display="'CM Rec Par.'!BA2108" xr:uid="{B515F1CB-64E1-4DE5-8B79-79A44FA51642}"/>
    <hyperlink ref="BA3327" location="'CM Rec Par.'!BA2208" display="'CM Rec Par.'!BA2208" xr:uid="{351B09D8-E4C0-49A4-BF6B-51A6D593E740}"/>
    <hyperlink ref="BA3328" location="'CM Rec Par.'!BA2308" display="'CM Rec Par.'!BA2308" xr:uid="{1434A253-BBBE-4AE3-B494-778406083CDB}"/>
    <hyperlink ref="BA3329" location="'CM Rec Par.'!BA2408" display="'CM Rec Par.'!BA2408" xr:uid="{0715C3D6-0CAE-42AA-80F3-4066A8744788}"/>
    <hyperlink ref="BA3330" location="'CM Rec Par.'!BA2508" display="'CM Rec Par.'!BA2508" xr:uid="{29BB4E51-BF16-435A-945F-C109C29CBF7C}"/>
    <hyperlink ref="BA3331" location="'CM Rec Par.'!BA2608" display="'CM Rec Par.'!BA2608" xr:uid="{C3B0DD77-36DE-45C3-A6AF-A500B689EDCD}"/>
    <hyperlink ref="BA3332" location="'CM Rec Par.'!BA2708" display="'CM Rec Par.'!BA2708" xr:uid="{3DA9650B-A22A-47B5-9102-F669DB8250E0}"/>
    <hyperlink ref="BA3333" location="'CM Rec Par.'!BA2808" display="'CM Rec Par.'!BA2808" xr:uid="{0DE4EEA5-6D7F-48EC-B391-23D46DA081C1}"/>
    <hyperlink ref="BA3334" location="'CM Rec Par.'!BA2908" display="'CM Rec Par.'!BA2908" xr:uid="{37D8EF52-5DB0-487C-97A4-03D78E6E1D13}"/>
    <hyperlink ref="BA3335" location="'CM Rec Par.'!BA3008" display="'CM Rec Par.'!BA3008" xr:uid="{405B64FB-5AE7-431E-854C-0FC4B943A3E6}"/>
    <hyperlink ref="BA3336" location="'CM Rec Par.'!BA3108" display="'CM Rec Par.'!BA3108" xr:uid="{A5CBD64B-AE87-4CE7-BD6C-FB0B04067197}"/>
    <hyperlink ref="BA3337" location="'CM Rec Par.'!BA3208" display="'CM Rec Par.'!BA3208" xr:uid="{9613E397-2E17-42D2-B255-CF04C18A2A7F}"/>
    <hyperlink ref="BA3338" location="'CM Rec Par.'!BA3308" display="'CM Rec Par.'!BA3308" xr:uid="{F7E34CFA-0D57-4C18-8ECB-11304C25B479}"/>
    <hyperlink ref="BA3339" location="'CM Rec Par.'!BA3408" display="'CM Rec Par.'!BA3408" xr:uid="{F44B6C49-C7B0-4FF7-82F5-12741A792438}"/>
    <hyperlink ref="BA3308" location="'CM Rec Par.'!BA6" display="Top" xr:uid="{4BBD0790-5588-44D0-934D-81DAC75C2CF0}"/>
    <hyperlink ref="BA3410" location="'CM Rec Par.'!BA508" display="'CM Rec Par.'!BA508" xr:uid="{8660EFAD-9D8C-49CA-BB61-AAF7266C558E}"/>
    <hyperlink ref="BA3409" location="'CM Rec Par.'!BA50" display="Process" xr:uid="{C5BC9639-C7A0-4F54-A376-947429B51993}"/>
    <hyperlink ref="BA3411" location="'CM Rec Par.'!BA608" display="'CM Rec Par.'!BA608" xr:uid="{0001B1D7-91D0-4593-B303-CAFDB86E63DC}"/>
    <hyperlink ref="BA3412" location="'CM Rec Par.'!BA708" display="'CM Rec Par.'!BA708" xr:uid="{B6B3652A-F231-48B6-B2B8-C865ECD53A16}"/>
    <hyperlink ref="BA3413" location="'CM Rec Par.'!BA808" display="'CM Rec Par.'!BA808" xr:uid="{7133F40B-8D54-4B6B-8B6E-E432B80CCD9D}"/>
    <hyperlink ref="BA3414" location="'CM Rec Par.'!BA908" display="'CM Rec Par.'!BA908" xr:uid="{563A5CD8-87B1-41AF-8ED3-79FC74705917}"/>
    <hyperlink ref="BA3415" location="'CM Rec Par.'!BA1008" display="'CM Rec Par.'!BA1008" xr:uid="{0A959AFC-395A-4844-AD97-4CAEA860ECE1}"/>
    <hyperlink ref="BA3416" location="'CM Rec Par.'!BA1108" display="'CM Rec Par.'!BA1108" xr:uid="{6094F7E5-715A-4810-9ECD-42D3B3CD2E9F}"/>
    <hyperlink ref="BA3417" location="'CM Rec Par.'!BA1208" display="'CM Rec Par.'!BA1208" xr:uid="{FB709B55-1DB4-4B77-8B25-C35EC4C4E4C5}"/>
    <hyperlink ref="BA3418" location="'CM Rec Par.'!BA1308" display="'CM Rec Par.'!BA1308" xr:uid="{B1525D43-8303-4028-A461-3B288E87B9CF}"/>
    <hyperlink ref="BA3419" location="'CM Rec Par.'!BA1408" display="'CM Rec Par.'!BA1408" xr:uid="{A8264AE4-9A3C-44E3-9C13-E70B3C50862B}"/>
    <hyperlink ref="BA3420" location="'CM Rec Par.'!BA1508" display="'CM Rec Par.'!BA1508" xr:uid="{CE4EB044-ED4A-4CF7-B194-E66044445BC7}"/>
    <hyperlink ref="BA3421" location="'CM Rec Par.'!BA1608" display="'CM Rec Par.'!BA1608" xr:uid="{FDE2A727-05A6-48E7-BE66-E463BFCDAF5C}"/>
    <hyperlink ref="BA3422" location="'CM Rec Par.'!BA1708" display="'CM Rec Par.'!BA1708" xr:uid="{9403E6AE-9E2A-4626-9C31-9FB6702BCAE7}"/>
    <hyperlink ref="BA3423" location="'CM Rec Par.'!BA1808" display="'CM Rec Par.'!BA1808" xr:uid="{7D20E32A-CC28-4A34-9970-FCFCD072F4A0}"/>
    <hyperlink ref="BA3424" location="'CM Rec Par.'!BA1908" display="'CM Rec Par.'!BA1908" xr:uid="{1C9E2D35-2107-4CB1-8397-AFCE552DE498}"/>
    <hyperlink ref="BA3425" location="'CM Rec Par.'!BA2008" display="'CM Rec Par.'!BA2008" xr:uid="{3A4DDBCA-A6C8-4657-926F-823665011580}"/>
    <hyperlink ref="BA3426" location="'CM Rec Par.'!BA2108" display="'CM Rec Par.'!BA2108" xr:uid="{6D905B5D-A769-406D-90C6-490A64E3486A}"/>
    <hyperlink ref="BA3427" location="'CM Rec Par.'!BA2208" display="'CM Rec Par.'!BA2208" xr:uid="{4302D6E7-45B4-4108-B2F8-D7E1C0EBD7EF}"/>
    <hyperlink ref="BA3428" location="'CM Rec Par.'!BA2308" display="'CM Rec Par.'!BA2308" xr:uid="{6E8B1E2C-9329-450B-80FD-4A5DFFC7E072}"/>
    <hyperlink ref="BA3429" location="'CM Rec Par.'!BA2408" display="'CM Rec Par.'!BA2408" xr:uid="{28D52D99-C5BE-4855-A65C-CA9F82D22CBF}"/>
    <hyperlink ref="BA3430" location="'CM Rec Par.'!BA2508" display="'CM Rec Par.'!BA2508" xr:uid="{3D02D61C-E789-4811-9EDB-772CCFB2D787}"/>
    <hyperlink ref="BA3431" location="'CM Rec Par.'!BA2608" display="'CM Rec Par.'!BA2608" xr:uid="{80B231AC-1BE0-4CC4-BF3D-99B4A4F4F5C4}"/>
    <hyperlink ref="BA3432" location="'CM Rec Par.'!BA2708" display="'CM Rec Par.'!BA2708" xr:uid="{35FC6C97-9956-4D0D-BD45-5B09797D59E6}"/>
    <hyperlink ref="BA3433" location="'CM Rec Par.'!BA2808" display="'CM Rec Par.'!BA2808" xr:uid="{4065E4E6-7B14-46C9-BD63-1D34E2A5DB75}"/>
    <hyperlink ref="BA3434" location="'CM Rec Par.'!BA2908" display="'CM Rec Par.'!BA2908" xr:uid="{27829E51-527C-44E1-B8DC-15E965CF0B24}"/>
    <hyperlink ref="BA3435" location="'CM Rec Par.'!BA3008" display="'CM Rec Par.'!BA3008" xr:uid="{B595A218-1FD9-46A3-B781-5882E8621257}"/>
    <hyperlink ref="BA3436" location="'CM Rec Par.'!BA3108" display="'CM Rec Par.'!BA3108" xr:uid="{34BE9D7B-BF87-458F-963D-95B8A1A505C5}"/>
    <hyperlink ref="BA3437" location="'CM Rec Par.'!BA3208" display="'CM Rec Par.'!BA3208" xr:uid="{224B63BB-32CF-4975-BDFF-E9508F6BD0A2}"/>
    <hyperlink ref="BA3438" location="'CM Rec Par.'!BA3308" display="'CM Rec Par.'!BA3308" xr:uid="{88B60B98-E196-4ED9-9928-ED65BAECFC18}"/>
    <hyperlink ref="BA3439" location="'CM Rec Par.'!BA3408" display="'CM Rec Par.'!BA3408" xr:uid="{F33636C9-368B-4C42-B80A-F19D94CA376E}"/>
    <hyperlink ref="BA3408" location="'CM Rec Par.'!BA6" display="Top" xr:uid="{D70AF7E3-A426-4E3F-9842-E968C1CCCCCC}"/>
    <hyperlink ref="CA610" location="'CM Rec Par.'!CA508" display="'CM Rec Par.'!CA508" xr:uid="{6817CF67-FCCF-4581-94A9-DB54659C545B}"/>
    <hyperlink ref="CA609" location="'CM Rec Par.'!CA50" display="Process" xr:uid="{409ABC84-7DC6-40F2-9ECE-5CA8A29BFD2F}"/>
    <hyperlink ref="CA608" location="'CM Rec Par.'!CA6" display="Top" xr:uid="{919B9857-9ED9-4083-A12D-0DBCA4BFD530}"/>
    <hyperlink ref="CA611" location="'CM Rec Par.'!CA608" display="'CM Rec Par.'!CA608" xr:uid="{97939108-AE18-44D1-9F89-188D8E1C61A8}"/>
    <hyperlink ref="CA612" location="'CM Rec Par.'!CA708" display="'CM Rec Par.'!CA708" xr:uid="{B0FA3017-F2AE-42BA-B9F1-16BE4E7E385D}"/>
    <hyperlink ref="CA613" location="'CM Rec Par.'!CA808" display="'CM Rec Par.'!CA808" xr:uid="{A5BC96FE-1449-40BF-8F83-CE60FAF7FDEE}"/>
    <hyperlink ref="CA614" location="'CM Rec Par.'!CA908" display="'CM Rec Par.'!CA908" xr:uid="{46BDBC72-7472-4C18-A13A-F681CCF784AF}"/>
    <hyperlink ref="CA615" location="'CM Rec Par.'!CA1008" display="'CM Rec Par.'!CA1008" xr:uid="{43BC79BB-7BBC-4FA3-AB20-58F435CE2AB7}"/>
    <hyperlink ref="CA616" location="'CM Rec Par.'!CA1108" display="'CM Rec Par.'!CA1108" xr:uid="{9A190D30-0591-49E9-A730-0A92882F78C2}"/>
    <hyperlink ref="CA617" location="'CM Rec Par.'!CA1208" display="'CM Rec Par.'!CA1208" xr:uid="{2BFBAF56-5DF0-43C3-8378-1B2104586521}"/>
    <hyperlink ref="CA618" location="'CM Rec Par.'!CA1308" display="'CM Rec Par.'!CA1308" xr:uid="{3909DC0C-0C67-4A75-B666-F9E801AAB61C}"/>
    <hyperlink ref="CA619" location="'CM Rec Par.'!CA1408" display="'CM Rec Par.'!CA1408" xr:uid="{1223FC34-3407-449D-9B7F-313A02A04337}"/>
    <hyperlink ref="CA620" location="'CM Rec Par.'!CA1508" display="'CM Rec Par.'!CA1508" xr:uid="{37DF83F5-B8F1-4685-B5AD-D0B3C8EC163F}"/>
    <hyperlink ref="CA621" location="'CM Rec Par.'!CA1608" display="'CM Rec Par.'!CA1608" xr:uid="{693E6BB8-4605-43E3-87A0-E1B61010886E}"/>
    <hyperlink ref="CA622" location="'CM Rec Par.'!CA1708" display="'CM Rec Par.'!CA1708" xr:uid="{A427F875-BB3C-4D0E-8BB1-8F3AAE89EDF1}"/>
    <hyperlink ref="CA623" location="'CM Rec Par.'!CA1808" display="'CM Rec Par.'!CA1808" xr:uid="{5DB0D30C-8AFF-4F0F-89DE-0B68C2CEF30B}"/>
    <hyperlink ref="CA624" location="'CM Rec Par.'!CA1908" display="'CM Rec Par.'!CA1908" xr:uid="{A8E0FABC-10D3-4534-AD63-617BE4906EBC}"/>
    <hyperlink ref="CA625" location="'CM Rec Par.'!CA2008" display="'CM Rec Par.'!CA2008" xr:uid="{A31C3508-1E1D-49AD-B778-F578CE74D40D}"/>
    <hyperlink ref="CA626" location="'CM Rec Par.'!CA2108" display="'CM Rec Par.'!CA2108" xr:uid="{0AF98E9F-91AF-4E43-B8A8-0D9057749654}"/>
    <hyperlink ref="CA627" location="'CM Rec Par.'!CA2208" display="'CM Rec Par.'!CA2208" xr:uid="{1E1F1F04-2389-4A6F-BB9B-A1A884D58A24}"/>
    <hyperlink ref="CA628" location="'CM Rec Par.'!CA2308" display="'CM Rec Par.'!CA2308" xr:uid="{D1782A48-50E9-4660-AC48-CE93FC94EEC1}"/>
    <hyperlink ref="CA629" location="'CM Rec Par.'!CA2408" display="'CM Rec Par.'!CA2408" xr:uid="{923F2E14-4F77-4E7D-A839-FE777776EEA4}"/>
    <hyperlink ref="CA630" location="'CM Rec Par.'!CA2508" display="'CM Rec Par.'!CA2508" xr:uid="{1F880E5F-00DE-4B5D-937A-EA75A0411DC2}"/>
    <hyperlink ref="CA631" location="'CM Rec Par.'!CA2608" display="'CM Rec Par.'!CA2608" xr:uid="{8CF56F77-5284-4691-A563-30C6AFFEC328}"/>
    <hyperlink ref="CA632" location="'CM Rec Par.'!CA2708" display="'CM Rec Par.'!CA2708" xr:uid="{297C4234-69FF-473E-B204-5121D98F3B9E}"/>
    <hyperlink ref="CA633" location="'CM Rec Par.'!CA2808" display="'CM Rec Par.'!CA2808" xr:uid="{95F912E9-23D7-4B27-BAE3-C91119CD2AE5}"/>
    <hyperlink ref="CA634" location="'CM Rec Par.'!CA2908" display="'CM Rec Par.'!CA2908" xr:uid="{47320466-1BC7-480B-9886-AA31971AF0BC}"/>
    <hyperlink ref="CA635" location="'CM Rec Par.'!CA3008" display="'CM Rec Par.'!CA3008" xr:uid="{DA769F56-7EAC-4EFC-ACB8-52BC56C6851A}"/>
    <hyperlink ref="CA636" location="'CM Rec Par.'!CA3108" display="'CM Rec Par.'!CA3108" xr:uid="{24AD7190-737E-437C-B20F-CE5CFBE87140}"/>
    <hyperlink ref="CA637" location="'CM Rec Par.'!CA3208" display="'CM Rec Par.'!CA3208" xr:uid="{6484D7C6-0697-4195-8D4C-39DB3C38647A}"/>
    <hyperlink ref="CA638" location="'CM Rec Par.'!CA3308" display="'CM Rec Par.'!CA3308" xr:uid="{69E4C693-51D7-4A48-96E2-6F976CCB0A25}"/>
    <hyperlink ref="CA639" location="'CM Rec Par.'!CA3408" display="'CM Rec Par.'!CA3408" xr:uid="{546FB71D-15C2-4D30-A794-310A89E50DC0}"/>
    <hyperlink ref="CA710" location="'CM Rec Par.'!CA508" display="'CM Rec Par.'!CA508" xr:uid="{9663CE1E-09D3-4BC2-93BB-057837AC7998}"/>
    <hyperlink ref="CA709" location="'CM Rec Par.'!CA50" display="Process" xr:uid="{BC7E5ED8-12C6-4265-AFB6-D3A473B3A040}"/>
    <hyperlink ref="CA708" location="'CM Rec Par.'!CA6" display="Top" xr:uid="{4CDA37AD-97EF-4A86-9370-AE0FC706F1C3}"/>
    <hyperlink ref="CA711" location="'CM Rec Par.'!CA608" display="'CM Rec Par.'!CA608" xr:uid="{257E6224-FB1E-48F3-9262-A2896E7AF054}"/>
    <hyperlink ref="CA712" location="'CM Rec Par.'!CA708" display="'CM Rec Par.'!CA708" xr:uid="{8C71D898-A390-4611-89BD-18C8BF80DE01}"/>
    <hyperlink ref="CA713" location="'CM Rec Par.'!CA808" display="'CM Rec Par.'!CA808" xr:uid="{6C37C23E-FBD9-4576-962B-21A6C92337F5}"/>
    <hyperlink ref="CA714" location="'CM Rec Par.'!CA908" display="'CM Rec Par.'!CA908" xr:uid="{A982326B-0D74-4B1B-A336-2F7933AFB87B}"/>
    <hyperlink ref="CA715" location="'CM Rec Par.'!CA1008" display="'CM Rec Par.'!CA1008" xr:uid="{C6BE2A45-CCA9-46B8-A495-5C48CA190A85}"/>
    <hyperlink ref="CA716" location="'CM Rec Par.'!CA1108" display="'CM Rec Par.'!CA1108" xr:uid="{46210C4C-980F-4639-BCC2-728760EB7181}"/>
    <hyperlink ref="CA717" location="'CM Rec Par.'!CA1208" display="'CM Rec Par.'!CA1208" xr:uid="{FAB1153E-099A-4840-88F3-AFE5CD8F2B71}"/>
    <hyperlink ref="CA718" location="'CM Rec Par.'!CA1308" display="'CM Rec Par.'!CA1308" xr:uid="{4EA45483-FA14-42ED-84A2-02A49A9FF641}"/>
    <hyperlink ref="CA719" location="'CM Rec Par.'!CA1408" display="'CM Rec Par.'!CA1408" xr:uid="{CC0A7611-BA4E-4F46-AF5F-B48EF73B8F60}"/>
    <hyperlink ref="CA720" location="'CM Rec Par.'!CA1508" display="'CM Rec Par.'!CA1508" xr:uid="{FACCB1A5-7DAF-4B7F-A33B-58ED39E57E3F}"/>
    <hyperlink ref="CA721" location="'CM Rec Par.'!CA1608" display="'CM Rec Par.'!CA1608" xr:uid="{10E807EE-3DA9-466D-8597-B187A1E59896}"/>
    <hyperlink ref="CA722" location="'CM Rec Par.'!CA1708" display="'CM Rec Par.'!CA1708" xr:uid="{0B44F7F6-0C58-46FB-AEA6-47A462082D65}"/>
    <hyperlink ref="CA723" location="'CM Rec Par.'!CA1808" display="'CM Rec Par.'!CA1808" xr:uid="{93BCE3AA-E1F0-4D03-AF00-2487CC542A90}"/>
    <hyperlink ref="CA724" location="'CM Rec Par.'!CA1908" display="'CM Rec Par.'!CA1908" xr:uid="{449248E9-59B5-44FF-8355-A5E375786EC0}"/>
    <hyperlink ref="CA725" location="'CM Rec Par.'!CA2008" display="'CM Rec Par.'!CA2008" xr:uid="{40226A99-9B60-4ED1-80E8-7153CEF3F499}"/>
    <hyperlink ref="CA726" location="'CM Rec Par.'!CA2108" display="'CM Rec Par.'!CA2108" xr:uid="{F0EB0D3C-6610-43EE-8BC6-CEEA6573B6AE}"/>
    <hyperlink ref="CA727" location="'CM Rec Par.'!CA2208" display="'CM Rec Par.'!CA2208" xr:uid="{482F0BD9-E8A6-42F9-9DA1-6890E018DF25}"/>
    <hyperlink ref="CA728" location="'CM Rec Par.'!CA2308" display="'CM Rec Par.'!CA2308" xr:uid="{2E6359F2-6DE6-44BA-97CE-B71EA99CB4D9}"/>
    <hyperlink ref="CA729" location="'CM Rec Par.'!CA2408" display="'CM Rec Par.'!CA2408" xr:uid="{EFE5BC58-61F9-4EFC-98F3-AE886994A8B8}"/>
    <hyperlink ref="CA730" location="'CM Rec Par.'!CA2508" display="'CM Rec Par.'!CA2508" xr:uid="{E935D9DC-94FB-4BBD-B3A2-A18B999AA948}"/>
    <hyperlink ref="CA731" location="'CM Rec Par.'!CA2608" display="'CM Rec Par.'!CA2608" xr:uid="{9474F7D3-09D5-4F14-8505-A820C916D8BA}"/>
    <hyperlink ref="CA732" location="'CM Rec Par.'!CA2708" display="'CM Rec Par.'!CA2708" xr:uid="{D1AB9172-B3BA-4EDF-968B-00BC25F6C97E}"/>
    <hyperlink ref="CA733" location="'CM Rec Par.'!CA2808" display="'CM Rec Par.'!CA2808" xr:uid="{4DBF2D1D-C618-43E3-849A-532D81FE3C63}"/>
    <hyperlink ref="CA734" location="'CM Rec Par.'!CA2908" display="'CM Rec Par.'!CA2908" xr:uid="{C65FFA0E-11F3-4240-A9E0-DC62C0A56A9E}"/>
    <hyperlink ref="CA735" location="'CM Rec Par.'!CA3008" display="'CM Rec Par.'!CA3008" xr:uid="{E60250B0-92E2-4CA3-A65B-C20BE4B4C83B}"/>
    <hyperlink ref="CA736" location="'CM Rec Par.'!CA3108" display="'CM Rec Par.'!CA3108" xr:uid="{C840CC4B-012D-4D72-A319-AE0CDCD4CA9E}"/>
    <hyperlink ref="CA737" location="'CM Rec Par.'!CA3208" display="'CM Rec Par.'!CA3208" xr:uid="{9927A2BC-65F4-4750-9D0B-474EE2C0F86C}"/>
    <hyperlink ref="CA738" location="'CM Rec Par.'!CA3308" display="'CM Rec Par.'!CA3308" xr:uid="{9C8027B0-2E66-4561-8912-84EB188C6089}"/>
    <hyperlink ref="CA739" location="'CM Rec Par.'!CA3408" display="'CM Rec Par.'!CA3408" xr:uid="{304CDC2F-E4D7-4BD1-8ACD-37FBFD990BD4}"/>
    <hyperlink ref="CA810" location="'CM Rec Par.'!CA508" display="'CM Rec Par.'!CA508" xr:uid="{1E254598-11CE-46B5-A0A6-C13A63DD4C86}"/>
    <hyperlink ref="CA809" location="'CM Rec Par.'!CA50" display="Process" xr:uid="{47C8DFFE-BC6C-4BE1-9921-0D6FC7E62C3B}"/>
    <hyperlink ref="CA808" location="'CM Rec Par.'!CA6" display="Top" xr:uid="{7C622667-07BD-405F-983C-9E7ECD83316B}"/>
    <hyperlink ref="CA811" location="'CM Rec Par.'!CA608" display="'CM Rec Par.'!CA608" xr:uid="{9B965970-2193-436D-B671-DB2CCC181770}"/>
    <hyperlink ref="CA812" location="'CM Rec Par.'!CA708" display="'CM Rec Par.'!CA708" xr:uid="{07D7956E-D416-4138-A6AC-F8F682639148}"/>
    <hyperlink ref="CA813" location="'CM Rec Par.'!CA808" display="'CM Rec Par.'!CA808" xr:uid="{3A0E450C-F643-49F2-8BC7-DC1F8E54FA95}"/>
    <hyperlink ref="CA814" location="'CM Rec Par.'!CA908" display="'CM Rec Par.'!CA908" xr:uid="{E053B6DC-51ED-4E53-A2FD-CA084EAF733D}"/>
    <hyperlink ref="CA815" location="'CM Rec Par.'!CA1008" display="'CM Rec Par.'!CA1008" xr:uid="{E2A610D1-3E57-4A00-9607-AECCB1080702}"/>
    <hyperlink ref="CA816" location="'CM Rec Par.'!CA1108" display="'CM Rec Par.'!CA1108" xr:uid="{D4EBCCDD-4EAE-4885-AD14-CD801ADD8934}"/>
    <hyperlink ref="CA817" location="'CM Rec Par.'!CA1208" display="'CM Rec Par.'!CA1208" xr:uid="{26A00B69-D659-4C8B-BB76-A1A715996F71}"/>
    <hyperlink ref="CA818" location="'CM Rec Par.'!CA1308" display="'CM Rec Par.'!CA1308" xr:uid="{B70B089C-D804-4FA0-8007-A25224ACA1EE}"/>
    <hyperlink ref="CA819" location="'CM Rec Par.'!CA1408" display="'CM Rec Par.'!CA1408" xr:uid="{20FF9AD1-217B-4094-AFB7-B255FDC579B7}"/>
    <hyperlink ref="CA820" location="'CM Rec Par.'!CA1508" display="'CM Rec Par.'!CA1508" xr:uid="{6A9B39FB-70EA-46DA-9A48-03FF12510C0A}"/>
    <hyperlink ref="CA821" location="'CM Rec Par.'!CA1608" display="'CM Rec Par.'!CA1608" xr:uid="{853C9FFB-9D08-4281-BE7D-03DF2F7A7387}"/>
    <hyperlink ref="CA822" location="'CM Rec Par.'!CA1708" display="'CM Rec Par.'!CA1708" xr:uid="{D3B8A6CA-2B3B-41E2-AD68-E9EE93BCA5E0}"/>
    <hyperlink ref="CA823" location="'CM Rec Par.'!CA1808" display="'CM Rec Par.'!CA1808" xr:uid="{D39DC4D5-4644-4201-960E-D18D4A5B14FD}"/>
    <hyperlink ref="CA824" location="'CM Rec Par.'!CA1908" display="'CM Rec Par.'!CA1908" xr:uid="{90F721E1-B607-40CA-8A55-8C4F27E442B3}"/>
    <hyperlink ref="CA825" location="'CM Rec Par.'!CA2008" display="'CM Rec Par.'!CA2008" xr:uid="{5C1BC435-323A-4045-AD11-EF9A926155F1}"/>
    <hyperlink ref="CA826" location="'CM Rec Par.'!CA2108" display="'CM Rec Par.'!CA2108" xr:uid="{872C5364-DD81-499C-90BA-18B821CC82A3}"/>
    <hyperlink ref="CA827" location="'CM Rec Par.'!CA2208" display="'CM Rec Par.'!CA2208" xr:uid="{BF04F20B-FBEB-4D36-B669-D36AA775471E}"/>
    <hyperlink ref="CA828" location="'CM Rec Par.'!CA2308" display="'CM Rec Par.'!CA2308" xr:uid="{EB1F9FF2-FC41-48C4-A3DC-573B53F008A6}"/>
    <hyperlink ref="CA829" location="'CM Rec Par.'!CA2408" display="'CM Rec Par.'!CA2408" xr:uid="{A1EDFED6-CC90-4ADF-9972-DDD2024A6FFD}"/>
    <hyperlink ref="CA830" location="'CM Rec Par.'!CA2508" display="'CM Rec Par.'!CA2508" xr:uid="{6A17C220-E0C9-46CF-AC54-A54B75BD6124}"/>
    <hyperlink ref="CA831" location="'CM Rec Par.'!CA2608" display="'CM Rec Par.'!CA2608" xr:uid="{2450596E-0D35-4125-B8B9-79BE47DA91CC}"/>
    <hyperlink ref="CA832" location="'CM Rec Par.'!CA2708" display="'CM Rec Par.'!CA2708" xr:uid="{B7D113CA-E21A-4339-A471-57E245B98404}"/>
    <hyperlink ref="CA833" location="'CM Rec Par.'!CA2808" display="'CM Rec Par.'!CA2808" xr:uid="{FA00B93F-18A1-422C-AECD-0A3CDBA4EFAE}"/>
    <hyperlink ref="CA834" location="'CM Rec Par.'!CA2908" display="'CM Rec Par.'!CA2908" xr:uid="{93922A8E-388B-490B-B3C1-50DCAF9C5358}"/>
    <hyperlink ref="CA835" location="'CM Rec Par.'!CA3008" display="'CM Rec Par.'!CA3008" xr:uid="{94A39329-6E48-485A-8E63-7DEC8810407A}"/>
    <hyperlink ref="CA836" location="'CM Rec Par.'!CA3108" display="'CM Rec Par.'!CA3108" xr:uid="{7C032C2D-C7A0-4801-8BFD-32CDCAED2A70}"/>
    <hyperlink ref="CA837" location="'CM Rec Par.'!CA3208" display="'CM Rec Par.'!CA3208" xr:uid="{640E3C5F-3D73-4AF9-983C-3A8B57CF494B}"/>
    <hyperlink ref="CA838" location="'CM Rec Par.'!CA3308" display="'CM Rec Par.'!CA3308" xr:uid="{A765F685-D55B-4C47-A8D5-58CCF0CFD736}"/>
    <hyperlink ref="CA839" location="'CM Rec Par.'!CA3408" display="'CM Rec Par.'!CA3408" xr:uid="{E40D75C6-7256-4DF3-85E7-D343B27C37F1}"/>
    <hyperlink ref="CA910" location="'CM Rec Par.'!CA508" display="'CM Rec Par.'!CA508" xr:uid="{9F3EB36A-DF87-4F9B-8A2C-DAE5BD8C38E4}"/>
    <hyperlink ref="CA909" location="'CM Rec Par.'!CA50" display="Process" xr:uid="{EEB45C75-E5CA-4CB5-BC05-99ECAB0D7457}"/>
    <hyperlink ref="CA908" location="'CM Rec Par.'!CA6" display="Top" xr:uid="{E45B70FB-715F-4A95-A0BE-CCD837B05043}"/>
    <hyperlink ref="CA911" location="'CM Rec Par.'!CA608" display="'CM Rec Par.'!CA608" xr:uid="{65B4EC2C-E463-446B-95BA-5AF8FE9E2A69}"/>
    <hyperlink ref="CA912" location="'CM Rec Par.'!CA708" display="'CM Rec Par.'!CA708" xr:uid="{11850453-6C2D-4741-BE84-497EB040D010}"/>
    <hyperlink ref="CA913" location="'CM Rec Par.'!CA808" display="'CM Rec Par.'!CA808" xr:uid="{5D60F9FE-5CFE-43E4-BF64-1C560F37C717}"/>
    <hyperlink ref="CA914" location="'CM Rec Par.'!CA908" display="'CM Rec Par.'!CA908" xr:uid="{3E88728F-0A37-42E7-B7E7-183321E9EC8D}"/>
    <hyperlink ref="CA915" location="'CM Rec Par.'!CA1008" display="'CM Rec Par.'!CA1008" xr:uid="{A03CCD1F-D85B-44FF-BC4F-EE26A1AD7AFD}"/>
    <hyperlink ref="CA916" location="'CM Rec Par.'!CA1108" display="'CM Rec Par.'!CA1108" xr:uid="{2D7380C9-DF89-4FF3-9824-05F17EFB2443}"/>
    <hyperlink ref="CA917" location="'CM Rec Par.'!CA1208" display="'CM Rec Par.'!CA1208" xr:uid="{BBF7CDAF-C425-4490-A159-185ACE3CAE7F}"/>
    <hyperlink ref="CA918" location="'CM Rec Par.'!CA1308" display="'CM Rec Par.'!CA1308" xr:uid="{3C8F3395-D068-4904-BBC4-FCF1F868FD11}"/>
    <hyperlink ref="CA919" location="'CM Rec Par.'!CA1408" display="'CM Rec Par.'!CA1408" xr:uid="{AF9AEBF3-26BB-4B3A-AFAD-647BADEC8E25}"/>
    <hyperlink ref="CA920" location="'CM Rec Par.'!CA1508" display="'CM Rec Par.'!CA1508" xr:uid="{187AF179-EC3A-4B0E-A54A-59F0D8DB6709}"/>
    <hyperlink ref="CA921" location="'CM Rec Par.'!CA1608" display="'CM Rec Par.'!CA1608" xr:uid="{484DC938-1304-4A20-BEC7-C0FF22E618B7}"/>
    <hyperlink ref="CA922" location="'CM Rec Par.'!CA1708" display="'CM Rec Par.'!CA1708" xr:uid="{8E9086B9-2510-4234-98F1-2F73B7FED57D}"/>
    <hyperlink ref="CA923" location="'CM Rec Par.'!CA1808" display="'CM Rec Par.'!CA1808" xr:uid="{048A2141-59A7-4095-B33D-C230F74A0AD4}"/>
    <hyperlink ref="CA924" location="'CM Rec Par.'!CA1908" display="'CM Rec Par.'!CA1908" xr:uid="{9F901085-3866-469B-B7E0-A01538BE6A81}"/>
    <hyperlink ref="CA925" location="'CM Rec Par.'!CA2008" display="'CM Rec Par.'!CA2008" xr:uid="{6351C97D-61FD-4549-B5B1-45BD780A7529}"/>
    <hyperlink ref="CA926" location="'CM Rec Par.'!CA2108" display="'CM Rec Par.'!CA2108" xr:uid="{95BC1608-8869-4A5D-8ED3-08BD43B610CF}"/>
    <hyperlink ref="CA927" location="'CM Rec Par.'!CA2208" display="'CM Rec Par.'!CA2208" xr:uid="{8A97F24B-CED7-4C75-8447-C7A62159CE9C}"/>
    <hyperlink ref="CA928" location="'CM Rec Par.'!CA2308" display="'CM Rec Par.'!CA2308" xr:uid="{FCC96919-8F5E-4259-95CE-2AA41F077538}"/>
    <hyperlink ref="CA929" location="'CM Rec Par.'!CA2408" display="'CM Rec Par.'!CA2408" xr:uid="{64514303-03D8-4219-8A5C-095F4942F6F9}"/>
    <hyperlink ref="CA930" location="'CM Rec Par.'!CA2508" display="'CM Rec Par.'!CA2508" xr:uid="{6BBACB04-BCFC-47B8-9B92-BE709E816438}"/>
    <hyperlink ref="CA931" location="'CM Rec Par.'!CA2608" display="'CM Rec Par.'!CA2608" xr:uid="{F9B056D2-AFDF-4EF0-8889-164BC176CEEA}"/>
    <hyperlink ref="CA932" location="'CM Rec Par.'!CA2708" display="'CM Rec Par.'!CA2708" xr:uid="{CE8AA1FF-12A5-4812-B8A0-0EFCE7A91CB7}"/>
    <hyperlink ref="CA933" location="'CM Rec Par.'!CA2808" display="'CM Rec Par.'!CA2808" xr:uid="{43A36196-36CC-4B64-88CB-0D178C7889B6}"/>
    <hyperlink ref="CA934" location="'CM Rec Par.'!CA2908" display="'CM Rec Par.'!CA2908" xr:uid="{2EDC49C5-8F5C-4A4D-8175-35ACCEA21E09}"/>
    <hyperlink ref="CA935" location="'CM Rec Par.'!CA3008" display="'CM Rec Par.'!CA3008" xr:uid="{70C9C538-5054-475C-872C-0E8D91A2EEF9}"/>
    <hyperlink ref="CA936" location="'CM Rec Par.'!CA3108" display="'CM Rec Par.'!CA3108" xr:uid="{807578FD-C7F0-4512-AA21-55746E2C22E2}"/>
    <hyperlink ref="CA937" location="'CM Rec Par.'!CA3208" display="'CM Rec Par.'!CA3208" xr:uid="{AA3A1322-72DF-45BC-97EC-4D6CAB6312A2}"/>
    <hyperlink ref="CA938" location="'CM Rec Par.'!CA3308" display="'CM Rec Par.'!CA3308" xr:uid="{37298820-7D75-43DB-B6DE-8DCA241813FE}"/>
    <hyperlink ref="CA939" location="'CM Rec Par.'!CA3408" display="'CM Rec Par.'!CA3408" xr:uid="{F9D610FB-0491-41EA-AE5F-B3CE9183CE62}"/>
    <hyperlink ref="CA1010" location="'CM Rec Par.'!CA508" display="'CM Rec Par.'!CA508" xr:uid="{F898E513-6622-4584-BFDD-56806DD60687}"/>
    <hyperlink ref="CA1009" location="'CM Rec Par.'!CA50" display="Process" xr:uid="{6F388AFB-8E59-456B-BB2B-D45D75893D39}"/>
    <hyperlink ref="CA1008" location="'CM Rec Par.'!CA6" display="Top" xr:uid="{82D6BA3C-9784-48D0-8B60-22260C77DBB7}"/>
    <hyperlink ref="CA1011" location="'CM Rec Par.'!CA608" display="'CM Rec Par.'!CA608" xr:uid="{DD77F43F-0F90-4025-8F14-F4E70E89DC27}"/>
    <hyperlink ref="CA1012" location="'CM Rec Par.'!CA708" display="'CM Rec Par.'!CA708" xr:uid="{FECDDD95-510D-471E-9E7B-D3F8B57002DA}"/>
    <hyperlink ref="CA1013" location="'CM Rec Par.'!CA808" display="'CM Rec Par.'!CA808" xr:uid="{13DD4247-B5E1-471D-B11F-C2D9ADD15492}"/>
    <hyperlink ref="CA1014" location="'CM Rec Par.'!CA908" display="'CM Rec Par.'!CA908" xr:uid="{AF2A7577-6531-4FBE-98E7-A4CE496ED6B6}"/>
    <hyperlink ref="CA1015" location="'CM Rec Par.'!CA1008" display="'CM Rec Par.'!CA1008" xr:uid="{DFC585EC-7E25-4FB2-8E2B-B470F03C96DA}"/>
    <hyperlink ref="CA1016" location="'CM Rec Par.'!CA1108" display="'CM Rec Par.'!CA1108" xr:uid="{3A797D03-5245-4618-A8F6-11A6A0FB7655}"/>
    <hyperlink ref="CA1017" location="'CM Rec Par.'!CA1208" display="'CM Rec Par.'!CA1208" xr:uid="{65F855AF-F4FA-4D9C-AD22-98988B80325A}"/>
    <hyperlink ref="CA1018" location="'CM Rec Par.'!CA1308" display="'CM Rec Par.'!CA1308" xr:uid="{C8928A46-F6BB-4F48-9948-39EA42320551}"/>
    <hyperlink ref="CA1019" location="'CM Rec Par.'!CA1408" display="'CM Rec Par.'!CA1408" xr:uid="{CA826D71-0A2C-4AC1-8886-1894FF1DAFBC}"/>
    <hyperlink ref="CA1020" location="'CM Rec Par.'!CA1508" display="'CM Rec Par.'!CA1508" xr:uid="{47FE2623-33EB-45EA-AA94-236C30AA0EAB}"/>
    <hyperlink ref="CA1021" location="'CM Rec Par.'!CA1608" display="'CM Rec Par.'!CA1608" xr:uid="{FE8CD195-2431-4721-A027-7C2C51152130}"/>
    <hyperlink ref="CA1022" location="'CM Rec Par.'!CA1708" display="'CM Rec Par.'!CA1708" xr:uid="{F4297A76-1C14-4EA2-B77F-188B9116BC7A}"/>
    <hyperlink ref="CA1023" location="'CM Rec Par.'!CA1808" display="'CM Rec Par.'!CA1808" xr:uid="{ED6F6DB3-9625-4C21-BC82-1AF742D05D4F}"/>
    <hyperlink ref="CA1024" location="'CM Rec Par.'!CA1908" display="'CM Rec Par.'!CA1908" xr:uid="{1862B0C3-838C-4ED5-9897-8E31DFE0F51E}"/>
    <hyperlink ref="CA1025" location="'CM Rec Par.'!CA2008" display="'CM Rec Par.'!CA2008" xr:uid="{D1A8B437-07F9-4C41-961B-3D040A2B3ABA}"/>
    <hyperlink ref="CA1026" location="'CM Rec Par.'!CA2108" display="'CM Rec Par.'!CA2108" xr:uid="{BA951AF9-C5E6-4142-AF22-89BD60B70BFD}"/>
    <hyperlink ref="CA1027" location="'CM Rec Par.'!CA2208" display="'CM Rec Par.'!CA2208" xr:uid="{BBDFB5D5-B9B0-4B85-BA31-2F16AEBECA08}"/>
    <hyperlink ref="CA1028" location="'CM Rec Par.'!CA2308" display="'CM Rec Par.'!CA2308" xr:uid="{B385245C-20F3-42D0-BBEA-A153F92773E6}"/>
    <hyperlink ref="CA1029" location="'CM Rec Par.'!CA2408" display="'CM Rec Par.'!CA2408" xr:uid="{FAE42684-DFD3-462C-BEE0-594741A987CB}"/>
    <hyperlink ref="CA1030" location="'CM Rec Par.'!CA2508" display="'CM Rec Par.'!CA2508" xr:uid="{BA24F6E0-5DEF-4391-88B8-64D0F4D1D9A2}"/>
    <hyperlink ref="CA1031" location="'CM Rec Par.'!CA2608" display="'CM Rec Par.'!CA2608" xr:uid="{29F0F9BD-91DB-46D3-8CB4-E6997AEB7B5D}"/>
    <hyperlink ref="CA1032" location="'CM Rec Par.'!CA2708" display="'CM Rec Par.'!CA2708" xr:uid="{BE29D3A0-EC00-4CD1-9A04-108C8E7C2689}"/>
    <hyperlink ref="CA1033" location="'CM Rec Par.'!CA2808" display="'CM Rec Par.'!CA2808" xr:uid="{71581799-FB07-4368-8ABF-B58C1D3669A5}"/>
    <hyperlink ref="CA1034" location="'CM Rec Par.'!CA2908" display="'CM Rec Par.'!CA2908" xr:uid="{EB2007A6-80E2-4AA2-9A17-FA5313DA91E0}"/>
    <hyperlink ref="CA1035" location="'CM Rec Par.'!CA3008" display="'CM Rec Par.'!CA3008" xr:uid="{3232C6E9-F4E8-4807-BE33-E7D5E8DBD014}"/>
    <hyperlink ref="CA1036" location="'CM Rec Par.'!CA3108" display="'CM Rec Par.'!CA3108" xr:uid="{44F8A859-EB77-477A-8823-DCFB95D5F4A7}"/>
    <hyperlink ref="CA1037" location="'CM Rec Par.'!CA3208" display="'CM Rec Par.'!CA3208" xr:uid="{E90D2542-43F4-4878-B001-F6A073790D2A}"/>
    <hyperlink ref="CA1038" location="'CM Rec Par.'!CA3308" display="'CM Rec Par.'!CA3308" xr:uid="{99695C37-4E29-4A4E-84FA-C355ABE8358A}"/>
    <hyperlink ref="CA1039" location="'CM Rec Par.'!CA3408" display="'CM Rec Par.'!CA3408" xr:uid="{7C2383BB-B8D3-4DF5-8B60-7913FE1C689A}"/>
    <hyperlink ref="CA1110" location="'CM Rec Par.'!CA508" display="'CM Rec Par.'!CA508" xr:uid="{EBE9490B-FCFA-4637-9624-ACC2B36CD77C}"/>
    <hyperlink ref="CA1109" location="'CM Rec Par.'!CA50" display="Process" xr:uid="{74A45593-D8F6-433B-8344-BA1B95BEB55F}"/>
    <hyperlink ref="CA1108" location="'CM Rec Par.'!CA6" display="Top" xr:uid="{2C50E421-2BE9-44EF-AFF1-DB27250E3849}"/>
    <hyperlink ref="CA1111" location="'CM Rec Par.'!CA608" display="'CM Rec Par.'!CA608" xr:uid="{57A193C6-F0A0-4DDE-BD03-551BCF84A48E}"/>
    <hyperlink ref="CA1112" location="'CM Rec Par.'!CA708" display="'CM Rec Par.'!CA708" xr:uid="{78DDC379-609E-4AA2-8A68-5A9D37375500}"/>
    <hyperlink ref="CA1113" location="'CM Rec Par.'!CA808" display="'CM Rec Par.'!CA808" xr:uid="{8E21E351-10A9-40A8-B6EE-F406F6BF7D86}"/>
    <hyperlink ref="CA1114" location="'CM Rec Par.'!CA908" display="'CM Rec Par.'!CA908" xr:uid="{A5F90CBB-3286-46D4-BCCC-01B897DDFD0C}"/>
    <hyperlink ref="CA1115" location="'CM Rec Par.'!CA1008" display="'CM Rec Par.'!CA1008" xr:uid="{7F5A8E4E-6AE3-489F-9426-5E71488BAD1E}"/>
    <hyperlink ref="CA1116" location="'CM Rec Par.'!CA1108" display="'CM Rec Par.'!CA1108" xr:uid="{6F8390DC-7BE1-4DCB-9791-0A79EBD395AF}"/>
    <hyperlink ref="CA1117" location="'CM Rec Par.'!CA1208" display="'CM Rec Par.'!CA1208" xr:uid="{0365D5C2-7160-41BC-A4DF-357262148A71}"/>
    <hyperlink ref="CA1118" location="'CM Rec Par.'!CA1308" display="'CM Rec Par.'!CA1308" xr:uid="{426783E8-A4FD-4263-842C-F54FDF0A07D7}"/>
    <hyperlink ref="CA1119" location="'CM Rec Par.'!CA1408" display="'CM Rec Par.'!CA1408" xr:uid="{BA6D08CA-8EE1-46A5-B4AD-2BAD41C29A1D}"/>
    <hyperlink ref="CA1120" location="'CM Rec Par.'!CA1508" display="'CM Rec Par.'!CA1508" xr:uid="{9C97C576-F6F5-4790-AE17-B60A5A8BE9CC}"/>
    <hyperlink ref="CA1121" location="'CM Rec Par.'!CA1608" display="'CM Rec Par.'!CA1608" xr:uid="{1B194F96-92E0-4612-AB6E-C94F0604BB0A}"/>
    <hyperlink ref="CA1122" location="'CM Rec Par.'!CA1708" display="'CM Rec Par.'!CA1708" xr:uid="{CAB1F074-E6AD-4378-9BBC-E4B1927C8AE1}"/>
    <hyperlink ref="CA1123" location="'CM Rec Par.'!CA1808" display="'CM Rec Par.'!CA1808" xr:uid="{FFFAC047-1816-4E1A-A677-B3260D688A8C}"/>
    <hyperlink ref="CA1124" location="'CM Rec Par.'!CA1908" display="'CM Rec Par.'!CA1908" xr:uid="{3E54EF81-FC32-4CDE-AB9D-E43BED24D4DA}"/>
    <hyperlink ref="CA1125" location="'CM Rec Par.'!CA2008" display="'CM Rec Par.'!CA2008" xr:uid="{FF918BD6-C0E4-441A-99FD-A9A9DB19D3E4}"/>
    <hyperlink ref="CA1126" location="'CM Rec Par.'!CA2108" display="'CM Rec Par.'!CA2108" xr:uid="{C889996B-A776-4CC0-95EF-46E12D1A77D0}"/>
    <hyperlink ref="CA1127" location="'CM Rec Par.'!CA2208" display="'CM Rec Par.'!CA2208" xr:uid="{59EBE0A8-279C-46E2-A15D-C68253C68D71}"/>
    <hyperlink ref="CA1128" location="'CM Rec Par.'!CA2308" display="'CM Rec Par.'!CA2308" xr:uid="{A9BFBBC8-9F55-4BB7-9754-BF69C90CD9D0}"/>
    <hyperlink ref="CA1129" location="'CM Rec Par.'!CA2408" display="'CM Rec Par.'!CA2408" xr:uid="{662F788B-F213-4F03-BA88-24D3394AF7F0}"/>
    <hyperlink ref="CA1130" location="'CM Rec Par.'!CA2508" display="'CM Rec Par.'!CA2508" xr:uid="{1DA726C5-6661-4AF3-AC4D-0DB731B43E6B}"/>
    <hyperlink ref="CA1131" location="'CM Rec Par.'!CA2608" display="'CM Rec Par.'!CA2608" xr:uid="{1F52A100-BB54-4B26-8477-857D08460E01}"/>
    <hyperlink ref="CA1132" location="'CM Rec Par.'!CA2708" display="'CM Rec Par.'!CA2708" xr:uid="{9EA29650-C937-47C7-BE7B-947FB371055A}"/>
    <hyperlink ref="CA1133" location="'CM Rec Par.'!CA2808" display="'CM Rec Par.'!CA2808" xr:uid="{40E8B10D-ED69-4E6E-BFAE-933849CF0C3A}"/>
    <hyperlink ref="CA1134" location="'CM Rec Par.'!CA2908" display="'CM Rec Par.'!CA2908" xr:uid="{AE817222-1C7B-478D-931B-9422871A71B5}"/>
    <hyperlink ref="CA1135" location="'CM Rec Par.'!CA3008" display="'CM Rec Par.'!CA3008" xr:uid="{8B9A313B-FBAC-42FD-82B8-F0CB71B32B85}"/>
    <hyperlink ref="CA1136" location="'CM Rec Par.'!CA3108" display="'CM Rec Par.'!CA3108" xr:uid="{21A71330-B744-4A47-9484-E5A3972A0A95}"/>
    <hyperlink ref="CA1137" location="'CM Rec Par.'!CA3208" display="'CM Rec Par.'!CA3208" xr:uid="{C4D36C6D-914F-418F-AAE4-2BE0958A1536}"/>
    <hyperlink ref="CA1138" location="'CM Rec Par.'!CA3308" display="'CM Rec Par.'!CA3308" xr:uid="{EC1D2F1D-0D93-42D8-A2CD-02504373AD1C}"/>
    <hyperlink ref="CA1139" location="'CM Rec Par.'!CA3408" display="'CM Rec Par.'!CA3408" xr:uid="{7C0B40DD-0153-458B-8C4E-6AB03807FF76}"/>
    <hyperlink ref="CA1210" location="'CM Rec Par.'!CA508" display="'CM Rec Par.'!CA508" xr:uid="{5B9F5ABD-EBCF-4B98-A186-9B78FB4C8C06}"/>
    <hyperlink ref="CA1209" location="'CM Rec Par.'!CA50" display="Process" xr:uid="{1639D31B-5830-4958-877C-FAABA6AC6F66}"/>
    <hyperlink ref="CA1208" location="'CM Rec Par.'!CA6" display="Top" xr:uid="{AF60FB0D-D463-4903-A78B-547D560B6138}"/>
    <hyperlink ref="CA1211" location="'CM Rec Par.'!CA608" display="'CM Rec Par.'!CA608" xr:uid="{804DC417-7CE5-4331-B087-34911872F4F2}"/>
    <hyperlink ref="CA1212" location="'CM Rec Par.'!CA708" display="'CM Rec Par.'!CA708" xr:uid="{A37F858D-DC7B-4758-9C7B-1BC313D8EE74}"/>
    <hyperlink ref="CA1213" location="'CM Rec Par.'!CA808" display="'CM Rec Par.'!CA808" xr:uid="{2584D663-4F24-4687-91D7-E8224CEF9837}"/>
    <hyperlink ref="CA1214" location="'CM Rec Par.'!CA908" display="'CM Rec Par.'!CA908" xr:uid="{450FE286-F7C6-47F0-9B03-0DBD8865DEF3}"/>
    <hyperlink ref="CA1215" location="'CM Rec Par.'!CA1008" display="'CM Rec Par.'!CA1008" xr:uid="{DE187B72-E64A-4C95-8A3A-7ECAFFABBE92}"/>
    <hyperlink ref="CA1216" location="'CM Rec Par.'!CA1108" display="'CM Rec Par.'!CA1108" xr:uid="{1D290629-F378-4AFB-90BF-30CC8715E5CC}"/>
    <hyperlink ref="CA1217" location="'CM Rec Par.'!CA1208" display="'CM Rec Par.'!CA1208" xr:uid="{076FED43-573F-4B91-BAB2-F7ADC3A1147D}"/>
    <hyperlink ref="CA1218" location="'CM Rec Par.'!CA1308" display="'CM Rec Par.'!CA1308" xr:uid="{D430E04D-4E5F-4362-B608-CE905B6252BB}"/>
    <hyperlink ref="CA1219" location="'CM Rec Par.'!CA1408" display="'CM Rec Par.'!CA1408" xr:uid="{B9F5199F-7FD0-4CFB-9DB0-6A88540D767B}"/>
    <hyperlink ref="CA1220" location="'CM Rec Par.'!CA1508" display="'CM Rec Par.'!CA1508" xr:uid="{350B5CD6-4F02-49CF-91CC-CD2DC5B2E10B}"/>
    <hyperlink ref="CA1221" location="'CM Rec Par.'!CA1608" display="'CM Rec Par.'!CA1608" xr:uid="{517D539E-7D3E-478C-B765-974B04BE9917}"/>
    <hyperlink ref="CA1222" location="'CM Rec Par.'!CA1708" display="'CM Rec Par.'!CA1708" xr:uid="{C36915C5-273F-4D7F-A720-502757787E34}"/>
    <hyperlink ref="CA1223" location="'CM Rec Par.'!CA1808" display="'CM Rec Par.'!CA1808" xr:uid="{2653D4A1-F5AA-42E9-96AC-C9FA7B05DD64}"/>
    <hyperlink ref="CA1224" location="'CM Rec Par.'!CA1908" display="'CM Rec Par.'!CA1908" xr:uid="{8DE680A9-CFA6-46DD-80EA-759DC938D562}"/>
    <hyperlink ref="CA1225" location="'CM Rec Par.'!CA2008" display="'CM Rec Par.'!CA2008" xr:uid="{8076E433-7D3C-4A1D-84C0-3824E1905B3D}"/>
    <hyperlink ref="CA1226" location="'CM Rec Par.'!CA2108" display="'CM Rec Par.'!CA2108" xr:uid="{772E7934-4D30-4226-969B-FB242EA737E3}"/>
    <hyperlink ref="CA1227" location="'CM Rec Par.'!CA2208" display="'CM Rec Par.'!CA2208" xr:uid="{6C4EDBFD-36D6-4A53-92CF-C39A72938382}"/>
    <hyperlink ref="CA1228" location="'CM Rec Par.'!CA2308" display="'CM Rec Par.'!CA2308" xr:uid="{E3F82356-8D66-4DC3-8023-73DCAF13D542}"/>
    <hyperlink ref="CA1229" location="'CM Rec Par.'!CA2408" display="'CM Rec Par.'!CA2408" xr:uid="{25CEFCF9-E235-4371-A2E7-C70882AA0DE1}"/>
    <hyperlink ref="CA1230" location="'CM Rec Par.'!CA2508" display="'CM Rec Par.'!CA2508" xr:uid="{EFAAAF29-3CCC-428C-A204-215CDEA539A3}"/>
    <hyperlink ref="CA1231" location="'CM Rec Par.'!CA2608" display="'CM Rec Par.'!CA2608" xr:uid="{82A8D6F7-5C37-44AE-BB4F-15F93187878C}"/>
    <hyperlink ref="CA1232" location="'CM Rec Par.'!CA2708" display="'CM Rec Par.'!CA2708" xr:uid="{31897669-62D4-4625-A1F9-DEE8BC422AE8}"/>
    <hyperlink ref="CA1233" location="'CM Rec Par.'!CA2808" display="'CM Rec Par.'!CA2808" xr:uid="{F69E69F9-3602-4296-B947-FEA8F5A47CAD}"/>
    <hyperlink ref="CA1234" location="'CM Rec Par.'!CA2908" display="'CM Rec Par.'!CA2908" xr:uid="{555BC1F2-E165-468C-BF2D-BDF45420F6DE}"/>
    <hyperlink ref="CA1235" location="'CM Rec Par.'!CA3008" display="'CM Rec Par.'!CA3008" xr:uid="{715647D8-6F80-411E-93CC-6CC2AAC4B7F3}"/>
    <hyperlink ref="CA1236" location="'CM Rec Par.'!CA3108" display="'CM Rec Par.'!CA3108" xr:uid="{F2CFADBF-1FE3-4A6B-AED7-91A234778B62}"/>
    <hyperlink ref="CA1237" location="'CM Rec Par.'!CA3208" display="'CM Rec Par.'!CA3208" xr:uid="{2C476BCD-C793-49C4-9C90-0BA000000CBE}"/>
    <hyperlink ref="CA1238" location="'CM Rec Par.'!CA3308" display="'CM Rec Par.'!CA3308" xr:uid="{5B18A6A9-ABD5-4148-83BD-6EBF6F51A106}"/>
    <hyperlink ref="CA1239" location="'CM Rec Par.'!CA3408" display="'CM Rec Par.'!CA3408" xr:uid="{E8702889-7CB6-4738-B1AE-3E95EFAF2D35}"/>
    <hyperlink ref="CA1310" location="'CM Rec Par.'!CA508" display="'CM Rec Par.'!CA508" xr:uid="{B9A932CD-EE9B-4926-9BD1-3BCBCC974419}"/>
    <hyperlink ref="CA1309" location="'CM Rec Par.'!CA50" display="Process" xr:uid="{D6FD692C-3AE3-491F-BEA7-C8A9D6521932}"/>
    <hyperlink ref="CA1308" location="'CM Rec Par.'!CA6" display="Top" xr:uid="{7B02F7F3-3886-459F-938F-5B026BC6E818}"/>
    <hyperlink ref="CA1311" location="'CM Rec Par.'!CA608" display="'CM Rec Par.'!CA608" xr:uid="{B1802632-569B-4C43-9170-048A013DCC50}"/>
    <hyperlink ref="CA1312" location="'CM Rec Par.'!CA708" display="'CM Rec Par.'!CA708" xr:uid="{590FDD57-7507-4D73-B610-B9BED1B97C5A}"/>
    <hyperlink ref="CA1313" location="'CM Rec Par.'!CA808" display="'CM Rec Par.'!CA808" xr:uid="{9E87946F-3226-4905-869D-873A1627A60D}"/>
    <hyperlink ref="CA1314" location="'CM Rec Par.'!CA908" display="'CM Rec Par.'!CA908" xr:uid="{172BD368-1EFC-4D21-A1C2-3C97FCA5EA0E}"/>
    <hyperlink ref="CA1315" location="'CM Rec Par.'!CA1008" display="'CM Rec Par.'!CA1008" xr:uid="{D591177D-3E73-428F-B0D7-0D71C7C02669}"/>
    <hyperlink ref="CA1316" location="'CM Rec Par.'!CA1108" display="'CM Rec Par.'!CA1108" xr:uid="{9DA1C2B9-31EE-4EB8-B22D-A79254F5783D}"/>
    <hyperlink ref="CA1317" location="'CM Rec Par.'!CA1208" display="'CM Rec Par.'!CA1208" xr:uid="{C02DB6B2-6040-43D3-A768-81419EDF7254}"/>
    <hyperlink ref="CA1318" location="'CM Rec Par.'!CA1308" display="'CM Rec Par.'!CA1308" xr:uid="{5871BE51-CB84-4A4C-9051-EBCA7C55FD35}"/>
    <hyperlink ref="CA1319" location="'CM Rec Par.'!CA1408" display="'CM Rec Par.'!CA1408" xr:uid="{ADC5D65B-4ADC-43E9-AE84-7496C7DDCC6D}"/>
    <hyperlink ref="CA1320" location="'CM Rec Par.'!CA1508" display="'CM Rec Par.'!CA1508" xr:uid="{AB68B6E8-50EB-4DC1-8B0B-619B23786D53}"/>
    <hyperlink ref="CA1321" location="'CM Rec Par.'!CA1608" display="'CM Rec Par.'!CA1608" xr:uid="{58A3D11B-D8FC-4EB2-80AB-3801EFBDB106}"/>
    <hyperlink ref="CA1322" location="'CM Rec Par.'!CA1708" display="'CM Rec Par.'!CA1708" xr:uid="{CDE0734F-9B44-4346-8058-D7A3F1C1BDA1}"/>
    <hyperlink ref="CA1323" location="'CM Rec Par.'!CA1808" display="'CM Rec Par.'!CA1808" xr:uid="{B01D3EA5-1BD7-40A4-B141-F0CF81D674D9}"/>
    <hyperlink ref="CA1324" location="'CM Rec Par.'!CA1908" display="'CM Rec Par.'!CA1908" xr:uid="{472502C1-99F8-4324-A771-78034A91BC6D}"/>
    <hyperlink ref="CA1325" location="'CM Rec Par.'!CA2008" display="'CM Rec Par.'!CA2008" xr:uid="{23E4DE5B-B494-4CF2-B8F7-808F70E7FA6A}"/>
    <hyperlink ref="CA1326" location="'CM Rec Par.'!CA2108" display="'CM Rec Par.'!CA2108" xr:uid="{3B59DC9F-B78E-4F95-B90B-553DF9B49414}"/>
    <hyperlink ref="CA1327" location="'CM Rec Par.'!CA2208" display="'CM Rec Par.'!CA2208" xr:uid="{CC7CE738-4576-44E3-AE21-2DFED0FD21EF}"/>
    <hyperlink ref="CA1328" location="'CM Rec Par.'!CA2308" display="'CM Rec Par.'!CA2308" xr:uid="{389137BC-6FEC-4B1E-BCBF-2F73D3BC7ADA}"/>
    <hyperlink ref="CA1329" location="'CM Rec Par.'!CA2408" display="'CM Rec Par.'!CA2408" xr:uid="{1F7B7BB2-BF69-499F-9E70-30896A951AE3}"/>
    <hyperlink ref="CA1330" location="'CM Rec Par.'!CA2508" display="'CM Rec Par.'!CA2508" xr:uid="{BD04FAA9-770E-4882-A18C-383E96053A7A}"/>
    <hyperlink ref="CA1331" location="'CM Rec Par.'!CA2608" display="'CM Rec Par.'!CA2608" xr:uid="{F466F47E-798A-43E2-9F52-7341DBCC00B9}"/>
    <hyperlink ref="CA1332" location="'CM Rec Par.'!CA2708" display="'CM Rec Par.'!CA2708" xr:uid="{C501C4E6-52B8-4A8E-B261-7C00CCC8C6D0}"/>
    <hyperlink ref="CA1333" location="'CM Rec Par.'!CA2808" display="'CM Rec Par.'!CA2808" xr:uid="{35CC3B5E-E45E-4595-92EF-7EFC48785A3B}"/>
    <hyperlink ref="CA1334" location="'CM Rec Par.'!CA2908" display="'CM Rec Par.'!CA2908" xr:uid="{E668EFC4-F753-4512-A617-F6069EB9198B}"/>
    <hyperlink ref="CA1335" location="'CM Rec Par.'!CA3008" display="'CM Rec Par.'!CA3008" xr:uid="{D7B86A78-6DC1-48B2-821A-5A34FC53999C}"/>
    <hyperlink ref="CA1336" location="'CM Rec Par.'!CA3108" display="'CM Rec Par.'!CA3108" xr:uid="{E3024A07-2ED0-4812-865D-53EA77727829}"/>
    <hyperlink ref="CA1337" location="'CM Rec Par.'!CA3208" display="'CM Rec Par.'!CA3208" xr:uid="{AC750545-F2C1-4771-BE1D-083FE2B28585}"/>
    <hyperlink ref="CA1338" location="'CM Rec Par.'!CA3308" display="'CM Rec Par.'!CA3308" xr:uid="{0844CA92-893C-406B-AB2F-4F338C7A1303}"/>
    <hyperlink ref="CA1339" location="'CM Rec Par.'!CA3408" display="'CM Rec Par.'!CA3408" xr:uid="{4FBD1671-2451-46C6-8547-C92E282FB39B}"/>
    <hyperlink ref="CA1410" location="'CM Rec Par.'!CA508" display="'CM Rec Par.'!CA508" xr:uid="{E8BF0F76-4FE1-492F-AB49-EC935C22B956}"/>
    <hyperlink ref="CA1409" location="'CM Rec Par.'!CA50" display="Process" xr:uid="{7B298E35-E177-4EF9-8207-FC24408ABF3F}"/>
    <hyperlink ref="CA1408" location="'CM Rec Par.'!CA6" display="Top" xr:uid="{05642CFD-3758-45D7-B83A-401E9247957D}"/>
    <hyperlink ref="CA1411" location="'CM Rec Par.'!CA608" display="'CM Rec Par.'!CA608" xr:uid="{93B1EC0D-3097-4D4F-92A0-90110E66565B}"/>
    <hyperlink ref="CA1412" location="'CM Rec Par.'!CA708" display="'CM Rec Par.'!CA708" xr:uid="{BBB15ECB-BC07-411D-B28D-AE3718AF18A3}"/>
    <hyperlink ref="CA1413" location="'CM Rec Par.'!CA808" display="'CM Rec Par.'!CA808" xr:uid="{286C7C53-5AC2-4E62-9C38-5F2A7CFD6A68}"/>
    <hyperlink ref="CA1414" location="'CM Rec Par.'!CA908" display="'CM Rec Par.'!CA908" xr:uid="{71A63BB1-541D-41EB-9F55-B9189DADF18C}"/>
    <hyperlink ref="CA1415" location="'CM Rec Par.'!CA1008" display="'CM Rec Par.'!CA1008" xr:uid="{E2A24477-4382-43A6-85AF-802B072BDCFD}"/>
    <hyperlink ref="CA1416" location="'CM Rec Par.'!CA1108" display="'CM Rec Par.'!CA1108" xr:uid="{147D1581-3393-4F1D-934C-4762DA2FEAA2}"/>
    <hyperlink ref="CA1417" location="'CM Rec Par.'!CA1208" display="'CM Rec Par.'!CA1208" xr:uid="{A26114E5-85BB-44BC-84E4-F32A2F302229}"/>
    <hyperlink ref="CA1418" location="'CM Rec Par.'!CA1308" display="'CM Rec Par.'!CA1308" xr:uid="{05927F35-E9E7-4E25-9D74-1DE3BC3747D9}"/>
    <hyperlink ref="CA1419" location="'CM Rec Par.'!CA1408" display="'CM Rec Par.'!CA1408" xr:uid="{BBE03874-5A3D-49DF-91A1-8B59A82A7507}"/>
    <hyperlink ref="CA1420" location="'CM Rec Par.'!CA1508" display="'CM Rec Par.'!CA1508" xr:uid="{76493AD5-7DBE-4368-B1E6-EF7E281C002E}"/>
    <hyperlink ref="CA1421" location="'CM Rec Par.'!CA1608" display="'CM Rec Par.'!CA1608" xr:uid="{6C50E206-8499-4F0E-B425-BE09A1112585}"/>
    <hyperlink ref="CA1422" location="'CM Rec Par.'!CA1708" display="'CM Rec Par.'!CA1708" xr:uid="{2CDB11C2-170F-4976-AA60-41FD0D8CEE42}"/>
    <hyperlink ref="CA1423" location="'CM Rec Par.'!CA1808" display="'CM Rec Par.'!CA1808" xr:uid="{3D95EA83-060D-4721-9180-D528C7C3654F}"/>
    <hyperlink ref="CA1424" location="'CM Rec Par.'!CA1908" display="'CM Rec Par.'!CA1908" xr:uid="{7E7D9483-28D0-41A5-B56E-F7CBB2198607}"/>
    <hyperlink ref="CA1425" location="'CM Rec Par.'!CA2008" display="'CM Rec Par.'!CA2008" xr:uid="{19AB53C7-FDEE-4245-950C-0F2240E47A65}"/>
    <hyperlink ref="CA1426" location="'CM Rec Par.'!CA2108" display="'CM Rec Par.'!CA2108" xr:uid="{BC159976-4E03-42EE-8333-332D5EC73198}"/>
    <hyperlink ref="CA1427" location="'CM Rec Par.'!CA2208" display="'CM Rec Par.'!CA2208" xr:uid="{99EBCB27-80A0-496C-978A-33C383CEECEC}"/>
    <hyperlink ref="CA1428" location="'CM Rec Par.'!CA2308" display="'CM Rec Par.'!CA2308" xr:uid="{62EA2D17-59A2-438E-A626-B100C59B0154}"/>
    <hyperlink ref="CA1429" location="'CM Rec Par.'!CA2408" display="'CM Rec Par.'!CA2408" xr:uid="{F2715C27-424F-4215-93B6-5FB0D41F6AEC}"/>
    <hyperlink ref="CA1430" location="'CM Rec Par.'!CA2508" display="'CM Rec Par.'!CA2508" xr:uid="{A496FC99-82D4-4D25-A5C0-88D1E19820A5}"/>
    <hyperlink ref="CA1431" location="'CM Rec Par.'!CA2608" display="'CM Rec Par.'!CA2608" xr:uid="{B16D954A-F7A6-4FFB-A3D1-35CAAA79C3EE}"/>
    <hyperlink ref="CA1432" location="'CM Rec Par.'!CA2708" display="'CM Rec Par.'!CA2708" xr:uid="{4BD71A18-5450-4896-9638-989CC3EEDF91}"/>
    <hyperlink ref="CA1433" location="'CM Rec Par.'!CA2808" display="'CM Rec Par.'!CA2808" xr:uid="{8D8AE144-FD36-438F-A96F-3EC8527E38A9}"/>
    <hyperlink ref="CA1434" location="'CM Rec Par.'!CA2908" display="'CM Rec Par.'!CA2908" xr:uid="{D43929B1-7371-47E8-8B7E-9496C452AA6F}"/>
    <hyperlink ref="CA1435" location="'CM Rec Par.'!CA3008" display="'CM Rec Par.'!CA3008" xr:uid="{ADCF6A99-25BE-496E-ACA8-B23BF4C3BB8D}"/>
    <hyperlink ref="CA1436" location="'CM Rec Par.'!CA3108" display="'CM Rec Par.'!CA3108" xr:uid="{8792FBF5-6E00-46FC-8C48-DAA1ABC05FE9}"/>
    <hyperlink ref="CA1437" location="'CM Rec Par.'!CA3208" display="'CM Rec Par.'!CA3208" xr:uid="{1DE7A2F1-6990-4742-8EF5-FB23112D237E}"/>
    <hyperlink ref="CA1438" location="'CM Rec Par.'!CA3308" display="'CM Rec Par.'!CA3308" xr:uid="{A7C64366-1AEC-47CD-8CCE-27F41F8C8A35}"/>
    <hyperlink ref="CA1439" location="'CM Rec Par.'!CA3408" display="'CM Rec Par.'!CA3408" xr:uid="{896B0132-A06A-44EC-9CB2-6E7BAC68C236}"/>
    <hyperlink ref="CA1510" location="'CM Rec Par.'!CA508" display="'CM Rec Par.'!CA508" xr:uid="{B7D2DBA9-9E24-4896-AA1D-5D3852CD0E88}"/>
    <hyperlink ref="CA1509" location="'CM Rec Par.'!CA50" display="Process" xr:uid="{16E39009-C7D4-4503-9E78-F57B8C028D11}"/>
    <hyperlink ref="CA1508" location="'CM Rec Par.'!CA6" display="Top" xr:uid="{52B3EEEB-0B49-4F04-87F1-02F05CF1DB72}"/>
    <hyperlink ref="CA1511" location="'CM Rec Par.'!CA608" display="'CM Rec Par.'!CA608" xr:uid="{3190BA62-FC47-4DB1-9CAA-C7EECBC3C75C}"/>
    <hyperlink ref="CA1512" location="'CM Rec Par.'!CA708" display="'CM Rec Par.'!CA708" xr:uid="{2667CB29-1591-4EF2-A4F4-3DD8CD991A58}"/>
    <hyperlink ref="CA1513" location="'CM Rec Par.'!CA808" display="'CM Rec Par.'!CA808" xr:uid="{DE50E33B-D25D-430E-B88B-DA8AF8C5FAB5}"/>
    <hyperlink ref="CA1514" location="'CM Rec Par.'!CA908" display="'CM Rec Par.'!CA908" xr:uid="{0103CD71-48FC-4A06-920C-7F6490757A5E}"/>
    <hyperlink ref="CA1515" location="'CM Rec Par.'!CA1008" display="'CM Rec Par.'!CA1008" xr:uid="{BDE5E9E2-58CB-4861-92B9-077AA93A5D41}"/>
    <hyperlink ref="CA1516" location="'CM Rec Par.'!CA1108" display="'CM Rec Par.'!CA1108" xr:uid="{F8334E4A-422E-4E3B-A5CD-BF6961BF267D}"/>
    <hyperlink ref="CA1517" location="'CM Rec Par.'!CA1208" display="'CM Rec Par.'!CA1208" xr:uid="{CC929BF2-8020-41D9-BC74-5588FB490559}"/>
    <hyperlink ref="CA1518" location="'CM Rec Par.'!CA1308" display="'CM Rec Par.'!CA1308" xr:uid="{E75EC117-82A4-4439-B8C7-9E92C59935C3}"/>
    <hyperlink ref="CA1519" location="'CM Rec Par.'!CA1408" display="'CM Rec Par.'!CA1408" xr:uid="{8775A680-0261-4D95-B1C3-6699DED5E197}"/>
    <hyperlink ref="CA1520" location="'CM Rec Par.'!CA1508" display="'CM Rec Par.'!CA1508" xr:uid="{D1B39B30-5694-44DE-8CFC-934960A9B556}"/>
    <hyperlink ref="CA1521" location="'CM Rec Par.'!CA1608" display="'CM Rec Par.'!CA1608" xr:uid="{DDE78A58-5064-4A1D-9EB7-70D3FA768F72}"/>
    <hyperlink ref="CA1522" location="'CM Rec Par.'!CA1708" display="'CM Rec Par.'!CA1708" xr:uid="{1C19534B-64EA-4CC0-914A-310073ECB540}"/>
    <hyperlink ref="CA1523" location="'CM Rec Par.'!CA1808" display="'CM Rec Par.'!CA1808" xr:uid="{495E92A0-39FF-4A7B-9A8F-90F819A27B30}"/>
    <hyperlink ref="CA1524" location="'CM Rec Par.'!CA1908" display="'CM Rec Par.'!CA1908" xr:uid="{085B5F24-2A86-4709-87FD-77AD319FF323}"/>
    <hyperlink ref="CA1525" location="'CM Rec Par.'!CA2008" display="'CM Rec Par.'!CA2008" xr:uid="{68A585D4-54BF-480B-BDF6-8F43D6FC3298}"/>
    <hyperlink ref="CA1526" location="'CM Rec Par.'!CA2108" display="'CM Rec Par.'!CA2108" xr:uid="{9B0B5941-9B75-4C6D-B069-2F3F047B5D3D}"/>
    <hyperlink ref="CA1527" location="'CM Rec Par.'!CA2208" display="'CM Rec Par.'!CA2208" xr:uid="{47110AF5-34A4-4C87-9398-10FB8B81FFD9}"/>
    <hyperlink ref="CA1528" location="'CM Rec Par.'!CA2308" display="'CM Rec Par.'!CA2308" xr:uid="{3478FA6D-DF2D-4F96-934E-9429B3164485}"/>
    <hyperlink ref="CA1529" location="'CM Rec Par.'!CA2408" display="'CM Rec Par.'!CA2408" xr:uid="{0703F804-399C-4CDB-BABB-80F67BC18BD4}"/>
    <hyperlink ref="CA1530" location="'CM Rec Par.'!CA2508" display="'CM Rec Par.'!CA2508" xr:uid="{F4C2C6B6-8F88-4254-95C7-705C1BBFFB35}"/>
    <hyperlink ref="CA1531" location="'CM Rec Par.'!CA2608" display="'CM Rec Par.'!CA2608" xr:uid="{0D24ADA6-337D-42DA-B3E5-6562D4CE8DB4}"/>
    <hyperlink ref="CA1532" location="'CM Rec Par.'!CA2708" display="'CM Rec Par.'!CA2708" xr:uid="{ECD1080F-F6A2-4E53-B91B-4FBAA24AEBD7}"/>
    <hyperlink ref="CA1533" location="'CM Rec Par.'!CA2808" display="'CM Rec Par.'!CA2808" xr:uid="{F17072C6-4392-462A-ACDF-D04DD8891DB9}"/>
    <hyperlink ref="CA1534" location="'CM Rec Par.'!CA2908" display="'CM Rec Par.'!CA2908" xr:uid="{100F614A-390D-42AF-B683-A41617427EE6}"/>
    <hyperlink ref="CA1535" location="'CM Rec Par.'!CA3008" display="'CM Rec Par.'!CA3008" xr:uid="{E0C8C45C-337A-42F6-BAF0-BADABC32DD1D}"/>
    <hyperlink ref="CA1536" location="'CM Rec Par.'!CA3108" display="'CM Rec Par.'!CA3108" xr:uid="{85DD66AA-9698-4090-A2E4-4085E980CF1A}"/>
    <hyperlink ref="CA1537" location="'CM Rec Par.'!CA3208" display="'CM Rec Par.'!CA3208" xr:uid="{516FD112-386A-4AC2-9DE8-2941B2EC1C7E}"/>
    <hyperlink ref="CA1538" location="'CM Rec Par.'!CA3308" display="'CM Rec Par.'!CA3308" xr:uid="{9AAF0A1C-D432-4A8E-8FE7-6BD83F4C2256}"/>
    <hyperlink ref="CA1539" location="'CM Rec Par.'!CA3408" display="'CM Rec Par.'!CA3408" xr:uid="{57AA27A7-F1B4-480B-BC2B-1B21FEE3B1FF}"/>
    <hyperlink ref="CA1610" location="'CM Rec Par.'!CA508" display="'CM Rec Par.'!CA508" xr:uid="{DB8AD6B8-5AF8-4E92-B4E2-D01FEDD67F18}"/>
    <hyperlink ref="CA1609" location="'CM Rec Par.'!CA50" display="Process" xr:uid="{961E7914-0AE1-4057-BBA4-82385E845B4D}"/>
    <hyperlink ref="CA1608" location="'CM Rec Par.'!CA6" display="Top" xr:uid="{100E97B0-1259-40F2-91BF-FE8A253EC8BC}"/>
    <hyperlink ref="CA1611" location="'CM Rec Par.'!CA608" display="'CM Rec Par.'!CA608" xr:uid="{F147A92B-2774-4BFB-A8F6-0AB29B8BAD03}"/>
    <hyperlink ref="CA1612" location="'CM Rec Par.'!CA708" display="'CM Rec Par.'!CA708" xr:uid="{EA052ECC-EF75-41D4-AB5F-A4FF9D998276}"/>
    <hyperlink ref="CA1613" location="'CM Rec Par.'!CA808" display="'CM Rec Par.'!CA808" xr:uid="{46AA6D2D-F1AA-45CB-96BA-00519A74BFAD}"/>
    <hyperlink ref="CA1614" location="'CM Rec Par.'!CA908" display="'CM Rec Par.'!CA908" xr:uid="{AC5F706F-CB1C-461D-8DC3-C5BEA939E96A}"/>
    <hyperlink ref="CA1615" location="'CM Rec Par.'!CA1008" display="'CM Rec Par.'!CA1008" xr:uid="{A6150A0A-C4CE-4EEB-8560-C0CB4E4ED43A}"/>
    <hyperlink ref="CA1616" location="'CM Rec Par.'!CA1108" display="'CM Rec Par.'!CA1108" xr:uid="{41EA937E-FB6B-423D-A06E-111EA9A5659D}"/>
    <hyperlink ref="CA1617" location="'CM Rec Par.'!CA1208" display="'CM Rec Par.'!CA1208" xr:uid="{349279A2-F351-4B67-B659-9D25CAE81989}"/>
    <hyperlink ref="CA1618" location="'CM Rec Par.'!CA1308" display="'CM Rec Par.'!CA1308" xr:uid="{E027AC2A-3C30-4B2D-B6D2-E1925CB19949}"/>
    <hyperlink ref="CA1619" location="'CM Rec Par.'!CA1408" display="'CM Rec Par.'!CA1408" xr:uid="{52089CF1-C1E1-448E-88F9-D4CC68554AFA}"/>
    <hyperlink ref="CA1620" location="'CM Rec Par.'!CA1508" display="'CM Rec Par.'!CA1508" xr:uid="{FA89CD68-1BE5-41F8-9062-B3FE435E4560}"/>
    <hyperlink ref="CA1621" location="'CM Rec Par.'!CA1608" display="'CM Rec Par.'!CA1608" xr:uid="{D5D25DE8-60D7-49A1-8357-3009ED7563D2}"/>
    <hyperlink ref="CA1622" location="'CM Rec Par.'!CA1708" display="'CM Rec Par.'!CA1708" xr:uid="{98F012DA-C273-469C-8525-613AC1DB072C}"/>
    <hyperlink ref="CA1623" location="'CM Rec Par.'!CA1808" display="'CM Rec Par.'!CA1808" xr:uid="{A932B7A3-CAC3-4677-A310-BA5489F22EB0}"/>
    <hyperlink ref="CA1624" location="'CM Rec Par.'!CA1908" display="'CM Rec Par.'!CA1908" xr:uid="{FD46C105-5F61-41E8-B7F8-44AEE2A7B913}"/>
    <hyperlink ref="CA1625" location="'CM Rec Par.'!CA2008" display="'CM Rec Par.'!CA2008" xr:uid="{EFBB781E-DB28-49CC-8558-CE0BD32813D6}"/>
    <hyperlink ref="CA1626" location="'CM Rec Par.'!CA2108" display="'CM Rec Par.'!CA2108" xr:uid="{5D040757-5090-4C64-ADF6-A2FE6BBD6262}"/>
    <hyperlink ref="CA1627" location="'CM Rec Par.'!CA2208" display="'CM Rec Par.'!CA2208" xr:uid="{AC2ED95E-76AF-402A-BA5F-961188B7A3A5}"/>
    <hyperlink ref="CA1628" location="'CM Rec Par.'!CA2308" display="'CM Rec Par.'!CA2308" xr:uid="{C3CEC9D9-6295-4A0B-9837-26A646B66806}"/>
    <hyperlink ref="CA1629" location="'CM Rec Par.'!CA2408" display="'CM Rec Par.'!CA2408" xr:uid="{9CD0DD22-AB19-49BA-B5D2-6039CB5C32E7}"/>
    <hyperlink ref="CA1630" location="'CM Rec Par.'!CA2508" display="'CM Rec Par.'!CA2508" xr:uid="{6BA57EEC-A908-4F90-AEC2-E8D357391D38}"/>
    <hyperlink ref="CA1631" location="'CM Rec Par.'!CA2608" display="'CM Rec Par.'!CA2608" xr:uid="{EB7CDDEA-9B99-4B5E-83CB-E2B35ADC754C}"/>
    <hyperlink ref="CA1632" location="'CM Rec Par.'!CA2708" display="'CM Rec Par.'!CA2708" xr:uid="{4DEA3C38-9616-402C-9EF5-5F2F59BEB9E9}"/>
    <hyperlink ref="CA1633" location="'CM Rec Par.'!CA2808" display="'CM Rec Par.'!CA2808" xr:uid="{3BDF1E5C-71B0-4AE8-8083-C6D311C32422}"/>
    <hyperlink ref="CA1634" location="'CM Rec Par.'!CA2908" display="'CM Rec Par.'!CA2908" xr:uid="{A6499A82-A4BA-4CBD-893D-C4B782A54F4F}"/>
    <hyperlink ref="CA1635" location="'CM Rec Par.'!CA3008" display="'CM Rec Par.'!CA3008" xr:uid="{813A2FDE-0328-4E5E-817B-3B7F530F87AE}"/>
    <hyperlink ref="CA1636" location="'CM Rec Par.'!CA3108" display="'CM Rec Par.'!CA3108" xr:uid="{BF9CC256-8F60-4230-BF00-5B414E8E4E7F}"/>
    <hyperlink ref="CA1637" location="'CM Rec Par.'!CA3208" display="'CM Rec Par.'!CA3208" xr:uid="{67186D85-ED8D-4AA0-A7FE-B63FF7F8A1C8}"/>
    <hyperlink ref="CA1638" location="'CM Rec Par.'!CA3308" display="'CM Rec Par.'!CA3308" xr:uid="{92E046F5-6CC5-4457-A608-4CCE91386E4E}"/>
    <hyperlink ref="CA1639" location="'CM Rec Par.'!CA3408" display="'CM Rec Par.'!CA3408" xr:uid="{FC108D65-A9CE-4C44-A075-68CECCDB2EBE}"/>
    <hyperlink ref="CA1710" location="'CM Rec Par.'!CA508" display="'CM Rec Par.'!CA508" xr:uid="{6ACA5B3D-D92D-4962-8A26-2F59BBC47F7A}"/>
    <hyperlink ref="CA1709" location="'CM Rec Par.'!CA50" display="Process" xr:uid="{708A0D21-AFA1-4F12-B0C4-29B79709DEB3}"/>
    <hyperlink ref="CA1708" location="'CM Rec Par.'!CA6" display="Top" xr:uid="{DB235803-7971-4F38-A609-DC9F4F26518F}"/>
    <hyperlink ref="CA1711" location="'CM Rec Par.'!CA608" display="'CM Rec Par.'!CA608" xr:uid="{9EDEABE4-2796-4894-B7BD-E2E1341A3A78}"/>
    <hyperlink ref="CA1712" location="'CM Rec Par.'!CA708" display="'CM Rec Par.'!CA708" xr:uid="{F0F36F56-D688-454C-AC8E-310C839F9AD0}"/>
    <hyperlink ref="CA1713" location="'CM Rec Par.'!CA808" display="'CM Rec Par.'!CA808" xr:uid="{4EFD372E-F564-4A65-A2F5-7161FC67B5B2}"/>
    <hyperlink ref="CA1714" location="'CM Rec Par.'!CA908" display="'CM Rec Par.'!CA908" xr:uid="{467118CF-2DBC-41B2-96E4-D453D2E1164C}"/>
    <hyperlink ref="CA1715" location="'CM Rec Par.'!CA1008" display="'CM Rec Par.'!CA1008" xr:uid="{2D5E57D5-B5F1-461A-824F-3F29F854D345}"/>
    <hyperlink ref="CA1716" location="'CM Rec Par.'!CA1108" display="'CM Rec Par.'!CA1108" xr:uid="{9E6F4807-E7B5-45CB-A79B-9176AB7F977E}"/>
    <hyperlink ref="CA1717" location="'CM Rec Par.'!CA1208" display="'CM Rec Par.'!CA1208" xr:uid="{8CDECB4E-7FFD-431C-9838-C94B1C53E389}"/>
    <hyperlink ref="CA1718" location="'CM Rec Par.'!CA1308" display="'CM Rec Par.'!CA1308" xr:uid="{57F6D8E8-BCEA-4ABE-949E-CE0B2D07843F}"/>
    <hyperlink ref="CA1719" location="'CM Rec Par.'!CA1408" display="'CM Rec Par.'!CA1408" xr:uid="{6BBA331A-68CC-4CA3-B9FB-47EEAE0C3E02}"/>
    <hyperlink ref="CA1720" location="'CM Rec Par.'!CA1508" display="'CM Rec Par.'!CA1508" xr:uid="{8338BDA9-8EC8-4E97-AAE6-52F2EE4FDB93}"/>
    <hyperlink ref="CA1721" location="'CM Rec Par.'!CA1608" display="'CM Rec Par.'!CA1608" xr:uid="{99F7861B-4F30-4DDF-8EC9-84DF74795BFE}"/>
    <hyperlink ref="CA1722" location="'CM Rec Par.'!CA1708" display="'CM Rec Par.'!CA1708" xr:uid="{87888B9E-C655-40A4-BC04-509FEF499713}"/>
    <hyperlink ref="CA1723" location="'CM Rec Par.'!CA1808" display="'CM Rec Par.'!CA1808" xr:uid="{2278D73D-2CEF-4D77-BEBC-2093A5E7BFE1}"/>
    <hyperlink ref="CA1724" location="'CM Rec Par.'!CA1908" display="'CM Rec Par.'!CA1908" xr:uid="{B6159E39-B79B-446D-ACDD-ED93C55A0A82}"/>
    <hyperlink ref="CA1725" location="'CM Rec Par.'!CA2008" display="'CM Rec Par.'!CA2008" xr:uid="{91E95D10-7DED-4BFF-8F18-4DEED6764883}"/>
    <hyperlink ref="CA1726" location="'CM Rec Par.'!CA2108" display="'CM Rec Par.'!CA2108" xr:uid="{3F6E329E-986F-493A-B918-887F216A4226}"/>
    <hyperlink ref="CA1727" location="'CM Rec Par.'!CA2208" display="'CM Rec Par.'!CA2208" xr:uid="{0196DE55-EC76-48F8-BE55-445A176853E0}"/>
    <hyperlink ref="CA1728" location="'CM Rec Par.'!CA2308" display="'CM Rec Par.'!CA2308" xr:uid="{E7888118-3C30-490C-8814-9C16772F28F6}"/>
    <hyperlink ref="CA1729" location="'CM Rec Par.'!CA2408" display="'CM Rec Par.'!CA2408" xr:uid="{62DAFBE4-1E72-4179-8585-645B3B091362}"/>
    <hyperlink ref="CA1730" location="'CM Rec Par.'!CA2508" display="'CM Rec Par.'!CA2508" xr:uid="{CEAEA52E-C038-47CE-A8F1-71155DFC7C66}"/>
    <hyperlink ref="CA1731" location="'CM Rec Par.'!CA2608" display="'CM Rec Par.'!CA2608" xr:uid="{85B96E04-E555-4DFB-959E-8A64F388D13B}"/>
    <hyperlink ref="CA1732" location="'CM Rec Par.'!CA2708" display="'CM Rec Par.'!CA2708" xr:uid="{B934FB5D-9DCE-434D-B311-F3496266D3EA}"/>
    <hyperlink ref="CA1733" location="'CM Rec Par.'!CA2808" display="'CM Rec Par.'!CA2808" xr:uid="{E3371A2C-A397-4697-B557-2AF0CBA1B211}"/>
    <hyperlink ref="CA1734" location="'CM Rec Par.'!CA2908" display="'CM Rec Par.'!CA2908" xr:uid="{B01F5BD3-4B67-432C-8542-6F6691697C2D}"/>
    <hyperlink ref="CA1735" location="'CM Rec Par.'!CA3008" display="'CM Rec Par.'!CA3008" xr:uid="{6107A983-B919-45AB-9BDB-2D9EA8C3B568}"/>
    <hyperlink ref="CA1736" location="'CM Rec Par.'!CA3108" display="'CM Rec Par.'!CA3108" xr:uid="{F7B26E91-F686-405C-BA3E-177E57278A07}"/>
    <hyperlink ref="CA1737" location="'CM Rec Par.'!CA3208" display="'CM Rec Par.'!CA3208" xr:uid="{888BC23E-E294-4709-B388-0E7CCA481B32}"/>
    <hyperlink ref="CA1738" location="'CM Rec Par.'!CA3308" display="'CM Rec Par.'!CA3308" xr:uid="{2ADFF0F0-A557-490B-883D-877CB02EFA21}"/>
    <hyperlink ref="CA1739" location="'CM Rec Par.'!CA3408" display="'CM Rec Par.'!CA3408" xr:uid="{0288B818-797B-4563-A02B-789453194DB4}"/>
    <hyperlink ref="CA1810" location="'CM Rec Par.'!CA508" display="'CM Rec Par.'!CA508" xr:uid="{B1A41D38-CB42-4333-AA51-BDD61821644C}"/>
    <hyperlink ref="CA1809" location="'CM Rec Par.'!CA50" display="Process" xr:uid="{3618E8FE-0457-4C50-9A5B-78DCFF5A1858}"/>
    <hyperlink ref="CA1808" location="'CM Rec Par.'!CA6" display="Top" xr:uid="{AD6831E1-3A51-4CFE-97E4-0364BD2F7A8F}"/>
    <hyperlink ref="CA1811" location="'CM Rec Par.'!CA608" display="'CM Rec Par.'!CA608" xr:uid="{31529797-4158-40D6-A81D-402F61632698}"/>
    <hyperlink ref="CA1812" location="'CM Rec Par.'!CA708" display="'CM Rec Par.'!CA708" xr:uid="{D1F55695-6103-4681-89AE-63786F8B4971}"/>
    <hyperlink ref="CA1813" location="'CM Rec Par.'!CA808" display="'CM Rec Par.'!CA808" xr:uid="{233BFA06-261D-438F-93D4-D96903F21109}"/>
    <hyperlink ref="CA1814" location="'CM Rec Par.'!CA908" display="'CM Rec Par.'!CA908" xr:uid="{97FA1050-EEDB-429C-9115-57C3A5C0BDA9}"/>
    <hyperlink ref="CA1815" location="'CM Rec Par.'!CA1008" display="'CM Rec Par.'!CA1008" xr:uid="{C9C0C6D1-7C50-417C-8BB7-DCC90D96E252}"/>
    <hyperlink ref="CA1816" location="'CM Rec Par.'!CA1108" display="'CM Rec Par.'!CA1108" xr:uid="{A4199926-CDF5-4AF6-A311-BA9646F6AE98}"/>
    <hyperlink ref="CA1817" location="'CM Rec Par.'!CA1208" display="'CM Rec Par.'!CA1208" xr:uid="{158DA5FE-88D6-4D93-B5EC-B02BE7C0033E}"/>
    <hyperlink ref="CA1818" location="'CM Rec Par.'!CA1308" display="'CM Rec Par.'!CA1308" xr:uid="{7179E525-12AB-451C-B073-CBC750539E33}"/>
    <hyperlink ref="CA1819" location="'CM Rec Par.'!CA1408" display="'CM Rec Par.'!CA1408" xr:uid="{E1FCC567-077C-41B1-8B25-090A095ACFFE}"/>
    <hyperlink ref="CA1820" location="'CM Rec Par.'!CA1508" display="'CM Rec Par.'!CA1508" xr:uid="{7F05485C-1DC5-432B-A9AA-AA24BC08B631}"/>
    <hyperlink ref="CA1821" location="'CM Rec Par.'!CA1608" display="'CM Rec Par.'!CA1608" xr:uid="{AC94AD7D-DCF8-4AA5-A68D-454DFB431850}"/>
    <hyperlink ref="CA1822" location="'CM Rec Par.'!CA1708" display="'CM Rec Par.'!CA1708" xr:uid="{0F3E03C9-934F-495B-944B-F1EDA673E09E}"/>
    <hyperlink ref="CA1823" location="'CM Rec Par.'!CA1808" display="'CM Rec Par.'!CA1808" xr:uid="{8BF7587F-8D68-439F-87A6-2543E38C30E6}"/>
    <hyperlink ref="CA1824" location="'CM Rec Par.'!CA1908" display="'CM Rec Par.'!CA1908" xr:uid="{A29C21AD-8097-45C0-9398-2BB378AF9E0F}"/>
    <hyperlink ref="CA1825" location="'CM Rec Par.'!CA2008" display="'CM Rec Par.'!CA2008" xr:uid="{2BA3CE1B-42FE-497A-B68D-68CB478B496E}"/>
    <hyperlink ref="CA1826" location="'CM Rec Par.'!CA2108" display="'CM Rec Par.'!CA2108" xr:uid="{9559C628-7D7D-473E-8F15-F3A083E863A5}"/>
    <hyperlink ref="CA1827" location="'CM Rec Par.'!CA2208" display="'CM Rec Par.'!CA2208" xr:uid="{F41E3FB0-DA04-4895-ADFB-B9873996D773}"/>
    <hyperlink ref="CA1828" location="'CM Rec Par.'!CA2308" display="'CM Rec Par.'!CA2308" xr:uid="{73F4A31F-933B-4966-B3BD-DFEDC888F7EC}"/>
    <hyperlink ref="CA1829" location="'CM Rec Par.'!CA2408" display="'CM Rec Par.'!CA2408" xr:uid="{05C13726-CC31-4A23-B4D1-0A26FF5ED27C}"/>
    <hyperlink ref="CA1830" location="'CM Rec Par.'!CA2508" display="'CM Rec Par.'!CA2508" xr:uid="{18400467-46CB-423F-A915-889BE6F43760}"/>
    <hyperlink ref="CA1831" location="'CM Rec Par.'!CA2608" display="'CM Rec Par.'!CA2608" xr:uid="{3DC3329D-D84C-49C1-BDA5-3A02D29BAB7B}"/>
    <hyperlink ref="CA1832" location="'CM Rec Par.'!CA2708" display="'CM Rec Par.'!CA2708" xr:uid="{B6D003A4-22BA-4DA8-ABD0-1A77346EF934}"/>
    <hyperlink ref="CA1833" location="'CM Rec Par.'!CA2808" display="'CM Rec Par.'!CA2808" xr:uid="{27309EDC-8394-4E27-8D2D-18F908182BC5}"/>
    <hyperlink ref="CA1834" location="'CM Rec Par.'!CA2908" display="'CM Rec Par.'!CA2908" xr:uid="{190D5C29-B100-4EDA-8A91-9DFA5CE11E73}"/>
    <hyperlink ref="CA1835" location="'CM Rec Par.'!CA3008" display="'CM Rec Par.'!CA3008" xr:uid="{F53364BB-5617-4887-8492-47C79E478CA3}"/>
    <hyperlink ref="CA1836" location="'CM Rec Par.'!CA3108" display="'CM Rec Par.'!CA3108" xr:uid="{49EC7016-36CC-47C4-8745-384D34E851AD}"/>
    <hyperlink ref="CA1837" location="'CM Rec Par.'!CA3208" display="'CM Rec Par.'!CA3208" xr:uid="{2D66ABDA-3F95-4828-B37F-6DD67DFCF3B2}"/>
    <hyperlink ref="CA1838" location="'CM Rec Par.'!CA3308" display="'CM Rec Par.'!CA3308" xr:uid="{4643599B-B16F-4BA0-AF40-8B5D9BDC71F1}"/>
    <hyperlink ref="CA1839" location="'CM Rec Par.'!CA3408" display="'CM Rec Par.'!CA3408" xr:uid="{4B12FC91-7E70-4964-B051-07AF328B1656}"/>
    <hyperlink ref="CA1910" location="'CM Rec Par.'!CA508" display="'CM Rec Par.'!CA508" xr:uid="{0898ABC8-FF8C-409B-8923-9C3FD699670A}"/>
    <hyperlink ref="CA1909" location="'CM Rec Par.'!CA50" display="Process" xr:uid="{522FB19F-988B-4802-83B2-F49B82FA05AF}"/>
    <hyperlink ref="CA1908" location="'CM Rec Par.'!CA6" display="Top" xr:uid="{E767C808-5D5C-4E95-BF20-48FD54191C76}"/>
    <hyperlink ref="CA1911" location="'CM Rec Par.'!CA608" display="'CM Rec Par.'!CA608" xr:uid="{073F7384-5C45-4262-BB82-3C2C8B889E2E}"/>
    <hyperlink ref="CA1912" location="'CM Rec Par.'!CA708" display="'CM Rec Par.'!CA708" xr:uid="{7FA63BEA-E163-4520-9BC3-397E1FF218C9}"/>
    <hyperlink ref="CA1913" location="'CM Rec Par.'!CA808" display="'CM Rec Par.'!CA808" xr:uid="{CD4F34AB-F471-4C90-97A4-40C601BE68D2}"/>
    <hyperlink ref="CA1914" location="'CM Rec Par.'!CA908" display="'CM Rec Par.'!CA908" xr:uid="{CD8D1777-9B36-4406-B618-1A0464ABD76F}"/>
    <hyperlink ref="CA1915" location="'CM Rec Par.'!CA1008" display="'CM Rec Par.'!CA1008" xr:uid="{D47C93CA-1646-4450-A9DF-271A78DDE887}"/>
    <hyperlink ref="CA1916" location="'CM Rec Par.'!CA1108" display="'CM Rec Par.'!CA1108" xr:uid="{DCCB78FE-8193-41D9-9926-2BBAF257D846}"/>
    <hyperlink ref="CA1917" location="'CM Rec Par.'!CA1208" display="'CM Rec Par.'!CA1208" xr:uid="{14A5AACA-BD0C-4F47-99E5-D429D04041FB}"/>
    <hyperlink ref="CA1918" location="'CM Rec Par.'!CA1308" display="'CM Rec Par.'!CA1308" xr:uid="{7E553E50-8937-405F-BC0E-C4BF739E31C0}"/>
    <hyperlink ref="CA1919" location="'CM Rec Par.'!CA1408" display="'CM Rec Par.'!CA1408" xr:uid="{6CABB584-5E65-47A8-B994-B521F3462FCE}"/>
    <hyperlink ref="CA1920" location="'CM Rec Par.'!CA1508" display="'CM Rec Par.'!CA1508" xr:uid="{890DC4CC-D6EB-47B7-AD76-54FB09D63AF0}"/>
    <hyperlink ref="CA1921" location="'CM Rec Par.'!CA1608" display="'CM Rec Par.'!CA1608" xr:uid="{93A74E3E-CEE6-4F6F-90B3-8EE936EF2BC3}"/>
    <hyperlink ref="CA1922" location="'CM Rec Par.'!CA1708" display="'CM Rec Par.'!CA1708" xr:uid="{6AA5EE4B-3E1B-4411-9AD6-41C72B89064F}"/>
    <hyperlink ref="CA1923" location="'CM Rec Par.'!CA1808" display="'CM Rec Par.'!CA1808" xr:uid="{D7FCDD1D-0F47-4571-9BC8-0275B128F02A}"/>
    <hyperlink ref="CA1924" location="'CM Rec Par.'!CA1908" display="'CM Rec Par.'!CA1908" xr:uid="{1486B297-FAFC-400D-A17F-9611634CA104}"/>
    <hyperlink ref="CA1925" location="'CM Rec Par.'!CA2008" display="'CM Rec Par.'!CA2008" xr:uid="{726E585D-4BE5-463D-93D2-12581737AF3B}"/>
    <hyperlink ref="CA1926" location="'CM Rec Par.'!CA2108" display="'CM Rec Par.'!CA2108" xr:uid="{538BD9CE-9CD9-4FED-8F10-801A49FB1690}"/>
    <hyperlink ref="CA1927" location="'CM Rec Par.'!CA2208" display="'CM Rec Par.'!CA2208" xr:uid="{880D7540-E83A-470B-AD56-D60BCCFC8B1E}"/>
    <hyperlink ref="CA1928" location="'CM Rec Par.'!CA2308" display="'CM Rec Par.'!CA2308" xr:uid="{A26E2E15-8167-4E1C-BFE9-B858670B7D8D}"/>
    <hyperlink ref="CA1929" location="'CM Rec Par.'!CA2408" display="'CM Rec Par.'!CA2408" xr:uid="{FFF40445-D4CF-4755-977C-782A8A7517A3}"/>
    <hyperlink ref="CA1930" location="'CM Rec Par.'!CA2508" display="'CM Rec Par.'!CA2508" xr:uid="{55C1DEDD-8AD7-46C0-902D-796A28CDCD40}"/>
    <hyperlink ref="CA1931" location="'CM Rec Par.'!CA2608" display="'CM Rec Par.'!CA2608" xr:uid="{3D148CAA-C9AF-4AF0-8574-E047259E6ACC}"/>
    <hyperlink ref="CA1932" location="'CM Rec Par.'!CA2708" display="'CM Rec Par.'!CA2708" xr:uid="{5D02D849-DA25-4BCA-ADB5-46FB5670F28A}"/>
    <hyperlink ref="CA1933" location="'CM Rec Par.'!CA2808" display="'CM Rec Par.'!CA2808" xr:uid="{C7039778-7AD5-49A6-B796-6A715ABF219A}"/>
    <hyperlink ref="CA1934" location="'CM Rec Par.'!CA2908" display="'CM Rec Par.'!CA2908" xr:uid="{6F6FB77F-F0D8-42FB-825B-38C789E5686B}"/>
    <hyperlink ref="CA1935" location="'CM Rec Par.'!CA3008" display="'CM Rec Par.'!CA3008" xr:uid="{EE67A58A-7589-4A1E-8EEB-50B5F6EB0006}"/>
    <hyperlink ref="CA1936" location="'CM Rec Par.'!CA3108" display="'CM Rec Par.'!CA3108" xr:uid="{75618532-F526-4846-8876-7FD7E885894D}"/>
    <hyperlink ref="CA1937" location="'CM Rec Par.'!CA3208" display="'CM Rec Par.'!CA3208" xr:uid="{F0B2825C-012F-481E-8817-5D31C2419D2D}"/>
    <hyperlink ref="CA1938" location="'CM Rec Par.'!CA3308" display="'CM Rec Par.'!CA3308" xr:uid="{C2B414B7-3CF1-47FE-B44E-A268327996F4}"/>
    <hyperlink ref="CA1939" location="'CM Rec Par.'!CA3408" display="'CM Rec Par.'!CA3408" xr:uid="{AEA25F18-D4A0-4DE7-9166-3A72E35B2F50}"/>
    <hyperlink ref="CA2010" location="'CM Rec Par.'!CA508" display="'CM Rec Par.'!CA508" xr:uid="{3BCB449C-64E9-4D17-A43D-8828E0D45B56}"/>
    <hyperlink ref="CA2009" location="'CM Rec Par.'!CA50" display="Process" xr:uid="{FDD72554-981B-4F8E-9F0A-FEB8B13E05F4}"/>
    <hyperlink ref="CA2008" location="'CM Rec Par.'!CA6" display="Top" xr:uid="{1858510F-0CA1-4F1A-9142-D5EB2A97F17A}"/>
    <hyperlink ref="CA2011" location="'CM Rec Par.'!CA608" display="'CM Rec Par.'!CA608" xr:uid="{3CB39C94-13B1-44B0-B968-DFA49045EE62}"/>
    <hyperlink ref="CA2012" location="'CM Rec Par.'!CA708" display="'CM Rec Par.'!CA708" xr:uid="{0449B7D6-42A8-4F6B-AC2B-475E179CF72B}"/>
    <hyperlink ref="CA2013" location="'CM Rec Par.'!CA808" display="'CM Rec Par.'!CA808" xr:uid="{7086FBD4-25BA-4ACF-8FE8-E770AB0851A1}"/>
    <hyperlink ref="CA2014" location="'CM Rec Par.'!CA908" display="'CM Rec Par.'!CA908" xr:uid="{01DFBFAD-B0AE-460F-A305-EF42B01EC7FD}"/>
    <hyperlink ref="CA2015" location="'CM Rec Par.'!CA1008" display="'CM Rec Par.'!CA1008" xr:uid="{E66201FB-B3DD-45B4-9EB7-2F90106862DE}"/>
    <hyperlink ref="CA2016" location="'CM Rec Par.'!CA1108" display="'CM Rec Par.'!CA1108" xr:uid="{1A6BB76A-6103-49EC-93CB-A952FA8CC96D}"/>
    <hyperlink ref="CA2017" location="'CM Rec Par.'!CA1208" display="'CM Rec Par.'!CA1208" xr:uid="{623FDF9B-E539-435E-BB20-BDDF052DD019}"/>
    <hyperlink ref="CA2018" location="'CM Rec Par.'!CA1308" display="'CM Rec Par.'!CA1308" xr:uid="{D78C56EF-311B-4DD8-90E5-48D338F9B89D}"/>
    <hyperlink ref="CA2019" location="'CM Rec Par.'!CA1408" display="'CM Rec Par.'!CA1408" xr:uid="{486AEB66-C226-419C-A7D4-960961583F56}"/>
    <hyperlink ref="CA2020" location="'CM Rec Par.'!CA1508" display="'CM Rec Par.'!CA1508" xr:uid="{E1CD8898-2BF1-4840-9A01-1BCC22F30259}"/>
    <hyperlink ref="CA2021" location="'CM Rec Par.'!CA1608" display="'CM Rec Par.'!CA1608" xr:uid="{ED33B446-444A-46A1-AAE8-036CF76A186D}"/>
    <hyperlink ref="CA2022" location="'CM Rec Par.'!CA1708" display="'CM Rec Par.'!CA1708" xr:uid="{7D3264F8-A98E-45A5-9678-AC7BDABD3058}"/>
    <hyperlink ref="CA2023" location="'CM Rec Par.'!CA1808" display="'CM Rec Par.'!CA1808" xr:uid="{9FFF3739-EF35-4DA5-910F-39ED83F84781}"/>
    <hyperlink ref="CA2024" location="'CM Rec Par.'!CA1908" display="'CM Rec Par.'!CA1908" xr:uid="{28E33A92-88D5-4F24-BB56-6B424D9A6B75}"/>
    <hyperlink ref="CA2025" location="'CM Rec Par.'!CA2008" display="'CM Rec Par.'!CA2008" xr:uid="{A65F0FD7-2FA0-4F90-B020-3C2AB6DBF7BB}"/>
    <hyperlink ref="CA2026" location="'CM Rec Par.'!CA2108" display="'CM Rec Par.'!CA2108" xr:uid="{D780090A-FBB8-4B59-8576-8786E54D95DA}"/>
    <hyperlink ref="CA2027" location="'CM Rec Par.'!CA2208" display="'CM Rec Par.'!CA2208" xr:uid="{28096285-9A45-4CD2-996B-D7490CB6CFC9}"/>
    <hyperlink ref="CA2028" location="'CM Rec Par.'!CA2308" display="'CM Rec Par.'!CA2308" xr:uid="{8734DD95-EAD8-4B88-BBE1-36FB9FB753FA}"/>
    <hyperlink ref="CA2029" location="'CM Rec Par.'!CA2408" display="'CM Rec Par.'!CA2408" xr:uid="{89D9CD6D-8B5E-41AD-9221-B837B14BF625}"/>
    <hyperlink ref="CA2030" location="'CM Rec Par.'!CA2508" display="'CM Rec Par.'!CA2508" xr:uid="{AEA32035-5F18-41B5-BA17-7CD6FEC44E56}"/>
    <hyperlink ref="CA2031" location="'CM Rec Par.'!CA2608" display="'CM Rec Par.'!CA2608" xr:uid="{1A52120B-2854-4FC8-B193-11A288B3DAF1}"/>
    <hyperlink ref="CA2032" location="'CM Rec Par.'!CA2708" display="'CM Rec Par.'!CA2708" xr:uid="{663281AE-4DD9-4E43-A1B4-546DF67BA7D9}"/>
    <hyperlink ref="CA2033" location="'CM Rec Par.'!CA2808" display="'CM Rec Par.'!CA2808" xr:uid="{4B75E63C-9B8B-4E12-A0C7-48E60E11231C}"/>
    <hyperlink ref="CA2034" location="'CM Rec Par.'!CA2908" display="'CM Rec Par.'!CA2908" xr:uid="{0B58F147-0499-4F14-BF52-CA3A261CF438}"/>
    <hyperlink ref="CA2035" location="'CM Rec Par.'!CA3008" display="'CM Rec Par.'!CA3008" xr:uid="{A626C4D2-6987-4D00-B714-8B08932287B8}"/>
    <hyperlink ref="CA2036" location="'CM Rec Par.'!CA3108" display="'CM Rec Par.'!CA3108" xr:uid="{F68C32ED-F667-4F7A-B164-8FBC81D15C00}"/>
    <hyperlink ref="CA2037" location="'CM Rec Par.'!CA3208" display="'CM Rec Par.'!CA3208" xr:uid="{609DEB10-F3A4-4FEE-A82F-A6E9AF721AA6}"/>
    <hyperlink ref="CA2038" location="'CM Rec Par.'!CA3308" display="'CM Rec Par.'!CA3308" xr:uid="{154D5C4C-859F-4B02-9B6C-54F0BE1F519C}"/>
    <hyperlink ref="CA2039" location="'CM Rec Par.'!CA3408" display="'CM Rec Par.'!CA3408" xr:uid="{0447CEBC-2D16-4B2F-9FAF-9F32DC5EAD9B}"/>
    <hyperlink ref="CA2110" location="'CM Rec Par.'!CA508" display="'CM Rec Par.'!CA508" xr:uid="{BBF2C7A0-DC4F-4048-8B93-2C3D6E6692B3}"/>
    <hyperlink ref="CA2109" location="'CM Rec Par.'!CA50" display="Process" xr:uid="{BE9E565A-946D-4D08-805A-D1CC4497AFCB}"/>
    <hyperlink ref="CA2108" location="'CM Rec Par.'!CA6" display="Top" xr:uid="{6EF6BF5F-A4D0-4A7D-980C-D8722F098506}"/>
    <hyperlink ref="CA2111" location="'CM Rec Par.'!CA608" display="'CM Rec Par.'!CA608" xr:uid="{D07F19E3-3181-46FE-8226-C0FF3A23E5DC}"/>
    <hyperlink ref="CA2112" location="'CM Rec Par.'!CA708" display="'CM Rec Par.'!CA708" xr:uid="{377DD850-7102-49AE-9193-49E071739B48}"/>
    <hyperlink ref="CA2113" location="'CM Rec Par.'!CA808" display="'CM Rec Par.'!CA808" xr:uid="{FAE2766A-F502-48EF-88A8-B8C0F1B20532}"/>
    <hyperlink ref="CA2114" location="'CM Rec Par.'!CA908" display="'CM Rec Par.'!CA908" xr:uid="{867DEB5B-0066-46CB-A3FA-76D9EBD18DA7}"/>
    <hyperlink ref="CA2115" location="'CM Rec Par.'!CA1008" display="'CM Rec Par.'!CA1008" xr:uid="{4B8E5BF5-088B-467D-B830-5B90DCAF979D}"/>
    <hyperlink ref="CA2116" location="'CM Rec Par.'!CA1108" display="'CM Rec Par.'!CA1108" xr:uid="{B27901F6-1077-4D80-930B-2D4471729FB9}"/>
    <hyperlink ref="CA2117" location="'CM Rec Par.'!CA1208" display="'CM Rec Par.'!CA1208" xr:uid="{8D82F47F-CC0A-43DF-9932-84A1EAF51D9B}"/>
    <hyperlink ref="CA2118" location="'CM Rec Par.'!CA1308" display="'CM Rec Par.'!CA1308" xr:uid="{F62C4A01-A06A-4F20-823E-3AF7BCD58EDC}"/>
    <hyperlink ref="CA2119" location="'CM Rec Par.'!CA1408" display="'CM Rec Par.'!CA1408" xr:uid="{332A7F36-96EE-48B3-BD2C-DC16E73D66FD}"/>
    <hyperlink ref="CA2120" location="'CM Rec Par.'!CA1508" display="'CM Rec Par.'!CA1508" xr:uid="{BE59636B-30C9-4A91-8C84-13F1458BD9AA}"/>
    <hyperlink ref="CA2121" location="'CM Rec Par.'!CA1608" display="'CM Rec Par.'!CA1608" xr:uid="{9D1B4194-2257-4390-8875-F78B1944EAA7}"/>
    <hyperlink ref="CA2122" location="'CM Rec Par.'!CA1708" display="'CM Rec Par.'!CA1708" xr:uid="{7C8A20BD-F162-412A-B052-C25EC4D2B6C7}"/>
    <hyperlink ref="CA2123" location="'CM Rec Par.'!CA1808" display="'CM Rec Par.'!CA1808" xr:uid="{6070058C-8532-4CB4-8C27-05471D0329A8}"/>
    <hyperlink ref="CA2124" location="'CM Rec Par.'!CA1908" display="'CM Rec Par.'!CA1908" xr:uid="{F7022670-A62A-4EBB-A260-E448CABC8FA3}"/>
    <hyperlink ref="CA2125" location="'CM Rec Par.'!CA2008" display="'CM Rec Par.'!CA2008" xr:uid="{5FF2C7FB-CD14-433C-A5C3-488F082CCD37}"/>
    <hyperlink ref="CA2126" location="'CM Rec Par.'!CA2108" display="'CM Rec Par.'!CA2108" xr:uid="{EC0F4437-23D9-4456-9EE6-12A275A2A091}"/>
    <hyperlink ref="CA2127" location="'CM Rec Par.'!CA2208" display="'CM Rec Par.'!CA2208" xr:uid="{25ACF6F5-7D64-48E3-BE25-59D7F4E23300}"/>
    <hyperlink ref="CA2128" location="'CM Rec Par.'!CA2308" display="'CM Rec Par.'!CA2308" xr:uid="{A250C177-54B1-41C3-B62E-EF876C544CCA}"/>
    <hyperlink ref="CA2129" location="'CM Rec Par.'!CA2408" display="'CM Rec Par.'!CA2408" xr:uid="{524FD64C-6BB5-4A28-83FC-AB31B1B91EA9}"/>
    <hyperlink ref="CA2130" location="'CM Rec Par.'!CA2508" display="'CM Rec Par.'!CA2508" xr:uid="{CD39B390-307D-4B36-9345-7B32E19AAC49}"/>
    <hyperlink ref="CA2131" location="'CM Rec Par.'!CA2608" display="'CM Rec Par.'!CA2608" xr:uid="{38529B29-E762-4733-86D8-A196537626F7}"/>
    <hyperlink ref="CA2132" location="'CM Rec Par.'!CA2708" display="'CM Rec Par.'!CA2708" xr:uid="{DCF1CD36-A948-4088-882A-85DE4E747523}"/>
    <hyperlink ref="CA2133" location="'CM Rec Par.'!CA2808" display="'CM Rec Par.'!CA2808" xr:uid="{6ADB52A3-8554-4699-BD25-E090EDC17762}"/>
    <hyperlink ref="CA2134" location="'CM Rec Par.'!CA2908" display="'CM Rec Par.'!CA2908" xr:uid="{0F5B03A7-307E-4EA8-839E-E82C212AEE7E}"/>
    <hyperlink ref="CA2135" location="'CM Rec Par.'!CA3008" display="'CM Rec Par.'!CA3008" xr:uid="{B47DD0BF-2B77-4774-8050-828CF52018D6}"/>
    <hyperlink ref="CA2136" location="'CM Rec Par.'!CA3108" display="'CM Rec Par.'!CA3108" xr:uid="{0396A31E-A1C3-41C1-BCE9-F3E09D3E883D}"/>
    <hyperlink ref="CA2137" location="'CM Rec Par.'!CA3208" display="'CM Rec Par.'!CA3208" xr:uid="{CC0390E7-8047-4910-801C-E6EDD46201D4}"/>
    <hyperlink ref="CA2138" location="'CM Rec Par.'!CA3308" display="'CM Rec Par.'!CA3308" xr:uid="{487DBE1A-6D2D-4FD9-A6B2-6EDD34236CB2}"/>
    <hyperlink ref="CA2139" location="'CM Rec Par.'!CA3408" display="'CM Rec Par.'!CA3408" xr:uid="{0B25F9A4-F89E-4339-B3D3-A23CCFFF7797}"/>
    <hyperlink ref="CA2210" location="'CM Rec Par.'!CA508" display="'CM Rec Par.'!CA508" xr:uid="{4159ED52-5D1B-4648-AACA-E1829CCA55DA}"/>
    <hyperlink ref="CA2209" location="'CM Rec Par.'!CA50" display="Process" xr:uid="{B36B8328-1FE5-4090-A5BE-96DD84160664}"/>
    <hyperlink ref="CA2208" location="'CM Rec Par.'!CA6" display="Top" xr:uid="{7C6727BF-3EDE-4DB9-8D19-249F2A8B384F}"/>
    <hyperlink ref="CA2211" location="'CM Rec Par.'!CA608" display="'CM Rec Par.'!CA608" xr:uid="{756193C5-9D34-463A-923D-2371F8A4EDA6}"/>
    <hyperlink ref="CA2212" location="'CM Rec Par.'!CA708" display="'CM Rec Par.'!CA708" xr:uid="{244A07B1-640F-435F-A077-1DB596FC59E8}"/>
    <hyperlink ref="CA2213" location="'CM Rec Par.'!CA808" display="'CM Rec Par.'!CA808" xr:uid="{080DD164-B7BE-4A7B-B145-7161E94250A3}"/>
    <hyperlink ref="CA2214" location="'CM Rec Par.'!CA908" display="'CM Rec Par.'!CA908" xr:uid="{1EB9FD02-5BF0-4850-8C31-A33C19BABDEA}"/>
    <hyperlink ref="CA2215" location="'CM Rec Par.'!CA1008" display="'CM Rec Par.'!CA1008" xr:uid="{13120145-CF2B-4C88-8813-EF483A8664FD}"/>
    <hyperlink ref="CA2216" location="'CM Rec Par.'!CA1108" display="'CM Rec Par.'!CA1108" xr:uid="{004457D1-6F61-40C1-BAEF-E5B14F63F316}"/>
    <hyperlink ref="CA2217" location="'CM Rec Par.'!CA1208" display="'CM Rec Par.'!CA1208" xr:uid="{6149F657-E34A-42AA-8FF1-444BD8DAA409}"/>
    <hyperlink ref="CA2218" location="'CM Rec Par.'!CA1308" display="'CM Rec Par.'!CA1308" xr:uid="{AFC61DD7-51A9-454D-8E5A-F33051E019C3}"/>
    <hyperlink ref="CA2219" location="'CM Rec Par.'!CA1408" display="'CM Rec Par.'!CA1408" xr:uid="{A595F671-9493-41E7-9616-17CFC25F7725}"/>
    <hyperlink ref="CA2220" location="'CM Rec Par.'!CA1508" display="'CM Rec Par.'!CA1508" xr:uid="{264E2947-585B-45F9-8003-450D5CFAE53F}"/>
    <hyperlink ref="CA2221" location="'CM Rec Par.'!CA1608" display="'CM Rec Par.'!CA1608" xr:uid="{35BFF8D9-C0CD-46DC-8C36-4B0599E0139D}"/>
    <hyperlink ref="CA2222" location="'CM Rec Par.'!CA1708" display="'CM Rec Par.'!CA1708" xr:uid="{CE9948AC-C274-403E-BD00-83B362239397}"/>
    <hyperlink ref="CA2223" location="'CM Rec Par.'!CA1808" display="'CM Rec Par.'!CA1808" xr:uid="{D068E595-D1A4-4C2C-9DE7-F1DF4051B6BF}"/>
    <hyperlink ref="CA2224" location="'CM Rec Par.'!CA1908" display="'CM Rec Par.'!CA1908" xr:uid="{05DB4394-1434-47CB-A6FE-46B03B8FDBED}"/>
    <hyperlink ref="CA2225" location="'CM Rec Par.'!CA2008" display="'CM Rec Par.'!CA2008" xr:uid="{36A0F0F7-8B30-4939-8E8B-D578C80734C7}"/>
    <hyperlink ref="CA2226" location="'CM Rec Par.'!CA2108" display="'CM Rec Par.'!CA2108" xr:uid="{1DD872AA-3802-4144-83A7-B3560ACC60C1}"/>
    <hyperlink ref="CA2227" location="'CM Rec Par.'!CA2208" display="'CM Rec Par.'!CA2208" xr:uid="{F5C101AF-470E-42CB-BDA6-FBE9ADE0AFF7}"/>
    <hyperlink ref="CA2228" location="'CM Rec Par.'!CA2308" display="'CM Rec Par.'!CA2308" xr:uid="{61906273-7006-4444-B1F8-738DBE28D29E}"/>
    <hyperlink ref="CA2229" location="'CM Rec Par.'!CA2408" display="'CM Rec Par.'!CA2408" xr:uid="{B5E3B03B-0168-40E8-808D-AA6577FA72FE}"/>
    <hyperlink ref="CA2230" location="'CM Rec Par.'!CA2508" display="'CM Rec Par.'!CA2508" xr:uid="{BD7FF015-F56B-4BEC-B1B7-0FD48031E435}"/>
    <hyperlink ref="CA2231" location="'CM Rec Par.'!CA2608" display="'CM Rec Par.'!CA2608" xr:uid="{1628DA74-94AC-4D67-A4B4-B0F7BF345DEB}"/>
    <hyperlink ref="CA2232" location="'CM Rec Par.'!CA2708" display="'CM Rec Par.'!CA2708" xr:uid="{3B77A0F9-36F3-4EFF-BA12-E15730130454}"/>
    <hyperlink ref="CA2233" location="'CM Rec Par.'!CA2808" display="'CM Rec Par.'!CA2808" xr:uid="{87A12597-77F7-4B2D-81C6-9B994DCDF43F}"/>
    <hyperlink ref="CA2234" location="'CM Rec Par.'!CA2908" display="'CM Rec Par.'!CA2908" xr:uid="{6A4F06AF-AFDD-4512-AE9B-606EEF2973D8}"/>
    <hyperlink ref="CA2235" location="'CM Rec Par.'!CA3008" display="'CM Rec Par.'!CA3008" xr:uid="{BC198F8C-68B8-47E8-A798-1F8E1464703E}"/>
    <hyperlink ref="CA2236" location="'CM Rec Par.'!CA3108" display="'CM Rec Par.'!CA3108" xr:uid="{F1C23B02-7D9B-4B63-8CA7-0A14B8942FC9}"/>
    <hyperlink ref="CA2237" location="'CM Rec Par.'!CA3208" display="'CM Rec Par.'!CA3208" xr:uid="{6C677D82-1252-4777-869F-6B7B5D130740}"/>
    <hyperlink ref="CA2238" location="'CM Rec Par.'!CA3308" display="'CM Rec Par.'!CA3308" xr:uid="{C8E894CE-75AB-4D52-9BDF-A6FCED39C1FC}"/>
    <hyperlink ref="CA2239" location="'CM Rec Par.'!CA3408" display="'CM Rec Par.'!CA3408" xr:uid="{7101569C-1640-47B9-9379-9D5A839FA614}"/>
    <hyperlink ref="CA2310" location="'CM Rec Par.'!CA508" display="'CM Rec Par.'!CA508" xr:uid="{E20F384C-1DD3-4BE2-85DE-F375553772CC}"/>
    <hyperlink ref="CA2309" location="'CM Rec Par.'!CA50" display="Process" xr:uid="{0897D954-2C29-4565-8E78-5AF14BAEA896}"/>
    <hyperlink ref="CA2308" location="'CM Rec Par.'!CA6" display="Top" xr:uid="{44F6E548-2C65-4513-8D90-8EFE23E76521}"/>
    <hyperlink ref="CA2311" location="'CM Rec Par.'!CA608" display="'CM Rec Par.'!CA608" xr:uid="{39B49DAC-06A5-4F39-B71D-7F849995342E}"/>
    <hyperlink ref="CA2312" location="'CM Rec Par.'!CA708" display="'CM Rec Par.'!CA708" xr:uid="{92850C89-89CA-4882-824C-7F35F738B807}"/>
    <hyperlink ref="CA2313" location="'CM Rec Par.'!CA808" display="'CM Rec Par.'!CA808" xr:uid="{9D034E86-7DA8-40E4-A6D6-AAF1BD0B0FEB}"/>
    <hyperlink ref="CA2314" location="'CM Rec Par.'!CA908" display="'CM Rec Par.'!CA908" xr:uid="{02EF395D-509D-4595-9F21-CDDA09A4E2F3}"/>
    <hyperlink ref="CA2315" location="'CM Rec Par.'!CA1008" display="'CM Rec Par.'!CA1008" xr:uid="{820C1EB3-D84B-49C4-92C4-2CA41CB3E3CA}"/>
    <hyperlink ref="CA2316" location="'CM Rec Par.'!CA1108" display="'CM Rec Par.'!CA1108" xr:uid="{8E83579F-0ACE-4C64-9A22-130421BC85DB}"/>
    <hyperlink ref="CA2317" location="'CM Rec Par.'!CA1208" display="'CM Rec Par.'!CA1208" xr:uid="{5510865F-8220-4E93-8E9F-13803877BADC}"/>
    <hyperlink ref="CA2318" location="'CM Rec Par.'!CA1308" display="'CM Rec Par.'!CA1308" xr:uid="{A2C1FBE4-B770-419D-A249-CAF7DE48A399}"/>
    <hyperlink ref="CA2319" location="'CM Rec Par.'!CA1408" display="'CM Rec Par.'!CA1408" xr:uid="{A6704C23-5761-4B04-8C50-2DFC1E696676}"/>
    <hyperlink ref="CA2320" location="'CM Rec Par.'!CA1508" display="'CM Rec Par.'!CA1508" xr:uid="{ADA2821D-304A-4BCA-9344-6CB426D41666}"/>
    <hyperlink ref="CA2321" location="'CM Rec Par.'!CA1608" display="'CM Rec Par.'!CA1608" xr:uid="{EE0F5A58-C1B9-4FBA-84D0-89594AE71B75}"/>
    <hyperlink ref="CA2322" location="'CM Rec Par.'!CA1708" display="'CM Rec Par.'!CA1708" xr:uid="{D1F86FB5-E9E6-427C-B262-D35FE3477267}"/>
    <hyperlink ref="CA2323" location="'CM Rec Par.'!CA1808" display="'CM Rec Par.'!CA1808" xr:uid="{057E3889-9CBE-4BD8-AF2B-96B03CA4680D}"/>
    <hyperlink ref="CA2324" location="'CM Rec Par.'!CA1908" display="'CM Rec Par.'!CA1908" xr:uid="{243254A1-2EDA-4C54-A86F-AFCAA26FDF1A}"/>
    <hyperlink ref="CA2325" location="'CM Rec Par.'!CA2008" display="'CM Rec Par.'!CA2008" xr:uid="{B7C54E2C-236F-462D-BDAB-5B21DAC8E49C}"/>
    <hyperlink ref="CA2326" location="'CM Rec Par.'!CA2108" display="'CM Rec Par.'!CA2108" xr:uid="{F742D64C-4018-4299-9ED5-4C5A86734E7F}"/>
    <hyperlink ref="CA2327" location="'CM Rec Par.'!CA2208" display="'CM Rec Par.'!CA2208" xr:uid="{F1409456-34C6-4BDA-97F3-0EE0791B3620}"/>
    <hyperlink ref="CA2328" location="'CM Rec Par.'!CA2308" display="'CM Rec Par.'!CA2308" xr:uid="{5479BD31-8C1D-45A7-81FA-584A3C9BAEAB}"/>
    <hyperlink ref="CA2329" location="'CM Rec Par.'!CA2408" display="'CM Rec Par.'!CA2408" xr:uid="{6C3B70DD-E740-415B-9583-B252B082FC0D}"/>
    <hyperlink ref="CA2330" location="'CM Rec Par.'!CA2508" display="'CM Rec Par.'!CA2508" xr:uid="{E1B65173-29FF-4D48-B388-B07020874881}"/>
    <hyperlink ref="CA2331" location="'CM Rec Par.'!CA2608" display="'CM Rec Par.'!CA2608" xr:uid="{4286DAD2-8ECE-4ED6-BDDA-F22EAE2B6F0E}"/>
    <hyperlink ref="CA2332" location="'CM Rec Par.'!CA2708" display="'CM Rec Par.'!CA2708" xr:uid="{8DF7C02B-C18E-48FB-9916-61BF2BE410B2}"/>
    <hyperlink ref="CA2333" location="'CM Rec Par.'!CA2808" display="'CM Rec Par.'!CA2808" xr:uid="{B004871D-050B-43AA-9C0D-0543DCDEEF73}"/>
    <hyperlink ref="CA2334" location="'CM Rec Par.'!CA2908" display="'CM Rec Par.'!CA2908" xr:uid="{4B61549E-3778-4238-AB72-A74151F1E798}"/>
    <hyperlink ref="CA2335" location="'CM Rec Par.'!CA3008" display="'CM Rec Par.'!CA3008" xr:uid="{A6BE7D25-E9FD-4E16-AF8F-4B11DBB3D347}"/>
    <hyperlink ref="CA2336" location="'CM Rec Par.'!CA3108" display="'CM Rec Par.'!CA3108" xr:uid="{E44D5D08-383A-437E-997F-4A5DF9F26EF2}"/>
    <hyperlink ref="CA2337" location="'CM Rec Par.'!CA3208" display="'CM Rec Par.'!CA3208" xr:uid="{A2317A9F-A91A-488A-8091-D2D9F5FD7199}"/>
    <hyperlink ref="CA2338" location="'CM Rec Par.'!CA3308" display="'CM Rec Par.'!CA3308" xr:uid="{A9E82E03-7767-497B-BB20-3DFF2576FC74}"/>
    <hyperlink ref="CA2339" location="'CM Rec Par.'!CA3408" display="'CM Rec Par.'!CA3408" xr:uid="{22E986AC-667B-4C0B-9001-45FC4CFEFEC9}"/>
    <hyperlink ref="CA2410" location="'CM Rec Par.'!CA508" display="'CM Rec Par.'!CA508" xr:uid="{E776338D-86CA-4998-8909-D80DA10C340C}"/>
    <hyperlink ref="CA2409" location="'CM Rec Par.'!CA50" display="Process" xr:uid="{DD6AB75B-FB6E-45AE-8436-1EBFFEA0B66F}"/>
    <hyperlink ref="CA2408" location="'CM Rec Par.'!CA6" display="Top" xr:uid="{DA597C38-0E8C-4654-9773-80855C449625}"/>
    <hyperlink ref="CA2411" location="'CM Rec Par.'!CA608" display="'CM Rec Par.'!CA608" xr:uid="{F67305F8-6D4E-4717-AF3B-3B6E0DE799E8}"/>
    <hyperlink ref="CA2412" location="'CM Rec Par.'!CA708" display="'CM Rec Par.'!CA708" xr:uid="{23CA32A1-7663-47F6-B38E-C1B66FFCF013}"/>
    <hyperlink ref="CA2413" location="'CM Rec Par.'!CA808" display="'CM Rec Par.'!CA808" xr:uid="{1F65FC83-0254-425B-A7B8-56ADC6C6A786}"/>
    <hyperlink ref="CA2414" location="'CM Rec Par.'!CA908" display="'CM Rec Par.'!CA908" xr:uid="{03270BAC-8AD1-42D5-8FF1-FBF01A183291}"/>
    <hyperlink ref="CA2415" location="'CM Rec Par.'!CA1008" display="'CM Rec Par.'!CA1008" xr:uid="{DCAD2B43-CB3B-4E06-8F00-6BA2AAE51D36}"/>
    <hyperlink ref="CA2416" location="'CM Rec Par.'!CA1108" display="'CM Rec Par.'!CA1108" xr:uid="{445E38DE-36CD-4544-A9D4-A94FDF600482}"/>
    <hyperlink ref="CA2417" location="'CM Rec Par.'!CA1208" display="'CM Rec Par.'!CA1208" xr:uid="{A00C1A43-F665-4145-8286-B56F492B64D7}"/>
    <hyperlink ref="CA2418" location="'CM Rec Par.'!CA1308" display="'CM Rec Par.'!CA1308" xr:uid="{515BB2F7-7616-4501-ADB7-22AF16B91248}"/>
    <hyperlink ref="CA2419" location="'CM Rec Par.'!CA1408" display="'CM Rec Par.'!CA1408" xr:uid="{E34B3E5F-403E-4C74-8332-C9DB213C176D}"/>
    <hyperlink ref="CA2420" location="'CM Rec Par.'!CA1508" display="'CM Rec Par.'!CA1508" xr:uid="{7BDF0604-BF6D-4CD7-B1DA-0F1F854FAA4B}"/>
    <hyperlink ref="CA2421" location="'CM Rec Par.'!CA1608" display="'CM Rec Par.'!CA1608" xr:uid="{5C81BD84-B6DB-42BC-A100-9BB5BA796DFF}"/>
    <hyperlink ref="CA2422" location="'CM Rec Par.'!CA1708" display="'CM Rec Par.'!CA1708" xr:uid="{7740138A-04CB-43BF-9232-CD7FD6AB9862}"/>
    <hyperlink ref="CA2423" location="'CM Rec Par.'!CA1808" display="'CM Rec Par.'!CA1808" xr:uid="{8BFA9770-ADC1-4E0D-8C4B-C40B6587A83C}"/>
    <hyperlink ref="CA2424" location="'CM Rec Par.'!CA1908" display="'CM Rec Par.'!CA1908" xr:uid="{84AA59F4-ECF7-4FE7-AB20-0CCCDA526B8B}"/>
    <hyperlink ref="CA2425" location="'CM Rec Par.'!CA2008" display="'CM Rec Par.'!CA2008" xr:uid="{1BD39F35-6E1F-4D94-A9DF-997341D5F6A8}"/>
    <hyperlink ref="CA2426" location="'CM Rec Par.'!CA2108" display="'CM Rec Par.'!CA2108" xr:uid="{320DA763-1C96-4ABD-BADC-1EF26F7CF45F}"/>
    <hyperlink ref="CA2427" location="'CM Rec Par.'!CA2208" display="'CM Rec Par.'!CA2208" xr:uid="{F5F3FCE5-FA8D-41EA-8E57-CF1B34ED14E0}"/>
    <hyperlink ref="CA2428" location="'CM Rec Par.'!CA2308" display="'CM Rec Par.'!CA2308" xr:uid="{F293C55A-C868-4575-8647-A176E4CE0A69}"/>
    <hyperlink ref="CA2429" location="'CM Rec Par.'!CA2408" display="'CM Rec Par.'!CA2408" xr:uid="{2AFFAC50-3BA4-4FF3-8992-CE68ECDAAC20}"/>
    <hyperlink ref="CA2430" location="'CM Rec Par.'!CA2508" display="'CM Rec Par.'!CA2508" xr:uid="{08ADE7E6-7DE3-46A1-B265-171FEE0710BA}"/>
    <hyperlink ref="CA2431" location="'CM Rec Par.'!CA2608" display="'CM Rec Par.'!CA2608" xr:uid="{CE94A5CC-0C79-4B5A-B15F-DF356D47C9DF}"/>
    <hyperlink ref="CA2432" location="'CM Rec Par.'!CA2708" display="'CM Rec Par.'!CA2708" xr:uid="{F4396AE1-46FC-4378-8BAE-88DD416A0087}"/>
    <hyperlink ref="CA2433" location="'CM Rec Par.'!CA2808" display="'CM Rec Par.'!CA2808" xr:uid="{316C0A40-E1D7-43B2-BDFD-126A9A421B99}"/>
    <hyperlink ref="CA2434" location="'CM Rec Par.'!CA2908" display="'CM Rec Par.'!CA2908" xr:uid="{9EB3945F-C5D7-4D27-97F2-AFE918731602}"/>
    <hyperlink ref="CA2435" location="'CM Rec Par.'!CA3008" display="'CM Rec Par.'!CA3008" xr:uid="{1DAC5973-3EDD-43B9-9CEA-B83096A4BB9D}"/>
    <hyperlink ref="CA2436" location="'CM Rec Par.'!CA3108" display="'CM Rec Par.'!CA3108" xr:uid="{AE0A22F7-C9A1-41C8-A1D1-E44860C3912D}"/>
    <hyperlink ref="CA2437" location="'CM Rec Par.'!CA3208" display="'CM Rec Par.'!CA3208" xr:uid="{B7E873CE-9748-4EA8-850A-05F1406F9690}"/>
    <hyperlink ref="CA2438" location="'CM Rec Par.'!CA3308" display="'CM Rec Par.'!CA3308" xr:uid="{703F2783-A777-4F2F-B166-8955CC9298C0}"/>
    <hyperlink ref="CA2439" location="'CM Rec Par.'!CA3408" display="'CM Rec Par.'!CA3408" xr:uid="{B8CC4CC5-EBF7-4148-84A0-5903EBF93E5E}"/>
    <hyperlink ref="CA2510" location="'CM Rec Par.'!CA508" display="'CM Rec Par.'!CA508" xr:uid="{85314E24-0210-4630-BE01-51D210111070}"/>
    <hyperlink ref="CA2509" location="'CM Rec Par.'!CA50" display="Process" xr:uid="{AEB71A90-D9E5-4B70-BA40-BC1B80417743}"/>
    <hyperlink ref="CA2508" location="'CM Rec Par.'!CA6" display="Top" xr:uid="{0CB6CD58-4CFD-4046-9003-5E21560B2237}"/>
    <hyperlink ref="CA2511" location="'CM Rec Par.'!CA608" display="'CM Rec Par.'!CA608" xr:uid="{89E812B2-37EF-4BC0-840F-05B10BFA543B}"/>
    <hyperlink ref="CA2512" location="'CM Rec Par.'!CA708" display="'CM Rec Par.'!CA708" xr:uid="{483816EC-C0DF-4A55-8B96-744F9FA9B030}"/>
    <hyperlink ref="CA2513" location="'CM Rec Par.'!CA808" display="'CM Rec Par.'!CA808" xr:uid="{8F350E3E-9D38-4702-AFD8-D13EB216E8CC}"/>
    <hyperlink ref="CA2514" location="'CM Rec Par.'!CA908" display="'CM Rec Par.'!CA908" xr:uid="{44F4D8A7-2209-4E46-A277-85E08B6EFD6C}"/>
    <hyperlink ref="CA2515" location="'CM Rec Par.'!CA1008" display="'CM Rec Par.'!CA1008" xr:uid="{0B13148F-5E0F-44D1-9769-5DDC0C301429}"/>
    <hyperlink ref="CA2516" location="'CM Rec Par.'!CA1108" display="'CM Rec Par.'!CA1108" xr:uid="{97CF40FB-86BE-401D-9FB2-625BF8FE030C}"/>
    <hyperlink ref="CA2517" location="'CM Rec Par.'!CA1208" display="'CM Rec Par.'!CA1208" xr:uid="{76551FFB-64CC-4380-B13D-CCF93FE1A3DD}"/>
    <hyperlink ref="CA2518" location="'CM Rec Par.'!CA1308" display="'CM Rec Par.'!CA1308" xr:uid="{4B3AB34F-C9DA-490D-B170-825F818C613B}"/>
    <hyperlink ref="CA2519" location="'CM Rec Par.'!CA1408" display="'CM Rec Par.'!CA1408" xr:uid="{65876FDD-3083-43A0-815A-744B1350CB62}"/>
    <hyperlink ref="CA2520" location="'CM Rec Par.'!CA1508" display="'CM Rec Par.'!CA1508" xr:uid="{56D9E794-3B9F-4602-8DBF-AAC90F83A382}"/>
    <hyperlink ref="CA2521" location="'CM Rec Par.'!CA1608" display="'CM Rec Par.'!CA1608" xr:uid="{14A0DD28-2907-4742-A482-31A8097DFF2F}"/>
    <hyperlink ref="CA2522" location="'CM Rec Par.'!CA1708" display="'CM Rec Par.'!CA1708" xr:uid="{FE539EB7-A207-43FC-8A00-352CDE2B3E23}"/>
    <hyperlink ref="CA2523" location="'CM Rec Par.'!CA1808" display="'CM Rec Par.'!CA1808" xr:uid="{744CFFCA-10B8-41BA-8392-BB6D686EC5D0}"/>
    <hyperlink ref="CA2524" location="'CM Rec Par.'!CA1908" display="'CM Rec Par.'!CA1908" xr:uid="{91E05AD7-F08E-45F5-B8F5-1423F1D7654A}"/>
    <hyperlink ref="CA2525" location="'CM Rec Par.'!CA2008" display="'CM Rec Par.'!CA2008" xr:uid="{70DB9FAA-694C-4CA5-A1B5-9419B0E3490A}"/>
    <hyperlink ref="CA2526" location="'CM Rec Par.'!CA2108" display="'CM Rec Par.'!CA2108" xr:uid="{C6B81CB6-AFFA-4B20-B176-BC84D624B225}"/>
    <hyperlink ref="CA2527" location="'CM Rec Par.'!CA2208" display="'CM Rec Par.'!CA2208" xr:uid="{97B8EF9D-1575-418E-9E21-9F9E319EF1F2}"/>
    <hyperlink ref="CA2528" location="'CM Rec Par.'!CA2308" display="'CM Rec Par.'!CA2308" xr:uid="{0576E674-9D6F-422A-A296-067253E0E179}"/>
    <hyperlink ref="CA2529" location="'CM Rec Par.'!CA2408" display="'CM Rec Par.'!CA2408" xr:uid="{9BD2E78D-C907-47B5-BDA5-ED2E42068108}"/>
    <hyperlink ref="CA2530" location="'CM Rec Par.'!CA2508" display="'CM Rec Par.'!CA2508" xr:uid="{304FE0AB-095B-4CA7-9ECC-DCF9491178D1}"/>
    <hyperlink ref="CA2531" location="'CM Rec Par.'!CA2608" display="'CM Rec Par.'!CA2608" xr:uid="{ABA00A75-5961-48F2-86E7-D5F453E695EA}"/>
    <hyperlink ref="CA2532" location="'CM Rec Par.'!CA2708" display="'CM Rec Par.'!CA2708" xr:uid="{0B797A1F-9EE1-47D1-84F9-7FEC49D4849D}"/>
    <hyperlink ref="CA2533" location="'CM Rec Par.'!CA2808" display="'CM Rec Par.'!CA2808" xr:uid="{AB24DFAA-B6D3-4609-928E-34A9AC91E613}"/>
    <hyperlink ref="CA2534" location="'CM Rec Par.'!CA2908" display="'CM Rec Par.'!CA2908" xr:uid="{C6EEBD7B-D413-40C1-BD7F-1B9B47156B8E}"/>
    <hyperlink ref="CA2535" location="'CM Rec Par.'!CA3008" display="'CM Rec Par.'!CA3008" xr:uid="{3EB04791-B04C-4E1E-9D74-9BDBEFCCF131}"/>
    <hyperlink ref="CA2536" location="'CM Rec Par.'!CA3108" display="'CM Rec Par.'!CA3108" xr:uid="{EC6C534B-4FBA-4AD1-AE6E-ED30A6AE9C0F}"/>
    <hyperlink ref="CA2537" location="'CM Rec Par.'!CA3208" display="'CM Rec Par.'!CA3208" xr:uid="{9095680E-B17B-45F0-BF7B-8F1D9E344A32}"/>
    <hyperlink ref="CA2538" location="'CM Rec Par.'!CA3308" display="'CM Rec Par.'!CA3308" xr:uid="{4B13F3B1-EF0E-4338-8BEF-65CA285FEB4C}"/>
    <hyperlink ref="CA2539" location="'CM Rec Par.'!CA3408" display="'CM Rec Par.'!CA3408" xr:uid="{A43EDFB7-F364-4319-97D8-D41BDAEEE0F5}"/>
    <hyperlink ref="CA2610" location="'CM Rec Par.'!CA508" display="'CM Rec Par.'!CA508" xr:uid="{D0DD3B8A-B904-498D-9824-2EC1560A9CC7}"/>
    <hyperlink ref="CA2609" location="'CM Rec Par.'!CA50" display="Process" xr:uid="{29818719-AC8D-47D4-9A42-568077289EAE}"/>
    <hyperlink ref="CA2608" location="'CM Rec Par.'!CA6" display="Top" xr:uid="{D3754D63-1630-4BC2-884F-D5D11C52610D}"/>
    <hyperlink ref="CA2611" location="'CM Rec Par.'!CA608" display="'CM Rec Par.'!CA608" xr:uid="{6B8A3198-DADB-4AC0-A489-81EFE800A2C6}"/>
    <hyperlink ref="CA2612" location="'CM Rec Par.'!CA708" display="'CM Rec Par.'!CA708" xr:uid="{6B3D47D8-F073-4DF2-8552-1C99B2311C48}"/>
    <hyperlink ref="CA2613" location="'CM Rec Par.'!CA808" display="'CM Rec Par.'!CA808" xr:uid="{1405B8B1-9F84-4868-93B7-BAF97137A886}"/>
    <hyperlink ref="CA2614" location="'CM Rec Par.'!CA908" display="'CM Rec Par.'!CA908" xr:uid="{24C41629-0B05-4381-8481-A081D48B4E92}"/>
    <hyperlink ref="CA2615" location="'CM Rec Par.'!CA1008" display="'CM Rec Par.'!CA1008" xr:uid="{110D280F-6C09-411D-85FA-C4F12A744447}"/>
    <hyperlink ref="CA2616" location="'CM Rec Par.'!CA1108" display="'CM Rec Par.'!CA1108" xr:uid="{5ED4B085-3468-484D-8C4A-9D9AE347E877}"/>
    <hyperlink ref="CA2617" location="'CM Rec Par.'!CA1208" display="'CM Rec Par.'!CA1208" xr:uid="{E561FA54-6DBF-4C6A-9E5E-03AFCA21BD07}"/>
    <hyperlink ref="CA2618" location="'CM Rec Par.'!CA1308" display="'CM Rec Par.'!CA1308" xr:uid="{0CFEE03C-4F22-48C3-B341-A7CFD1FCA110}"/>
    <hyperlink ref="CA2619" location="'CM Rec Par.'!CA1408" display="'CM Rec Par.'!CA1408" xr:uid="{32703300-D398-4AD5-B218-DA605DB91912}"/>
    <hyperlink ref="CA2620" location="'CM Rec Par.'!CA1508" display="'CM Rec Par.'!CA1508" xr:uid="{61015305-A47E-4835-9E49-87F7BE6A385B}"/>
    <hyperlink ref="CA2621" location="'CM Rec Par.'!CA1608" display="'CM Rec Par.'!CA1608" xr:uid="{7B1732D5-AD9E-4CBE-A18F-09B54CA0BCA0}"/>
    <hyperlink ref="CA2622" location="'CM Rec Par.'!CA1708" display="'CM Rec Par.'!CA1708" xr:uid="{0F185D17-C678-47D3-B6A2-31D6A9DA9C97}"/>
    <hyperlink ref="CA2623" location="'CM Rec Par.'!CA1808" display="'CM Rec Par.'!CA1808" xr:uid="{6A5A4440-1FF1-4C38-AB07-8F29222E4DEF}"/>
    <hyperlink ref="CA2624" location="'CM Rec Par.'!CA1908" display="'CM Rec Par.'!CA1908" xr:uid="{63D5F5EF-EFD3-492B-9331-DB0B1E1CE348}"/>
    <hyperlink ref="CA2625" location="'CM Rec Par.'!CA2008" display="'CM Rec Par.'!CA2008" xr:uid="{97241E1B-A904-4169-876C-4A226AFDEF38}"/>
    <hyperlink ref="CA2626" location="'CM Rec Par.'!CA2108" display="'CM Rec Par.'!CA2108" xr:uid="{925DDDBD-390E-4797-B827-1B3702513176}"/>
    <hyperlink ref="CA2627" location="'CM Rec Par.'!CA2208" display="'CM Rec Par.'!CA2208" xr:uid="{F1189252-650A-4606-86D8-645099161822}"/>
    <hyperlink ref="CA2628" location="'CM Rec Par.'!CA2308" display="'CM Rec Par.'!CA2308" xr:uid="{725A1CBF-5D72-4935-B3AA-9DBD5F282795}"/>
    <hyperlink ref="CA2629" location="'CM Rec Par.'!CA2408" display="'CM Rec Par.'!CA2408" xr:uid="{1DEC5144-31EC-4C30-8635-12289A555865}"/>
    <hyperlink ref="CA2630" location="'CM Rec Par.'!CA2508" display="'CM Rec Par.'!CA2508" xr:uid="{B23835AD-BA75-4572-A321-4C36B1A1DEEA}"/>
    <hyperlink ref="CA2631" location="'CM Rec Par.'!CA2608" display="'CM Rec Par.'!CA2608" xr:uid="{568EC8EE-BA52-427B-A103-4293774535CB}"/>
    <hyperlink ref="CA2632" location="'CM Rec Par.'!CA2708" display="'CM Rec Par.'!CA2708" xr:uid="{56DDA92D-CABA-461B-9A79-E4DC9E4A3F91}"/>
    <hyperlink ref="CA2633" location="'CM Rec Par.'!CA2808" display="'CM Rec Par.'!CA2808" xr:uid="{10EFD89E-4CC1-433F-B02D-F19D116579B7}"/>
    <hyperlink ref="CA2634" location="'CM Rec Par.'!CA2908" display="'CM Rec Par.'!CA2908" xr:uid="{35C8E254-2C00-409E-BB9A-B9C90A9616EB}"/>
    <hyperlink ref="CA2635" location="'CM Rec Par.'!CA3008" display="'CM Rec Par.'!CA3008" xr:uid="{D022C4A1-2BD6-4F28-9522-5D1FC9E3A248}"/>
    <hyperlink ref="CA2636" location="'CM Rec Par.'!CA3108" display="'CM Rec Par.'!CA3108" xr:uid="{8F48D70E-2EB8-43F5-9126-AD876F8135FE}"/>
    <hyperlink ref="CA2637" location="'CM Rec Par.'!CA3208" display="'CM Rec Par.'!CA3208" xr:uid="{CE1B9D39-7DA6-4921-A921-C7EA383B8989}"/>
    <hyperlink ref="CA2638" location="'CM Rec Par.'!CA3308" display="'CM Rec Par.'!CA3308" xr:uid="{7794B08A-15FF-43FF-8C26-013A2D794D4E}"/>
    <hyperlink ref="CA2639" location="'CM Rec Par.'!CA3408" display="'CM Rec Par.'!CA3408" xr:uid="{A5353289-27EC-4FDB-BF69-F9772322AD5F}"/>
    <hyperlink ref="CA2710" location="'CM Rec Par.'!CA508" display="'CM Rec Par.'!CA508" xr:uid="{EB0BB759-B3CD-4FF7-A7D2-6DF0CF77973B}"/>
    <hyperlink ref="CA2709" location="'CM Rec Par.'!CA50" display="Process" xr:uid="{90B27E04-125C-4D0A-84D3-CF2C8C919217}"/>
    <hyperlink ref="CA2708" location="'CM Rec Par.'!CA6" display="Top" xr:uid="{3DBDF436-001A-4F67-A316-603C02D5DB25}"/>
    <hyperlink ref="CA2711" location="'CM Rec Par.'!CA608" display="'CM Rec Par.'!CA608" xr:uid="{D0563253-58B3-452E-9D83-F9BB86B4B589}"/>
    <hyperlink ref="CA2712" location="'CM Rec Par.'!CA708" display="'CM Rec Par.'!CA708" xr:uid="{D5D7099E-FED5-4E08-8426-9951A5240ED8}"/>
    <hyperlink ref="CA2713" location="'CM Rec Par.'!CA808" display="'CM Rec Par.'!CA808" xr:uid="{0C9114DF-0209-47B9-87E5-6B761EB1ED9C}"/>
    <hyperlink ref="CA2714" location="'CM Rec Par.'!CA908" display="'CM Rec Par.'!CA908" xr:uid="{ACF5276A-2ECC-4621-9844-2F27818270D7}"/>
    <hyperlink ref="CA2715" location="'CM Rec Par.'!CA1008" display="'CM Rec Par.'!CA1008" xr:uid="{A7410092-14C6-4F56-963F-478970E1D137}"/>
    <hyperlink ref="CA2716" location="'CM Rec Par.'!CA1108" display="'CM Rec Par.'!CA1108" xr:uid="{F0A952CB-2533-4D14-903D-39394DDB2794}"/>
    <hyperlink ref="CA2717" location="'CM Rec Par.'!CA1208" display="'CM Rec Par.'!CA1208" xr:uid="{2C2CD29D-801B-4E2A-A13A-26C6472A66E5}"/>
    <hyperlink ref="CA2718" location="'CM Rec Par.'!CA1308" display="'CM Rec Par.'!CA1308" xr:uid="{A3CAF8AF-F7EE-4890-916D-C1A7009F8C86}"/>
    <hyperlink ref="CA2719" location="'CM Rec Par.'!CA1408" display="'CM Rec Par.'!CA1408" xr:uid="{F170529F-06EC-431B-9752-1A697AD427F2}"/>
    <hyperlink ref="CA2720" location="'CM Rec Par.'!CA1508" display="'CM Rec Par.'!CA1508" xr:uid="{09409D8B-F975-4F8C-889F-C14550A21E5A}"/>
    <hyperlink ref="CA2721" location="'CM Rec Par.'!CA1608" display="'CM Rec Par.'!CA1608" xr:uid="{3834D474-97CB-4744-940B-C938DFF3A613}"/>
    <hyperlink ref="CA2722" location="'CM Rec Par.'!CA1708" display="'CM Rec Par.'!CA1708" xr:uid="{7925031F-8559-4423-88D5-FF5483AFD112}"/>
    <hyperlink ref="CA2723" location="'CM Rec Par.'!CA1808" display="'CM Rec Par.'!CA1808" xr:uid="{F2E60036-69B6-41D3-83A4-D7BF888F072D}"/>
    <hyperlink ref="CA2724" location="'CM Rec Par.'!CA1908" display="'CM Rec Par.'!CA1908" xr:uid="{437A42DE-1A89-49F4-8BA8-792D73A05A85}"/>
    <hyperlink ref="CA2725" location="'CM Rec Par.'!CA2008" display="'CM Rec Par.'!CA2008" xr:uid="{1A477C8E-403E-4F2C-A77E-321F528C9670}"/>
    <hyperlink ref="CA2726" location="'CM Rec Par.'!CA2108" display="'CM Rec Par.'!CA2108" xr:uid="{A0EADB71-426B-4839-AE2D-27F1FAB42860}"/>
    <hyperlink ref="CA2727" location="'CM Rec Par.'!CA2208" display="'CM Rec Par.'!CA2208" xr:uid="{D04A3AEB-6F60-4DB6-8F2C-54EBA6E9D54E}"/>
    <hyperlink ref="CA2728" location="'CM Rec Par.'!CA2308" display="'CM Rec Par.'!CA2308" xr:uid="{4C75F470-7335-4B1E-988F-6FEB0020D39F}"/>
    <hyperlink ref="CA2729" location="'CM Rec Par.'!CA2408" display="'CM Rec Par.'!CA2408" xr:uid="{FAC91930-B58E-433F-A26F-2664E12B3375}"/>
    <hyperlink ref="CA2730" location="'CM Rec Par.'!CA2508" display="'CM Rec Par.'!CA2508" xr:uid="{6196F4ED-EA9A-4004-A736-2DE5690853A0}"/>
    <hyperlink ref="CA2731" location="'CM Rec Par.'!CA2608" display="'CM Rec Par.'!CA2608" xr:uid="{5A7276D2-6C6B-4429-9AC5-65BE56CA7410}"/>
    <hyperlink ref="CA2732" location="'CM Rec Par.'!CA2708" display="'CM Rec Par.'!CA2708" xr:uid="{B8AC5928-F02B-46C2-BD39-349C8D37FE83}"/>
    <hyperlink ref="CA2733" location="'CM Rec Par.'!CA2808" display="'CM Rec Par.'!CA2808" xr:uid="{61A72ED0-70F3-46A2-BFF5-C2DB47ED5E9A}"/>
    <hyperlink ref="CA2734" location="'CM Rec Par.'!CA2908" display="'CM Rec Par.'!CA2908" xr:uid="{8A329974-A813-4533-906B-2FD454818CB2}"/>
    <hyperlink ref="CA2735" location="'CM Rec Par.'!CA3008" display="'CM Rec Par.'!CA3008" xr:uid="{A4160CBE-3508-4866-AE07-95F3BCF1CB47}"/>
    <hyperlink ref="CA2736" location="'CM Rec Par.'!CA3108" display="'CM Rec Par.'!CA3108" xr:uid="{94C4771F-A8DE-43DF-A12C-BA6FAAF7E156}"/>
    <hyperlink ref="CA2737" location="'CM Rec Par.'!CA3208" display="'CM Rec Par.'!CA3208" xr:uid="{6FD4FB22-A296-4B5E-BC27-D45ACF1F5110}"/>
    <hyperlink ref="CA2738" location="'CM Rec Par.'!CA3308" display="'CM Rec Par.'!CA3308" xr:uid="{7CD2D1E6-636E-4E9E-B08D-6B5C698210D1}"/>
    <hyperlink ref="CA2739" location="'CM Rec Par.'!CA3408" display="'CM Rec Par.'!CA3408" xr:uid="{0C4D5EA6-E468-49AF-9418-977D3BE26C6D}"/>
    <hyperlink ref="CA2810" location="'CM Rec Par.'!CA508" display="'CM Rec Par.'!CA508" xr:uid="{D7F9B24E-CE52-4241-BD8B-1E7962F1DDF2}"/>
    <hyperlink ref="CA2809" location="'CM Rec Par.'!CA50" display="Process" xr:uid="{3F51C678-5162-4832-834C-6D61A021160E}"/>
    <hyperlink ref="CA2808" location="'CM Rec Par.'!CA6" display="Top" xr:uid="{AA3656D0-79B9-451E-8382-9AED695F576C}"/>
    <hyperlink ref="CA2811" location="'CM Rec Par.'!CA608" display="'CM Rec Par.'!CA608" xr:uid="{681AF556-7C21-4CD4-9A7C-18AFC564D070}"/>
    <hyperlink ref="CA2812" location="'CM Rec Par.'!CA708" display="'CM Rec Par.'!CA708" xr:uid="{370CCA80-471F-486C-B1C5-75EA90CE4C8C}"/>
    <hyperlink ref="CA2813" location="'CM Rec Par.'!CA808" display="'CM Rec Par.'!CA808" xr:uid="{426B8186-2CB1-4DBD-84B7-93F7E9752A88}"/>
    <hyperlink ref="CA2814" location="'CM Rec Par.'!CA908" display="'CM Rec Par.'!CA908" xr:uid="{101D990E-8A4F-48FE-B6CE-EE2804F20083}"/>
    <hyperlink ref="CA2815" location="'CM Rec Par.'!CA1008" display="'CM Rec Par.'!CA1008" xr:uid="{42ED2E5D-1A54-4F25-968D-396A76885ECC}"/>
    <hyperlink ref="CA2816" location="'CM Rec Par.'!CA1108" display="'CM Rec Par.'!CA1108" xr:uid="{BFD6BA21-FAA2-4A82-BF17-F9F3B0BDBD4E}"/>
    <hyperlink ref="CA2817" location="'CM Rec Par.'!CA1208" display="'CM Rec Par.'!CA1208" xr:uid="{5E741A23-9024-4AFD-A12F-853F00105F94}"/>
    <hyperlink ref="CA2818" location="'CM Rec Par.'!CA1308" display="'CM Rec Par.'!CA1308" xr:uid="{C491CB46-691C-4F7D-AB3E-959BFB4B7C4F}"/>
    <hyperlink ref="CA2819" location="'CM Rec Par.'!CA1408" display="'CM Rec Par.'!CA1408" xr:uid="{013F80C0-9276-4A83-8111-33DD82D94B5F}"/>
    <hyperlink ref="CA2820" location="'CM Rec Par.'!CA1508" display="'CM Rec Par.'!CA1508" xr:uid="{ED2F3970-C246-4559-ABE6-F3CF0A726154}"/>
    <hyperlink ref="CA2821" location="'CM Rec Par.'!CA1608" display="'CM Rec Par.'!CA1608" xr:uid="{F2EAEA8C-1BD1-48AD-8C9E-468F28568127}"/>
    <hyperlink ref="CA2822" location="'CM Rec Par.'!CA1708" display="'CM Rec Par.'!CA1708" xr:uid="{69F58484-B05A-4384-898B-58663108DEDA}"/>
    <hyperlink ref="CA2823" location="'CM Rec Par.'!CA1808" display="'CM Rec Par.'!CA1808" xr:uid="{A4C38679-2FDB-47C1-BDDB-566D3026EAC0}"/>
    <hyperlink ref="CA2824" location="'CM Rec Par.'!CA1908" display="'CM Rec Par.'!CA1908" xr:uid="{80A90084-88D8-4F7D-BFD9-8181C137262A}"/>
    <hyperlink ref="CA2825" location="'CM Rec Par.'!CA2008" display="'CM Rec Par.'!CA2008" xr:uid="{93384F74-18C2-48DA-990D-19B64EF6DD22}"/>
    <hyperlink ref="CA2826" location="'CM Rec Par.'!CA2108" display="'CM Rec Par.'!CA2108" xr:uid="{919D984A-0D3A-4D4E-80BD-82ED3449A3B7}"/>
    <hyperlink ref="CA2827" location="'CM Rec Par.'!CA2208" display="'CM Rec Par.'!CA2208" xr:uid="{60CA5ED4-1963-44E3-B9DB-16B43784C3CC}"/>
    <hyperlink ref="CA2828" location="'CM Rec Par.'!CA2308" display="'CM Rec Par.'!CA2308" xr:uid="{6F9615AC-4B0A-4A07-836E-6F6BC95463DF}"/>
    <hyperlink ref="CA2829" location="'CM Rec Par.'!CA2408" display="'CM Rec Par.'!CA2408" xr:uid="{81F0AFE3-2217-424F-9570-19754E08ED92}"/>
    <hyperlink ref="CA2830" location="'CM Rec Par.'!CA2508" display="'CM Rec Par.'!CA2508" xr:uid="{47720D2F-DBB8-4651-B445-B674C44BAA6A}"/>
    <hyperlink ref="CA2831" location="'CM Rec Par.'!CA2608" display="'CM Rec Par.'!CA2608" xr:uid="{41040846-AB3D-4B62-958B-D39ADE278EAA}"/>
    <hyperlink ref="CA2832" location="'CM Rec Par.'!CA2708" display="'CM Rec Par.'!CA2708" xr:uid="{B06FB670-E9EF-44A0-8539-8FB0C6CEB9B8}"/>
    <hyperlink ref="CA2833" location="'CM Rec Par.'!CA2808" display="'CM Rec Par.'!CA2808" xr:uid="{5A8F2EF4-99D6-4DF3-BECE-18A1D9C8AC1B}"/>
    <hyperlink ref="CA2834" location="'CM Rec Par.'!CA2908" display="'CM Rec Par.'!CA2908" xr:uid="{A7D8CDB4-0237-4BAE-BB74-8C0139CC0B39}"/>
    <hyperlink ref="CA2835" location="'CM Rec Par.'!CA3008" display="'CM Rec Par.'!CA3008" xr:uid="{3EF03D85-7BEB-445C-87D6-3F6BB1C3BDF9}"/>
    <hyperlink ref="CA2836" location="'CM Rec Par.'!CA3108" display="'CM Rec Par.'!CA3108" xr:uid="{A4D27C96-E8FC-4147-B88E-BB1A553B6940}"/>
    <hyperlink ref="CA2837" location="'CM Rec Par.'!CA3208" display="'CM Rec Par.'!CA3208" xr:uid="{E9234AA7-3DAC-4140-B2E0-B968C3A5A620}"/>
    <hyperlink ref="CA2838" location="'CM Rec Par.'!CA3308" display="'CM Rec Par.'!CA3308" xr:uid="{97BE0438-03B9-41AE-91C2-EAFF410D62E9}"/>
    <hyperlink ref="CA2839" location="'CM Rec Par.'!CA3408" display="'CM Rec Par.'!CA3408" xr:uid="{6F779B6B-B712-4E10-8DA6-E2E12FA13204}"/>
    <hyperlink ref="CA2910" location="'CM Rec Par.'!CA508" display="'CM Rec Par.'!CA508" xr:uid="{89FFAE7D-F63F-424E-828C-B1AD2EDF22B8}"/>
    <hyperlink ref="CA2909" location="'CM Rec Par.'!CA50" display="Process" xr:uid="{31BEFCA3-7B95-4630-ADA7-612ED18F3BB5}"/>
    <hyperlink ref="CA2908" location="'CM Rec Par.'!CA6" display="Top" xr:uid="{EF8EE34E-EFA1-469A-BA7B-956826B874EE}"/>
    <hyperlink ref="CA2911" location="'CM Rec Par.'!CA608" display="'CM Rec Par.'!CA608" xr:uid="{BC2A6255-154B-4CF2-B892-B67718DE4DD4}"/>
    <hyperlink ref="CA2912" location="'CM Rec Par.'!CA708" display="'CM Rec Par.'!CA708" xr:uid="{C0CF188E-A4FC-45A1-9FEA-EF4EF2382EC7}"/>
    <hyperlink ref="CA2913" location="'CM Rec Par.'!CA808" display="'CM Rec Par.'!CA808" xr:uid="{5B9908AC-3775-4788-8E2D-3B6DB898B534}"/>
    <hyperlink ref="CA2914" location="'CM Rec Par.'!CA908" display="'CM Rec Par.'!CA908" xr:uid="{2727E9D6-3E1C-4CA0-A8F8-CF4CF3FD38A3}"/>
    <hyperlink ref="CA2915" location="'CM Rec Par.'!CA1008" display="'CM Rec Par.'!CA1008" xr:uid="{BEBDEA5A-6C88-455A-8333-F2323463AF39}"/>
    <hyperlink ref="CA2916" location="'CM Rec Par.'!CA1108" display="'CM Rec Par.'!CA1108" xr:uid="{FDBA94EA-326C-4B9E-8CC5-1FB386577A9D}"/>
    <hyperlink ref="CA2917" location="'CM Rec Par.'!CA1208" display="'CM Rec Par.'!CA1208" xr:uid="{1802CC7A-06A1-41AE-9C95-23BD4E44AB5F}"/>
    <hyperlink ref="CA2918" location="'CM Rec Par.'!CA1308" display="'CM Rec Par.'!CA1308" xr:uid="{D415DC81-4386-4FD3-8DE7-0947D5CBEFB1}"/>
    <hyperlink ref="CA2919" location="'CM Rec Par.'!CA1408" display="'CM Rec Par.'!CA1408" xr:uid="{4D775EB2-2DF7-4E45-BE40-DA8124A30B5F}"/>
    <hyperlink ref="CA2920" location="'CM Rec Par.'!CA1508" display="'CM Rec Par.'!CA1508" xr:uid="{59F61CE5-3371-42E0-86E3-2C2AA05E1F0E}"/>
    <hyperlink ref="CA2921" location="'CM Rec Par.'!CA1608" display="'CM Rec Par.'!CA1608" xr:uid="{E25E3E1F-0D6C-4A55-BB56-378278A0782F}"/>
    <hyperlink ref="CA2922" location="'CM Rec Par.'!CA1708" display="'CM Rec Par.'!CA1708" xr:uid="{F73C377F-E9DE-4233-81A8-0AF4536CBDC7}"/>
    <hyperlink ref="CA2923" location="'CM Rec Par.'!CA1808" display="'CM Rec Par.'!CA1808" xr:uid="{56F5BD7E-5C2F-4EF6-9AF0-DEDA0C3E7178}"/>
    <hyperlink ref="CA2924" location="'CM Rec Par.'!CA1908" display="'CM Rec Par.'!CA1908" xr:uid="{1C936B9D-AB3E-4D90-846D-22B9667D89FB}"/>
    <hyperlink ref="CA2925" location="'CM Rec Par.'!CA2008" display="'CM Rec Par.'!CA2008" xr:uid="{FB886483-7336-432A-B1AA-91D676138873}"/>
    <hyperlink ref="CA2926" location="'CM Rec Par.'!CA2108" display="'CM Rec Par.'!CA2108" xr:uid="{DF578D59-B85B-48F9-B4AF-1491F95B341C}"/>
    <hyperlink ref="CA2927" location="'CM Rec Par.'!CA2208" display="'CM Rec Par.'!CA2208" xr:uid="{4D3ECC06-5F9A-47D0-8DFA-EBE5197AE361}"/>
    <hyperlink ref="CA2928" location="'CM Rec Par.'!CA2308" display="'CM Rec Par.'!CA2308" xr:uid="{AC565ED8-1846-4DEE-B666-9510661D1C94}"/>
    <hyperlink ref="CA2929" location="'CM Rec Par.'!CA2408" display="'CM Rec Par.'!CA2408" xr:uid="{3809335C-9326-480C-BCF6-CFCF2B6481A8}"/>
    <hyperlink ref="CA2930" location="'CM Rec Par.'!CA2508" display="'CM Rec Par.'!CA2508" xr:uid="{9686F012-53C9-420F-BB31-D210457787C9}"/>
    <hyperlink ref="CA2931" location="'CM Rec Par.'!CA2608" display="'CM Rec Par.'!CA2608" xr:uid="{DC5AB23C-4261-441E-A262-CB3289F9FCB2}"/>
    <hyperlink ref="CA2932" location="'CM Rec Par.'!CA2708" display="'CM Rec Par.'!CA2708" xr:uid="{CB70B272-B6B9-4EE6-9E1D-9ED8F7641947}"/>
    <hyperlink ref="CA2933" location="'CM Rec Par.'!CA2808" display="'CM Rec Par.'!CA2808" xr:uid="{A1556E79-09A5-44B6-A840-DF1BC39906C5}"/>
    <hyperlink ref="CA2934" location="'CM Rec Par.'!CA2908" display="'CM Rec Par.'!CA2908" xr:uid="{57F12AF0-BAD0-4AA8-B362-AFC287FF0160}"/>
    <hyperlink ref="CA2935" location="'CM Rec Par.'!CA3008" display="'CM Rec Par.'!CA3008" xr:uid="{6AEB5F30-C9FA-447F-9C64-CE9AE4D58A9D}"/>
    <hyperlink ref="CA2936" location="'CM Rec Par.'!CA3108" display="'CM Rec Par.'!CA3108" xr:uid="{3AD14662-A206-4F65-B4CB-718F849A21B8}"/>
    <hyperlink ref="CA2937" location="'CM Rec Par.'!CA3208" display="'CM Rec Par.'!CA3208" xr:uid="{39AAC945-1551-4D24-BF67-4A8958829BB1}"/>
    <hyperlink ref="CA2938" location="'CM Rec Par.'!CA3308" display="'CM Rec Par.'!CA3308" xr:uid="{F4C1B1D9-8039-44B7-8658-DBD5914DE5DE}"/>
    <hyperlink ref="CA2939" location="'CM Rec Par.'!CA3408" display="'CM Rec Par.'!CA3408" xr:uid="{3F6DCBFB-DC86-41F8-9285-103B70286FC0}"/>
    <hyperlink ref="CA3010" location="'CM Rec Par.'!CA508" display="'CM Rec Par.'!CA508" xr:uid="{0D01B566-928B-46DD-AF49-A538F1389B27}"/>
    <hyperlink ref="CA3009" location="'CM Rec Par.'!CA50" display="Process" xr:uid="{E9F0C1AF-ACD9-4CDF-AAA0-97BA637826CD}"/>
    <hyperlink ref="CA3008" location="'CM Rec Par.'!CA6" display="Top" xr:uid="{3AC94F59-092C-47B1-9F1D-824ABA8C3288}"/>
    <hyperlink ref="CA3011" location="'CM Rec Par.'!CA608" display="'CM Rec Par.'!CA608" xr:uid="{6625467A-F3CE-4B10-A3DE-B137D946A232}"/>
    <hyperlink ref="CA3012" location="'CM Rec Par.'!CA708" display="'CM Rec Par.'!CA708" xr:uid="{385CE000-9ED5-4571-8976-6F68EAA20CE6}"/>
    <hyperlink ref="CA3013" location="'CM Rec Par.'!CA808" display="'CM Rec Par.'!CA808" xr:uid="{87032658-C879-4ECD-915C-32F70D9D1EF2}"/>
    <hyperlink ref="CA3014" location="'CM Rec Par.'!CA908" display="'CM Rec Par.'!CA908" xr:uid="{110152B0-B9C9-42A7-A5E8-A426DB5DA53A}"/>
    <hyperlink ref="CA3015" location="'CM Rec Par.'!CA1008" display="'CM Rec Par.'!CA1008" xr:uid="{481D0E1F-F756-43D4-9B82-4F043A901FC7}"/>
    <hyperlink ref="CA3016" location="'CM Rec Par.'!CA1108" display="'CM Rec Par.'!CA1108" xr:uid="{D839933D-2B6B-48AC-BCA1-39D105B39301}"/>
    <hyperlink ref="CA3017" location="'CM Rec Par.'!CA1208" display="'CM Rec Par.'!CA1208" xr:uid="{46B52FF7-40D5-417A-9B71-F19B49330C48}"/>
    <hyperlink ref="CA3018" location="'CM Rec Par.'!CA1308" display="'CM Rec Par.'!CA1308" xr:uid="{2B6BA142-563B-4ECB-9C9A-DDCE7DE77E88}"/>
    <hyperlink ref="CA3019" location="'CM Rec Par.'!CA1408" display="'CM Rec Par.'!CA1408" xr:uid="{CCBDDBCF-1BD1-443A-BEB6-02DDD49BE576}"/>
    <hyperlink ref="CA3020" location="'CM Rec Par.'!CA1508" display="'CM Rec Par.'!CA1508" xr:uid="{3DB69FDE-CDA6-4D49-B07C-FD491B95317F}"/>
    <hyperlink ref="CA3021" location="'CM Rec Par.'!CA1608" display="'CM Rec Par.'!CA1608" xr:uid="{4EE42C04-22EC-4DA7-8FB4-954C95CB4989}"/>
    <hyperlink ref="CA3022" location="'CM Rec Par.'!CA1708" display="'CM Rec Par.'!CA1708" xr:uid="{F0DE801B-7193-49B9-B6E6-8196D1896324}"/>
    <hyperlink ref="CA3023" location="'CM Rec Par.'!CA1808" display="'CM Rec Par.'!CA1808" xr:uid="{2467399E-12DB-431C-BB78-0A5ADEBF036F}"/>
    <hyperlink ref="CA3024" location="'CM Rec Par.'!CA1908" display="'CM Rec Par.'!CA1908" xr:uid="{6E1BC362-1A9B-4E25-9547-9D52C3D9BBB6}"/>
    <hyperlink ref="CA3025" location="'CM Rec Par.'!CA2008" display="'CM Rec Par.'!CA2008" xr:uid="{F83E5D0D-36E5-4132-86B3-697FB0E7A438}"/>
    <hyperlink ref="CA3026" location="'CM Rec Par.'!CA2108" display="'CM Rec Par.'!CA2108" xr:uid="{1D88B6FC-9FA3-42E2-A159-46DFADE3179C}"/>
    <hyperlink ref="CA3027" location="'CM Rec Par.'!CA2208" display="'CM Rec Par.'!CA2208" xr:uid="{D825EE8B-D520-49D1-9FDF-4A908EB94832}"/>
    <hyperlink ref="CA3028" location="'CM Rec Par.'!CA2308" display="'CM Rec Par.'!CA2308" xr:uid="{83993BC2-E64D-46F2-8131-EDC780009891}"/>
    <hyperlink ref="CA3029" location="'CM Rec Par.'!CA2408" display="'CM Rec Par.'!CA2408" xr:uid="{38D541BC-951D-4A56-97D9-E24A9A5A2240}"/>
    <hyperlink ref="CA3030" location="'CM Rec Par.'!CA2508" display="'CM Rec Par.'!CA2508" xr:uid="{4B5E0F65-7DDD-4DE9-9A2F-F1BBFF2A993B}"/>
    <hyperlink ref="CA3031" location="'CM Rec Par.'!CA2608" display="'CM Rec Par.'!CA2608" xr:uid="{F4EF681F-14B4-47DB-8714-8FD198E0A5EC}"/>
    <hyperlink ref="CA3032" location="'CM Rec Par.'!CA2708" display="'CM Rec Par.'!CA2708" xr:uid="{1C31F52B-BC60-45E1-9CFB-F76986B9D499}"/>
    <hyperlink ref="CA3033" location="'CM Rec Par.'!CA2808" display="'CM Rec Par.'!CA2808" xr:uid="{1EF6354F-ADBB-4987-82BF-73115F00B0F1}"/>
    <hyperlink ref="CA3034" location="'CM Rec Par.'!CA2908" display="'CM Rec Par.'!CA2908" xr:uid="{72FAA7A3-869F-4FDD-B915-38D90FF301A6}"/>
    <hyperlink ref="CA3035" location="'CM Rec Par.'!CA3008" display="'CM Rec Par.'!CA3008" xr:uid="{245B8D03-3C12-409C-A9E5-19CD7442B00B}"/>
    <hyperlink ref="CA3036" location="'CM Rec Par.'!CA3108" display="'CM Rec Par.'!CA3108" xr:uid="{395FF33B-3FFA-4371-84EC-403F5E6B288F}"/>
    <hyperlink ref="CA3037" location="'CM Rec Par.'!CA3208" display="'CM Rec Par.'!CA3208" xr:uid="{5AF50A45-3E69-4F4A-8E87-19DD0D4B1E0F}"/>
    <hyperlink ref="CA3038" location="'CM Rec Par.'!CA3308" display="'CM Rec Par.'!CA3308" xr:uid="{60DF5D52-0BBB-415D-9C6B-D04265CE4828}"/>
    <hyperlink ref="CA3039" location="'CM Rec Par.'!CA3408" display="'CM Rec Par.'!CA3408" xr:uid="{FEC198D8-3494-4E79-A770-0C222AE690AF}"/>
    <hyperlink ref="CA3110" location="'CM Rec Par.'!CA508" display="'CM Rec Par.'!CA508" xr:uid="{7EDF8297-4CC9-45D3-A0F7-761B211D43BA}"/>
    <hyperlink ref="CA3109" location="'CM Rec Par.'!CA50" display="Process" xr:uid="{49A5786E-0DDE-44E1-B820-1E42B3BBA340}"/>
    <hyperlink ref="CA3108" location="'CM Rec Par.'!CA6" display="Top" xr:uid="{4D1EC8F2-3981-4860-9B9B-8172CD7A5AF7}"/>
    <hyperlink ref="CA3111" location="'CM Rec Par.'!CA608" display="'CM Rec Par.'!CA608" xr:uid="{272CCD36-E3DF-45BC-9D78-9E896DAF59C5}"/>
    <hyperlink ref="CA3112" location="'CM Rec Par.'!CA708" display="'CM Rec Par.'!CA708" xr:uid="{84F212BB-E6C9-49DF-9D1D-69B06D074020}"/>
    <hyperlink ref="CA3113" location="'CM Rec Par.'!CA808" display="'CM Rec Par.'!CA808" xr:uid="{69C51875-D1DB-4484-9530-21D0D26A5278}"/>
    <hyperlink ref="CA3114" location="'CM Rec Par.'!CA908" display="'CM Rec Par.'!CA908" xr:uid="{7D98B048-2585-44DD-9C15-6B681A94D9DB}"/>
    <hyperlink ref="CA3115" location="'CM Rec Par.'!CA1008" display="'CM Rec Par.'!CA1008" xr:uid="{9229DFC5-FD73-4418-BCE6-8AA6BB169C30}"/>
    <hyperlink ref="CA3116" location="'CM Rec Par.'!CA1108" display="'CM Rec Par.'!CA1108" xr:uid="{7411CEA5-B652-408E-B12A-67BFF80E5210}"/>
    <hyperlink ref="CA3117" location="'CM Rec Par.'!CA1208" display="'CM Rec Par.'!CA1208" xr:uid="{A1F95B5D-4DE9-4C23-9E24-1CB2288C299B}"/>
    <hyperlink ref="CA3118" location="'CM Rec Par.'!CA1308" display="'CM Rec Par.'!CA1308" xr:uid="{FF1F73CA-5B4D-4B2B-A68D-246EC7EB5606}"/>
    <hyperlink ref="CA3119" location="'CM Rec Par.'!CA1408" display="'CM Rec Par.'!CA1408" xr:uid="{4B275C15-E16E-466D-8652-97F74E491A96}"/>
    <hyperlink ref="CA3120" location="'CM Rec Par.'!CA1508" display="'CM Rec Par.'!CA1508" xr:uid="{9A65C878-BD40-4B6C-8C5A-4ABE3F997D1A}"/>
    <hyperlink ref="CA3121" location="'CM Rec Par.'!CA1608" display="'CM Rec Par.'!CA1608" xr:uid="{CB889755-77E7-46BD-A082-B87A246BB33A}"/>
    <hyperlink ref="CA3122" location="'CM Rec Par.'!CA1708" display="'CM Rec Par.'!CA1708" xr:uid="{81BB4EE4-4E7C-4BF9-932C-773D45A49222}"/>
    <hyperlink ref="CA3123" location="'CM Rec Par.'!CA1808" display="'CM Rec Par.'!CA1808" xr:uid="{13C75174-13A1-4E6C-9462-039584BA804C}"/>
    <hyperlink ref="CA3124" location="'CM Rec Par.'!CA1908" display="'CM Rec Par.'!CA1908" xr:uid="{0FD8A0AE-E8B9-461C-B4DE-3D369180C169}"/>
    <hyperlink ref="CA3125" location="'CM Rec Par.'!CA2008" display="'CM Rec Par.'!CA2008" xr:uid="{FCC5BEA0-5E24-49BA-9F62-26E022E1812F}"/>
    <hyperlink ref="CA3126" location="'CM Rec Par.'!CA2108" display="'CM Rec Par.'!CA2108" xr:uid="{BF94BE94-D6EA-4AEB-80F6-559B18DAA133}"/>
    <hyperlink ref="CA3127" location="'CM Rec Par.'!CA2208" display="'CM Rec Par.'!CA2208" xr:uid="{C95487A7-9565-42B8-A246-B3B521AC4511}"/>
    <hyperlink ref="CA3128" location="'CM Rec Par.'!CA2308" display="'CM Rec Par.'!CA2308" xr:uid="{476299B7-7D74-43DD-8F0E-2C7B5336449C}"/>
    <hyperlink ref="CA3129" location="'CM Rec Par.'!CA2408" display="'CM Rec Par.'!CA2408" xr:uid="{A827BBC0-D551-443D-B9D7-D27E46BF6A71}"/>
    <hyperlink ref="CA3130" location="'CM Rec Par.'!CA2508" display="'CM Rec Par.'!CA2508" xr:uid="{5035F18D-5B1C-47D8-97BB-8AAFC48C1682}"/>
    <hyperlink ref="CA3131" location="'CM Rec Par.'!CA2608" display="'CM Rec Par.'!CA2608" xr:uid="{C20308BD-192C-4750-AF56-1EE1DD3333A9}"/>
    <hyperlink ref="CA3132" location="'CM Rec Par.'!CA2708" display="'CM Rec Par.'!CA2708" xr:uid="{9FF64074-99EC-466A-81CF-5DE2EF4DE969}"/>
    <hyperlink ref="CA3133" location="'CM Rec Par.'!CA2808" display="'CM Rec Par.'!CA2808" xr:uid="{C8312BAC-38BB-44CB-A186-8E972A7871E2}"/>
    <hyperlink ref="CA3134" location="'CM Rec Par.'!CA2908" display="'CM Rec Par.'!CA2908" xr:uid="{02DE9CF8-48D0-4CA5-9CC0-905AFC7D658D}"/>
    <hyperlink ref="CA3135" location="'CM Rec Par.'!CA3008" display="'CM Rec Par.'!CA3008" xr:uid="{79FF427D-AD0E-48FA-BD5E-0076566914F5}"/>
    <hyperlink ref="CA3136" location="'CM Rec Par.'!CA3108" display="'CM Rec Par.'!CA3108" xr:uid="{7DEDFCB3-A047-4D94-88AA-2FAD74205DCE}"/>
    <hyperlink ref="CA3137" location="'CM Rec Par.'!CA3208" display="'CM Rec Par.'!CA3208" xr:uid="{F8D81631-FD0B-4BF0-9C25-72AC45470661}"/>
    <hyperlink ref="CA3138" location="'CM Rec Par.'!CA3308" display="'CM Rec Par.'!CA3308" xr:uid="{1E0A2AD3-71AB-48B1-B5BA-B743F24D6E71}"/>
    <hyperlink ref="CA3139" location="'CM Rec Par.'!CA3408" display="'CM Rec Par.'!CA3408" xr:uid="{BC8D09BF-FF4B-4DC8-9FE9-48FAFEBAFABF}"/>
    <hyperlink ref="CA3210" location="'CM Rec Par.'!CA508" display="'CM Rec Par.'!CA508" xr:uid="{F869527C-D51C-4475-8456-3CA32CFBE6C0}"/>
    <hyperlink ref="CA3209" location="'CM Rec Par.'!CA50" display="Process" xr:uid="{DD6827A7-DF15-4431-BDC4-938B2CA2980B}"/>
    <hyperlink ref="CA3208" location="'CM Rec Par.'!CA6" display="Top" xr:uid="{287B15A7-4BF4-4F58-9706-E419E5EE9A2D}"/>
    <hyperlink ref="CA3211" location="'CM Rec Par.'!CA608" display="'CM Rec Par.'!CA608" xr:uid="{034548BD-6C2C-482B-B00D-0AA83027F77F}"/>
    <hyperlink ref="CA3212" location="'CM Rec Par.'!CA708" display="'CM Rec Par.'!CA708" xr:uid="{2E7CC406-E94F-486C-9BFD-19AB46DE405B}"/>
    <hyperlink ref="CA3213" location="'CM Rec Par.'!CA808" display="'CM Rec Par.'!CA808" xr:uid="{45D0AD2F-45C1-479B-9B8D-B5B3D0A9CB60}"/>
    <hyperlink ref="CA3214" location="'CM Rec Par.'!CA908" display="'CM Rec Par.'!CA908" xr:uid="{32B6B51C-6F28-48A9-AB00-7026A6F8262B}"/>
    <hyperlink ref="CA3215" location="'CM Rec Par.'!CA1008" display="'CM Rec Par.'!CA1008" xr:uid="{16DF9D7F-6B6F-4DFC-89D0-7C42B233ED15}"/>
    <hyperlink ref="CA3216" location="'CM Rec Par.'!CA1108" display="'CM Rec Par.'!CA1108" xr:uid="{485F9D21-0D2C-4609-B555-D154BF86EF4D}"/>
    <hyperlink ref="CA3217" location="'CM Rec Par.'!CA1208" display="'CM Rec Par.'!CA1208" xr:uid="{554845CA-F688-44EF-9D83-BC064B98D333}"/>
    <hyperlink ref="CA3218" location="'CM Rec Par.'!CA1308" display="'CM Rec Par.'!CA1308" xr:uid="{B75EDC81-0828-4AFB-B767-7DCD560F4DA9}"/>
    <hyperlink ref="CA3219" location="'CM Rec Par.'!CA1408" display="'CM Rec Par.'!CA1408" xr:uid="{638059B9-096D-4F16-95D6-26CDC7079893}"/>
    <hyperlink ref="CA3220" location="'CM Rec Par.'!CA1508" display="'CM Rec Par.'!CA1508" xr:uid="{8DD6AC9A-94B8-410A-A92C-B4CD9E26FE3F}"/>
    <hyperlink ref="CA3221" location="'CM Rec Par.'!CA1608" display="'CM Rec Par.'!CA1608" xr:uid="{37A6C7BC-5443-4BA0-B3D5-EA4C52EA4EF5}"/>
    <hyperlink ref="CA3222" location="'CM Rec Par.'!CA1708" display="'CM Rec Par.'!CA1708" xr:uid="{1C06D72C-1DFC-4C1E-95D1-377D5D591014}"/>
    <hyperlink ref="CA3223" location="'CM Rec Par.'!CA1808" display="'CM Rec Par.'!CA1808" xr:uid="{781D7AB1-9BDE-4D70-AB81-E9AEB4AE6D9B}"/>
    <hyperlink ref="CA3224" location="'CM Rec Par.'!CA1908" display="'CM Rec Par.'!CA1908" xr:uid="{C4D578CC-35A1-4D2E-BDDA-3F8550E6B3C8}"/>
    <hyperlink ref="CA3225" location="'CM Rec Par.'!CA2008" display="'CM Rec Par.'!CA2008" xr:uid="{F2F5CAA4-EC25-476C-86A1-ED44C0CF79AB}"/>
    <hyperlink ref="CA3226" location="'CM Rec Par.'!CA2108" display="'CM Rec Par.'!CA2108" xr:uid="{843995B8-EFB4-47DA-8690-C2375F916CF0}"/>
    <hyperlink ref="CA3227" location="'CM Rec Par.'!CA2208" display="'CM Rec Par.'!CA2208" xr:uid="{1947B6AB-727B-47F7-8344-AD8745B4D55C}"/>
    <hyperlink ref="CA3228" location="'CM Rec Par.'!CA2308" display="'CM Rec Par.'!CA2308" xr:uid="{A888EE05-1DAB-40BE-87BD-E879EF52D6C7}"/>
    <hyperlink ref="CA3229" location="'CM Rec Par.'!CA2408" display="'CM Rec Par.'!CA2408" xr:uid="{286C9B6A-71BF-4312-97AC-B5123CCE2B8C}"/>
    <hyperlink ref="CA3230" location="'CM Rec Par.'!CA2508" display="'CM Rec Par.'!CA2508" xr:uid="{1DCB5C8C-FD08-4C25-885B-A29CC3917B09}"/>
    <hyperlink ref="CA3231" location="'CM Rec Par.'!CA2608" display="'CM Rec Par.'!CA2608" xr:uid="{BA468C2A-F0B3-4BBF-B97C-24137173300A}"/>
    <hyperlink ref="CA3232" location="'CM Rec Par.'!CA2708" display="'CM Rec Par.'!CA2708" xr:uid="{4156D9E6-B5F5-4837-B534-F599D1B315BB}"/>
    <hyperlink ref="CA3233" location="'CM Rec Par.'!CA2808" display="'CM Rec Par.'!CA2808" xr:uid="{8E5556A6-B3FF-47D0-A7E9-6D57B0B50D4F}"/>
    <hyperlink ref="CA3234" location="'CM Rec Par.'!CA2908" display="'CM Rec Par.'!CA2908" xr:uid="{37226849-EA40-4CE8-BF6C-4F14606B9CA6}"/>
    <hyperlink ref="CA3235" location="'CM Rec Par.'!CA3008" display="'CM Rec Par.'!CA3008" xr:uid="{1A8B6147-B4B5-4693-A727-1FD994138ACB}"/>
    <hyperlink ref="CA3236" location="'CM Rec Par.'!CA3108" display="'CM Rec Par.'!CA3108" xr:uid="{8C219D81-3404-4C58-96FB-C027C8FD1A0B}"/>
    <hyperlink ref="CA3237" location="'CM Rec Par.'!CA3208" display="'CM Rec Par.'!CA3208" xr:uid="{12EF6009-7009-412C-B8CB-535E31A7129D}"/>
    <hyperlink ref="CA3238" location="'CM Rec Par.'!CA3308" display="'CM Rec Par.'!CA3308" xr:uid="{1EFD4A1F-8452-4563-BC7F-CCE8DDA82148}"/>
    <hyperlink ref="CA3239" location="'CM Rec Par.'!CA3408" display="'CM Rec Par.'!CA3408" xr:uid="{C5D15C34-B33C-4379-A194-F0F91384A425}"/>
    <hyperlink ref="CA3310" location="'CM Rec Par.'!CA508" display="'CM Rec Par.'!CA508" xr:uid="{73E1C79F-BEC1-4959-844D-55DD122ABDB8}"/>
    <hyperlink ref="CA3309" location="'CM Rec Par.'!CA50" display="Process" xr:uid="{9E4B292D-A6C8-4D7E-AC1C-6BCED9B4C313}"/>
    <hyperlink ref="CA3308" location="'CM Rec Par.'!CA6" display="Top" xr:uid="{D4AEB6F8-59DF-485F-B8DE-2EE256D0B24C}"/>
    <hyperlink ref="CA3311" location="'CM Rec Par.'!CA608" display="'CM Rec Par.'!CA608" xr:uid="{B11AA527-0E41-4B7D-9EBB-EAD31D33C40A}"/>
    <hyperlink ref="CA3312" location="'CM Rec Par.'!CA708" display="'CM Rec Par.'!CA708" xr:uid="{698CE533-8BD0-4629-917C-4982913CB92D}"/>
    <hyperlink ref="CA3313" location="'CM Rec Par.'!CA808" display="'CM Rec Par.'!CA808" xr:uid="{2A55AF6E-1C07-46C2-9C25-FDAA41CA8011}"/>
    <hyperlink ref="CA3314" location="'CM Rec Par.'!CA908" display="'CM Rec Par.'!CA908" xr:uid="{3D26DAC2-E1B8-43C2-8BFA-917FAC02B8D1}"/>
    <hyperlink ref="CA3315" location="'CM Rec Par.'!CA1008" display="'CM Rec Par.'!CA1008" xr:uid="{9608803C-B159-45C8-B81B-5FFFB0BDC089}"/>
    <hyperlink ref="CA3316" location="'CM Rec Par.'!CA1108" display="'CM Rec Par.'!CA1108" xr:uid="{18F19F0D-1578-4804-8701-6562ACA1B3D7}"/>
    <hyperlink ref="CA3317" location="'CM Rec Par.'!CA1208" display="'CM Rec Par.'!CA1208" xr:uid="{68852E35-BD3A-4612-BBD4-BB8F74F73AC0}"/>
    <hyperlink ref="CA3318" location="'CM Rec Par.'!CA1308" display="'CM Rec Par.'!CA1308" xr:uid="{CF682645-A289-4B7C-970D-CFB8D68AE507}"/>
    <hyperlink ref="CA3319" location="'CM Rec Par.'!CA1408" display="'CM Rec Par.'!CA1408" xr:uid="{60E7CA2E-B22D-4314-ABED-425036203CC5}"/>
    <hyperlink ref="CA3320" location="'CM Rec Par.'!CA1508" display="'CM Rec Par.'!CA1508" xr:uid="{76B25552-C0C3-407D-8160-B0A7AA616BB1}"/>
    <hyperlink ref="CA3321" location="'CM Rec Par.'!CA1608" display="'CM Rec Par.'!CA1608" xr:uid="{26771166-62AA-4165-B079-4DE4F704FB40}"/>
    <hyperlink ref="CA3322" location="'CM Rec Par.'!CA1708" display="'CM Rec Par.'!CA1708" xr:uid="{587DC6CC-E8E3-468F-98AD-3D0092C67730}"/>
    <hyperlink ref="CA3323" location="'CM Rec Par.'!CA1808" display="'CM Rec Par.'!CA1808" xr:uid="{F0E89DA0-790F-4CF8-B337-E6C6510FD5F6}"/>
    <hyperlink ref="CA3324" location="'CM Rec Par.'!CA1908" display="'CM Rec Par.'!CA1908" xr:uid="{9F62531F-ED79-47A5-B4F5-6E89E97498FE}"/>
    <hyperlink ref="CA3325" location="'CM Rec Par.'!CA2008" display="'CM Rec Par.'!CA2008" xr:uid="{EAA22B28-5F8F-4C37-8C7E-ED6F69F1F101}"/>
    <hyperlink ref="CA3326" location="'CM Rec Par.'!CA2108" display="'CM Rec Par.'!CA2108" xr:uid="{DA64A025-A7B4-4361-B295-A6009A23BFEF}"/>
    <hyperlink ref="CA3327" location="'CM Rec Par.'!CA2208" display="'CM Rec Par.'!CA2208" xr:uid="{C8C2A6CA-0B15-4436-AC63-77D463D3884B}"/>
    <hyperlink ref="CA3328" location="'CM Rec Par.'!CA2308" display="'CM Rec Par.'!CA2308" xr:uid="{3045DDF8-F9C5-4691-9F67-99714C01F03B}"/>
    <hyperlink ref="CA3329" location="'CM Rec Par.'!CA2408" display="'CM Rec Par.'!CA2408" xr:uid="{7A0A237C-015B-4092-AC5E-6873597B9E76}"/>
    <hyperlink ref="CA3330" location="'CM Rec Par.'!CA2508" display="'CM Rec Par.'!CA2508" xr:uid="{93D130A5-5ADC-40E9-8F7B-80BB1C90AA72}"/>
    <hyperlink ref="CA3331" location="'CM Rec Par.'!CA2608" display="'CM Rec Par.'!CA2608" xr:uid="{80ADBDF8-AD6A-4293-91A0-A0ADD897C931}"/>
    <hyperlink ref="CA3332" location="'CM Rec Par.'!CA2708" display="'CM Rec Par.'!CA2708" xr:uid="{836FF83C-0B65-462E-B383-BE5E333CDF13}"/>
    <hyperlink ref="CA3333" location="'CM Rec Par.'!CA2808" display="'CM Rec Par.'!CA2808" xr:uid="{EA2FE5D3-C74A-4A74-BB84-9D081D603E94}"/>
    <hyperlink ref="CA3334" location="'CM Rec Par.'!CA2908" display="'CM Rec Par.'!CA2908" xr:uid="{B8A618C4-0851-4662-AA28-794442E1E61B}"/>
    <hyperlink ref="CA3335" location="'CM Rec Par.'!CA3008" display="'CM Rec Par.'!CA3008" xr:uid="{6D2457E8-EE1F-478D-A00F-AE751DBC2FC2}"/>
    <hyperlink ref="CA3336" location="'CM Rec Par.'!CA3108" display="'CM Rec Par.'!CA3108" xr:uid="{B4B0633E-0FD3-4184-A4FA-DEDFE839EE17}"/>
    <hyperlink ref="CA3337" location="'CM Rec Par.'!CA3208" display="'CM Rec Par.'!CA3208" xr:uid="{236A1A0C-8B86-47D1-9818-5CD6155E6112}"/>
    <hyperlink ref="CA3338" location="'CM Rec Par.'!CA3308" display="'CM Rec Par.'!CA3308" xr:uid="{5D0142EF-D277-43DA-A4D4-24811BF4403A}"/>
    <hyperlink ref="CA3339" location="'CM Rec Par.'!CA3408" display="'CM Rec Par.'!CA3408" xr:uid="{A18AC696-1F6D-4142-9D82-7EACB42BD9CE}"/>
    <hyperlink ref="CA3410" location="'CM Rec Par.'!CA508" display="'CM Rec Par.'!CA508" xr:uid="{CAEF5149-8E03-41E5-A8F9-C63C849E97D2}"/>
    <hyperlink ref="CA3409" location="'CM Rec Par.'!CA50" display="Process" xr:uid="{FD46DCFD-422E-473F-BC88-605BA87AF8F7}"/>
    <hyperlink ref="CA3408" location="'CM Rec Par.'!CA6" display="Top" xr:uid="{B76A9949-4A7D-4D43-8577-2ECB8DEB91CA}"/>
    <hyperlink ref="CA3411" location="'CM Rec Par.'!CA608" display="'CM Rec Par.'!CA608" xr:uid="{40CDC35F-7C7F-4F47-AB33-DF1F3CADA09B}"/>
    <hyperlink ref="CA3412" location="'CM Rec Par.'!CA708" display="'CM Rec Par.'!CA708" xr:uid="{8D028928-83F8-4478-A88D-0880CDC22C39}"/>
    <hyperlink ref="CA3413" location="'CM Rec Par.'!CA808" display="'CM Rec Par.'!CA808" xr:uid="{C02A96BA-66E8-4F75-ADE0-15D416BA84F3}"/>
    <hyperlink ref="CA3414" location="'CM Rec Par.'!CA908" display="'CM Rec Par.'!CA908" xr:uid="{D293BC9A-BB3F-46C0-B8F6-0DCB34AE230A}"/>
    <hyperlink ref="CA3415" location="'CM Rec Par.'!CA1008" display="'CM Rec Par.'!CA1008" xr:uid="{10F909B7-5195-42DC-9FDF-7AD179866AFE}"/>
    <hyperlink ref="CA3416" location="'CM Rec Par.'!CA1108" display="'CM Rec Par.'!CA1108" xr:uid="{5BAEB002-BDDB-43E3-80F3-91D94C5A835D}"/>
    <hyperlink ref="CA3417" location="'CM Rec Par.'!CA1208" display="'CM Rec Par.'!CA1208" xr:uid="{142B3723-CB1E-49EF-B8AE-08694AD585E4}"/>
    <hyperlink ref="CA3418" location="'CM Rec Par.'!CA1308" display="'CM Rec Par.'!CA1308" xr:uid="{2B7D9111-0D4A-47B9-A2A3-B6BCB5E715E5}"/>
    <hyperlink ref="CA3419" location="'CM Rec Par.'!CA1408" display="'CM Rec Par.'!CA1408" xr:uid="{5AFFE0AB-476E-4E63-8AB9-70F576A09DA7}"/>
    <hyperlink ref="CA3420" location="'CM Rec Par.'!CA1508" display="'CM Rec Par.'!CA1508" xr:uid="{97208CD9-877F-4F6F-AF8F-1D3F75C374A3}"/>
    <hyperlink ref="CA3421" location="'CM Rec Par.'!CA1608" display="'CM Rec Par.'!CA1608" xr:uid="{0690F490-DFB3-4323-8C19-CD940C37DD87}"/>
    <hyperlink ref="CA3422" location="'CM Rec Par.'!CA1708" display="'CM Rec Par.'!CA1708" xr:uid="{BB62C5B6-4F80-4882-838B-09C6C4DAA1CD}"/>
    <hyperlink ref="CA3423" location="'CM Rec Par.'!CA1808" display="'CM Rec Par.'!CA1808" xr:uid="{6A76F58F-C4E5-4372-9EFE-C79C4C4C7AE3}"/>
    <hyperlink ref="CA3424" location="'CM Rec Par.'!CA1908" display="'CM Rec Par.'!CA1908" xr:uid="{AD74CE07-BA89-4990-BD80-B51B664388E6}"/>
    <hyperlink ref="CA3425" location="'CM Rec Par.'!CA2008" display="'CM Rec Par.'!CA2008" xr:uid="{C89188C5-E574-4743-A2DA-C6C730ECE90D}"/>
    <hyperlink ref="CA3426" location="'CM Rec Par.'!CA2108" display="'CM Rec Par.'!CA2108" xr:uid="{F84EABB4-633B-43F4-BF87-B16A78813AF9}"/>
    <hyperlink ref="CA3427" location="'CM Rec Par.'!CA2208" display="'CM Rec Par.'!CA2208" xr:uid="{8B3F6D44-1A1C-47AB-908E-B4F1840B0FDE}"/>
    <hyperlink ref="CA3428" location="'CM Rec Par.'!CA2308" display="'CM Rec Par.'!CA2308" xr:uid="{AC3F8DCB-5315-4DDB-B116-12DE4BB9E84C}"/>
    <hyperlink ref="CA3429" location="'CM Rec Par.'!CA2408" display="'CM Rec Par.'!CA2408" xr:uid="{79844E72-C612-42A2-B1F3-7BB303EEA1E5}"/>
    <hyperlink ref="CA3430" location="'CM Rec Par.'!CA2508" display="'CM Rec Par.'!CA2508" xr:uid="{8D4BA582-ED56-4BFA-BDE4-85F3D2C1F43E}"/>
    <hyperlink ref="CA3431" location="'CM Rec Par.'!CA2608" display="'CM Rec Par.'!CA2608" xr:uid="{1889F041-6B26-4C4B-94DF-C704F6DE4166}"/>
    <hyperlink ref="CA3432" location="'CM Rec Par.'!CA2708" display="'CM Rec Par.'!CA2708" xr:uid="{821E5D7F-1F7C-4CBC-BC66-A31BF727155D}"/>
    <hyperlink ref="CA3433" location="'CM Rec Par.'!CA2808" display="'CM Rec Par.'!CA2808" xr:uid="{0B812DCB-053B-4827-929F-B57C0F4AF3EC}"/>
    <hyperlink ref="CA3434" location="'CM Rec Par.'!CA2908" display="'CM Rec Par.'!CA2908" xr:uid="{C4CC5754-57A4-4F81-AE69-EE12B440D89E}"/>
    <hyperlink ref="CA3435" location="'CM Rec Par.'!CA3008" display="'CM Rec Par.'!CA3008" xr:uid="{99DAE697-3133-4F1A-9D1E-C1BA2FD23472}"/>
    <hyperlink ref="CA3436" location="'CM Rec Par.'!CA3108" display="'CM Rec Par.'!CA3108" xr:uid="{BC616A11-27D1-4881-A10E-E6F186C8DE72}"/>
    <hyperlink ref="CA3437" location="'CM Rec Par.'!CA3208" display="'CM Rec Par.'!CA3208" xr:uid="{4CB62EAD-2BE3-46E2-BD3C-4444C02BCB6A}"/>
    <hyperlink ref="CA3438" location="'CM Rec Par.'!CA3308" display="'CM Rec Par.'!CA3308" xr:uid="{B26D9168-C131-48C4-B766-3F12808F8275}"/>
    <hyperlink ref="CA3439" location="'CM Rec Par.'!CA3408" display="'CM Rec Par.'!CA3408" xr:uid="{95A98CEB-87C9-425F-AE68-02D63EC0D188}"/>
    <hyperlink ref="DA610" location="'CM Rec Par.'!DA508" display="'CM Rec Par.'!DA508" xr:uid="{D0174D39-A604-4DE4-AFDF-83DAF1B607F3}"/>
    <hyperlink ref="DA609" location="'CM Rec Par.'!DA50" display="Process" xr:uid="{FBA97D98-C51B-40A9-ADC5-20F426F6FAEA}"/>
    <hyperlink ref="DA608" location="'CM Rec Par.'!DA6" display="Top" xr:uid="{2BE9A688-0AA5-488C-80F1-AD51C22307D4}"/>
    <hyperlink ref="DA611" location="'CM Rec Par.'!DA608" display="'CM Rec Par.'!DA608" xr:uid="{B711F6FE-16CA-4D78-8812-2984F00899CB}"/>
    <hyperlink ref="DA612" location="'CM Rec Par.'!DA708" display="'CM Rec Par.'!DA708" xr:uid="{BD1F92F6-7DBA-45DE-8A7F-4A7F7766F7F6}"/>
    <hyperlink ref="DA613" location="'CM Rec Par.'!DA808" display="'CM Rec Par.'!DA808" xr:uid="{D556134C-4C02-4E3D-A067-45CF315159BA}"/>
    <hyperlink ref="DA614" location="'CM Rec Par.'!DA908" display="'CM Rec Par.'!DA908" xr:uid="{6D2DD7E2-D095-4A7E-92A1-857C7F3D35EC}"/>
    <hyperlink ref="DA615" location="'CM Rec Par.'!DA1008" display="'CM Rec Par.'!DA1008" xr:uid="{09A52991-E73A-4D50-B838-D11B80A13BD9}"/>
    <hyperlink ref="DA616" location="'CM Rec Par.'!DA1108" display="'CM Rec Par.'!DA1108" xr:uid="{E835099E-B748-4889-BD22-89CDA57888A5}"/>
    <hyperlink ref="DA617" location="'CM Rec Par.'!DA1208" display="'CM Rec Par.'!DA1208" xr:uid="{4E8A1A8E-2F01-4DFB-8EFE-7F3396567AC2}"/>
    <hyperlink ref="DA618" location="'CM Rec Par.'!DA1308" display="'CM Rec Par.'!DA1308" xr:uid="{CB0EB727-544E-40F7-9B61-98FCF8A27C0F}"/>
    <hyperlink ref="DA619" location="'CM Rec Par.'!DA1408" display="'CM Rec Par.'!DA1408" xr:uid="{93C7C366-DBD0-4B94-89E2-A557BD445473}"/>
    <hyperlink ref="DA620" location="'CM Rec Par.'!DA1508" display="'CM Rec Par.'!DA1508" xr:uid="{E7363552-AAC9-40FE-8DBC-FF3C4B351FDB}"/>
    <hyperlink ref="DA621" location="'CM Rec Par.'!DA1608" display="'CM Rec Par.'!DA1608" xr:uid="{0B1A405E-2007-4475-9D39-9AA9E40B2F36}"/>
    <hyperlink ref="DA622" location="'CM Rec Par.'!DA1708" display="'CM Rec Par.'!DA1708" xr:uid="{11384B09-9ACF-4927-AB46-6FA05C40E24E}"/>
    <hyperlink ref="DA623" location="'CM Rec Par.'!DA1808" display="'CM Rec Par.'!DA1808" xr:uid="{A1D03CDA-8EEF-42B2-A487-5A5BCE301F73}"/>
    <hyperlink ref="DA624" location="'CM Rec Par.'!DA1908" display="'CM Rec Par.'!DA1908" xr:uid="{92893E03-D67D-4559-8518-56D766E831AE}"/>
    <hyperlink ref="DA625" location="'CM Rec Par.'!DA2008" display="'CM Rec Par.'!DA2008" xr:uid="{B2C4E941-BCCD-46A9-B172-8DF20F7E6B58}"/>
    <hyperlink ref="DA626" location="'CM Rec Par.'!DA2108" display="'CM Rec Par.'!DA2108" xr:uid="{140DB430-9BB0-4ADB-BCB7-D8C047D29E64}"/>
    <hyperlink ref="DA627" location="'CM Rec Par.'!DA2208" display="'CM Rec Par.'!DA2208" xr:uid="{4FBDED4C-96CF-4102-A2E1-07A60C4AF825}"/>
    <hyperlink ref="DA628" location="'CM Rec Par.'!DA2308" display="'CM Rec Par.'!DA2308" xr:uid="{3087B752-EC23-41F4-9BD9-82EFAD11BFFE}"/>
    <hyperlink ref="DA629" location="'CM Rec Par.'!DA2408" display="'CM Rec Par.'!DA2408" xr:uid="{D1463617-56A9-44BF-9863-35D20E79744D}"/>
    <hyperlink ref="DA630" location="'CM Rec Par.'!DA2508" display="'CM Rec Par.'!DA2508" xr:uid="{4A098C19-0C1B-43B7-B71F-339BBB0CE992}"/>
    <hyperlink ref="DA631" location="'CM Rec Par.'!DA2608" display="'CM Rec Par.'!DA2608" xr:uid="{35214BEE-F9A9-4C5C-B89A-2A7B171BC659}"/>
    <hyperlink ref="DA632" location="'CM Rec Par.'!DA2708" display="'CM Rec Par.'!DA2708" xr:uid="{38FB9456-9875-48C6-9728-03545846A393}"/>
    <hyperlink ref="DA633" location="'CM Rec Par.'!DA2808" display="'CM Rec Par.'!DA2808" xr:uid="{442E0800-61AB-4D05-84CA-F8CF695FF719}"/>
    <hyperlink ref="DA634" location="'CM Rec Par.'!DA2908" display="'CM Rec Par.'!DA2908" xr:uid="{EA61E1F6-893C-4804-BBE6-1B4BE994E5C8}"/>
    <hyperlink ref="DA635" location="'CM Rec Par.'!DA3008" display="'CM Rec Par.'!DA3008" xr:uid="{9D0A172F-9E29-444A-8C9C-C20ED0CB5428}"/>
    <hyperlink ref="DA636" location="'CM Rec Par.'!DA3108" display="'CM Rec Par.'!DA3108" xr:uid="{12ABF472-C0AC-4342-97A0-67D3E9DFE277}"/>
    <hyperlink ref="DA637" location="'CM Rec Par.'!DA3208" display="'CM Rec Par.'!DA3208" xr:uid="{46202283-D508-448A-9B62-66D62E7E8B6A}"/>
    <hyperlink ref="DA638" location="'CM Rec Par.'!DA3308" display="'CM Rec Par.'!DA3308" xr:uid="{3BD13D4F-E34D-4C54-AF76-D0B71FE263CE}"/>
    <hyperlink ref="DA639" location="'CM Rec Par.'!DA3408" display="'CM Rec Par.'!DA3408" xr:uid="{98B2356B-610E-40AD-BC8E-64BB4E2E7349}"/>
    <hyperlink ref="DA710" location="'CM Rec Par.'!DA508" display="'CM Rec Par.'!DA508" xr:uid="{F688316D-0917-4E69-A07B-CD8FBEE08AFB}"/>
    <hyperlink ref="DA709" location="'CM Rec Par.'!DA50" display="Process" xr:uid="{B6F50A7B-3F2B-4F05-AEA1-5274874828E4}"/>
    <hyperlink ref="DA708" location="'CM Rec Par.'!DA6" display="Top" xr:uid="{08F8230B-22E2-4803-B483-1CE4BE5E11DB}"/>
    <hyperlink ref="DA711" location="'CM Rec Par.'!DA608" display="'CM Rec Par.'!DA608" xr:uid="{417B54B0-9DA1-4F77-808D-D760E9BDB14F}"/>
    <hyperlink ref="DA712" location="'CM Rec Par.'!DA708" display="'CM Rec Par.'!DA708" xr:uid="{1CABAC17-A82B-4585-9305-F17258461EF0}"/>
    <hyperlink ref="DA713" location="'CM Rec Par.'!DA808" display="'CM Rec Par.'!DA808" xr:uid="{A423072B-3C42-41DA-8907-033148322A8B}"/>
    <hyperlink ref="DA714" location="'CM Rec Par.'!DA908" display="'CM Rec Par.'!DA908" xr:uid="{D79C1861-DEA4-4E0B-998E-6968A126CFE1}"/>
    <hyperlink ref="DA715" location="'CM Rec Par.'!DA1008" display="'CM Rec Par.'!DA1008" xr:uid="{7948FCC1-D34D-4585-B586-6097C712F866}"/>
    <hyperlink ref="DA716" location="'CM Rec Par.'!DA1108" display="'CM Rec Par.'!DA1108" xr:uid="{778AB1C6-E306-41DA-B080-73603112649F}"/>
    <hyperlink ref="DA717" location="'CM Rec Par.'!DA1208" display="'CM Rec Par.'!DA1208" xr:uid="{257D35AB-3FBA-43D2-8E42-A2790CA05618}"/>
    <hyperlink ref="DA718" location="'CM Rec Par.'!DA1308" display="'CM Rec Par.'!DA1308" xr:uid="{8FBFCCA9-6AB2-452A-AD2B-8740E50B64A7}"/>
    <hyperlink ref="DA719" location="'CM Rec Par.'!DA1408" display="'CM Rec Par.'!DA1408" xr:uid="{F0FCF5DD-C77F-4066-9674-F207DBA049E1}"/>
    <hyperlink ref="DA720" location="'CM Rec Par.'!DA1508" display="'CM Rec Par.'!DA1508" xr:uid="{AB7D108A-793C-4896-B903-878FE95CA064}"/>
    <hyperlink ref="DA721" location="'CM Rec Par.'!DA1608" display="'CM Rec Par.'!DA1608" xr:uid="{D4FB9155-0000-415A-9D6A-F74A0ABF95D3}"/>
    <hyperlink ref="DA722" location="'CM Rec Par.'!DA1708" display="'CM Rec Par.'!DA1708" xr:uid="{4F69F9F8-BF01-4AE4-BBD9-3D0FED8FFDE7}"/>
    <hyperlink ref="DA723" location="'CM Rec Par.'!DA1808" display="'CM Rec Par.'!DA1808" xr:uid="{F951B6B1-1012-4BEF-B388-D549026F9AD6}"/>
    <hyperlink ref="DA724" location="'CM Rec Par.'!DA1908" display="'CM Rec Par.'!DA1908" xr:uid="{AFFCBB28-D9D5-4F94-B456-FD64713D77EA}"/>
    <hyperlink ref="DA725" location="'CM Rec Par.'!DA2008" display="'CM Rec Par.'!DA2008" xr:uid="{2860A494-3C16-4655-B352-13DFA3339C3F}"/>
    <hyperlink ref="DA726" location="'CM Rec Par.'!DA2108" display="'CM Rec Par.'!DA2108" xr:uid="{9687947B-3072-49AA-9D7D-BE0B14A89B35}"/>
    <hyperlink ref="DA727" location="'CM Rec Par.'!DA2208" display="'CM Rec Par.'!DA2208" xr:uid="{D1788700-6DF9-40B3-8287-E71649646BB1}"/>
    <hyperlink ref="DA728" location="'CM Rec Par.'!DA2308" display="'CM Rec Par.'!DA2308" xr:uid="{56C63A5C-CC01-4FAB-949D-8310507754EA}"/>
    <hyperlink ref="DA729" location="'CM Rec Par.'!DA2408" display="'CM Rec Par.'!DA2408" xr:uid="{9BF662D1-65E0-4A4B-B02A-443AD5DF07DB}"/>
    <hyperlink ref="DA730" location="'CM Rec Par.'!DA2508" display="'CM Rec Par.'!DA2508" xr:uid="{8746080F-507D-4780-9268-9208DDC78851}"/>
    <hyperlink ref="DA731" location="'CM Rec Par.'!DA2608" display="'CM Rec Par.'!DA2608" xr:uid="{634186F9-F230-439E-813B-CFCCA013D6F3}"/>
    <hyperlink ref="DA732" location="'CM Rec Par.'!DA2708" display="'CM Rec Par.'!DA2708" xr:uid="{EA82222B-E0BC-42B2-80A6-BEC846ECE46C}"/>
    <hyperlink ref="DA733" location="'CM Rec Par.'!DA2808" display="'CM Rec Par.'!DA2808" xr:uid="{7E0A27EA-0206-4E37-97D9-ACDAB5DF69FB}"/>
    <hyperlink ref="DA734" location="'CM Rec Par.'!DA2908" display="'CM Rec Par.'!DA2908" xr:uid="{CDAFD13F-4F8D-4A0F-B160-4FDEB43439A9}"/>
    <hyperlink ref="DA735" location="'CM Rec Par.'!DA3008" display="'CM Rec Par.'!DA3008" xr:uid="{D92738E9-59C0-4281-8D9A-0C9C6E7478B1}"/>
    <hyperlink ref="DA736" location="'CM Rec Par.'!DA3108" display="'CM Rec Par.'!DA3108" xr:uid="{BF58A1FE-1E3D-4909-ABAE-181CAE3DF6A5}"/>
    <hyperlink ref="DA737" location="'CM Rec Par.'!DA3208" display="'CM Rec Par.'!DA3208" xr:uid="{1AB0E047-C0D6-4B8E-B647-A6E7D1A922B7}"/>
    <hyperlink ref="DA738" location="'CM Rec Par.'!DA3308" display="'CM Rec Par.'!DA3308" xr:uid="{92A5EAC0-C0FE-436A-8C43-DA7779AEAE47}"/>
    <hyperlink ref="DA739" location="'CM Rec Par.'!DA3408" display="'CM Rec Par.'!DA3408" xr:uid="{438D09CF-A09E-4811-9A02-8B992DFA3600}"/>
    <hyperlink ref="DA810" location="'CM Rec Par.'!DA508" display="'CM Rec Par.'!DA508" xr:uid="{3D27630F-DF23-425B-8877-511F5FD0EB79}"/>
    <hyperlink ref="DA809" location="'CM Rec Par.'!DA50" display="Process" xr:uid="{0C455284-3E4D-4E12-81AB-CD7E482B18FE}"/>
    <hyperlink ref="DA808" location="'CM Rec Par.'!DA6" display="Top" xr:uid="{6EE0C137-F870-47CF-B0BA-4C5C4E6355BB}"/>
    <hyperlink ref="DA811" location="'CM Rec Par.'!DA608" display="'CM Rec Par.'!DA608" xr:uid="{A0AB7ABD-F9BB-49D0-80B1-088D1D1D55C1}"/>
    <hyperlink ref="DA812" location="'CM Rec Par.'!DA708" display="'CM Rec Par.'!DA708" xr:uid="{43D4F4BE-1C8C-4B24-BF4A-C1E740398563}"/>
    <hyperlink ref="DA813" location="'CM Rec Par.'!DA808" display="'CM Rec Par.'!DA808" xr:uid="{55E55C4A-F23D-4D4C-AA5E-191F24316A91}"/>
    <hyperlink ref="DA814" location="'CM Rec Par.'!DA908" display="'CM Rec Par.'!DA908" xr:uid="{50A88FD8-70E6-4EB4-B025-D01B69B1B926}"/>
    <hyperlink ref="DA815" location="'CM Rec Par.'!DA1008" display="'CM Rec Par.'!DA1008" xr:uid="{C94BE2CA-FEF0-4247-A823-8CBF2C6ABF7D}"/>
    <hyperlink ref="DA816" location="'CM Rec Par.'!DA1108" display="'CM Rec Par.'!DA1108" xr:uid="{3902DE56-4611-4E51-9A99-8F876040244A}"/>
    <hyperlink ref="DA817" location="'CM Rec Par.'!DA1208" display="'CM Rec Par.'!DA1208" xr:uid="{38DF4865-BEB2-4324-92F5-ED3E51B14632}"/>
    <hyperlink ref="DA818" location="'CM Rec Par.'!DA1308" display="'CM Rec Par.'!DA1308" xr:uid="{8121C989-1CEE-408E-9072-63B40AF67B51}"/>
    <hyperlink ref="DA819" location="'CM Rec Par.'!DA1408" display="'CM Rec Par.'!DA1408" xr:uid="{20B80FB5-E714-4BC2-B184-0DEC6A561F77}"/>
    <hyperlink ref="DA820" location="'CM Rec Par.'!DA1508" display="'CM Rec Par.'!DA1508" xr:uid="{938D25BA-BDDD-449A-A039-216358145D6D}"/>
    <hyperlink ref="DA821" location="'CM Rec Par.'!DA1608" display="'CM Rec Par.'!DA1608" xr:uid="{39118A73-FF88-4ABB-A8BE-53327BD49ADA}"/>
    <hyperlink ref="DA822" location="'CM Rec Par.'!DA1708" display="'CM Rec Par.'!DA1708" xr:uid="{10984743-BA7C-466D-8011-BFCA4713E2B5}"/>
    <hyperlink ref="DA823" location="'CM Rec Par.'!DA1808" display="'CM Rec Par.'!DA1808" xr:uid="{2DF6723F-CE2F-45CF-84A9-105D5730038F}"/>
    <hyperlink ref="DA824" location="'CM Rec Par.'!DA1908" display="'CM Rec Par.'!DA1908" xr:uid="{27382DD2-7364-40ED-A2AD-8E8ACC1134E9}"/>
    <hyperlink ref="DA825" location="'CM Rec Par.'!DA2008" display="'CM Rec Par.'!DA2008" xr:uid="{339D417E-EF32-45CB-92B4-A7035B1DF8AD}"/>
    <hyperlink ref="DA826" location="'CM Rec Par.'!DA2108" display="'CM Rec Par.'!DA2108" xr:uid="{15495D9D-F173-4AFA-88AF-567DCFA85F90}"/>
    <hyperlink ref="DA827" location="'CM Rec Par.'!DA2208" display="'CM Rec Par.'!DA2208" xr:uid="{39A21394-20E9-411B-9B45-5AE62B76B956}"/>
    <hyperlink ref="DA828" location="'CM Rec Par.'!DA2308" display="'CM Rec Par.'!DA2308" xr:uid="{0FE7182F-C479-4AEE-B4E9-3FAB7CF47491}"/>
    <hyperlink ref="DA829" location="'CM Rec Par.'!DA2408" display="'CM Rec Par.'!DA2408" xr:uid="{86DCD338-E8E4-4805-82E0-9A719E4FA8C9}"/>
    <hyperlink ref="DA830" location="'CM Rec Par.'!DA2508" display="'CM Rec Par.'!DA2508" xr:uid="{D20894BC-F5BB-47E9-9E3F-69467136A8C1}"/>
    <hyperlink ref="DA831" location="'CM Rec Par.'!DA2608" display="'CM Rec Par.'!DA2608" xr:uid="{6A3B3D80-78D4-4AAE-ADEB-7EA5DF8D6C66}"/>
    <hyperlink ref="DA832" location="'CM Rec Par.'!DA2708" display="'CM Rec Par.'!DA2708" xr:uid="{94F248C5-1948-4FC1-93B4-149F0ED39EEB}"/>
    <hyperlink ref="DA833" location="'CM Rec Par.'!DA2808" display="'CM Rec Par.'!DA2808" xr:uid="{5CBDFE3F-2879-429C-9356-F3F15A186B67}"/>
    <hyperlink ref="DA834" location="'CM Rec Par.'!DA2908" display="'CM Rec Par.'!DA2908" xr:uid="{10EA1701-43E8-44A2-BF50-8AA62ED92854}"/>
    <hyperlink ref="DA835" location="'CM Rec Par.'!DA3008" display="'CM Rec Par.'!DA3008" xr:uid="{B2B4EC80-0B40-4D7B-A30C-F68784D072ED}"/>
    <hyperlink ref="DA836" location="'CM Rec Par.'!DA3108" display="'CM Rec Par.'!DA3108" xr:uid="{D6C71725-5378-4739-AAFF-C6239706902A}"/>
    <hyperlink ref="DA837" location="'CM Rec Par.'!DA3208" display="'CM Rec Par.'!DA3208" xr:uid="{07DC22B5-7388-44B2-A016-FC1CE8229FA9}"/>
    <hyperlink ref="DA838" location="'CM Rec Par.'!DA3308" display="'CM Rec Par.'!DA3308" xr:uid="{E1A04884-67E4-4236-92A7-0278FBA62EE4}"/>
    <hyperlink ref="DA839" location="'CM Rec Par.'!DA3408" display="'CM Rec Par.'!DA3408" xr:uid="{95349202-6FAD-4063-A652-F17FF88D3AD4}"/>
    <hyperlink ref="DA910" location="'CM Rec Par.'!DA508" display="'CM Rec Par.'!DA508" xr:uid="{DF137A96-FDA5-45B8-9D1C-6DC888151371}"/>
    <hyperlink ref="DA909" location="'CM Rec Par.'!DA50" display="Process" xr:uid="{D2559F1A-DECB-4F4E-A348-B3B8AE6CD003}"/>
    <hyperlink ref="DA908" location="'CM Rec Par.'!DA6" display="Top" xr:uid="{9BE93960-2949-4139-B2ED-D0CDFD4DDEE0}"/>
    <hyperlink ref="DA911" location="'CM Rec Par.'!DA608" display="'CM Rec Par.'!DA608" xr:uid="{BFAE96B2-02B3-423F-A33C-3FC60BA802DB}"/>
    <hyperlink ref="DA912" location="'CM Rec Par.'!DA708" display="'CM Rec Par.'!DA708" xr:uid="{25E6FA60-93A1-4243-BE6D-54324F99C241}"/>
    <hyperlink ref="DA913" location="'CM Rec Par.'!DA808" display="'CM Rec Par.'!DA808" xr:uid="{E7DC15BB-1938-47FE-8B5F-021B457543B4}"/>
    <hyperlink ref="DA914" location="'CM Rec Par.'!DA908" display="'CM Rec Par.'!DA908" xr:uid="{810039BA-08DF-44CE-A3F1-94AF438F833F}"/>
    <hyperlink ref="DA915" location="'CM Rec Par.'!DA1008" display="'CM Rec Par.'!DA1008" xr:uid="{A631C97D-EA8A-4F6B-9C7C-3FEEF53DAFAF}"/>
    <hyperlink ref="DA916" location="'CM Rec Par.'!DA1108" display="'CM Rec Par.'!DA1108" xr:uid="{4693E693-9E7A-468E-97C5-3065A1485B43}"/>
    <hyperlink ref="DA917" location="'CM Rec Par.'!DA1208" display="'CM Rec Par.'!DA1208" xr:uid="{D11D8C17-B5ED-4F57-AFE9-D375D23AAB1B}"/>
    <hyperlink ref="DA918" location="'CM Rec Par.'!DA1308" display="'CM Rec Par.'!DA1308" xr:uid="{EB43E3B9-B4DF-46C1-AD8C-F50697D87471}"/>
    <hyperlink ref="DA919" location="'CM Rec Par.'!DA1408" display="'CM Rec Par.'!DA1408" xr:uid="{5318390B-9208-4A42-8BBE-E393D39DCC98}"/>
    <hyperlink ref="DA920" location="'CM Rec Par.'!DA1508" display="'CM Rec Par.'!DA1508" xr:uid="{65066BCE-1293-42EE-80CE-19DB71F83B9C}"/>
    <hyperlink ref="DA921" location="'CM Rec Par.'!DA1608" display="'CM Rec Par.'!DA1608" xr:uid="{B8A1C1C8-916A-40CF-BCE5-5024E7F7F400}"/>
    <hyperlink ref="DA922" location="'CM Rec Par.'!DA1708" display="'CM Rec Par.'!DA1708" xr:uid="{A81C81A8-57BC-4EBD-A2C1-A9687CF09E79}"/>
    <hyperlink ref="DA923" location="'CM Rec Par.'!DA1808" display="'CM Rec Par.'!DA1808" xr:uid="{48A1B430-DF1A-4C99-9954-8931C25CDF45}"/>
    <hyperlink ref="DA924" location="'CM Rec Par.'!DA1908" display="'CM Rec Par.'!DA1908" xr:uid="{831D14FB-B3AE-478A-AD62-27615D1757D3}"/>
    <hyperlink ref="DA925" location="'CM Rec Par.'!DA2008" display="'CM Rec Par.'!DA2008" xr:uid="{9CDD1DEA-4926-4BBF-B32C-D777B4B25E37}"/>
    <hyperlink ref="DA926" location="'CM Rec Par.'!DA2108" display="'CM Rec Par.'!DA2108" xr:uid="{D04263E0-EA51-4575-8583-002DF88BD4E0}"/>
    <hyperlink ref="DA927" location="'CM Rec Par.'!DA2208" display="'CM Rec Par.'!DA2208" xr:uid="{398D73A4-453D-4143-A902-7A5857B27BCC}"/>
    <hyperlink ref="DA928" location="'CM Rec Par.'!DA2308" display="'CM Rec Par.'!DA2308" xr:uid="{08949480-F9BF-4EC9-8F6E-33175AF0905C}"/>
    <hyperlink ref="DA929" location="'CM Rec Par.'!DA2408" display="'CM Rec Par.'!DA2408" xr:uid="{4FD58226-0B60-4918-AF51-29A8F7DEB044}"/>
    <hyperlink ref="DA930" location="'CM Rec Par.'!DA2508" display="'CM Rec Par.'!DA2508" xr:uid="{EA064E01-0F6E-4F0F-999F-1975A9A7CF96}"/>
    <hyperlink ref="DA931" location="'CM Rec Par.'!DA2608" display="'CM Rec Par.'!DA2608" xr:uid="{491467F6-226D-451F-AADA-2CE35CF61BE8}"/>
    <hyperlink ref="DA932" location="'CM Rec Par.'!DA2708" display="'CM Rec Par.'!DA2708" xr:uid="{C6468CE8-67B1-4BAE-987E-DAEBE96CFD9C}"/>
    <hyperlink ref="DA933" location="'CM Rec Par.'!DA2808" display="'CM Rec Par.'!DA2808" xr:uid="{30ADC4E7-A02C-4869-A1CF-D4BC8886B0D3}"/>
    <hyperlink ref="DA934" location="'CM Rec Par.'!DA2908" display="'CM Rec Par.'!DA2908" xr:uid="{EEB06317-167C-4A7F-AF14-4AAC36CCC5D1}"/>
    <hyperlink ref="DA935" location="'CM Rec Par.'!DA3008" display="'CM Rec Par.'!DA3008" xr:uid="{7D130811-A386-4C77-B8FE-7A6E78129BEE}"/>
    <hyperlink ref="DA936" location="'CM Rec Par.'!DA3108" display="'CM Rec Par.'!DA3108" xr:uid="{9DBD9E92-0E7A-465E-AF08-273DCF838942}"/>
    <hyperlink ref="DA937" location="'CM Rec Par.'!DA3208" display="'CM Rec Par.'!DA3208" xr:uid="{FF22D8CD-DED6-48D1-968E-57673FA9DAE1}"/>
    <hyperlink ref="DA938" location="'CM Rec Par.'!DA3308" display="'CM Rec Par.'!DA3308" xr:uid="{7B22B2C3-75E8-4385-912B-FF7E29A19DB1}"/>
    <hyperlink ref="DA939" location="'CM Rec Par.'!DA3408" display="'CM Rec Par.'!DA3408" xr:uid="{CEE2A0C3-21CA-474E-AE5D-1FA9F2F26CE0}"/>
    <hyperlink ref="DA1010" location="'CM Rec Par.'!DA508" display="'CM Rec Par.'!DA508" xr:uid="{8F9EEAA9-C21D-47B9-AED5-B8A6E9DB8CEB}"/>
    <hyperlink ref="DA1009" location="'CM Rec Par.'!DA50" display="Process" xr:uid="{3DF6E6F9-F5D3-4344-A4C6-DA5CB98A59CF}"/>
    <hyperlink ref="DA1008" location="'CM Rec Par.'!DA6" display="Top" xr:uid="{689FE736-1A48-458C-A6D4-2BE74D991F14}"/>
    <hyperlink ref="DA1011" location="'CM Rec Par.'!DA608" display="'CM Rec Par.'!DA608" xr:uid="{B6D97F9C-7FB0-4F6C-959B-44163AA36B58}"/>
    <hyperlink ref="DA1012" location="'CM Rec Par.'!DA708" display="'CM Rec Par.'!DA708" xr:uid="{C8C79F90-7DA7-4017-8037-C2207336B3E7}"/>
    <hyperlink ref="DA1013" location="'CM Rec Par.'!DA808" display="'CM Rec Par.'!DA808" xr:uid="{A107F85F-57B6-48D0-9B1F-913D978E0D9A}"/>
    <hyperlink ref="DA1014" location="'CM Rec Par.'!DA908" display="'CM Rec Par.'!DA908" xr:uid="{6E926570-0B90-4CD7-90D8-4A4A03C26631}"/>
    <hyperlink ref="DA1015" location="'CM Rec Par.'!DA1008" display="'CM Rec Par.'!DA1008" xr:uid="{EF29A620-50BD-44EC-A300-266012E53919}"/>
    <hyperlink ref="DA1016" location="'CM Rec Par.'!DA1108" display="'CM Rec Par.'!DA1108" xr:uid="{8402C2DF-A151-434A-82C8-2CF27B4370BE}"/>
    <hyperlink ref="DA1017" location="'CM Rec Par.'!DA1208" display="'CM Rec Par.'!DA1208" xr:uid="{06478426-0588-468C-9B3F-E778A8854CF7}"/>
    <hyperlink ref="DA1018" location="'CM Rec Par.'!DA1308" display="'CM Rec Par.'!DA1308" xr:uid="{CA390ACE-44AF-4494-A2ED-6CDC875A645A}"/>
    <hyperlink ref="DA1019" location="'CM Rec Par.'!DA1408" display="'CM Rec Par.'!DA1408" xr:uid="{408667B3-443B-4D8F-922E-041928389D40}"/>
    <hyperlink ref="DA1020" location="'CM Rec Par.'!DA1508" display="'CM Rec Par.'!DA1508" xr:uid="{067540D9-9A6C-4933-977D-B7C66847300C}"/>
    <hyperlink ref="DA1021" location="'CM Rec Par.'!DA1608" display="'CM Rec Par.'!DA1608" xr:uid="{8BF5D95A-28F7-4B0D-9E24-A1352D89293E}"/>
    <hyperlink ref="DA1022" location="'CM Rec Par.'!DA1708" display="'CM Rec Par.'!DA1708" xr:uid="{69250B2B-A3E6-4BC4-B47B-BAEF3C765B61}"/>
    <hyperlink ref="DA1023" location="'CM Rec Par.'!DA1808" display="'CM Rec Par.'!DA1808" xr:uid="{A1603F1B-E0A3-4AB7-AABC-AD14424CB99F}"/>
    <hyperlink ref="DA1024" location="'CM Rec Par.'!DA1908" display="'CM Rec Par.'!DA1908" xr:uid="{8EC94629-4178-4C5A-961A-A1B929A3B32B}"/>
    <hyperlink ref="DA1025" location="'CM Rec Par.'!DA2008" display="'CM Rec Par.'!DA2008" xr:uid="{746F1AD3-2B71-4DC5-BBA1-54ABE1186E71}"/>
    <hyperlink ref="DA1026" location="'CM Rec Par.'!DA2108" display="'CM Rec Par.'!DA2108" xr:uid="{9D9F1F93-42E8-454D-BC55-603F14F39618}"/>
    <hyperlink ref="DA1027" location="'CM Rec Par.'!DA2208" display="'CM Rec Par.'!DA2208" xr:uid="{4C8B0308-664B-4DEE-A4C3-F4731F125DF4}"/>
    <hyperlink ref="DA1028" location="'CM Rec Par.'!DA2308" display="'CM Rec Par.'!DA2308" xr:uid="{27F3A1B4-F0D2-4CD0-8E08-77CEBA44BDD5}"/>
    <hyperlink ref="DA1029" location="'CM Rec Par.'!DA2408" display="'CM Rec Par.'!DA2408" xr:uid="{32A2B9A1-4321-41C6-AC12-75F39E44B466}"/>
    <hyperlink ref="DA1030" location="'CM Rec Par.'!DA2508" display="'CM Rec Par.'!DA2508" xr:uid="{70A77D29-90B2-471E-A948-483EFD1AECF9}"/>
    <hyperlink ref="DA1031" location="'CM Rec Par.'!DA2608" display="'CM Rec Par.'!DA2608" xr:uid="{937D6AB4-1F02-43FD-B5A4-BE65FDE651DB}"/>
    <hyperlink ref="DA1032" location="'CM Rec Par.'!DA2708" display="'CM Rec Par.'!DA2708" xr:uid="{067C3D75-64FD-4A85-8759-4980D5FCAFE2}"/>
    <hyperlink ref="DA1033" location="'CM Rec Par.'!DA2808" display="'CM Rec Par.'!DA2808" xr:uid="{A491613C-ED0F-4811-B523-B10DD91F92A8}"/>
    <hyperlink ref="DA1034" location="'CM Rec Par.'!DA2908" display="'CM Rec Par.'!DA2908" xr:uid="{EB2F780E-5580-4BFD-B8C6-54B03E2F8AD4}"/>
    <hyperlink ref="DA1035" location="'CM Rec Par.'!DA3008" display="'CM Rec Par.'!DA3008" xr:uid="{22E9E5F7-B229-4DAD-BA1B-6AB608A7F76B}"/>
    <hyperlink ref="DA1036" location="'CM Rec Par.'!DA3108" display="'CM Rec Par.'!DA3108" xr:uid="{D3134929-D9A6-4A3C-B2F4-B833E8538DE8}"/>
    <hyperlink ref="DA1037" location="'CM Rec Par.'!DA3208" display="'CM Rec Par.'!DA3208" xr:uid="{8ED6652B-EBD5-4376-8E62-16F0781F6CB0}"/>
    <hyperlink ref="DA1038" location="'CM Rec Par.'!DA3308" display="'CM Rec Par.'!DA3308" xr:uid="{3F0D9C24-51DD-4E45-BB7B-2B687569D6CD}"/>
    <hyperlink ref="DA1039" location="'CM Rec Par.'!DA3408" display="'CM Rec Par.'!DA3408" xr:uid="{C3AF3D2B-678C-440E-AAEC-4D2003162456}"/>
    <hyperlink ref="DA1110" location="'CM Rec Par.'!DA508" display="'CM Rec Par.'!DA508" xr:uid="{EA97F85F-B484-449E-A32D-0ACB0514F95B}"/>
    <hyperlink ref="DA1109" location="'CM Rec Par.'!DA50" display="Process" xr:uid="{3EA6D0A0-5054-4480-A7CE-EA4DF4A7A3FB}"/>
    <hyperlink ref="DA1108" location="'CM Rec Par.'!DA6" display="Top" xr:uid="{08BE88BB-AA58-4905-82C9-256AF5F03956}"/>
    <hyperlink ref="DA1111" location="'CM Rec Par.'!DA608" display="'CM Rec Par.'!DA608" xr:uid="{E3692D59-0916-4BCE-9B30-86F874CE0FAB}"/>
    <hyperlink ref="DA1112" location="'CM Rec Par.'!DA708" display="'CM Rec Par.'!DA708" xr:uid="{D9F6B998-73F8-427A-B54E-F18F98ED9E35}"/>
    <hyperlink ref="DA1113" location="'CM Rec Par.'!DA808" display="'CM Rec Par.'!DA808" xr:uid="{293C0DE2-45FE-453C-8EF1-B97AA98EBC7B}"/>
    <hyperlink ref="DA1114" location="'CM Rec Par.'!DA908" display="'CM Rec Par.'!DA908" xr:uid="{BCB0F836-A4C1-459B-893A-9A5D228DD6F2}"/>
    <hyperlink ref="DA1115" location="'CM Rec Par.'!DA1008" display="'CM Rec Par.'!DA1008" xr:uid="{CEBD31FC-9B55-49D6-8ECD-BFE4E88030B7}"/>
    <hyperlink ref="DA1116" location="'CM Rec Par.'!DA1108" display="'CM Rec Par.'!DA1108" xr:uid="{95EA58BD-EF66-4E27-B344-04F394EB912C}"/>
    <hyperlink ref="DA1117" location="'CM Rec Par.'!DA1208" display="'CM Rec Par.'!DA1208" xr:uid="{CBAEE759-6D14-49C2-ABD5-A0932EDD5D82}"/>
    <hyperlink ref="DA1118" location="'CM Rec Par.'!DA1308" display="'CM Rec Par.'!DA1308" xr:uid="{684109FE-5F41-485D-90DC-2952B2DD3394}"/>
    <hyperlink ref="DA1119" location="'CM Rec Par.'!DA1408" display="'CM Rec Par.'!DA1408" xr:uid="{440BAF49-F34A-4BE2-B71E-B1D9880770B3}"/>
    <hyperlink ref="DA1120" location="'CM Rec Par.'!DA1508" display="'CM Rec Par.'!DA1508" xr:uid="{510C223D-E176-4156-8FC4-DE39471BBCB5}"/>
    <hyperlink ref="DA1121" location="'CM Rec Par.'!DA1608" display="'CM Rec Par.'!DA1608" xr:uid="{80B1BED9-A361-4784-9CB3-386BD438612B}"/>
    <hyperlink ref="DA1122" location="'CM Rec Par.'!DA1708" display="'CM Rec Par.'!DA1708" xr:uid="{9276C585-7041-4296-AA2E-209D53D080D7}"/>
    <hyperlink ref="DA1123" location="'CM Rec Par.'!DA1808" display="'CM Rec Par.'!DA1808" xr:uid="{09F95DC0-99D9-4012-8BC0-B226A3DB5452}"/>
    <hyperlink ref="DA1124" location="'CM Rec Par.'!DA1908" display="'CM Rec Par.'!DA1908" xr:uid="{3715C8DC-D733-4FB8-B7FB-7CFE09A85595}"/>
    <hyperlink ref="DA1125" location="'CM Rec Par.'!DA2008" display="'CM Rec Par.'!DA2008" xr:uid="{65898660-94A0-4E98-8068-A0B7A22875CF}"/>
    <hyperlink ref="DA1126" location="'CM Rec Par.'!DA2108" display="'CM Rec Par.'!DA2108" xr:uid="{E8625DB4-9910-41D8-88DC-FEF5E94EE658}"/>
    <hyperlink ref="DA1127" location="'CM Rec Par.'!DA2208" display="'CM Rec Par.'!DA2208" xr:uid="{581042FC-AD2C-4A93-9ED1-C149FB53C2FC}"/>
    <hyperlink ref="DA1128" location="'CM Rec Par.'!DA2308" display="'CM Rec Par.'!DA2308" xr:uid="{9E4532B6-F2E9-478D-91DE-5080A068A4B3}"/>
    <hyperlink ref="DA1129" location="'CM Rec Par.'!DA2408" display="'CM Rec Par.'!DA2408" xr:uid="{FCEA6400-BE4F-46D9-A304-55EDD2BA653D}"/>
    <hyperlink ref="DA1130" location="'CM Rec Par.'!DA2508" display="'CM Rec Par.'!DA2508" xr:uid="{4E290032-06FA-4DC1-B168-CF152CE0C95D}"/>
    <hyperlink ref="DA1131" location="'CM Rec Par.'!DA2608" display="'CM Rec Par.'!DA2608" xr:uid="{A4C86DE0-3962-415E-A15C-9E6F7C051BC5}"/>
    <hyperlink ref="DA1132" location="'CM Rec Par.'!DA2708" display="'CM Rec Par.'!DA2708" xr:uid="{F3A756D9-C608-4CD7-B1A8-D0862DBD3179}"/>
    <hyperlink ref="DA1133" location="'CM Rec Par.'!DA2808" display="'CM Rec Par.'!DA2808" xr:uid="{70CC0080-11ED-43A1-BBE4-8748CF234304}"/>
    <hyperlink ref="DA1134" location="'CM Rec Par.'!DA2908" display="'CM Rec Par.'!DA2908" xr:uid="{F3F73C27-BFA9-4739-BE83-015CEE18CC62}"/>
    <hyperlink ref="DA1135" location="'CM Rec Par.'!DA3008" display="'CM Rec Par.'!DA3008" xr:uid="{A0E98A8B-DAF2-4C61-9EED-F3CFCB198299}"/>
    <hyperlink ref="DA1136" location="'CM Rec Par.'!DA3108" display="'CM Rec Par.'!DA3108" xr:uid="{26B9EC0C-4E8C-4FA2-B1B8-7B13AD28949C}"/>
    <hyperlink ref="DA1137" location="'CM Rec Par.'!DA3208" display="'CM Rec Par.'!DA3208" xr:uid="{21F7E9D9-7087-4113-B941-3E7C3EB4F3C5}"/>
    <hyperlink ref="DA1138" location="'CM Rec Par.'!DA3308" display="'CM Rec Par.'!DA3308" xr:uid="{E66BA790-7664-4016-B863-248B9ECF63F7}"/>
    <hyperlink ref="DA1139" location="'CM Rec Par.'!DA3408" display="'CM Rec Par.'!DA3408" xr:uid="{0130508C-546F-4B45-A181-930F72CD7CF8}"/>
    <hyperlink ref="DA1210" location="'CM Rec Par.'!DA508" display="'CM Rec Par.'!DA508" xr:uid="{5958CC53-0C50-4902-BF37-BE0CC898C934}"/>
    <hyperlink ref="DA1209" location="'CM Rec Par.'!DA50" display="Process" xr:uid="{FAB953A2-2D06-42F5-B318-CD72E1B32AAA}"/>
    <hyperlink ref="DA1208" location="'CM Rec Par.'!DA6" display="Top" xr:uid="{C690A648-F3E4-4BE1-8E10-07B70F01E93C}"/>
    <hyperlink ref="DA1211" location="'CM Rec Par.'!DA608" display="'CM Rec Par.'!DA608" xr:uid="{DEE875FF-FAB4-4CA4-BA15-B72C2A958903}"/>
    <hyperlink ref="DA1212" location="'CM Rec Par.'!DA708" display="'CM Rec Par.'!DA708" xr:uid="{1619132F-9E75-4477-BA98-14A59CBDF5F9}"/>
    <hyperlink ref="DA1213" location="'CM Rec Par.'!DA808" display="'CM Rec Par.'!DA808" xr:uid="{B72BAB6B-9920-4298-9087-032D82231868}"/>
    <hyperlink ref="DA1214" location="'CM Rec Par.'!DA908" display="'CM Rec Par.'!DA908" xr:uid="{E2E3AF22-2995-4D3B-B5BC-F9299D1D9FA7}"/>
    <hyperlink ref="DA1215" location="'CM Rec Par.'!DA1008" display="'CM Rec Par.'!DA1008" xr:uid="{62DBEAD9-05D2-47C5-BF4A-34357232AE69}"/>
    <hyperlink ref="DA1216" location="'CM Rec Par.'!DA1108" display="'CM Rec Par.'!DA1108" xr:uid="{E13BCBFE-1532-41A9-A79A-2EDE462737D2}"/>
    <hyperlink ref="DA1217" location="'CM Rec Par.'!DA1208" display="'CM Rec Par.'!DA1208" xr:uid="{1CE368A9-FCB0-4886-A068-81636BEF41EF}"/>
    <hyperlink ref="DA1218" location="'CM Rec Par.'!DA1308" display="'CM Rec Par.'!DA1308" xr:uid="{0071A3B6-B30C-4AAB-9578-09857F2C6F96}"/>
    <hyperlink ref="DA1219" location="'CM Rec Par.'!DA1408" display="'CM Rec Par.'!DA1408" xr:uid="{057ECDCB-4215-402F-91EE-F18C8D6593FA}"/>
    <hyperlink ref="DA1220" location="'CM Rec Par.'!DA1508" display="'CM Rec Par.'!DA1508" xr:uid="{53E045BB-90E7-4617-981B-87613D94AE2F}"/>
    <hyperlink ref="DA1221" location="'CM Rec Par.'!DA1608" display="'CM Rec Par.'!DA1608" xr:uid="{7D3C5320-6E3D-4629-9C33-2F9C7314BAA8}"/>
    <hyperlink ref="DA1222" location="'CM Rec Par.'!DA1708" display="'CM Rec Par.'!DA1708" xr:uid="{BEA73541-D83E-4DDE-A423-BC7D02836D57}"/>
    <hyperlink ref="DA1223" location="'CM Rec Par.'!DA1808" display="'CM Rec Par.'!DA1808" xr:uid="{E44DBDA8-65A8-4D44-9262-45562C6718D8}"/>
    <hyperlink ref="DA1224" location="'CM Rec Par.'!DA1908" display="'CM Rec Par.'!DA1908" xr:uid="{ECD6A36C-27F0-45C9-8D96-25A181589C60}"/>
    <hyperlink ref="DA1225" location="'CM Rec Par.'!DA2008" display="'CM Rec Par.'!DA2008" xr:uid="{7F21010E-F838-495F-BE91-82670295ABAC}"/>
    <hyperlink ref="DA1226" location="'CM Rec Par.'!DA2108" display="'CM Rec Par.'!DA2108" xr:uid="{6C17D10C-0326-4633-9E4E-DBE2FCDDE34C}"/>
    <hyperlink ref="DA1227" location="'CM Rec Par.'!DA2208" display="'CM Rec Par.'!DA2208" xr:uid="{AB3CB7A8-FB88-4FED-B76B-8D14C093D294}"/>
    <hyperlink ref="DA1228" location="'CM Rec Par.'!DA2308" display="'CM Rec Par.'!DA2308" xr:uid="{3B554880-018F-400C-B577-7F9E69C6ECAF}"/>
    <hyperlink ref="DA1229" location="'CM Rec Par.'!DA2408" display="'CM Rec Par.'!DA2408" xr:uid="{B141A0C0-4245-40AC-8711-E4B553D40BC0}"/>
    <hyperlink ref="DA1230" location="'CM Rec Par.'!DA2508" display="'CM Rec Par.'!DA2508" xr:uid="{642C6657-EF67-42E9-9578-D275C807DF33}"/>
    <hyperlink ref="DA1231" location="'CM Rec Par.'!DA2608" display="'CM Rec Par.'!DA2608" xr:uid="{538E6B02-E23A-469E-9582-0F789E4C737A}"/>
    <hyperlink ref="DA1232" location="'CM Rec Par.'!DA2708" display="'CM Rec Par.'!DA2708" xr:uid="{1BB7BF7E-F4E5-406F-850A-FBC185FE7BD5}"/>
    <hyperlink ref="DA1233" location="'CM Rec Par.'!DA2808" display="'CM Rec Par.'!DA2808" xr:uid="{553DB124-888B-49AC-9C5B-A80AEB255C4A}"/>
    <hyperlink ref="DA1234" location="'CM Rec Par.'!DA2908" display="'CM Rec Par.'!DA2908" xr:uid="{8065931C-0869-4162-9CD9-AAF2E1874B9A}"/>
    <hyperlink ref="DA1235" location="'CM Rec Par.'!DA3008" display="'CM Rec Par.'!DA3008" xr:uid="{33FC44C3-7A51-4B04-82E0-DDE399F93388}"/>
    <hyperlink ref="DA1236" location="'CM Rec Par.'!DA3108" display="'CM Rec Par.'!DA3108" xr:uid="{BFEE517E-1FAD-4981-8A02-21E31998E41A}"/>
    <hyperlink ref="DA1237" location="'CM Rec Par.'!DA3208" display="'CM Rec Par.'!DA3208" xr:uid="{A776059E-FC0F-456B-8ABD-A131C5A3B255}"/>
    <hyperlink ref="DA1238" location="'CM Rec Par.'!DA3308" display="'CM Rec Par.'!DA3308" xr:uid="{4B27E8DD-6C9F-43E1-BB19-74BE3B78BD98}"/>
    <hyperlink ref="DA1239" location="'CM Rec Par.'!DA3408" display="'CM Rec Par.'!DA3408" xr:uid="{9F952B88-7016-47F6-AFDD-51BFC71C0856}"/>
    <hyperlink ref="DA1310" location="'CM Rec Par.'!DA508" display="'CM Rec Par.'!DA508" xr:uid="{DB7799D1-04E7-444B-ABC4-CA5B0F5D7577}"/>
    <hyperlink ref="DA1309" location="'CM Rec Par.'!DA50" display="Process" xr:uid="{7020FE55-533D-459D-89C5-E1DBD6FE5D52}"/>
    <hyperlink ref="DA1308" location="'CM Rec Par.'!DA6" display="Top" xr:uid="{9193BAD9-5CA5-4068-B774-B4800E0BFF0E}"/>
    <hyperlink ref="DA1311" location="'CM Rec Par.'!DA608" display="'CM Rec Par.'!DA608" xr:uid="{8D7A6B89-5BE8-4712-9B63-27EAC826DED5}"/>
    <hyperlink ref="DA1312" location="'CM Rec Par.'!DA708" display="'CM Rec Par.'!DA708" xr:uid="{D5C97214-9D51-4475-A282-5138932E4E3B}"/>
    <hyperlink ref="DA1313" location="'CM Rec Par.'!DA808" display="'CM Rec Par.'!DA808" xr:uid="{BA82EF10-787D-45FD-87AC-6F3AE00952D7}"/>
    <hyperlink ref="DA1314" location="'CM Rec Par.'!DA908" display="'CM Rec Par.'!DA908" xr:uid="{D54102BE-4F6D-4E00-ACCD-0374B11D28AE}"/>
    <hyperlink ref="DA1315" location="'CM Rec Par.'!DA1008" display="'CM Rec Par.'!DA1008" xr:uid="{9BA58C1B-D926-4DC8-80D2-F4416206BD8D}"/>
    <hyperlink ref="DA1316" location="'CM Rec Par.'!DA1108" display="'CM Rec Par.'!DA1108" xr:uid="{FBC24D59-2D39-44D9-A66D-7A35C0432929}"/>
    <hyperlink ref="DA1317" location="'CM Rec Par.'!DA1208" display="'CM Rec Par.'!DA1208" xr:uid="{0CEFBCFD-3CDC-4FFF-B245-EFEE6247AEAF}"/>
    <hyperlink ref="DA1318" location="'CM Rec Par.'!DA1308" display="'CM Rec Par.'!DA1308" xr:uid="{752141EA-C6D3-4945-AD0F-048C7DA6B4A7}"/>
    <hyperlink ref="DA1319" location="'CM Rec Par.'!DA1408" display="'CM Rec Par.'!DA1408" xr:uid="{A6DA9669-16A8-462F-8869-FDCCBC663A5A}"/>
    <hyperlink ref="DA1320" location="'CM Rec Par.'!DA1508" display="'CM Rec Par.'!DA1508" xr:uid="{975450FB-6FFC-4EE8-8566-B70867544DBC}"/>
    <hyperlink ref="DA1321" location="'CM Rec Par.'!DA1608" display="'CM Rec Par.'!DA1608" xr:uid="{F6CF2452-3105-4A87-BF97-3BCE1EFCEC13}"/>
    <hyperlink ref="DA1322" location="'CM Rec Par.'!DA1708" display="'CM Rec Par.'!DA1708" xr:uid="{A8282C80-20C4-4AC2-BFC4-F5E97549715E}"/>
    <hyperlink ref="DA1323" location="'CM Rec Par.'!DA1808" display="'CM Rec Par.'!DA1808" xr:uid="{BC7752B3-AB47-4834-87A5-1F126055F157}"/>
    <hyperlink ref="DA1324" location="'CM Rec Par.'!DA1908" display="'CM Rec Par.'!DA1908" xr:uid="{8B8D13DF-9CE4-40AF-9B99-86811826A436}"/>
    <hyperlink ref="DA1325" location="'CM Rec Par.'!DA2008" display="'CM Rec Par.'!DA2008" xr:uid="{68EDC21C-90C9-4E9B-81C1-0F15C8F46F52}"/>
    <hyperlink ref="DA1326" location="'CM Rec Par.'!DA2108" display="'CM Rec Par.'!DA2108" xr:uid="{6ABE3776-4979-4086-8E5E-5C5116253C8E}"/>
    <hyperlink ref="DA1327" location="'CM Rec Par.'!DA2208" display="'CM Rec Par.'!DA2208" xr:uid="{3BEC2F4F-7E32-427C-9436-B51BEB31F733}"/>
    <hyperlink ref="DA1328" location="'CM Rec Par.'!DA2308" display="'CM Rec Par.'!DA2308" xr:uid="{5E8AAFFA-25D9-4503-B24F-97B0B0199A77}"/>
    <hyperlink ref="DA1329" location="'CM Rec Par.'!DA2408" display="'CM Rec Par.'!DA2408" xr:uid="{97A4D06E-840C-4836-AE9F-76F89D6BA44E}"/>
    <hyperlink ref="DA1330" location="'CM Rec Par.'!DA2508" display="'CM Rec Par.'!DA2508" xr:uid="{3BE98FE0-DE25-4741-9F28-0C27F5D7370D}"/>
    <hyperlink ref="DA1331" location="'CM Rec Par.'!DA2608" display="'CM Rec Par.'!DA2608" xr:uid="{7E21684B-F7AD-45CB-81AC-C88B0CB255EA}"/>
    <hyperlink ref="DA1332" location="'CM Rec Par.'!DA2708" display="'CM Rec Par.'!DA2708" xr:uid="{A9835A13-F860-4966-A93E-A151293967EE}"/>
    <hyperlink ref="DA1333" location="'CM Rec Par.'!DA2808" display="'CM Rec Par.'!DA2808" xr:uid="{68CA9DAB-1F1B-4DB4-AD3D-DE929826B680}"/>
    <hyperlink ref="DA1334" location="'CM Rec Par.'!DA2908" display="'CM Rec Par.'!DA2908" xr:uid="{FE19EDE2-429A-4C50-A4A9-E0992956E21F}"/>
    <hyperlink ref="DA1335" location="'CM Rec Par.'!DA3008" display="'CM Rec Par.'!DA3008" xr:uid="{6AF099E7-7C0F-4CFF-A31A-0EC749955F5B}"/>
    <hyperlink ref="DA1336" location="'CM Rec Par.'!DA3108" display="'CM Rec Par.'!DA3108" xr:uid="{FCBC769F-5E9F-4D4A-8759-639BC7C4250D}"/>
    <hyperlink ref="DA1337" location="'CM Rec Par.'!DA3208" display="'CM Rec Par.'!DA3208" xr:uid="{5C292B8C-BA03-4E3E-9913-61C90842B9C1}"/>
    <hyperlink ref="DA1338" location="'CM Rec Par.'!DA3308" display="'CM Rec Par.'!DA3308" xr:uid="{2AEEE7EE-1705-4A91-AD01-9DDE6E05E244}"/>
    <hyperlink ref="DA1339" location="'CM Rec Par.'!DA3408" display="'CM Rec Par.'!DA3408" xr:uid="{F3A18DFF-EDD2-412A-966D-4DD72D72178E}"/>
    <hyperlink ref="DA1410" location="'CM Rec Par.'!DA508" display="'CM Rec Par.'!DA508" xr:uid="{D8A07B9D-0250-4E5F-9FAE-7F7965819CE6}"/>
    <hyperlink ref="DA1409" location="'CM Rec Par.'!DA50" display="Process" xr:uid="{A5065F51-C7F9-4CC2-9F56-B4DDF83A9E86}"/>
    <hyperlink ref="DA1408" location="'CM Rec Par.'!DA6" display="Top" xr:uid="{F88EB1B8-8E64-4480-B26F-64ABFC9D5DA4}"/>
    <hyperlink ref="DA1411" location="'CM Rec Par.'!DA608" display="'CM Rec Par.'!DA608" xr:uid="{4EE1EC80-9ADF-407C-B47D-696719A4C0EA}"/>
    <hyperlink ref="DA1412" location="'CM Rec Par.'!DA708" display="'CM Rec Par.'!DA708" xr:uid="{A8A0120E-C3C1-443E-8501-E686503995FB}"/>
    <hyperlink ref="DA1413" location="'CM Rec Par.'!DA808" display="'CM Rec Par.'!DA808" xr:uid="{0A38BE51-C3FC-4349-86E7-0C7713B7ACF5}"/>
    <hyperlink ref="DA1414" location="'CM Rec Par.'!DA908" display="'CM Rec Par.'!DA908" xr:uid="{EAAB45D2-A03A-4EF9-914C-54B3B916B5A0}"/>
    <hyperlink ref="DA1415" location="'CM Rec Par.'!DA1008" display="'CM Rec Par.'!DA1008" xr:uid="{425C5C8B-B144-4DB9-B484-4E346C590850}"/>
    <hyperlink ref="DA1416" location="'CM Rec Par.'!DA1108" display="'CM Rec Par.'!DA1108" xr:uid="{3280B0DA-0E8C-4CC4-AAFA-2AB4B1DC27EF}"/>
    <hyperlink ref="DA1417" location="'CM Rec Par.'!DA1208" display="'CM Rec Par.'!DA1208" xr:uid="{FC749AAD-E337-4BEC-96A4-AA939621FDCF}"/>
    <hyperlink ref="DA1418" location="'CM Rec Par.'!DA1308" display="'CM Rec Par.'!DA1308" xr:uid="{ED71F959-E1B9-4229-AAA9-B386DF39B2E5}"/>
    <hyperlink ref="DA1419" location="'CM Rec Par.'!DA1408" display="'CM Rec Par.'!DA1408" xr:uid="{0D5CD2B3-6E7F-4A62-91BE-E38C4097F3C5}"/>
    <hyperlink ref="DA1420" location="'CM Rec Par.'!DA1508" display="'CM Rec Par.'!DA1508" xr:uid="{DC46049C-2311-4CF3-99D6-F881EB6FE214}"/>
    <hyperlink ref="DA1421" location="'CM Rec Par.'!DA1608" display="'CM Rec Par.'!DA1608" xr:uid="{C5B2C494-3C78-448D-BCD3-E14387157FC8}"/>
    <hyperlink ref="DA1422" location="'CM Rec Par.'!DA1708" display="'CM Rec Par.'!DA1708" xr:uid="{1035441C-90DB-427A-9E5E-AFBC5FC5E335}"/>
    <hyperlink ref="DA1423" location="'CM Rec Par.'!DA1808" display="'CM Rec Par.'!DA1808" xr:uid="{41F6B8B2-57DC-43DC-AD2C-6403CF00FBE1}"/>
    <hyperlink ref="DA1424" location="'CM Rec Par.'!DA1908" display="'CM Rec Par.'!DA1908" xr:uid="{A76B0C14-71D5-4676-8D6C-EF4AEE9094C8}"/>
    <hyperlink ref="DA1425" location="'CM Rec Par.'!DA2008" display="'CM Rec Par.'!DA2008" xr:uid="{06A85EC8-BD63-4CEA-B054-B2A46C3E9495}"/>
    <hyperlink ref="DA1426" location="'CM Rec Par.'!DA2108" display="'CM Rec Par.'!DA2108" xr:uid="{E5B51047-D143-4FF8-B288-A993DD84D9A9}"/>
    <hyperlink ref="DA1427" location="'CM Rec Par.'!DA2208" display="'CM Rec Par.'!DA2208" xr:uid="{B2047865-0727-4D3E-8A7F-D45A6D777501}"/>
    <hyperlink ref="DA1428" location="'CM Rec Par.'!DA2308" display="'CM Rec Par.'!DA2308" xr:uid="{408382C2-428A-4CE3-9BC7-766A824FBFF8}"/>
    <hyperlink ref="DA1429" location="'CM Rec Par.'!DA2408" display="'CM Rec Par.'!DA2408" xr:uid="{851AF8BA-7A22-45E1-B93A-74E0984FA189}"/>
    <hyperlink ref="DA1430" location="'CM Rec Par.'!DA2508" display="'CM Rec Par.'!DA2508" xr:uid="{CF88151C-0FFE-4043-A6D7-7638FDFEE0C2}"/>
    <hyperlink ref="DA1431" location="'CM Rec Par.'!DA2608" display="'CM Rec Par.'!DA2608" xr:uid="{0CDE08F2-E0A5-4F4B-A482-53EA1F2CE9DD}"/>
    <hyperlink ref="DA1432" location="'CM Rec Par.'!DA2708" display="'CM Rec Par.'!DA2708" xr:uid="{41C7C5B5-994C-4BF8-9061-F33871FAB2D3}"/>
    <hyperlink ref="DA1433" location="'CM Rec Par.'!DA2808" display="'CM Rec Par.'!DA2808" xr:uid="{E8E3D0CD-07EA-4211-A236-3E428D86CEFE}"/>
    <hyperlink ref="DA1434" location="'CM Rec Par.'!DA2908" display="'CM Rec Par.'!DA2908" xr:uid="{5F51033C-F8AF-44F8-BEC0-5128F2F6D904}"/>
    <hyperlink ref="DA1435" location="'CM Rec Par.'!DA3008" display="'CM Rec Par.'!DA3008" xr:uid="{6EC64A2D-3631-4490-A106-C6860DB7D9DE}"/>
    <hyperlink ref="DA1436" location="'CM Rec Par.'!DA3108" display="'CM Rec Par.'!DA3108" xr:uid="{9070F493-0731-4E18-9688-3EDA19F7E3C1}"/>
    <hyperlink ref="DA1437" location="'CM Rec Par.'!DA3208" display="'CM Rec Par.'!DA3208" xr:uid="{449D7017-1111-455D-855B-7BA229CCBCF5}"/>
    <hyperlink ref="DA1438" location="'CM Rec Par.'!DA3308" display="'CM Rec Par.'!DA3308" xr:uid="{F84CEC3F-2EB9-4204-97CD-891FA3C2F6C5}"/>
    <hyperlink ref="DA1439" location="'CM Rec Par.'!DA3408" display="'CM Rec Par.'!DA3408" xr:uid="{BC30509F-4ECF-49FA-AFE8-F85D006BA36E}"/>
    <hyperlink ref="DA1510" location="'CM Rec Par.'!DA508" display="'CM Rec Par.'!DA508" xr:uid="{770A93D9-3B82-433B-B90A-1ED52CACB2FB}"/>
    <hyperlink ref="DA1509" location="'CM Rec Par.'!DA50" display="Process" xr:uid="{078C36AF-422A-4D5D-B81D-87AC152308ED}"/>
    <hyperlink ref="DA1508" location="'CM Rec Par.'!DA6" display="Top" xr:uid="{C26548E5-8EC6-49DC-A444-8254E8CAAF4E}"/>
    <hyperlink ref="DA1511" location="'CM Rec Par.'!DA608" display="'CM Rec Par.'!DA608" xr:uid="{6DAF3608-A5F7-4DA6-8554-4732BF92677D}"/>
    <hyperlink ref="DA1512" location="'CM Rec Par.'!DA708" display="'CM Rec Par.'!DA708" xr:uid="{11B06EBC-E20A-415E-86C3-64B4BE74B8CA}"/>
    <hyperlink ref="DA1513" location="'CM Rec Par.'!DA808" display="'CM Rec Par.'!DA808" xr:uid="{49D78DDE-3EDD-4F9C-B45E-FDD3CB18C78B}"/>
    <hyperlink ref="DA1514" location="'CM Rec Par.'!DA908" display="'CM Rec Par.'!DA908" xr:uid="{BD3279A9-230E-426E-88D7-FEFB8B9D55DE}"/>
    <hyperlink ref="DA1515" location="'CM Rec Par.'!DA1008" display="'CM Rec Par.'!DA1008" xr:uid="{327A1E9F-8EF9-4B2D-9357-F0A57F84B6C6}"/>
    <hyperlink ref="DA1516" location="'CM Rec Par.'!DA1108" display="'CM Rec Par.'!DA1108" xr:uid="{A627608C-2813-4188-B091-16D4F1A362D6}"/>
    <hyperlink ref="DA1517" location="'CM Rec Par.'!DA1208" display="'CM Rec Par.'!DA1208" xr:uid="{75AFA126-2A26-45EC-B961-E2F0D28A9FF5}"/>
    <hyperlink ref="DA1518" location="'CM Rec Par.'!DA1308" display="'CM Rec Par.'!DA1308" xr:uid="{B77D4AAA-5EBC-4B86-B041-2588EEAFA529}"/>
    <hyperlink ref="DA1519" location="'CM Rec Par.'!DA1408" display="'CM Rec Par.'!DA1408" xr:uid="{05ABC6DE-E756-4035-941B-A173A3304552}"/>
    <hyperlink ref="DA1520" location="'CM Rec Par.'!DA1508" display="'CM Rec Par.'!DA1508" xr:uid="{DF210A30-3286-4F70-9580-DBB3C1E6F290}"/>
    <hyperlink ref="DA1521" location="'CM Rec Par.'!DA1608" display="'CM Rec Par.'!DA1608" xr:uid="{5D30977A-248D-4392-8C5A-4E1720CDE626}"/>
    <hyperlink ref="DA1522" location="'CM Rec Par.'!DA1708" display="'CM Rec Par.'!DA1708" xr:uid="{8D54AADE-C8D1-4A7F-9D75-597116ED9CD9}"/>
    <hyperlink ref="DA1523" location="'CM Rec Par.'!DA1808" display="'CM Rec Par.'!DA1808" xr:uid="{CC279AB4-638A-45CA-8108-A8ABF8B02321}"/>
    <hyperlink ref="DA1524" location="'CM Rec Par.'!DA1908" display="'CM Rec Par.'!DA1908" xr:uid="{3FF429B6-6FA2-4C97-BB23-510EE89FB883}"/>
    <hyperlink ref="DA1525" location="'CM Rec Par.'!DA2008" display="'CM Rec Par.'!DA2008" xr:uid="{86806FEF-6A35-4E64-A7A5-4C83F7C7850F}"/>
    <hyperlink ref="DA1526" location="'CM Rec Par.'!DA2108" display="'CM Rec Par.'!DA2108" xr:uid="{E121D765-38F5-4FF2-83D0-3785C5A475F4}"/>
    <hyperlink ref="DA1527" location="'CM Rec Par.'!DA2208" display="'CM Rec Par.'!DA2208" xr:uid="{C2312729-7FF6-4E67-B45E-DED68B9AF37A}"/>
    <hyperlink ref="DA1528" location="'CM Rec Par.'!DA2308" display="'CM Rec Par.'!DA2308" xr:uid="{0B51979B-DA07-40FF-B75B-063BEA1CE7A6}"/>
    <hyperlink ref="DA1529" location="'CM Rec Par.'!DA2408" display="'CM Rec Par.'!DA2408" xr:uid="{712F657D-C0C1-4FFA-9CB8-CA9D009EFF73}"/>
    <hyperlink ref="DA1530" location="'CM Rec Par.'!DA2508" display="'CM Rec Par.'!DA2508" xr:uid="{96291063-0712-40D5-9CF6-CD27A9422904}"/>
    <hyperlink ref="DA1531" location="'CM Rec Par.'!DA2608" display="'CM Rec Par.'!DA2608" xr:uid="{52FF2A91-9AFF-40B2-82F9-40405C7D734F}"/>
    <hyperlink ref="DA1532" location="'CM Rec Par.'!DA2708" display="'CM Rec Par.'!DA2708" xr:uid="{F550CEF6-E4F5-4021-B1E0-BEC60F808C5E}"/>
    <hyperlink ref="DA1533" location="'CM Rec Par.'!DA2808" display="'CM Rec Par.'!DA2808" xr:uid="{2DB6874B-242E-4D7E-9FC1-FA29EB07EA62}"/>
    <hyperlink ref="DA1534" location="'CM Rec Par.'!DA2908" display="'CM Rec Par.'!DA2908" xr:uid="{90B94041-4042-4D50-8224-F913B77B3C16}"/>
    <hyperlink ref="DA1535" location="'CM Rec Par.'!DA3008" display="'CM Rec Par.'!DA3008" xr:uid="{5094776D-EC11-4051-A00E-5D3F6D4FBD84}"/>
    <hyperlink ref="DA1536" location="'CM Rec Par.'!DA3108" display="'CM Rec Par.'!DA3108" xr:uid="{35C60ABD-BC20-467A-9DE5-B216D2F78781}"/>
    <hyperlink ref="DA1537" location="'CM Rec Par.'!DA3208" display="'CM Rec Par.'!DA3208" xr:uid="{4C054EE7-D677-4527-B208-3F9F0963E420}"/>
    <hyperlink ref="DA1538" location="'CM Rec Par.'!DA3308" display="'CM Rec Par.'!DA3308" xr:uid="{62B9E901-AEEA-4543-9BD6-42670C1AB45D}"/>
    <hyperlink ref="DA1539" location="'CM Rec Par.'!DA3408" display="'CM Rec Par.'!DA3408" xr:uid="{6B35C24C-E56B-422C-8888-01BAE89DC554}"/>
    <hyperlink ref="DA1610" location="'CM Rec Par.'!DA508" display="'CM Rec Par.'!DA508" xr:uid="{4EF618C6-BA0F-4F44-B4A8-A4910EFD73F8}"/>
    <hyperlink ref="DA1609" location="'CM Rec Par.'!DA50" display="Process" xr:uid="{49127CB5-8EDA-4B31-B4F7-4F5B6A015D26}"/>
    <hyperlink ref="DA1608" location="'CM Rec Par.'!DA6" display="Top" xr:uid="{5F878B5C-A83F-4286-92A3-24DAB7E22BA9}"/>
    <hyperlink ref="DA1611" location="'CM Rec Par.'!DA608" display="'CM Rec Par.'!DA608" xr:uid="{C3059962-1CF6-48D8-A4D6-4E95E9F04CAA}"/>
    <hyperlink ref="DA1612" location="'CM Rec Par.'!DA708" display="'CM Rec Par.'!DA708" xr:uid="{BA51F3FD-BB58-4F00-8D48-9BF134899C78}"/>
    <hyperlink ref="DA1613" location="'CM Rec Par.'!DA808" display="'CM Rec Par.'!DA808" xr:uid="{D69308C6-A4FA-4C00-851D-7105C0DA65CA}"/>
    <hyperlink ref="DA1614" location="'CM Rec Par.'!DA908" display="'CM Rec Par.'!DA908" xr:uid="{70B512B0-E969-4EE1-88EC-293CEE061877}"/>
    <hyperlink ref="DA1615" location="'CM Rec Par.'!DA1008" display="'CM Rec Par.'!DA1008" xr:uid="{A499D1FC-3D5F-4224-BFAF-C6F5C60CD9DC}"/>
    <hyperlink ref="DA1616" location="'CM Rec Par.'!DA1108" display="'CM Rec Par.'!DA1108" xr:uid="{528C430C-6C2E-4296-A1A1-E40FAA755E78}"/>
    <hyperlink ref="DA1617" location="'CM Rec Par.'!DA1208" display="'CM Rec Par.'!DA1208" xr:uid="{2C3A5C1D-954A-42B0-9F90-8D8708356343}"/>
    <hyperlink ref="DA1618" location="'CM Rec Par.'!DA1308" display="'CM Rec Par.'!DA1308" xr:uid="{45CAC2A4-6A19-463D-BF69-3EEF5E68FC62}"/>
    <hyperlink ref="DA1619" location="'CM Rec Par.'!DA1408" display="'CM Rec Par.'!DA1408" xr:uid="{2B0EF9F9-6926-409A-862F-006CACDD08D1}"/>
    <hyperlink ref="DA1620" location="'CM Rec Par.'!DA1508" display="'CM Rec Par.'!DA1508" xr:uid="{34DCDE3C-F13F-44E7-9ABB-5D042F012E38}"/>
    <hyperlink ref="DA1621" location="'CM Rec Par.'!DA1608" display="'CM Rec Par.'!DA1608" xr:uid="{6F3655B8-45C1-4429-AAD3-541DAF897E84}"/>
    <hyperlink ref="DA1622" location="'CM Rec Par.'!DA1708" display="'CM Rec Par.'!DA1708" xr:uid="{068B30C8-4DE4-4E00-90C4-044152DB6F4E}"/>
    <hyperlink ref="DA1623" location="'CM Rec Par.'!DA1808" display="'CM Rec Par.'!DA1808" xr:uid="{8856EB80-AD89-4581-A036-F3301C0B3A16}"/>
    <hyperlink ref="DA1624" location="'CM Rec Par.'!DA1908" display="'CM Rec Par.'!DA1908" xr:uid="{1D762789-FEF1-4941-83A7-FDCC0D038379}"/>
    <hyperlink ref="DA1625" location="'CM Rec Par.'!DA2008" display="'CM Rec Par.'!DA2008" xr:uid="{8E8197BD-10F6-45FE-A74E-80E790FB9BDF}"/>
    <hyperlink ref="DA1626" location="'CM Rec Par.'!DA2108" display="'CM Rec Par.'!DA2108" xr:uid="{7DC4EFBB-DBEE-4B71-9733-5A79E1D8EA98}"/>
    <hyperlink ref="DA1627" location="'CM Rec Par.'!DA2208" display="'CM Rec Par.'!DA2208" xr:uid="{AC16D2B8-D953-4082-BE7C-CD9CDF39B10D}"/>
    <hyperlink ref="DA1628" location="'CM Rec Par.'!DA2308" display="'CM Rec Par.'!DA2308" xr:uid="{D9B60B14-3169-45D8-81F3-9234059A23B9}"/>
    <hyperlink ref="DA1629" location="'CM Rec Par.'!DA2408" display="'CM Rec Par.'!DA2408" xr:uid="{25F8CC4E-6FE5-4703-8D8B-F240BBB7B905}"/>
    <hyperlink ref="DA1630" location="'CM Rec Par.'!DA2508" display="'CM Rec Par.'!DA2508" xr:uid="{AD4695BA-E93C-4231-A9E4-FB0B76299B0E}"/>
    <hyperlink ref="DA1631" location="'CM Rec Par.'!DA2608" display="'CM Rec Par.'!DA2608" xr:uid="{FF0F7C0A-61D4-4534-A6B6-37CE7B76494F}"/>
    <hyperlink ref="DA1632" location="'CM Rec Par.'!DA2708" display="'CM Rec Par.'!DA2708" xr:uid="{22CE72A2-A6A4-4CE3-8341-5C4AD2E7A216}"/>
    <hyperlink ref="DA1633" location="'CM Rec Par.'!DA2808" display="'CM Rec Par.'!DA2808" xr:uid="{6942453B-8895-46C4-B3AF-F80A9819B8B9}"/>
    <hyperlink ref="DA1634" location="'CM Rec Par.'!DA2908" display="'CM Rec Par.'!DA2908" xr:uid="{3D00FD4A-F214-45DC-93F2-3B1C2551FE32}"/>
    <hyperlink ref="DA1635" location="'CM Rec Par.'!DA3008" display="'CM Rec Par.'!DA3008" xr:uid="{1ADDF30A-EE76-46CF-95D2-C6D0DE13483F}"/>
    <hyperlink ref="DA1636" location="'CM Rec Par.'!DA3108" display="'CM Rec Par.'!DA3108" xr:uid="{5150B307-CA8C-43C6-B1DF-D0A137912A1B}"/>
    <hyperlink ref="DA1637" location="'CM Rec Par.'!DA3208" display="'CM Rec Par.'!DA3208" xr:uid="{18832957-84BD-4F5D-8D7F-4611102A8AFB}"/>
    <hyperlink ref="DA1638" location="'CM Rec Par.'!DA3308" display="'CM Rec Par.'!DA3308" xr:uid="{B86B115D-3938-4BDD-8110-570242F31C8B}"/>
    <hyperlink ref="DA1639" location="'CM Rec Par.'!DA3408" display="'CM Rec Par.'!DA3408" xr:uid="{478FB6EB-6315-4CF8-B705-27939630010C}"/>
    <hyperlink ref="DA1710" location="'CM Rec Par.'!DA508" display="'CM Rec Par.'!DA508" xr:uid="{31EE0834-EE58-4893-A2AC-C3D204BDE139}"/>
    <hyperlink ref="DA1709" location="'CM Rec Par.'!DA50" display="Process" xr:uid="{030E825A-46B7-466C-9BBA-BE9DFCDA4F9E}"/>
    <hyperlink ref="DA1708" location="'CM Rec Par.'!DA6" display="Top" xr:uid="{5933F442-42B8-4888-90F0-5485EB572735}"/>
    <hyperlink ref="DA1711" location="'CM Rec Par.'!DA608" display="'CM Rec Par.'!DA608" xr:uid="{41334269-3020-4129-8C67-76D1FF77A187}"/>
    <hyperlink ref="DA1712" location="'CM Rec Par.'!DA708" display="'CM Rec Par.'!DA708" xr:uid="{151C0465-C181-4A50-91DF-F99231C267CC}"/>
    <hyperlink ref="DA1713" location="'CM Rec Par.'!DA808" display="'CM Rec Par.'!DA808" xr:uid="{79439334-9D89-49D5-A658-4D847BAD7E02}"/>
    <hyperlink ref="DA1714" location="'CM Rec Par.'!DA908" display="'CM Rec Par.'!DA908" xr:uid="{C1DC38D1-8A34-4956-B47D-6FF6046CC4DA}"/>
    <hyperlink ref="DA1715" location="'CM Rec Par.'!DA1008" display="'CM Rec Par.'!DA1008" xr:uid="{B14B2918-DAD1-4D17-9FDB-42AC14E7168F}"/>
    <hyperlink ref="DA1716" location="'CM Rec Par.'!DA1108" display="'CM Rec Par.'!DA1108" xr:uid="{0F3603A9-3029-4A28-BBDE-7F7C09BEA538}"/>
    <hyperlink ref="DA1717" location="'CM Rec Par.'!DA1208" display="'CM Rec Par.'!DA1208" xr:uid="{1B01788C-2E8F-4A43-8A43-C57D3FED8634}"/>
    <hyperlink ref="DA1718" location="'CM Rec Par.'!DA1308" display="'CM Rec Par.'!DA1308" xr:uid="{57BD62F4-6926-43DC-AD02-04F2555342E3}"/>
    <hyperlink ref="DA1719" location="'CM Rec Par.'!DA1408" display="'CM Rec Par.'!DA1408" xr:uid="{37CD111D-1412-4953-93F5-A29F84DB4273}"/>
    <hyperlink ref="DA1720" location="'CM Rec Par.'!DA1508" display="'CM Rec Par.'!DA1508" xr:uid="{60F4D48A-9F41-4C40-9EE0-CAB8B961E6BC}"/>
    <hyperlink ref="DA1721" location="'CM Rec Par.'!DA1608" display="'CM Rec Par.'!DA1608" xr:uid="{A7768456-8B37-4A7D-A280-253DE712EC77}"/>
    <hyperlink ref="DA1722" location="'CM Rec Par.'!DA1708" display="'CM Rec Par.'!DA1708" xr:uid="{F4954E76-1A41-4357-82B7-6293BBCDF109}"/>
    <hyperlink ref="DA1723" location="'CM Rec Par.'!DA1808" display="'CM Rec Par.'!DA1808" xr:uid="{6EC8E413-DE13-40C5-9471-C6F5FA50327B}"/>
    <hyperlink ref="DA1724" location="'CM Rec Par.'!DA1908" display="'CM Rec Par.'!DA1908" xr:uid="{95DD6286-77C7-4DC7-B5EF-0A5C1705F64A}"/>
    <hyperlink ref="DA1725" location="'CM Rec Par.'!DA2008" display="'CM Rec Par.'!DA2008" xr:uid="{C5A5FEE0-5B9A-4B57-AEC0-65921ADE2D5C}"/>
    <hyperlink ref="DA1726" location="'CM Rec Par.'!DA2108" display="'CM Rec Par.'!DA2108" xr:uid="{CDEAA3BB-843A-4A65-8DBB-481D4D0B10B1}"/>
    <hyperlink ref="DA1727" location="'CM Rec Par.'!DA2208" display="'CM Rec Par.'!DA2208" xr:uid="{4378A084-8539-485D-A93B-69159F8D03B3}"/>
    <hyperlink ref="DA1728" location="'CM Rec Par.'!DA2308" display="'CM Rec Par.'!DA2308" xr:uid="{1D5444D9-3F40-49DA-9170-717F29E80EEB}"/>
    <hyperlink ref="DA1729" location="'CM Rec Par.'!DA2408" display="'CM Rec Par.'!DA2408" xr:uid="{38888D56-06AE-4EF8-AB7F-9D457B8F4BD8}"/>
    <hyperlink ref="DA1730" location="'CM Rec Par.'!DA2508" display="'CM Rec Par.'!DA2508" xr:uid="{161A6958-5A6E-49DB-A0BF-581A0E3A37CE}"/>
    <hyperlink ref="DA1731" location="'CM Rec Par.'!DA2608" display="'CM Rec Par.'!DA2608" xr:uid="{378A4151-0DB2-4FC0-8EE8-A85D18822B1A}"/>
    <hyperlink ref="DA1732" location="'CM Rec Par.'!DA2708" display="'CM Rec Par.'!DA2708" xr:uid="{F5606BC3-BB9C-4621-A924-43356E80F782}"/>
    <hyperlink ref="DA1733" location="'CM Rec Par.'!DA2808" display="'CM Rec Par.'!DA2808" xr:uid="{F344B55F-1AE8-4FDD-876C-DB203B7E31E6}"/>
    <hyperlink ref="DA1734" location="'CM Rec Par.'!DA2908" display="'CM Rec Par.'!DA2908" xr:uid="{D3938E07-F796-49E1-BD1A-613D5E7B7274}"/>
    <hyperlink ref="DA1735" location="'CM Rec Par.'!DA3008" display="'CM Rec Par.'!DA3008" xr:uid="{2E3407D9-2200-493D-90E5-0DDA8AFA2CD8}"/>
    <hyperlink ref="DA1736" location="'CM Rec Par.'!DA3108" display="'CM Rec Par.'!DA3108" xr:uid="{FD59DEC0-D948-4CC6-B580-537714836E4F}"/>
    <hyperlink ref="DA1737" location="'CM Rec Par.'!DA3208" display="'CM Rec Par.'!DA3208" xr:uid="{1867ECDA-39F6-43F3-8D99-D479E9F49876}"/>
    <hyperlink ref="DA1738" location="'CM Rec Par.'!DA3308" display="'CM Rec Par.'!DA3308" xr:uid="{B14B22AF-14CC-4106-A76E-04A05E0F2038}"/>
    <hyperlink ref="DA1739" location="'CM Rec Par.'!DA3408" display="'CM Rec Par.'!DA3408" xr:uid="{6BF4B57B-AA2E-450A-B5D3-1C6D2A23342F}"/>
    <hyperlink ref="DA1810" location="'CM Rec Par.'!DA508" display="'CM Rec Par.'!DA508" xr:uid="{E216F920-BF7B-47FE-9DD9-DAEF05916686}"/>
    <hyperlink ref="DA1809" location="'CM Rec Par.'!DA50" display="Process" xr:uid="{9BBC9C57-73C1-4D05-A60C-40E913C7FDFC}"/>
    <hyperlink ref="DA1808" location="'CM Rec Par.'!DA6" display="Top" xr:uid="{9FAD7951-E40B-4ACE-B9D0-EFD4A51C1A6B}"/>
    <hyperlink ref="DA1811" location="'CM Rec Par.'!DA608" display="'CM Rec Par.'!DA608" xr:uid="{2E552D54-9488-439A-A96E-6E86547BB8F5}"/>
    <hyperlink ref="DA1812" location="'CM Rec Par.'!DA708" display="'CM Rec Par.'!DA708" xr:uid="{1F9A3465-7A0A-418E-981C-9DE300BF4C87}"/>
    <hyperlink ref="DA1813" location="'CM Rec Par.'!DA808" display="'CM Rec Par.'!DA808" xr:uid="{07CEDB4E-A3AB-4CC5-9460-1C14A914640C}"/>
    <hyperlink ref="DA1814" location="'CM Rec Par.'!DA908" display="'CM Rec Par.'!DA908" xr:uid="{67B33FB9-F150-4F1E-B403-3FFDB0BDF31B}"/>
    <hyperlink ref="DA1815" location="'CM Rec Par.'!DA1008" display="'CM Rec Par.'!DA1008" xr:uid="{654C9AFD-6317-4444-80F6-C07D794A55FB}"/>
    <hyperlink ref="DA1816" location="'CM Rec Par.'!DA1108" display="'CM Rec Par.'!DA1108" xr:uid="{FEF3A1CD-7441-428E-9F15-E0972783CBA8}"/>
    <hyperlink ref="DA1817" location="'CM Rec Par.'!DA1208" display="'CM Rec Par.'!DA1208" xr:uid="{25341F4A-6D19-4B6D-B31E-80D32E2FCF1F}"/>
    <hyperlink ref="DA1818" location="'CM Rec Par.'!DA1308" display="'CM Rec Par.'!DA1308" xr:uid="{2512AC08-68E1-48A9-88D3-0BE6889F1FDB}"/>
    <hyperlink ref="DA1819" location="'CM Rec Par.'!DA1408" display="'CM Rec Par.'!DA1408" xr:uid="{E3408FB3-D829-4D7A-9768-F9A2AAB97908}"/>
    <hyperlink ref="DA1820" location="'CM Rec Par.'!DA1508" display="'CM Rec Par.'!DA1508" xr:uid="{B4DCB272-2862-4620-998F-22610024098C}"/>
    <hyperlink ref="DA1821" location="'CM Rec Par.'!DA1608" display="'CM Rec Par.'!DA1608" xr:uid="{E197DA5C-29AD-43F4-8856-31E31E2341A4}"/>
    <hyperlink ref="DA1822" location="'CM Rec Par.'!DA1708" display="'CM Rec Par.'!DA1708" xr:uid="{9C65CF0F-63AD-49DF-BD16-76EB1918CF3F}"/>
    <hyperlink ref="DA1823" location="'CM Rec Par.'!DA1808" display="'CM Rec Par.'!DA1808" xr:uid="{0A71EA48-BEE5-4A1A-B4DF-D97395252711}"/>
    <hyperlink ref="DA1824" location="'CM Rec Par.'!DA1908" display="'CM Rec Par.'!DA1908" xr:uid="{4EB2F195-4330-4B7D-B258-224AB431C0E0}"/>
    <hyperlink ref="DA1825" location="'CM Rec Par.'!DA2008" display="'CM Rec Par.'!DA2008" xr:uid="{901A485C-6B49-4CBD-A929-57F8C953304E}"/>
    <hyperlink ref="DA1826" location="'CM Rec Par.'!DA2108" display="'CM Rec Par.'!DA2108" xr:uid="{37BBEB4E-2D06-4860-BEE9-DC974A23B579}"/>
    <hyperlink ref="DA1827" location="'CM Rec Par.'!DA2208" display="'CM Rec Par.'!DA2208" xr:uid="{9701828D-58AF-4B38-B5AF-2577FC1D3C47}"/>
    <hyperlink ref="DA1828" location="'CM Rec Par.'!DA2308" display="'CM Rec Par.'!DA2308" xr:uid="{EA26B54E-A317-492D-99AE-B27E6C014F6A}"/>
    <hyperlink ref="DA1829" location="'CM Rec Par.'!DA2408" display="'CM Rec Par.'!DA2408" xr:uid="{3BD1F5E2-1377-46F0-9DC2-FCA22C8EBB26}"/>
    <hyperlink ref="DA1830" location="'CM Rec Par.'!DA2508" display="'CM Rec Par.'!DA2508" xr:uid="{2405B5C7-DC90-4949-AD19-5F10774832D2}"/>
    <hyperlink ref="DA1831" location="'CM Rec Par.'!DA2608" display="'CM Rec Par.'!DA2608" xr:uid="{F72B939F-1CCD-4600-B358-E80FB26FCD01}"/>
    <hyperlink ref="DA1832" location="'CM Rec Par.'!DA2708" display="'CM Rec Par.'!DA2708" xr:uid="{C2928E39-4E75-4D17-BEB5-D9B719E841E8}"/>
    <hyperlink ref="DA1833" location="'CM Rec Par.'!DA2808" display="'CM Rec Par.'!DA2808" xr:uid="{B2736824-9D2E-45F2-B922-B83B20F1F962}"/>
    <hyperlink ref="DA1834" location="'CM Rec Par.'!DA2908" display="'CM Rec Par.'!DA2908" xr:uid="{F30E6691-9AD4-4D4F-BBD9-C37F6486A26D}"/>
    <hyperlink ref="DA1835" location="'CM Rec Par.'!DA3008" display="'CM Rec Par.'!DA3008" xr:uid="{0905B6A9-9D87-4A8F-98C6-35DC810192AA}"/>
    <hyperlink ref="DA1836" location="'CM Rec Par.'!DA3108" display="'CM Rec Par.'!DA3108" xr:uid="{36352477-3AEE-42F8-AF4B-EC8BB7849C86}"/>
    <hyperlink ref="DA1837" location="'CM Rec Par.'!DA3208" display="'CM Rec Par.'!DA3208" xr:uid="{96B27419-2E87-4C92-9848-9C67840F0A8A}"/>
    <hyperlink ref="DA1838" location="'CM Rec Par.'!DA3308" display="'CM Rec Par.'!DA3308" xr:uid="{2BB67AD9-BF61-4A5D-A27A-32E7396A26BB}"/>
    <hyperlink ref="DA1839" location="'CM Rec Par.'!DA3408" display="'CM Rec Par.'!DA3408" xr:uid="{D741C816-9CE2-445D-828E-26E93D3C07B6}"/>
    <hyperlink ref="DA1910" location="'CM Rec Par.'!DA508" display="'CM Rec Par.'!DA508" xr:uid="{73281B8B-5EF8-4094-B94F-46222F5632E0}"/>
    <hyperlink ref="DA1909" location="'CM Rec Par.'!DA50" display="Process" xr:uid="{DCF130A8-F49B-4F1F-BC2F-6C543A3808F7}"/>
    <hyperlink ref="DA1908" location="'CM Rec Par.'!DA6" display="Top" xr:uid="{5BBE2556-9769-45C1-AD47-7F7DD33F9989}"/>
    <hyperlink ref="DA1911" location="'CM Rec Par.'!DA608" display="'CM Rec Par.'!DA608" xr:uid="{6A82F1BA-AB18-4220-AE0B-98848B924017}"/>
    <hyperlink ref="DA1912" location="'CM Rec Par.'!DA708" display="'CM Rec Par.'!DA708" xr:uid="{2B3FFFBE-F93F-4867-BCCA-E0A7D079F6D0}"/>
    <hyperlink ref="DA1913" location="'CM Rec Par.'!DA808" display="'CM Rec Par.'!DA808" xr:uid="{27BA8476-DF88-4A6C-93A0-B9D4668014B1}"/>
    <hyperlink ref="DA1914" location="'CM Rec Par.'!DA908" display="'CM Rec Par.'!DA908" xr:uid="{E1C8E80F-9837-4CC2-BF9F-79880877B1F5}"/>
    <hyperlink ref="DA1915" location="'CM Rec Par.'!DA1008" display="'CM Rec Par.'!DA1008" xr:uid="{C0A2F3BC-5E86-4AFA-BF2D-03F6EDDF10AC}"/>
    <hyperlink ref="DA1916" location="'CM Rec Par.'!DA1108" display="'CM Rec Par.'!DA1108" xr:uid="{E512FDE8-9B4F-45C9-BDA3-5472DA7C17BD}"/>
    <hyperlink ref="DA1917" location="'CM Rec Par.'!DA1208" display="'CM Rec Par.'!DA1208" xr:uid="{53634CF1-CAC4-4322-A507-24889BC09E42}"/>
    <hyperlink ref="DA1918" location="'CM Rec Par.'!DA1308" display="'CM Rec Par.'!DA1308" xr:uid="{7343785A-5EA1-487B-9BD1-6A7159ACB8D9}"/>
    <hyperlink ref="DA1919" location="'CM Rec Par.'!DA1408" display="'CM Rec Par.'!DA1408" xr:uid="{7D59FE89-ED02-4C25-BE09-4EA0B53216E4}"/>
    <hyperlink ref="DA1920" location="'CM Rec Par.'!DA1508" display="'CM Rec Par.'!DA1508" xr:uid="{6C4C51D8-A96E-41CE-A906-CB1053925184}"/>
    <hyperlink ref="DA1921" location="'CM Rec Par.'!DA1608" display="'CM Rec Par.'!DA1608" xr:uid="{4DCE83D9-5DC1-45D7-ABC2-864DC410402F}"/>
    <hyperlink ref="DA1922" location="'CM Rec Par.'!DA1708" display="'CM Rec Par.'!DA1708" xr:uid="{F0D884A0-43E2-4EC9-BF34-9ABACDDDD8AE}"/>
    <hyperlink ref="DA1923" location="'CM Rec Par.'!DA1808" display="'CM Rec Par.'!DA1808" xr:uid="{AAD54532-9EAA-4BB9-9B72-FEF6FEF41FC8}"/>
    <hyperlink ref="DA1924" location="'CM Rec Par.'!DA1908" display="'CM Rec Par.'!DA1908" xr:uid="{EA699083-A7E8-4833-98DF-AEBBB4077558}"/>
    <hyperlink ref="DA1925" location="'CM Rec Par.'!DA2008" display="'CM Rec Par.'!DA2008" xr:uid="{DD20C1A2-7B41-40D3-B5E0-DAC2F73392F3}"/>
    <hyperlink ref="DA1926" location="'CM Rec Par.'!DA2108" display="'CM Rec Par.'!DA2108" xr:uid="{5CCC2B70-58A3-4267-A631-21B4BA15E32D}"/>
    <hyperlink ref="DA1927" location="'CM Rec Par.'!DA2208" display="'CM Rec Par.'!DA2208" xr:uid="{C15E61E8-FD76-41EE-89BA-1B6D7BC2BE0E}"/>
    <hyperlink ref="DA1928" location="'CM Rec Par.'!DA2308" display="'CM Rec Par.'!DA2308" xr:uid="{40C0C333-B1EF-4FB1-88E5-FB9DDCECADC3}"/>
    <hyperlink ref="DA1929" location="'CM Rec Par.'!DA2408" display="'CM Rec Par.'!DA2408" xr:uid="{F6706D8F-CF65-448E-BF44-93C56EAB1007}"/>
    <hyperlink ref="DA1930" location="'CM Rec Par.'!DA2508" display="'CM Rec Par.'!DA2508" xr:uid="{DD46A3DB-AF5E-45A5-944C-E83708CC94A9}"/>
    <hyperlink ref="DA1931" location="'CM Rec Par.'!DA2608" display="'CM Rec Par.'!DA2608" xr:uid="{3D94E862-E44C-41F0-8E8F-C75FA243195C}"/>
    <hyperlink ref="DA1932" location="'CM Rec Par.'!DA2708" display="'CM Rec Par.'!DA2708" xr:uid="{2ED37FAB-BD4D-47CE-8179-9059EB45EC24}"/>
    <hyperlink ref="DA1933" location="'CM Rec Par.'!DA2808" display="'CM Rec Par.'!DA2808" xr:uid="{22D62E30-3AA6-449F-A587-E1C837D88F07}"/>
    <hyperlink ref="DA1934" location="'CM Rec Par.'!DA2908" display="'CM Rec Par.'!DA2908" xr:uid="{2CB77AE7-64FE-4D4C-BBC4-367858F06F4A}"/>
    <hyperlink ref="DA1935" location="'CM Rec Par.'!DA3008" display="'CM Rec Par.'!DA3008" xr:uid="{A3FDDAF7-0B4F-454E-B0C5-6C8DBD484D72}"/>
    <hyperlink ref="DA1936" location="'CM Rec Par.'!DA3108" display="'CM Rec Par.'!DA3108" xr:uid="{BA57DC99-95EA-4DF9-B7A9-C531C51E53BA}"/>
    <hyperlink ref="DA1937" location="'CM Rec Par.'!DA3208" display="'CM Rec Par.'!DA3208" xr:uid="{D8843083-B223-4F4E-91CF-6EE5730792BD}"/>
    <hyperlink ref="DA1938" location="'CM Rec Par.'!DA3308" display="'CM Rec Par.'!DA3308" xr:uid="{7D1A9D3B-CC75-4C59-9BDB-2F003F5460C1}"/>
    <hyperlink ref="DA1939" location="'CM Rec Par.'!DA3408" display="'CM Rec Par.'!DA3408" xr:uid="{8D9708A3-374D-453F-B54E-C48AA69B5251}"/>
    <hyperlink ref="DA2010" location="'CM Rec Par.'!DA508" display="'CM Rec Par.'!DA508" xr:uid="{F55A6A30-1BCE-4746-9608-B6840B120FC3}"/>
    <hyperlink ref="DA2009" location="'CM Rec Par.'!DA50" display="Process" xr:uid="{800F63C3-35B9-4F38-90C4-1D0BE22C3E79}"/>
    <hyperlink ref="DA2008" location="'CM Rec Par.'!DA6" display="Top" xr:uid="{2220ED6D-3524-42F7-85D7-FEDC12ADC3D0}"/>
    <hyperlink ref="DA2011" location="'CM Rec Par.'!DA608" display="'CM Rec Par.'!DA608" xr:uid="{550FD471-1C1B-4D5E-9D6E-994745D17A58}"/>
    <hyperlink ref="DA2012" location="'CM Rec Par.'!DA708" display="'CM Rec Par.'!DA708" xr:uid="{2CCCC70D-66A7-42FD-9A1D-EB1D631C65CE}"/>
    <hyperlink ref="DA2013" location="'CM Rec Par.'!DA808" display="'CM Rec Par.'!DA808" xr:uid="{64D90C2E-AC33-499B-80F1-FC4D65A644A3}"/>
    <hyperlink ref="DA2014" location="'CM Rec Par.'!DA908" display="'CM Rec Par.'!DA908" xr:uid="{BF45F551-62D3-416D-B92F-AD81AB9F6F47}"/>
    <hyperlink ref="DA2015" location="'CM Rec Par.'!DA1008" display="'CM Rec Par.'!DA1008" xr:uid="{B94AC46D-8B34-4E0C-9EF7-50F643CD9529}"/>
    <hyperlink ref="DA2016" location="'CM Rec Par.'!DA1108" display="'CM Rec Par.'!DA1108" xr:uid="{21AA828C-DEA5-481F-95ED-DF2F1F560D42}"/>
    <hyperlink ref="DA2017" location="'CM Rec Par.'!DA1208" display="'CM Rec Par.'!DA1208" xr:uid="{D146ACF6-1580-4B6A-BF55-2B6367DA954D}"/>
    <hyperlink ref="DA2018" location="'CM Rec Par.'!DA1308" display="'CM Rec Par.'!DA1308" xr:uid="{28502B29-B532-48EE-8020-BEB095C94BEA}"/>
    <hyperlink ref="DA2019" location="'CM Rec Par.'!DA1408" display="'CM Rec Par.'!DA1408" xr:uid="{3051CEF9-9A67-4491-B59C-435B1C0020D0}"/>
    <hyperlink ref="DA2020" location="'CM Rec Par.'!DA1508" display="'CM Rec Par.'!DA1508" xr:uid="{F7B28159-0012-443F-B499-534FB837BAE8}"/>
    <hyperlink ref="DA2021" location="'CM Rec Par.'!DA1608" display="'CM Rec Par.'!DA1608" xr:uid="{87262CF8-EE93-4905-98AE-A09D4C00C787}"/>
    <hyperlink ref="DA2022" location="'CM Rec Par.'!DA1708" display="'CM Rec Par.'!DA1708" xr:uid="{3947A262-63D7-44C3-988F-8E57B0C6B6CC}"/>
    <hyperlink ref="DA2023" location="'CM Rec Par.'!DA1808" display="'CM Rec Par.'!DA1808" xr:uid="{9D235893-4130-4B3F-8E00-F77E9CF073BF}"/>
    <hyperlink ref="DA2024" location="'CM Rec Par.'!DA1908" display="'CM Rec Par.'!DA1908" xr:uid="{A6708DE1-72C8-4AE2-BA23-205F23271B50}"/>
    <hyperlink ref="DA2025" location="'CM Rec Par.'!DA2008" display="'CM Rec Par.'!DA2008" xr:uid="{B536C629-6890-465D-B33C-52A765A8A38B}"/>
    <hyperlink ref="DA2026" location="'CM Rec Par.'!DA2108" display="'CM Rec Par.'!DA2108" xr:uid="{2A047EB1-26E1-4635-B0CD-D8FBC32E44D1}"/>
    <hyperlink ref="DA2027" location="'CM Rec Par.'!DA2208" display="'CM Rec Par.'!DA2208" xr:uid="{09C96E2E-05BE-47AC-B0B5-0DD9F114FC79}"/>
    <hyperlink ref="DA2028" location="'CM Rec Par.'!DA2308" display="'CM Rec Par.'!DA2308" xr:uid="{4AE51239-9865-4F69-983A-507A5ED6CA85}"/>
    <hyperlink ref="DA2029" location="'CM Rec Par.'!DA2408" display="'CM Rec Par.'!DA2408" xr:uid="{31A9163D-CBCB-496C-9801-C13E781B3ACD}"/>
    <hyperlink ref="DA2030" location="'CM Rec Par.'!DA2508" display="'CM Rec Par.'!DA2508" xr:uid="{2787164F-69A9-4621-B149-BDBD0BA55A17}"/>
    <hyperlink ref="DA2031" location="'CM Rec Par.'!DA2608" display="'CM Rec Par.'!DA2608" xr:uid="{763D6B5A-4EE7-4CAA-A861-AB0F92DB2E89}"/>
    <hyperlink ref="DA2032" location="'CM Rec Par.'!DA2708" display="'CM Rec Par.'!DA2708" xr:uid="{38AC7530-E36D-4E66-BBA6-5C1BC03F7EE9}"/>
    <hyperlink ref="DA2033" location="'CM Rec Par.'!DA2808" display="'CM Rec Par.'!DA2808" xr:uid="{636094D9-68AB-4E5A-94EF-A771C7DB37A7}"/>
    <hyperlink ref="DA2034" location="'CM Rec Par.'!DA2908" display="'CM Rec Par.'!DA2908" xr:uid="{9610258C-7CDD-4BC9-A1B0-3760B4F6F46C}"/>
    <hyperlink ref="DA2035" location="'CM Rec Par.'!DA3008" display="'CM Rec Par.'!DA3008" xr:uid="{C44D5C71-DCB2-4AE4-9D1F-65AC6850C941}"/>
    <hyperlink ref="DA2036" location="'CM Rec Par.'!DA3108" display="'CM Rec Par.'!DA3108" xr:uid="{1B5CD81E-FED8-44DC-8F94-9B1AA4752C90}"/>
    <hyperlink ref="DA2037" location="'CM Rec Par.'!DA3208" display="'CM Rec Par.'!DA3208" xr:uid="{9CBD607D-F52F-4F50-8DAE-0B9255131ED0}"/>
    <hyperlink ref="DA2038" location="'CM Rec Par.'!DA3308" display="'CM Rec Par.'!DA3308" xr:uid="{5F33AF7F-3898-4C7A-841A-E08D1325AE58}"/>
    <hyperlink ref="DA2039" location="'CM Rec Par.'!DA3408" display="'CM Rec Par.'!DA3408" xr:uid="{7FF07989-084D-4BD9-A64F-FC15AD82D1BE}"/>
    <hyperlink ref="DA2110" location="'CM Rec Par.'!DA508" display="'CM Rec Par.'!DA508" xr:uid="{A3B328FE-B8BD-474B-B77B-EF3C62D30ED8}"/>
    <hyperlink ref="DA2109" location="'CM Rec Par.'!DA50" display="Process" xr:uid="{2D5B30A9-A448-4813-8D0D-BB9F4F179EF6}"/>
    <hyperlink ref="DA2108" location="'CM Rec Par.'!DA6" display="Top" xr:uid="{957AF5DB-5CD3-43E0-8A3C-9EEAD097A985}"/>
    <hyperlink ref="DA2111" location="'CM Rec Par.'!DA608" display="'CM Rec Par.'!DA608" xr:uid="{124BB99F-2BE7-46CB-A2A0-FCC46765D5E0}"/>
    <hyperlink ref="DA2112" location="'CM Rec Par.'!DA708" display="'CM Rec Par.'!DA708" xr:uid="{9346B8C5-E21A-4057-A3DB-BEBFBFD8C610}"/>
    <hyperlink ref="DA2113" location="'CM Rec Par.'!DA808" display="'CM Rec Par.'!DA808" xr:uid="{45856EEE-3245-42E8-B3AF-B3232857E039}"/>
    <hyperlink ref="DA2114" location="'CM Rec Par.'!DA908" display="'CM Rec Par.'!DA908" xr:uid="{38F48E14-3EAC-452F-85D2-3B711DFD3629}"/>
    <hyperlink ref="DA2115" location="'CM Rec Par.'!DA1008" display="'CM Rec Par.'!DA1008" xr:uid="{1940B785-4DBD-4A36-B066-EC2A3A01405A}"/>
    <hyperlink ref="DA2116" location="'CM Rec Par.'!DA1108" display="'CM Rec Par.'!DA1108" xr:uid="{43027975-FD3E-4FEB-956C-BD0EDF9954B7}"/>
    <hyperlink ref="DA2117" location="'CM Rec Par.'!DA1208" display="'CM Rec Par.'!DA1208" xr:uid="{E9B9001B-F0BA-4E57-AA79-6A56BD32A58C}"/>
    <hyperlink ref="DA2118" location="'CM Rec Par.'!DA1308" display="'CM Rec Par.'!DA1308" xr:uid="{58C675A0-7A8C-4CF1-A79D-C191F1DE8B61}"/>
    <hyperlink ref="DA2119" location="'CM Rec Par.'!DA1408" display="'CM Rec Par.'!DA1408" xr:uid="{4B4C5DC9-A482-42A0-8D2A-1F127E68D884}"/>
    <hyperlink ref="DA2120" location="'CM Rec Par.'!DA1508" display="'CM Rec Par.'!DA1508" xr:uid="{D17E143B-66A1-4A7D-9634-5C6A4F9F46D1}"/>
    <hyperlink ref="DA2121" location="'CM Rec Par.'!DA1608" display="'CM Rec Par.'!DA1608" xr:uid="{B5AF6A30-7488-49B4-B87E-88A83B944568}"/>
    <hyperlink ref="DA2122" location="'CM Rec Par.'!DA1708" display="'CM Rec Par.'!DA1708" xr:uid="{8A8ACB28-FE39-4143-9718-9BFCB0353B92}"/>
    <hyperlink ref="DA2123" location="'CM Rec Par.'!DA1808" display="'CM Rec Par.'!DA1808" xr:uid="{D76E8414-79DD-435E-8876-CBFD33C8E5EA}"/>
    <hyperlink ref="DA2124" location="'CM Rec Par.'!DA1908" display="'CM Rec Par.'!DA1908" xr:uid="{A83D5A6A-1222-412F-8DBA-E5B0636D987E}"/>
    <hyperlink ref="DA2125" location="'CM Rec Par.'!DA2008" display="'CM Rec Par.'!DA2008" xr:uid="{92B7A340-1610-4C61-8018-B197425A40CD}"/>
    <hyperlink ref="DA2126" location="'CM Rec Par.'!DA2108" display="'CM Rec Par.'!DA2108" xr:uid="{DA30BBCE-E37A-49BA-B688-BFEC239310C2}"/>
    <hyperlink ref="DA2127" location="'CM Rec Par.'!DA2208" display="'CM Rec Par.'!DA2208" xr:uid="{FA8C2312-02A7-4ED7-99FD-A2290E1A8B39}"/>
    <hyperlink ref="DA2128" location="'CM Rec Par.'!DA2308" display="'CM Rec Par.'!DA2308" xr:uid="{202F42E2-8008-4C67-BE9F-077107296DC0}"/>
    <hyperlink ref="DA2129" location="'CM Rec Par.'!DA2408" display="'CM Rec Par.'!DA2408" xr:uid="{16FF96A4-9BC9-4E9D-98AB-3B6DF9DF4FE2}"/>
    <hyperlink ref="DA2130" location="'CM Rec Par.'!DA2508" display="'CM Rec Par.'!DA2508" xr:uid="{611DEE93-7D2A-4B65-89CB-CBF70A3814A7}"/>
    <hyperlink ref="DA2131" location="'CM Rec Par.'!DA2608" display="'CM Rec Par.'!DA2608" xr:uid="{4677E6BA-6EBE-4C9B-9E8F-2F1B30F3B46F}"/>
    <hyperlink ref="DA2132" location="'CM Rec Par.'!DA2708" display="'CM Rec Par.'!DA2708" xr:uid="{7CD87D51-773F-41A2-9ABF-0F99F10F8853}"/>
    <hyperlink ref="DA2133" location="'CM Rec Par.'!DA2808" display="'CM Rec Par.'!DA2808" xr:uid="{2401D374-E05A-49B7-983F-90E00D73C20F}"/>
    <hyperlink ref="DA2134" location="'CM Rec Par.'!DA2908" display="'CM Rec Par.'!DA2908" xr:uid="{D3C9C2E6-7683-447D-A5D7-F5B22D37325F}"/>
    <hyperlink ref="DA2135" location="'CM Rec Par.'!DA3008" display="'CM Rec Par.'!DA3008" xr:uid="{051277BD-B07C-4134-8A08-AB5294C13E47}"/>
    <hyperlink ref="DA2136" location="'CM Rec Par.'!DA3108" display="'CM Rec Par.'!DA3108" xr:uid="{FC818A4D-E068-43A0-B042-FC57F0D15068}"/>
    <hyperlink ref="DA2137" location="'CM Rec Par.'!DA3208" display="'CM Rec Par.'!DA3208" xr:uid="{F330A103-C0F1-457A-B57C-CEF1EB4F17FC}"/>
    <hyperlink ref="DA2138" location="'CM Rec Par.'!DA3308" display="'CM Rec Par.'!DA3308" xr:uid="{78F6051D-CCC3-4C4C-8A69-9FE6130F94EC}"/>
    <hyperlink ref="DA2139" location="'CM Rec Par.'!DA3408" display="'CM Rec Par.'!DA3408" xr:uid="{ADD75194-876E-4C56-969F-B29CD6CE68AE}"/>
    <hyperlink ref="DA2210" location="'CM Rec Par.'!DA508" display="'CM Rec Par.'!DA508" xr:uid="{86C65B2B-B6BC-4BC5-961E-DF609FC5A4AD}"/>
    <hyperlink ref="DA2209" location="'CM Rec Par.'!DA50" display="Process" xr:uid="{F310C08A-C7A8-4910-8076-F87FFE26E4C2}"/>
    <hyperlink ref="DA2208" location="'CM Rec Par.'!DA6" display="Top" xr:uid="{647B44B8-FCA0-4AA8-BC56-100969B4716D}"/>
    <hyperlink ref="DA2211" location="'CM Rec Par.'!DA608" display="'CM Rec Par.'!DA608" xr:uid="{A18FC108-A7EE-46CA-BADF-6AC252CA4818}"/>
    <hyperlink ref="DA2212" location="'CM Rec Par.'!DA708" display="'CM Rec Par.'!DA708" xr:uid="{507DB696-D678-4B1A-87FB-F5BE4B08F7FF}"/>
    <hyperlink ref="DA2213" location="'CM Rec Par.'!DA808" display="'CM Rec Par.'!DA808" xr:uid="{0FBF22D5-AFC7-4840-857E-0C2006E8D09C}"/>
    <hyperlink ref="DA2214" location="'CM Rec Par.'!DA908" display="'CM Rec Par.'!DA908" xr:uid="{44A2A138-D136-4DA5-B0DA-3B67A797D340}"/>
    <hyperlink ref="DA2215" location="'CM Rec Par.'!DA1008" display="'CM Rec Par.'!DA1008" xr:uid="{58F6073F-B856-4789-9D81-D9343613CC19}"/>
    <hyperlink ref="DA2216" location="'CM Rec Par.'!DA1108" display="'CM Rec Par.'!DA1108" xr:uid="{57EBD61F-EB61-4DD2-80ED-720D344B3C85}"/>
    <hyperlink ref="DA2217" location="'CM Rec Par.'!DA1208" display="'CM Rec Par.'!DA1208" xr:uid="{7044159D-A062-46B5-8F14-CDC70D7519D9}"/>
    <hyperlink ref="DA2218" location="'CM Rec Par.'!DA1308" display="'CM Rec Par.'!DA1308" xr:uid="{F3F67072-CB4B-45BB-B1DB-A4E5618E0C3A}"/>
    <hyperlink ref="DA2219" location="'CM Rec Par.'!DA1408" display="'CM Rec Par.'!DA1408" xr:uid="{38B53333-0C61-4E32-A535-D8198E14F87B}"/>
    <hyperlink ref="DA2220" location="'CM Rec Par.'!DA1508" display="'CM Rec Par.'!DA1508" xr:uid="{4E3D374D-755A-417E-8C1A-DB4E5C9D5FEA}"/>
    <hyperlink ref="DA2221" location="'CM Rec Par.'!DA1608" display="'CM Rec Par.'!DA1608" xr:uid="{F80DAC57-9D17-4ADB-BD43-D377E2BCD9E2}"/>
    <hyperlink ref="DA2222" location="'CM Rec Par.'!DA1708" display="'CM Rec Par.'!DA1708" xr:uid="{560B897B-192A-49D3-9869-18B1747413BB}"/>
    <hyperlink ref="DA2223" location="'CM Rec Par.'!DA1808" display="'CM Rec Par.'!DA1808" xr:uid="{2ED5F778-DEBD-43C9-8258-05843EBD45EA}"/>
    <hyperlink ref="DA2224" location="'CM Rec Par.'!DA1908" display="'CM Rec Par.'!DA1908" xr:uid="{430D2E35-E4D6-4E05-9D95-38FC38FA5840}"/>
    <hyperlink ref="DA2225" location="'CM Rec Par.'!DA2008" display="'CM Rec Par.'!DA2008" xr:uid="{5AE4E323-FE13-4757-A655-29DB8699FFE5}"/>
    <hyperlink ref="DA2226" location="'CM Rec Par.'!DA2108" display="'CM Rec Par.'!DA2108" xr:uid="{FBFFFF79-D51A-4C46-BD2C-1EB21912B81D}"/>
    <hyperlink ref="DA2227" location="'CM Rec Par.'!DA2208" display="'CM Rec Par.'!DA2208" xr:uid="{14B0AF70-2385-4895-800D-C7358476A49D}"/>
    <hyperlink ref="DA2228" location="'CM Rec Par.'!DA2308" display="'CM Rec Par.'!DA2308" xr:uid="{6A014238-F990-429B-ACB8-C09D188B45EF}"/>
    <hyperlink ref="DA2229" location="'CM Rec Par.'!DA2408" display="'CM Rec Par.'!DA2408" xr:uid="{7DA93310-02EF-4851-9368-CF5DFBB82723}"/>
    <hyperlink ref="DA2230" location="'CM Rec Par.'!DA2508" display="'CM Rec Par.'!DA2508" xr:uid="{CFB424A9-96BF-4DF8-8F4F-4449F68BBB0A}"/>
    <hyperlink ref="DA2231" location="'CM Rec Par.'!DA2608" display="'CM Rec Par.'!DA2608" xr:uid="{6D86F081-9858-4762-A283-9A220B54FB30}"/>
    <hyperlink ref="DA2232" location="'CM Rec Par.'!DA2708" display="'CM Rec Par.'!DA2708" xr:uid="{92728A09-28DA-4266-9A79-50B53CC8E548}"/>
    <hyperlink ref="DA2233" location="'CM Rec Par.'!DA2808" display="'CM Rec Par.'!DA2808" xr:uid="{D618364E-A220-483D-AAEB-2FBC85EC6163}"/>
    <hyperlink ref="DA2234" location="'CM Rec Par.'!DA2908" display="'CM Rec Par.'!DA2908" xr:uid="{473132EA-60DF-42B1-84AF-78600364BD47}"/>
    <hyperlink ref="DA2235" location="'CM Rec Par.'!DA3008" display="'CM Rec Par.'!DA3008" xr:uid="{93A7BE55-0540-4426-B5D9-DE09DFE0F9AE}"/>
    <hyperlink ref="DA2236" location="'CM Rec Par.'!DA3108" display="'CM Rec Par.'!DA3108" xr:uid="{58D88870-561B-442E-9006-80B5507EC2A9}"/>
    <hyperlink ref="DA2237" location="'CM Rec Par.'!DA3208" display="'CM Rec Par.'!DA3208" xr:uid="{67AEA847-0E2A-47D5-8F6D-0CFA31C8D62A}"/>
    <hyperlink ref="DA2238" location="'CM Rec Par.'!DA3308" display="'CM Rec Par.'!DA3308" xr:uid="{E56F39A1-801A-4E52-B937-172C680608E4}"/>
    <hyperlink ref="DA2239" location="'CM Rec Par.'!DA3408" display="'CM Rec Par.'!DA3408" xr:uid="{D6965C17-818A-449B-9957-953B7D0BBA6B}"/>
    <hyperlink ref="DA2310" location="'CM Rec Par.'!DA508" display="'CM Rec Par.'!DA508" xr:uid="{08F1F5F9-CDBE-450A-9E72-8B6EDC982C8D}"/>
    <hyperlink ref="DA2309" location="'CM Rec Par.'!DA50" display="Process" xr:uid="{0E259DC7-972B-4998-94BF-E7D4A4139EC7}"/>
    <hyperlink ref="DA2308" location="'CM Rec Par.'!DA6" display="Top" xr:uid="{9741833D-57EE-429A-B43B-83029F4AADC5}"/>
    <hyperlink ref="DA2311" location="'CM Rec Par.'!DA608" display="'CM Rec Par.'!DA608" xr:uid="{49C8CCCA-7659-4D20-837A-B39D7FE3E528}"/>
    <hyperlink ref="DA2312" location="'CM Rec Par.'!DA708" display="'CM Rec Par.'!DA708" xr:uid="{2AFCD50F-D9DF-445B-998E-E2352F680EB7}"/>
    <hyperlink ref="DA2313" location="'CM Rec Par.'!DA808" display="'CM Rec Par.'!DA808" xr:uid="{D1C68DC2-740A-447D-A41D-3F0CDDD3C12C}"/>
    <hyperlink ref="DA2314" location="'CM Rec Par.'!DA908" display="'CM Rec Par.'!DA908" xr:uid="{52E154C1-984C-461E-B4B6-DC838B929ABE}"/>
    <hyperlink ref="DA2315" location="'CM Rec Par.'!DA1008" display="'CM Rec Par.'!DA1008" xr:uid="{8C6CE6E6-A09A-4B96-BF07-EDBC29707D1A}"/>
    <hyperlink ref="DA2316" location="'CM Rec Par.'!DA1108" display="'CM Rec Par.'!DA1108" xr:uid="{68E9B028-407B-4C3B-9D94-5CDFAD112E1D}"/>
    <hyperlink ref="DA2317" location="'CM Rec Par.'!DA1208" display="'CM Rec Par.'!DA1208" xr:uid="{02730598-CB60-4F9C-BC8A-86FF49A177B2}"/>
    <hyperlink ref="DA2318" location="'CM Rec Par.'!DA1308" display="'CM Rec Par.'!DA1308" xr:uid="{B16D5AE9-7520-4084-BA13-6EC1FD5CA0F0}"/>
    <hyperlink ref="DA2319" location="'CM Rec Par.'!DA1408" display="'CM Rec Par.'!DA1408" xr:uid="{6DB72EF0-046C-4288-99D5-597557800F82}"/>
    <hyperlink ref="DA2320" location="'CM Rec Par.'!DA1508" display="'CM Rec Par.'!DA1508" xr:uid="{B84A9147-39C0-41BB-987A-326CDC20C356}"/>
    <hyperlink ref="DA2321" location="'CM Rec Par.'!DA1608" display="'CM Rec Par.'!DA1608" xr:uid="{69F815EF-A3AE-4043-8537-A68A99082064}"/>
    <hyperlink ref="DA2322" location="'CM Rec Par.'!DA1708" display="'CM Rec Par.'!DA1708" xr:uid="{7528124D-F2E6-4576-8113-C1D65FFEEC00}"/>
    <hyperlink ref="DA2323" location="'CM Rec Par.'!DA1808" display="'CM Rec Par.'!DA1808" xr:uid="{1B2EE741-39B5-42EC-B520-83499AC1C239}"/>
    <hyperlink ref="DA2324" location="'CM Rec Par.'!DA1908" display="'CM Rec Par.'!DA1908" xr:uid="{78B1BD88-D5FD-448D-80C6-1DD650E610E3}"/>
    <hyperlink ref="DA2325" location="'CM Rec Par.'!DA2008" display="'CM Rec Par.'!DA2008" xr:uid="{4DBEF1B5-F58A-4CE6-B781-6985F1F6F650}"/>
    <hyperlink ref="DA2326" location="'CM Rec Par.'!DA2108" display="'CM Rec Par.'!DA2108" xr:uid="{2E28C446-0431-4683-BDDE-254576AD24D1}"/>
    <hyperlink ref="DA2327" location="'CM Rec Par.'!DA2208" display="'CM Rec Par.'!DA2208" xr:uid="{EB94DD00-54FC-4FD8-B571-AE882BD8AC30}"/>
    <hyperlink ref="DA2328" location="'CM Rec Par.'!DA2308" display="'CM Rec Par.'!DA2308" xr:uid="{4D171E34-08DD-4C07-9FAC-718FFAC48A94}"/>
    <hyperlink ref="DA2329" location="'CM Rec Par.'!DA2408" display="'CM Rec Par.'!DA2408" xr:uid="{122CDB3B-EAD9-4CAE-B83D-30E856244D23}"/>
    <hyperlink ref="DA2330" location="'CM Rec Par.'!DA2508" display="'CM Rec Par.'!DA2508" xr:uid="{5E1118D1-2378-43C7-9234-F91EF2EED9BB}"/>
    <hyperlink ref="DA2331" location="'CM Rec Par.'!DA2608" display="'CM Rec Par.'!DA2608" xr:uid="{EC9F09FC-9158-4186-A176-8BB637449A6C}"/>
    <hyperlink ref="DA2332" location="'CM Rec Par.'!DA2708" display="'CM Rec Par.'!DA2708" xr:uid="{48818344-D0A5-45AC-9AE1-8BD5F336C108}"/>
    <hyperlink ref="DA2333" location="'CM Rec Par.'!DA2808" display="'CM Rec Par.'!DA2808" xr:uid="{220D2566-0DDB-41FF-982A-FCC58927A889}"/>
    <hyperlink ref="DA2334" location="'CM Rec Par.'!DA2908" display="'CM Rec Par.'!DA2908" xr:uid="{34568DB8-E88E-4B20-95AF-C8C516A12454}"/>
    <hyperlink ref="DA2335" location="'CM Rec Par.'!DA3008" display="'CM Rec Par.'!DA3008" xr:uid="{6DE8A291-E236-44DA-A02B-DAC24551CFC9}"/>
    <hyperlink ref="DA2336" location="'CM Rec Par.'!DA3108" display="'CM Rec Par.'!DA3108" xr:uid="{096DB011-5260-4B68-B4A8-A506BDBE4353}"/>
    <hyperlink ref="DA2337" location="'CM Rec Par.'!DA3208" display="'CM Rec Par.'!DA3208" xr:uid="{AC0DEEC8-823D-49ED-81E9-C25A8F73DA71}"/>
    <hyperlink ref="DA2338" location="'CM Rec Par.'!DA3308" display="'CM Rec Par.'!DA3308" xr:uid="{BBEF4889-599B-4444-9890-D674B3F081D6}"/>
    <hyperlink ref="DA2339" location="'CM Rec Par.'!DA3408" display="'CM Rec Par.'!DA3408" xr:uid="{405711FE-A66F-45BD-841E-6115E9F84D79}"/>
    <hyperlink ref="DA2410" location="'CM Rec Par.'!DA508" display="'CM Rec Par.'!DA508" xr:uid="{345DCBC9-C842-4EF8-B474-A54096B2277A}"/>
    <hyperlink ref="DA2409" location="'CM Rec Par.'!DA50" display="Process" xr:uid="{3EF2C124-E1F3-444D-B40A-96648E93F12F}"/>
    <hyperlink ref="DA2408" location="'CM Rec Par.'!DA6" display="Top" xr:uid="{2132838E-A6C8-47CB-9B4E-C4539E0B40FC}"/>
    <hyperlink ref="DA2411" location="'CM Rec Par.'!DA608" display="'CM Rec Par.'!DA608" xr:uid="{6D22A1FF-A7CF-4E95-B525-D4BB1E2D99A1}"/>
    <hyperlink ref="DA2412" location="'CM Rec Par.'!DA708" display="'CM Rec Par.'!DA708" xr:uid="{E6E9534F-137F-4BC7-98F5-7FCBA594BA82}"/>
    <hyperlink ref="DA2413" location="'CM Rec Par.'!DA808" display="'CM Rec Par.'!DA808" xr:uid="{E8F72F5E-A10E-4983-B817-4A348794E7FE}"/>
    <hyperlink ref="DA2414" location="'CM Rec Par.'!DA908" display="'CM Rec Par.'!DA908" xr:uid="{3B7C302E-8D13-47D5-B676-F5A734CEC784}"/>
    <hyperlink ref="DA2415" location="'CM Rec Par.'!DA1008" display="'CM Rec Par.'!DA1008" xr:uid="{4B88C84C-3E2C-49BE-A7F9-3C19F510BACC}"/>
    <hyperlink ref="DA2416" location="'CM Rec Par.'!DA1108" display="'CM Rec Par.'!DA1108" xr:uid="{247A0313-16D9-48F8-BB7F-E50ACB873BB7}"/>
    <hyperlink ref="DA2417" location="'CM Rec Par.'!DA1208" display="'CM Rec Par.'!DA1208" xr:uid="{D201A2C3-9FD8-4435-8EB6-0FDF122ECF14}"/>
    <hyperlink ref="DA2418" location="'CM Rec Par.'!DA1308" display="'CM Rec Par.'!DA1308" xr:uid="{7F8C83D0-0C45-4155-A6DC-4DDB4FBA5D5F}"/>
    <hyperlink ref="DA2419" location="'CM Rec Par.'!DA1408" display="'CM Rec Par.'!DA1408" xr:uid="{0CE0CA8B-60DD-4DCB-AEF0-39592713ACD8}"/>
    <hyperlink ref="DA2420" location="'CM Rec Par.'!DA1508" display="'CM Rec Par.'!DA1508" xr:uid="{2485D360-80BC-43E9-B274-556D606903DD}"/>
    <hyperlink ref="DA2421" location="'CM Rec Par.'!DA1608" display="'CM Rec Par.'!DA1608" xr:uid="{520E9B26-5A4C-4EF6-B5AB-8D7D844A8DDC}"/>
    <hyperlink ref="DA2422" location="'CM Rec Par.'!DA1708" display="'CM Rec Par.'!DA1708" xr:uid="{07A16730-57C3-491B-AEB3-E77F80A1BAAA}"/>
    <hyperlink ref="DA2423" location="'CM Rec Par.'!DA1808" display="'CM Rec Par.'!DA1808" xr:uid="{E630CB59-DED7-42BA-801C-E56C286F8AC8}"/>
    <hyperlink ref="DA2424" location="'CM Rec Par.'!DA1908" display="'CM Rec Par.'!DA1908" xr:uid="{09627D37-A9CD-4852-B622-9C854EB4F804}"/>
    <hyperlink ref="DA2425" location="'CM Rec Par.'!DA2008" display="'CM Rec Par.'!DA2008" xr:uid="{31E562C1-AC28-42F2-8AE3-FAFC71708674}"/>
    <hyperlink ref="DA2426" location="'CM Rec Par.'!DA2108" display="'CM Rec Par.'!DA2108" xr:uid="{6BB292E8-F503-4791-8CCE-C8CFEE63F2CC}"/>
    <hyperlink ref="DA2427" location="'CM Rec Par.'!DA2208" display="'CM Rec Par.'!DA2208" xr:uid="{39DECA1E-6C59-44C7-824B-BFB6D9112F44}"/>
    <hyperlink ref="DA2428" location="'CM Rec Par.'!DA2308" display="'CM Rec Par.'!DA2308" xr:uid="{AEA82B4F-668B-4967-B599-E131D84D4D37}"/>
    <hyperlink ref="DA2429" location="'CM Rec Par.'!DA2408" display="'CM Rec Par.'!DA2408" xr:uid="{5ABBFA7B-2F69-4506-AD86-783D08FA3D3E}"/>
    <hyperlink ref="DA2430" location="'CM Rec Par.'!DA2508" display="'CM Rec Par.'!DA2508" xr:uid="{C6368B18-CFB4-4EFC-B7C2-FF17EC93240F}"/>
    <hyperlink ref="DA2431" location="'CM Rec Par.'!DA2608" display="'CM Rec Par.'!DA2608" xr:uid="{00ED3B03-92BC-4755-A1AA-55F82B12CE59}"/>
    <hyperlink ref="DA2432" location="'CM Rec Par.'!DA2708" display="'CM Rec Par.'!DA2708" xr:uid="{7A83C946-0C5C-4670-8024-813E6D0A7082}"/>
    <hyperlink ref="DA2433" location="'CM Rec Par.'!DA2808" display="'CM Rec Par.'!DA2808" xr:uid="{2FB3FBA8-57F0-495F-B8EB-95EC54824518}"/>
    <hyperlink ref="DA2434" location="'CM Rec Par.'!DA2908" display="'CM Rec Par.'!DA2908" xr:uid="{66AF94E5-64ED-4453-ACB9-5865108E8A5F}"/>
    <hyperlink ref="DA2435" location="'CM Rec Par.'!DA3008" display="'CM Rec Par.'!DA3008" xr:uid="{32B4D454-2224-462E-AFCB-51CC6CD4F7BA}"/>
    <hyperlink ref="DA2436" location="'CM Rec Par.'!DA3108" display="'CM Rec Par.'!DA3108" xr:uid="{05EEC700-FCE4-45D1-B943-7A275F949202}"/>
    <hyperlink ref="DA2437" location="'CM Rec Par.'!DA3208" display="'CM Rec Par.'!DA3208" xr:uid="{40370346-B0FC-4E95-9620-91F82CECFE00}"/>
    <hyperlink ref="DA2438" location="'CM Rec Par.'!DA3308" display="'CM Rec Par.'!DA3308" xr:uid="{DA3F7D87-6D46-435F-AC54-58B2AE6E1F9E}"/>
    <hyperlink ref="DA2439" location="'CM Rec Par.'!DA3408" display="'CM Rec Par.'!DA3408" xr:uid="{6E1905BD-DE37-49F9-B270-56EC826709E5}"/>
    <hyperlink ref="DA2510" location="'CM Rec Par.'!DA508" display="'CM Rec Par.'!DA508" xr:uid="{A4AF774A-6122-4312-9735-D83E341DA2A0}"/>
    <hyperlink ref="DA2509" location="'CM Rec Par.'!DA50" display="Process" xr:uid="{30D0440D-A2C4-41F6-B6AA-650CBF8B2146}"/>
    <hyperlink ref="DA2508" location="'CM Rec Par.'!DA6" display="Top" xr:uid="{FCB58A92-E89B-4A77-B6EA-FC9CAC3BFF34}"/>
    <hyperlink ref="DA2511" location="'CM Rec Par.'!DA608" display="'CM Rec Par.'!DA608" xr:uid="{E639AD9F-8200-4513-A783-0D220052FCA9}"/>
    <hyperlink ref="DA2512" location="'CM Rec Par.'!DA708" display="'CM Rec Par.'!DA708" xr:uid="{F4A8B0C6-4847-437E-99DE-8AD00EB09BA6}"/>
    <hyperlink ref="DA2513" location="'CM Rec Par.'!DA808" display="'CM Rec Par.'!DA808" xr:uid="{32D37A89-8910-44E5-88B6-A5D0AD0274AA}"/>
    <hyperlink ref="DA2514" location="'CM Rec Par.'!DA908" display="'CM Rec Par.'!DA908" xr:uid="{EE91FB18-0CE3-437A-BAA8-DD3C71C2F4D4}"/>
    <hyperlink ref="DA2515" location="'CM Rec Par.'!DA1008" display="'CM Rec Par.'!DA1008" xr:uid="{CEA39057-347F-482B-9307-FDE3D38558EF}"/>
    <hyperlink ref="DA2516" location="'CM Rec Par.'!DA1108" display="'CM Rec Par.'!DA1108" xr:uid="{DC7187C0-D314-4E01-87B4-DCA9DB76C3E4}"/>
    <hyperlink ref="DA2517" location="'CM Rec Par.'!DA1208" display="'CM Rec Par.'!DA1208" xr:uid="{F3EF7618-CEF6-4B15-987D-1519DE550B70}"/>
    <hyperlink ref="DA2518" location="'CM Rec Par.'!DA1308" display="'CM Rec Par.'!DA1308" xr:uid="{1C888786-B1A0-4B8E-B76F-D5257898A78F}"/>
    <hyperlink ref="DA2519" location="'CM Rec Par.'!DA1408" display="'CM Rec Par.'!DA1408" xr:uid="{9AF2F958-2E36-43E7-8CFC-0F57C27213DD}"/>
    <hyperlink ref="DA2520" location="'CM Rec Par.'!DA1508" display="'CM Rec Par.'!DA1508" xr:uid="{ADE29D74-B266-44E8-85E1-D1A67C531BF6}"/>
    <hyperlink ref="DA2521" location="'CM Rec Par.'!DA1608" display="'CM Rec Par.'!DA1608" xr:uid="{92A91DCE-0597-4100-BA69-81B5B9F4A53B}"/>
    <hyperlink ref="DA2522" location="'CM Rec Par.'!DA1708" display="'CM Rec Par.'!DA1708" xr:uid="{90223D03-3CEC-48FC-963D-9DF0D95448A4}"/>
    <hyperlink ref="DA2523" location="'CM Rec Par.'!DA1808" display="'CM Rec Par.'!DA1808" xr:uid="{D9DC6B7F-42CE-4FDB-A419-A4DC527206C2}"/>
    <hyperlink ref="DA2524" location="'CM Rec Par.'!DA1908" display="'CM Rec Par.'!DA1908" xr:uid="{FB53C2BB-BBB6-403E-AE72-3E206B11F648}"/>
    <hyperlink ref="DA2525" location="'CM Rec Par.'!DA2008" display="'CM Rec Par.'!DA2008" xr:uid="{E3FA2399-83FC-4EB8-A086-134FF87FC58F}"/>
    <hyperlink ref="DA2526" location="'CM Rec Par.'!DA2108" display="'CM Rec Par.'!DA2108" xr:uid="{2E6FED9C-80E2-43AD-8D25-E88C48C2C316}"/>
    <hyperlink ref="DA2527" location="'CM Rec Par.'!DA2208" display="'CM Rec Par.'!DA2208" xr:uid="{6676991D-2294-49FC-BD44-E6A81C4C2146}"/>
    <hyperlink ref="DA2528" location="'CM Rec Par.'!DA2308" display="'CM Rec Par.'!DA2308" xr:uid="{EBDDE92C-80EB-42BA-B6AD-07D34D5C2603}"/>
    <hyperlink ref="DA2529" location="'CM Rec Par.'!DA2408" display="'CM Rec Par.'!DA2408" xr:uid="{6E553556-1F70-49E9-ABCF-8ABD59FE8107}"/>
    <hyperlink ref="DA2530" location="'CM Rec Par.'!DA2508" display="'CM Rec Par.'!DA2508" xr:uid="{9E4E65AA-F3AD-4696-B88E-7E5B51110122}"/>
    <hyperlink ref="DA2531" location="'CM Rec Par.'!DA2608" display="'CM Rec Par.'!DA2608" xr:uid="{3019C1EA-522D-4513-92BB-906CFF9E39A1}"/>
    <hyperlink ref="DA2532" location="'CM Rec Par.'!DA2708" display="'CM Rec Par.'!DA2708" xr:uid="{B14C22BC-393D-4DE8-8FED-02D804056C10}"/>
    <hyperlink ref="DA2533" location="'CM Rec Par.'!DA2808" display="'CM Rec Par.'!DA2808" xr:uid="{5C63E63E-1059-44F9-9D6D-15FA4529C77A}"/>
    <hyperlink ref="DA2534" location="'CM Rec Par.'!DA2908" display="'CM Rec Par.'!DA2908" xr:uid="{1C33EC60-D9B3-4825-BC98-002CC289BC90}"/>
    <hyperlink ref="DA2535" location="'CM Rec Par.'!DA3008" display="'CM Rec Par.'!DA3008" xr:uid="{66F0B6FF-6852-4A65-9B6C-607CA0E583D3}"/>
    <hyperlink ref="DA2536" location="'CM Rec Par.'!DA3108" display="'CM Rec Par.'!DA3108" xr:uid="{DB970682-5F30-47DA-AC28-6CF90891C865}"/>
    <hyperlink ref="DA2537" location="'CM Rec Par.'!DA3208" display="'CM Rec Par.'!DA3208" xr:uid="{13FA2A77-A68D-469D-A521-C31D7E05A89F}"/>
    <hyperlink ref="DA2538" location="'CM Rec Par.'!DA3308" display="'CM Rec Par.'!DA3308" xr:uid="{132B2431-0936-4347-8351-5131229232C9}"/>
    <hyperlink ref="DA2539" location="'CM Rec Par.'!DA3408" display="'CM Rec Par.'!DA3408" xr:uid="{DE0A3407-B278-4230-B977-83AD85EC1E41}"/>
    <hyperlink ref="DA2610" location="'CM Rec Par.'!DA508" display="'CM Rec Par.'!DA508" xr:uid="{484F6D59-30B2-4F2C-8F64-6EFF4086FC68}"/>
    <hyperlink ref="DA2609" location="'CM Rec Par.'!DA50" display="Process" xr:uid="{689FF88F-35A5-486C-BA37-511D79A630D3}"/>
    <hyperlink ref="DA2608" location="'CM Rec Par.'!DA6" display="Top" xr:uid="{AC02E2AE-ADC3-4C19-ABB9-1366FEB58315}"/>
    <hyperlink ref="DA2611" location="'CM Rec Par.'!DA608" display="'CM Rec Par.'!DA608" xr:uid="{79711F6C-0F78-4983-A14D-7C75E5E938A4}"/>
    <hyperlink ref="DA2612" location="'CM Rec Par.'!DA708" display="'CM Rec Par.'!DA708" xr:uid="{669AA2D2-785A-4C15-9539-9FCA7FA08983}"/>
    <hyperlink ref="DA2613" location="'CM Rec Par.'!DA808" display="'CM Rec Par.'!DA808" xr:uid="{7A138409-5A02-48A4-91F5-89FB01D7FB89}"/>
    <hyperlink ref="DA2614" location="'CM Rec Par.'!DA908" display="'CM Rec Par.'!DA908" xr:uid="{9CAE72E8-18D9-4295-A77C-543711EE7E77}"/>
    <hyperlink ref="DA2615" location="'CM Rec Par.'!DA1008" display="'CM Rec Par.'!DA1008" xr:uid="{CE94EE52-F2A0-41A7-8DB9-0ED885FCE46C}"/>
    <hyperlink ref="DA2616" location="'CM Rec Par.'!DA1108" display="'CM Rec Par.'!DA1108" xr:uid="{76ABEB04-3337-486D-805E-FA985043ECD9}"/>
    <hyperlink ref="DA2617" location="'CM Rec Par.'!DA1208" display="'CM Rec Par.'!DA1208" xr:uid="{521012BF-71B7-4C9E-B3C0-148E88AF36C7}"/>
    <hyperlink ref="DA2618" location="'CM Rec Par.'!DA1308" display="'CM Rec Par.'!DA1308" xr:uid="{BBAD9728-E05B-4517-B264-7A7A24F4A998}"/>
    <hyperlink ref="DA2619" location="'CM Rec Par.'!DA1408" display="'CM Rec Par.'!DA1408" xr:uid="{C411D071-856F-4AAD-B3A9-0E507A69B3B7}"/>
    <hyperlink ref="DA2620" location="'CM Rec Par.'!DA1508" display="'CM Rec Par.'!DA1508" xr:uid="{FDDCB27E-FEB7-498A-83AD-41076BD2C78D}"/>
    <hyperlink ref="DA2621" location="'CM Rec Par.'!DA1608" display="'CM Rec Par.'!DA1608" xr:uid="{36DBA572-1122-4A4C-A467-35A864290900}"/>
    <hyperlink ref="DA2622" location="'CM Rec Par.'!DA1708" display="'CM Rec Par.'!DA1708" xr:uid="{CA2B0BF9-AEB4-4C6D-8DFA-F0874541BBAC}"/>
    <hyperlink ref="DA2623" location="'CM Rec Par.'!DA1808" display="'CM Rec Par.'!DA1808" xr:uid="{3A6BFAA0-5745-4F79-8FB1-73C7606E15D4}"/>
    <hyperlink ref="DA2624" location="'CM Rec Par.'!DA1908" display="'CM Rec Par.'!DA1908" xr:uid="{15853E49-A3E1-4DA3-965D-24B88D07C4B1}"/>
    <hyperlink ref="DA2625" location="'CM Rec Par.'!DA2008" display="'CM Rec Par.'!DA2008" xr:uid="{358CD13B-B4E6-4A1D-977D-3836911FF97B}"/>
    <hyperlink ref="DA2626" location="'CM Rec Par.'!DA2108" display="'CM Rec Par.'!DA2108" xr:uid="{09939A5B-215E-4E43-B881-DB55823667FE}"/>
    <hyperlink ref="DA2627" location="'CM Rec Par.'!DA2208" display="'CM Rec Par.'!DA2208" xr:uid="{79B46071-8E89-4DD6-BC99-994C243AFFB3}"/>
    <hyperlink ref="DA2628" location="'CM Rec Par.'!DA2308" display="'CM Rec Par.'!DA2308" xr:uid="{AAA35C04-4AE4-4329-B422-71615DE3CA62}"/>
    <hyperlink ref="DA2629" location="'CM Rec Par.'!DA2408" display="'CM Rec Par.'!DA2408" xr:uid="{CEFC448D-05BC-4EC7-BBF4-158D576AD0D5}"/>
    <hyperlink ref="DA2630" location="'CM Rec Par.'!DA2508" display="'CM Rec Par.'!DA2508" xr:uid="{2F3C9594-2614-4454-A6FB-72AAA79E7267}"/>
    <hyperlink ref="DA2631" location="'CM Rec Par.'!DA2608" display="'CM Rec Par.'!DA2608" xr:uid="{DF7AB886-A47D-4614-B2B3-BD3D2DE96085}"/>
    <hyperlink ref="DA2632" location="'CM Rec Par.'!DA2708" display="'CM Rec Par.'!DA2708" xr:uid="{3B0B89EE-02DF-4FFC-9F7A-76DF078A76E0}"/>
    <hyperlink ref="DA2633" location="'CM Rec Par.'!DA2808" display="'CM Rec Par.'!DA2808" xr:uid="{3F99E8DC-0B54-43FE-986E-E8231B965EC9}"/>
    <hyperlink ref="DA2634" location="'CM Rec Par.'!DA2908" display="'CM Rec Par.'!DA2908" xr:uid="{F282A5F4-DE34-4ABC-920D-A0570571C40E}"/>
    <hyperlink ref="DA2635" location="'CM Rec Par.'!DA3008" display="'CM Rec Par.'!DA3008" xr:uid="{435EB493-EE99-4794-9E31-D0EAFD034B79}"/>
    <hyperlink ref="DA2636" location="'CM Rec Par.'!DA3108" display="'CM Rec Par.'!DA3108" xr:uid="{E0D7C15C-D856-42E2-B4DA-FC2C9B36B68F}"/>
    <hyperlink ref="DA2637" location="'CM Rec Par.'!DA3208" display="'CM Rec Par.'!DA3208" xr:uid="{F34D946B-1A24-403E-B80E-3C2D62308134}"/>
    <hyperlink ref="DA2638" location="'CM Rec Par.'!DA3308" display="'CM Rec Par.'!DA3308" xr:uid="{5D543265-69EA-4299-89E3-870FD1CF7114}"/>
    <hyperlink ref="DA2639" location="'CM Rec Par.'!DA3408" display="'CM Rec Par.'!DA3408" xr:uid="{F1DB7EFC-C84E-45AD-9601-D71FB0FE67C5}"/>
    <hyperlink ref="DA2710" location="'CM Rec Par.'!DA508" display="'CM Rec Par.'!DA508" xr:uid="{ECD60DA9-5BB0-4A97-9B59-4DBFC4048A5F}"/>
    <hyperlink ref="DA2709" location="'CM Rec Par.'!DA50" display="Process" xr:uid="{048A8C5A-B27B-48A2-A0C6-35DB7EBEE16E}"/>
    <hyperlink ref="DA2708" location="'CM Rec Par.'!DA6" display="Top" xr:uid="{3751C940-F6C0-4D64-A361-10DE2300F486}"/>
    <hyperlink ref="DA2711" location="'CM Rec Par.'!DA608" display="'CM Rec Par.'!DA608" xr:uid="{C82E2091-0481-42F3-8293-9027973EC305}"/>
    <hyperlink ref="DA2712" location="'CM Rec Par.'!DA708" display="'CM Rec Par.'!DA708" xr:uid="{071B45C4-AE61-46F5-BD9C-D494A18CD5C9}"/>
    <hyperlink ref="DA2713" location="'CM Rec Par.'!DA808" display="'CM Rec Par.'!DA808" xr:uid="{A4A39108-8C4C-4ACB-AABF-2B1B48D3FE7F}"/>
    <hyperlink ref="DA2714" location="'CM Rec Par.'!DA908" display="'CM Rec Par.'!DA908" xr:uid="{3BC6698B-52C4-415E-B0E0-CD49D82375E4}"/>
    <hyperlink ref="DA2715" location="'CM Rec Par.'!DA1008" display="'CM Rec Par.'!DA1008" xr:uid="{7A5F7FBC-B645-4162-A66D-43F3AF6D1C63}"/>
    <hyperlink ref="DA2716" location="'CM Rec Par.'!DA1108" display="'CM Rec Par.'!DA1108" xr:uid="{8095061B-6EA5-4218-BB0E-CE96364CE21E}"/>
    <hyperlink ref="DA2717" location="'CM Rec Par.'!DA1208" display="'CM Rec Par.'!DA1208" xr:uid="{F0C465F4-A9B4-487A-AC68-D5BC2DF6C014}"/>
    <hyperlink ref="DA2718" location="'CM Rec Par.'!DA1308" display="'CM Rec Par.'!DA1308" xr:uid="{78852462-55CB-4029-B8FD-32A9B2F10A7D}"/>
    <hyperlink ref="DA2719" location="'CM Rec Par.'!DA1408" display="'CM Rec Par.'!DA1408" xr:uid="{4BD0C6D4-5520-4CE4-BC91-5977D5FAF2BF}"/>
    <hyperlink ref="DA2720" location="'CM Rec Par.'!DA1508" display="'CM Rec Par.'!DA1508" xr:uid="{E97AE456-C802-42AB-B3D9-1B04B3852A1B}"/>
    <hyperlink ref="DA2721" location="'CM Rec Par.'!DA1608" display="'CM Rec Par.'!DA1608" xr:uid="{84F87F2A-B1C8-4D81-89B8-21C3BCE0DA98}"/>
    <hyperlink ref="DA2722" location="'CM Rec Par.'!DA1708" display="'CM Rec Par.'!DA1708" xr:uid="{90F206FD-6C6E-4894-B667-38A4119CF94C}"/>
    <hyperlink ref="DA2723" location="'CM Rec Par.'!DA1808" display="'CM Rec Par.'!DA1808" xr:uid="{AE8D9785-6AC5-44BF-852A-F8A2AA95A9F3}"/>
    <hyperlink ref="DA2724" location="'CM Rec Par.'!DA1908" display="'CM Rec Par.'!DA1908" xr:uid="{88672749-3FCA-4E09-975F-49788228E156}"/>
    <hyperlink ref="DA2725" location="'CM Rec Par.'!DA2008" display="'CM Rec Par.'!DA2008" xr:uid="{9DCA4019-C661-4F1B-916C-9300CA8C19DF}"/>
    <hyperlink ref="DA2726" location="'CM Rec Par.'!DA2108" display="'CM Rec Par.'!DA2108" xr:uid="{774A8E11-6A8F-48BC-AFA6-6D71A78524E0}"/>
    <hyperlink ref="DA2727" location="'CM Rec Par.'!DA2208" display="'CM Rec Par.'!DA2208" xr:uid="{AAA8B227-705A-467C-BE99-7736B8DB7C27}"/>
    <hyperlink ref="DA2728" location="'CM Rec Par.'!DA2308" display="'CM Rec Par.'!DA2308" xr:uid="{94EA1D6B-383E-456E-8CF7-9BAE05EF4FE8}"/>
    <hyperlink ref="DA2729" location="'CM Rec Par.'!DA2408" display="'CM Rec Par.'!DA2408" xr:uid="{4731F777-3EAE-4A7E-B867-F16AF313C7F0}"/>
    <hyperlink ref="DA2730" location="'CM Rec Par.'!DA2508" display="'CM Rec Par.'!DA2508" xr:uid="{C13CFBFC-A198-436A-A26F-CF6D787DF747}"/>
    <hyperlink ref="DA2731" location="'CM Rec Par.'!DA2608" display="'CM Rec Par.'!DA2608" xr:uid="{AB8474DF-7C56-485E-BD8C-3A08F332E7E0}"/>
    <hyperlink ref="DA2732" location="'CM Rec Par.'!DA2708" display="'CM Rec Par.'!DA2708" xr:uid="{AE6CDFFC-8051-4B0C-990C-EDCB82A8AB05}"/>
    <hyperlink ref="DA2733" location="'CM Rec Par.'!DA2808" display="'CM Rec Par.'!DA2808" xr:uid="{3043465E-0F7C-420C-ADF7-F9E7676A2390}"/>
    <hyperlink ref="DA2734" location="'CM Rec Par.'!DA2908" display="'CM Rec Par.'!DA2908" xr:uid="{2F571DEA-C546-415D-B999-BA4E5E5305AC}"/>
    <hyperlink ref="DA2735" location="'CM Rec Par.'!DA3008" display="'CM Rec Par.'!DA3008" xr:uid="{CAB63536-28D9-4A71-B048-3B605028DCBB}"/>
    <hyperlink ref="DA2736" location="'CM Rec Par.'!DA3108" display="'CM Rec Par.'!DA3108" xr:uid="{C77814EC-5450-4F28-8076-985F4BBA3BDB}"/>
    <hyperlink ref="DA2737" location="'CM Rec Par.'!DA3208" display="'CM Rec Par.'!DA3208" xr:uid="{09C33AEA-7D8E-44FD-917C-9AE20684E3BD}"/>
    <hyperlink ref="DA2738" location="'CM Rec Par.'!DA3308" display="'CM Rec Par.'!DA3308" xr:uid="{2995DBEF-FB12-4C1D-8B71-73DD63AD76B5}"/>
    <hyperlink ref="DA2739" location="'CM Rec Par.'!DA3408" display="'CM Rec Par.'!DA3408" xr:uid="{B53416AB-393B-4B64-AB5E-894C0E4C419A}"/>
    <hyperlink ref="DA2810" location="'CM Rec Par.'!DA508" display="'CM Rec Par.'!DA508" xr:uid="{3C31AA80-9482-41D9-A647-940C0B47002F}"/>
    <hyperlink ref="DA2809" location="'CM Rec Par.'!DA50" display="Process" xr:uid="{FE82B8C4-B005-41EE-81E3-AF69D1FE13A8}"/>
    <hyperlink ref="DA2808" location="'CM Rec Par.'!DA6" display="Top" xr:uid="{1DA53D9A-7509-40CE-B3F4-9D1F9FD420DF}"/>
    <hyperlink ref="DA2811" location="'CM Rec Par.'!DA608" display="'CM Rec Par.'!DA608" xr:uid="{292EF992-CF9D-4917-A78A-80888B9CD255}"/>
    <hyperlink ref="DA2812" location="'CM Rec Par.'!DA708" display="'CM Rec Par.'!DA708" xr:uid="{61EEBBC8-8A2B-4401-B1E0-9905D6BA36B5}"/>
    <hyperlink ref="DA2813" location="'CM Rec Par.'!DA808" display="'CM Rec Par.'!DA808" xr:uid="{AA9ADFA6-C8AC-4E66-81E3-BFEA1BABA204}"/>
    <hyperlink ref="DA2814" location="'CM Rec Par.'!DA908" display="'CM Rec Par.'!DA908" xr:uid="{CB9FF3F6-1572-413F-8389-CFDAC0A5780E}"/>
    <hyperlink ref="DA2815" location="'CM Rec Par.'!DA1008" display="'CM Rec Par.'!DA1008" xr:uid="{8546858F-E429-4DB2-829F-05AE7C79FE20}"/>
    <hyperlink ref="DA2816" location="'CM Rec Par.'!DA1108" display="'CM Rec Par.'!DA1108" xr:uid="{8A8612B3-8B03-49F0-8B65-F42F267AFFE3}"/>
    <hyperlink ref="DA2817" location="'CM Rec Par.'!DA1208" display="'CM Rec Par.'!DA1208" xr:uid="{A88E302C-54B4-49CD-8227-DAA2D0DB87D7}"/>
    <hyperlink ref="DA2818" location="'CM Rec Par.'!DA1308" display="'CM Rec Par.'!DA1308" xr:uid="{7001CDBB-00F2-4197-A920-2E449FFDCC8D}"/>
    <hyperlink ref="DA2819" location="'CM Rec Par.'!DA1408" display="'CM Rec Par.'!DA1408" xr:uid="{12F5E0BD-2E64-40DC-A048-236E0B268366}"/>
    <hyperlink ref="DA2820" location="'CM Rec Par.'!DA1508" display="'CM Rec Par.'!DA1508" xr:uid="{630F84A4-069B-475C-AFD1-F81A525F816C}"/>
    <hyperlink ref="DA2821" location="'CM Rec Par.'!DA1608" display="'CM Rec Par.'!DA1608" xr:uid="{5FAF6303-3E2F-446F-B221-5F1EEBE3C511}"/>
    <hyperlink ref="DA2822" location="'CM Rec Par.'!DA1708" display="'CM Rec Par.'!DA1708" xr:uid="{DABF4922-86ED-491F-A45B-77DFDA75E434}"/>
    <hyperlink ref="DA2823" location="'CM Rec Par.'!DA1808" display="'CM Rec Par.'!DA1808" xr:uid="{3E2AAC40-F67B-4B86-9FC1-A4A18F72E260}"/>
    <hyperlink ref="DA2824" location="'CM Rec Par.'!DA1908" display="'CM Rec Par.'!DA1908" xr:uid="{0360A9A4-02D2-4046-93A1-B016E6606EB6}"/>
    <hyperlink ref="DA2825" location="'CM Rec Par.'!DA2008" display="'CM Rec Par.'!DA2008" xr:uid="{7681539C-95D7-4B5C-9ACB-837FB17A3F55}"/>
    <hyperlink ref="DA2826" location="'CM Rec Par.'!DA2108" display="'CM Rec Par.'!DA2108" xr:uid="{5D66DF61-CAC2-452C-BFF2-99A5943A23F7}"/>
    <hyperlink ref="DA2827" location="'CM Rec Par.'!DA2208" display="'CM Rec Par.'!DA2208" xr:uid="{F7CFEB79-AB08-448F-8CBB-5EF79E1DE35D}"/>
    <hyperlink ref="DA2828" location="'CM Rec Par.'!DA2308" display="'CM Rec Par.'!DA2308" xr:uid="{DA3C3073-5598-46B8-98CF-6FD16534510D}"/>
    <hyperlink ref="DA2829" location="'CM Rec Par.'!DA2408" display="'CM Rec Par.'!DA2408" xr:uid="{4637F541-2DBD-4CEA-945C-22DC64E8E0DF}"/>
    <hyperlink ref="DA2830" location="'CM Rec Par.'!DA2508" display="'CM Rec Par.'!DA2508" xr:uid="{CA6979B3-2ACE-41D2-A1A9-A8703DB66CD9}"/>
    <hyperlink ref="DA2831" location="'CM Rec Par.'!DA2608" display="'CM Rec Par.'!DA2608" xr:uid="{F5BC0C39-B322-4F7E-BFFC-74ABF6CFC22B}"/>
    <hyperlink ref="DA2832" location="'CM Rec Par.'!DA2708" display="'CM Rec Par.'!DA2708" xr:uid="{64B9C553-9C38-4E1A-91B0-56F185BDEC9B}"/>
    <hyperlink ref="DA2833" location="'CM Rec Par.'!DA2808" display="'CM Rec Par.'!DA2808" xr:uid="{10CC7F9F-35C4-48BC-9069-E74102A687A7}"/>
    <hyperlink ref="DA2834" location="'CM Rec Par.'!DA2908" display="'CM Rec Par.'!DA2908" xr:uid="{97272082-942E-4E66-93B2-501B1ECD297A}"/>
    <hyperlink ref="DA2835" location="'CM Rec Par.'!DA3008" display="'CM Rec Par.'!DA3008" xr:uid="{35DF2685-782D-43A2-BAB5-A369DE043E69}"/>
    <hyperlink ref="DA2836" location="'CM Rec Par.'!DA3108" display="'CM Rec Par.'!DA3108" xr:uid="{7254C816-72CA-48F2-8672-3DA8F1F2BE6A}"/>
    <hyperlink ref="DA2837" location="'CM Rec Par.'!DA3208" display="'CM Rec Par.'!DA3208" xr:uid="{99A9607C-FBA8-4319-BD1D-C9B49F05FCF8}"/>
    <hyperlink ref="DA2838" location="'CM Rec Par.'!DA3308" display="'CM Rec Par.'!DA3308" xr:uid="{D5337CDC-709D-46E1-9C32-46EE294FB31B}"/>
    <hyperlink ref="DA2839" location="'CM Rec Par.'!DA3408" display="'CM Rec Par.'!DA3408" xr:uid="{CFC8B321-263C-4799-A69A-848337E88090}"/>
    <hyperlink ref="DA2910" location="'CM Rec Par.'!DA508" display="'CM Rec Par.'!DA508" xr:uid="{C6FCC604-BEE0-4E40-BEBC-4722B3F2E979}"/>
    <hyperlink ref="DA2909" location="'CM Rec Par.'!DA50" display="Process" xr:uid="{01E1766D-355F-41B3-B8F3-07E64A2678FD}"/>
    <hyperlink ref="DA2908" location="'CM Rec Par.'!DA6" display="Top" xr:uid="{95FA1100-1794-41FB-9113-93EACF749CCE}"/>
    <hyperlink ref="DA2911" location="'CM Rec Par.'!DA608" display="'CM Rec Par.'!DA608" xr:uid="{5AA89DEE-A743-458B-BECA-033D193011C8}"/>
    <hyperlink ref="DA2912" location="'CM Rec Par.'!DA708" display="'CM Rec Par.'!DA708" xr:uid="{F0EF8CA5-0F16-43F0-9FEA-760891FDF978}"/>
    <hyperlink ref="DA2913" location="'CM Rec Par.'!DA808" display="'CM Rec Par.'!DA808" xr:uid="{FAA81D29-D1C7-4D66-91C8-EA2F847A33FF}"/>
    <hyperlink ref="DA2914" location="'CM Rec Par.'!DA908" display="'CM Rec Par.'!DA908" xr:uid="{5FEFD351-99CD-4E35-9F55-BEECB2EE1E0A}"/>
    <hyperlink ref="DA2915" location="'CM Rec Par.'!DA1008" display="'CM Rec Par.'!DA1008" xr:uid="{3C8DD263-3749-4AF6-BF3B-40882A77ED4B}"/>
    <hyperlink ref="DA2916" location="'CM Rec Par.'!DA1108" display="'CM Rec Par.'!DA1108" xr:uid="{4FFE3124-C7AF-4656-BCE3-E89E15F19447}"/>
    <hyperlink ref="DA2917" location="'CM Rec Par.'!DA1208" display="'CM Rec Par.'!DA1208" xr:uid="{C569935E-B59B-4F43-B9B9-E5857D22EEC6}"/>
    <hyperlink ref="DA2918" location="'CM Rec Par.'!DA1308" display="'CM Rec Par.'!DA1308" xr:uid="{8F4C0E67-19F7-4868-AC45-BAA26B3368B9}"/>
    <hyperlink ref="DA2919" location="'CM Rec Par.'!DA1408" display="'CM Rec Par.'!DA1408" xr:uid="{22B2A1B7-C40B-41AE-A08B-33C32F22415C}"/>
    <hyperlink ref="DA2920" location="'CM Rec Par.'!DA1508" display="'CM Rec Par.'!DA1508" xr:uid="{3AA666DC-9407-4119-AFEF-771B080E62E1}"/>
    <hyperlink ref="DA2921" location="'CM Rec Par.'!DA1608" display="'CM Rec Par.'!DA1608" xr:uid="{EE2F3EC0-C181-42AF-AEAE-BFC067FD2FF9}"/>
    <hyperlink ref="DA2922" location="'CM Rec Par.'!DA1708" display="'CM Rec Par.'!DA1708" xr:uid="{1F5385FD-CFCF-42C7-AA9C-4D1789C983E3}"/>
    <hyperlink ref="DA2923" location="'CM Rec Par.'!DA1808" display="'CM Rec Par.'!DA1808" xr:uid="{EC35BB35-8BE4-4A5B-86B9-B3D24A13D54C}"/>
    <hyperlink ref="DA2924" location="'CM Rec Par.'!DA1908" display="'CM Rec Par.'!DA1908" xr:uid="{E2F0E2ED-4494-48A1-9A4A-B4297B4906FA}"/>
    <hyperlink ref="DA2925" location="'CM Rec Par.'!DA2008" display="'CM Rec Par.'!DA2008" xr:uid="{343DD2CD-2A2A-4331-9588-5C4F75BDD70C}"/>
    <hyperlink ref="DA2926" location="'CM Rec Par.'!DA2108" display="'CM Rec Par.'!DA2108" xr:uid="{DDBA17BE-9604-498D-9B2D-01463A1BABBE}"/>
    <hyperlink ref="DA2927" location="'CM Rec Par.'!DA2208" display="'CM Rec Par.'!DA2208" xr:uid="{F6C41BB7-797D-4942-B1CA-92A25D113A17}"/>
    <hyperlink ref="DA2928" location="'CM Rec Par.'!DA2308" display="'CM Rec Par.'!DA2308" xr:uid="{3C56EA87-6451-4799-93A6-DAAF0B30A9D7}"/>
    <hyperlink ref="DA2929" location="'CM Rec Par.'!DA2408" display="'CM Rec Par.'!DA2408" xr:uid="{6BB88F99-19C7-4292-B969-9729BBB74AA5}"/>
    <hyperlink ref="DA2930" location="'CM Rec Par.'!DA2508" display="'CM Rec Par.'!DA2508" xr:uid="{E38ECA4E-7C16-498F-87D5-623157215C21}"/>
    <hyperlink ref="DA2931" location="'CM Rec Par.'!DA2608" display="'CM Rec Par.'!DA2608" xr:uid="{B504350C-09F6-4F6B-A216-D7A8BFE4F4F5}"/>
    <hyperlink ref="DA2932" location="'CM Rec Par.'!DA2708" display="'CM Rec Par.'!DA2708" xr:uid="{A67866C6-9DEF-4D0A-828D-58A0EC443802}"/>
    <hyperlink ref="DA2933" location="'CM Rec Par.'!DA2808" display="'CM Rec Par.'!DA2808" xr:uid="{54CEC63E-2669-42A7-8F73-5A02DAB354FD}"/>
    <hyperlink ref="DA2934" location="'CM Rec Par.'!DA2908" display="'CM Rec Par.'!DA2908" xr:uid="{FDA15CD5-C618-4328-886F-FFEDECCD8016}"/>
    <hyperlink ref="DA2935" location="'CM Rec Par.'!DA3008" display="'CM Rec Par.'!DA3008" xr:uid="{4BE1DC37-99B1-48A8-A492-442A4CE3C813}"/>
    <hyperlink ref="DA2936" location="'CM Rec Par.'!DA3108" display="'CM Rec Par.'!DA3108" xr:uid="{C5DBA010-0C76-4046-904C-02ABDA5F2BC6}"/>
    <hyperlink ref="DA2937" location="'CM Rec Par.'!DA3208" display="'CM Rec Par.'!DA3208" xr:uid="{1527FD40-6166-4233-9349-B74B6B625185}"/>
    <hyperlink ref="DA2938" location="'CM Rec Par.'!DA3308" display="'CM Rec Par.'!DA3308" xr:uid="{7C8CC7F1-5AAA-4239-9295-D7A76455E58F}"/>
    <hyperlink ref="DA2939" location="'CM Rec Par.'!DA3408" display="'CM Rec Par.'!DA3408" xr:uid="{996B8114-A041-474B-B18C-4C1484E92894}"/>
    <hyperlink ref="DA3010" location="'CM Rec Par.'!DA508" display="'CM Rec Par.'!DA508" xr:uid="{CFE9F04F-749D-43BD-8059-ACABEA56521C}"/>
    <hyperlink ref="DA3009" location="'CM Rec Par.'!DA50" display="Process" xr:uid="{B5CFA08A-2205-4CAB-AB82-6C8C832F8841}"/>
    <hyperlink ref="DA3008" location="'CM Rec Par.'!DA6" display="Top" xr:uid="{00157D62-4CE2-4A43-B48A-73E318D73597}"/>
    <hyperlink ref="DA3011" location="'CM Rec Par.'!DA608" display="'CM Rec Par.'!DA608" xr:uid="{AC619FE6-E6DC-448B-90C8-0179B5312F5E}"/>
    <hyperlink ref="DA3012" location="'CM Rec Par.'!DA708" display="'CM Rec Par.'!DA708" xr:uid="{A0A7D2F0-1055-4B12-893E-EA199F47DCE5}"/>
    <hyperlink ref="DA3013" location="'CM Rec Par.'!DA808" display="'CM Rec Par.'!DA808" xr:uid="{6AE277C9-D0F1-4495-BDB0-7F7837663F59}"/>
    <hyperlink ref="DA3014" location="'CM Rec Par.'!DA908" display="'CM Rec Par.'!DA908" xr:uid="{9EF11391-F245-4282-83B8-BF775BF8ED59}"/>
    <hyperlink ref="DA3015" location="'CM Rec Par.'!DA1008" display="'CM Rec Par.'!DA1008" xr:uid="{1E5C5AB9-31CD-41EF-BB35-80373B99B171}"/>
    <hyperlink ref="DA3016" location="'CM Rec Par.'!DA1108" display="'CM Rec Par.'!DA1108" xr:uid="{72ABF037-3A4A-45C2-8373-31E11FD7A365}"/>
    <hyperlink ref="DA3017" location="'CM Rec Par.'!DA1208" display="'CM Rec Par.'!DA1208" xr:uid="{2DDD08FB-A5A5-46BF-99E2-15745CC5543B}"/>
    <hyperlink ref="DA3018" location="'CM Rec Par.'!DA1308" display="'CM Rec Par.'!DA1308" xr:uid="{2C869805-3975-4182-9643-6A62A00EF6E0}"/>
    <hyperlink ref="DA3019" location="'CM Rec Par.'!DA1408" display="'CM Rec Par.'!DA1408" xr:uid="{C0791EE6-0C1F-44DB-816A-FCC8E5CBD1BC}"/>
    <hyperlink ref="DA3020" location="'CM Rec Par.'!DA1508" display="'CM Rec Par.'!DA1508" xr:uid="{ED17F759-DFEE-4EF1-A5BE-1A8BF8BD876A}"/>
    <hyperlink ref="DA3021" location="'CM Rec Par.'!DA1608" display="'CM Rec Par.'!DA1608" xr:uid="{39C6AC4A-D0AA-4027-B17E-3DD83F8CBDD5}"/>
    <hyperlink ref="DA3022" location="'CM Rec Par.'!DA1708" display="'CM Rec Par.'!DA1708" xr:uid="{949EC0E2-8373-426F-BB78-224EB731B0FB}"/>
    <hyperlink ref="DA3023" location="'CM Rec Par.'!DA1808" display="'CM Rec Par.'!DA1808" xr:uid="{DFEAD42B-D6EB-4FAC-8E1C-DC44C43A8B88}"/>
    <hyperlink ref="DA3024" location="'CM Rec Par.'!DA1908" display="'CM Rec Par.'!DA1908" xr:uid="{A491F752-4DE3-409C-A33E-71BB29DD441A}"/>
    <hyperlink ref="DA3025" location="'CM Rec Par.'!DA2008" display="'CM Rec Par.'!DA2008" xr:uid="{8BE9575B-DDB1-4D2C-AC1E-FB1A3707CAE4}"/>
    <hyperlink ref="DA3026" location="'CM Rec Par.'!DA2108" display="'CM Rec Par.'!DA2108" xr:uid="{19E2B2B8-436A-4BC7-AF91-2EEF9DCEF03D}"/>
    <hyperlink ref="DA3027" location="'CM Rec Par.'!DA2208" display="'CM Rec Par.'!DA2208" xr:uid="{B4D4F5B9-A9E5-4030-86E7-FE25F0379431}"/>
    <hyperlink ref="DA3028" location="'CM Rec Par.'!DA2308" display="'CM Rec Par.'!DA2308" xr:uid="{21C8D4C7-7822-443A-A5D7-0424C5D5188B}"/>
    <hyperlink ref="DA3029" location="'CM Rec Par.'!DA2408" display="'CM Rec Par.'!DA2408" xr:uid="{08A9DA71-99B7-45B3-A505-1297C0D131E7}"/>
    <hyperlink ref="DA3030" location="'CM Rec Par.'!DA2508" display="'CM Rec Par.'!DA2508" xr:uid="{EFB9DF8B-80A8-4AD4-B0F8-1BC1DE3A84E6}"/>
    <hyperlink ref="DA3031" location="'CM Rec Par.'!DA2608" display="'CM Rec Par.'!DA2608" xr:uid="{17532074-3766-41EF-87F9-E95CC7D2AD82}"/>
    <hyperlink ref="DA3032" location="'CM Rec Par.'!DA2708" display="'CM Rec Par.'!DA2708" xr:uid="{63277D42-CA9C-4031-874F-8B2FDBD6568C}"/>
    <hyperlink ref="DA3033" location="'CM Rec Par.'!DA2808" display="'CM Rec Par.'!DA2808" xr:uid="{4CD07328-822C-4E96-AACC-1F4382B74DDD}"/>
    <hyperlink ref="DA3034" location="'CM Rec Par.'!DA2908" display="'CM Rec Par.'!DA2908" xr:uid="{A8A4F07F-2AC3-4F9A-A263-0D8682C0BCC3}"/>
    <hyperlink ref="DA3035" location="'CM Rec Par.'!DA3008" display="'CM Rec Par.'!DA3008" xr:uid="{55360CC1-8762-4B3C-9F2D-C1446C84ED70}"/>
    <hyperlink ref="DA3036" location="'CM Rec Par.'!DA3108" display="'CM Rec Par.'!DA3108" xr:uid="{D218C855-DFC0-44C7-9E01-47704F8D13D1}"/>
    <hyperlink ref="DA3037" location="'CM Rec Par.'!DA3208" display="'CM Rec Par.'!DA3208" xr:uid="{145F99BE-A7D9-473A-B44D-C60FFF553290}"/>
    <hyperlink ref="DA3038" location="'CM Rec Par.'!DA3308" display="'CM Rec Par.'!DA3308" xr:uid="{EDB5F064-8D2B-4B46-90BF-5202BF2ECAFC}"/>
    <hyperlink ref="DA3039" location="'CM Rec Par.'!DA3408" display="'CM Rec Par.'!DA3408" xr:uid="{AE13FF1D-5220-4DDB-AFAA-16884567D7D1}"/>
    <hyperlink ref="DA3110" location="'CM Rec Par.'!DA508" display="'CM Rec Par.'!DA508" xr:uid="{A4644E8A-1A36-4096-9AB4-D9C66918E385}"/>
    <hyperlink ref="DA3109" location="'CM Rec Par.'!DA50" display="Process" xr:uid="{8D3635AD-374F-45F0-AF20-00C25B587138}"/>
    <hyperlink ref="DA3108" location="'CM Rec Par.'!DA6" display="Top" xr:uid="{6F111856-D159-4554-83DF-6030B2292553}"/>
    <hyperlink ref="DA3111" location="'CM Rec Par.'!DA608" display="'CM Rec Par.'!DA608" xr:uid="{940224F6-64B3-4C03-A0FA-7F9255C218A0}"/>
    <hyperlink ref="DA3112" location="'CM Rec Par.'!DA708" display="'CM Rec Par.'!DA708" xr:uid="{72CEB755-025F-4993-BFFD-4023B31212A8}"/>
    <hyperlink ref="DA3113" location="'CM Rec Par.'!DA808" display="'CM Rec Par.'!DA808" xr:uid="{ABB3F0F3-193F-4FD3-9234-87657DA5CF74}"/>
    <hyperlink ref="DA3114" location="'CM Rec Par.'!DA908" display="'CM Rec Par.'!DA908" xr:uid="{B0361FF4-8F56-4C90-B1DF-39F8651CD4AA}"/>
    <hyperlink ref="DA3115" location="'CM Rec Par.'!DA1008" display="'CM Rec Par.'!DA1008" xr:uid="{49F4E828-979E-41A3-9355-F758B58FBD05}"/>
    <hyperlink ref="DA3116" location="'CM Rec Par.'!DA1108" display="'CM Rec Par.'!DA1108" xr:uid="{F50D590F-D4B5-4FE8-9A70-AF5A7585700A}"/>
    <hyperlink ref="DA3117" location="'CM Rec Par.'!DA1208" display="'CM Rec Par.'!DA1208" xr:uid="{08D4F868-77B3-4D0C-818F-7F92214E3AE6}"/>
    <hyperlink ref="DA3118" location="'CM Rec Par.'!DA1308" display="'CM Rec Par.'!DA1308" xr:uid="{9D30E752-55BC-4997-9CB3-D1313234CEE1}"/>
    <hyperlink ref="DA3119" location="'CM Rec Par.'!DA1408" display="'CM Rec Par.'!DA1408" xr:uid="{DC4BF759-991E-402F-AB41-7F80B6E4E942}"/>
    <hyperlink ref="DA3120" location="'CM Rec Par.'!DA1508" display="'CM Rec Par.'!DA1508" xr:uid="{A844B290-6B41-4806-A212-21009D07071B}"/>
    <hyperlink ref="DA3121" location="'CM Rec Par.'!DA1608" display="'CM Rec Par.'!DA1608" xr:uid="{1691E5B9-61AD-42E2-8715-97FCA1D658FF}"/>
    <hyperlink ref="DA3122" location="'CM Rec Par.'!DA1708" display="'CM Rec Par.'!DA1708" xr:uid="{08DD3B8D-19E0-43DB-81CC-F8E5CF21C5FD}"/>
    <hyperlink ref="DA3123" location="'CM Rec Par.'!DA1808" display="'CM Rec Par.'!DA1808" xr:uid="{51CFB977-757F-424F-9765-4013E33213C1}"/>
    <hyperlink ref="DA3124" location="'CM Rec Par.'!DA1908" display="'CM Rec Par.'!DA1908" xr:uid="{A7508653-6B12-47F4-92C9-3F2892E5D469}"/>
    <hyperlink ref="DA3125" location="'CM Rec Par.'!DA2008" display="'CM Rec Par.'!DA2008" xr:uid="{B2239D21-DB1C-472A-B0D6-1F73DED7F909}"/>
    <hyperlink ref="DA3126" location="'CM Rec Par.'!DA2108" display="'CM Rec Par.'!DA2108" xr:uid="{2F00A772-99E5-4CC5-B6EC-7D8A3F4098C1}"/>
    <hyperlink ref="DA3127" location="'CM Rec Par.'!DA2208" display="'CM Rec Par.'!DA2208" xr:uid="{FBDFB511-203F-4312-8887-5F7AD053AA98}"/>
    <hyperlink ref="DA3128" location="'CM Rec Par.'!DA2308" display="'CM Rec Par.'!DA2308" xr:uid="{B36A54A4-859B-43CE-999D-7BDC993F6353}"/>
    <hyperlink ref="DA3129" location="'CM Rec Par.'!DA2408" display="'CM Rec Par.'!DA2408" xr:uid="{48FCF673-3FF6-45F7-83BD-FB105FCAB06F}"/>
    <hyperlink ref="DA3130" location="'CM Rec Par.'!DA2508" display="'CM Rec Par.'!DA2508" xr:uid="{0A9EBC97-210D-4E72-B764-0535C12E38E4}"/>
    <hyperlink ref="DA3131" location="'CM Rec Par.'!DA2608" display="'CM Rec Par.'!DA2608" xr:uid="{60D0E6DC-AFF3-4A54-BDC3-F0048B9CEF18}"/>
    <hyperlink ref="DA3132" location="'CM Rec Par.'!DA2708" display="'CM Rec Par.'!DA2708" xr:uid="{40B389A8-B3F5-45B4-9985-6AA0E891036D}"/>
    <hyperlink ref="DA3133" location="'CM Rec Par.'!DA2808" display="'CM Rec Par.'!DA2808" xr:uid="{6CB0E962-81BD-46C9-AE14-163BBFFC08CF}"/>
    <hyperlink ref="DA3134" location="'CM Rec Par.'!DA2908" display="'CM Rec Par.'!DA2908" xr:uid="{EE2A2F34-4406-4010-888E-7AAD6A548600}"/>
    <hyperlink ref="DA3135" location="'CM Rec Par.'!DA3008" display="'CM Rec Par.'!DA3008" xr:uid="{C9313750-27AB-460F-92E1-2F54BED19722}"/>
    <hyperlink ref="DA3136" location="'CM Rec Par.'!DA3108" display="'CM Rec Par.'!DA3108" xr:uid="{DEB6C4E9-9C22-4DE1-BDD6-07BAFC39E44C}"/>
    <hyperlink ref="DA3137" location="'CM Rec Par.'!DA3208" display="'CM Rec Par.'!DA3208" xr:uid="{906CF3A9-3DD4-41E9-8CB3-5F00635C255F}"/>
    <hyperlink ref="DA3138" location="'CM Rec Par.'!DA3308" display="'CM Rec Par.'!DA3308" xr:uid="{0852C4C7-5ACA-44C0-86CB-72ECA7B042BA}"/>
    <hyperlink ref="DA3139" location="'CM Rec Par.'!DA3408" display="'CM Rec Par.'!DA3408" xr:uid="{836F6167-A3D0-4593-A4C8-615E7CE7595C}"/>
    <hyperlink ref="DA3210" location="'CM Rec Par.'!DA508" display="'CM Rec Par.'!DA508" xr:uid="{2F6483CE-FCB7-4CC0-BBDB-A4249805F6E4}"/>
    <hyperlink ref="DA3209" location="'CM Rec Par.'!DA50" display="Process" xr:uid="{1A381960-916C-48A2-A1E3-03102876D860}"/>
    <hyperlink ref="DA3208" location="'CM Rec Par.'!DA6" display="Top" xr:uid="{036FDAF5-A577-445B-AB6C-0F116DCA28AA}"/>
    <hyperlink ref="DA3211" location="'CM Rec Par.'!DA608" display="'CM Rec Par.'!DA608" xr:uid="{BC668F03-9EF1-41CB-B7C6-1DB8B58D891A}"/>
    <hyperlink ref="DA3212" location="'CM Rec Par.'!DA708" display="'CM Rec Par.'!DA708" xr:uid="{879CF494-1F41-4727-8739-59E0AF3F30C5}"/>
    <hyperlink ref="DA3213" location="'CM Rec Par.'!DA808" display="'CM Rec Par.'!DA808" xr:uid="{532206C1-8D14-4AC1-97BA-36EEBD55DC1D}"/>
    <hyperlink ref="DA3214" location="'CM Rec Par.'!DA908" display="'CM Rec Par.'!DA908" xr:uid="{05397AF2-79D4-4169-80FB-439E73FC08EE}"/>
    <hyperlink ref="DA3215" location="'CM Rec Par.'!DA1008" display="'CM Rec Par.'!DA1008" xr:uid="{E0B8602B-8CBC-49D5-B89C-6C9DEEBAE5BC}"/>
    <hyperlink ref="DA3216" location="'CM Rec Par.'!DA1108" display="'CM Rec Par.'!DA1108" xr:uid="{44192C87-0891-4ECD-8CB7-91C05FD44AF5}"/>
    <hyperlink ref="DA3217" location="'CM Rec Par.'!DA1208" display="'CM Rec Par.'!DA1208" xr:uid="{804F5720-2E3F-4626-9FB1-657E1F3556E2}"/>
    <hyperlink ref="DA3218" location="'CM Rec Par.'!DA1308" display="'CM Rec Par.'!DA1308" xr:uid="{EF7026E5-7308-4FA7-8C73-3E181EA01889}"/>
    <hyperlink ref="DA3219" location="'CM Rec Par.'!DA1408" display="'CM Rec Par.'!DA1408" xr:uid="{5EDE4A54-DB94-4972-B05C-E9ACADDEBDF4}"/>
    <hyperlink ref="DA3220" location="'CM Rec Par.'!DA1508" display="'CM Rec Par.'!DA1508" xr:uid="{DB6267C9-8B9B-45CA-975B-B8B754ED411B}"/>
    <hyperlink ref="DA3221" location="'CM Rec Par.'!DA1608" display="'CM Rec Par.'!DA1608" xr:uid="{217F3A61-AF08-4D18-B90F-31CF024E1302}"/>
    <hyperlink ref="DA3222" location="'CM Rec Par.'!DA1708" display="'CM Rec Par.'!DA1708" xr:uid="{B8E83BBB-6528-4AF1-B9AA-ED0D59B6C6A8}"/>
    <hyperlink ref="DA3223" location="'CM Rec Par.'!DA1808" display="'CM Rec Par.'!DA1808" xr:uid="{CD97F6CD-C051-42EC-9D8D-A72A9815BC8E}"/>
    <hyperlink ref="DA3224" location="'CM Rec Par.'!DA1908" display="'CM Rec Par.'!DA1908" xr:uid="{44E273E3-043E-49A1-A0C7-916CEA2FAC1B}"/>
    <hyperlink ref="DA3225" location="'CM Rec Par.'!DA2008" display="'CM Rec Par.'!DA2008" xr:uid="{717D7C5D-66D2-4BE0-9483-7F7BDF580D7C}"/>
    <hyperlink ref="DA3226" location="'CM Rec Par.'!DA2108" display="'CM Rec Par.'!DA2108" xr:uid="{25CACDB3-9A8E-4BA8-80A5-6E7D45D3BF95}"/>
    <hyperlink ref="DA3227" location="'CM Rec Par.'!DA2208" display="'CM Rec Par.'!DA2208" xr:uid="{7EF5D888-1F27-4AAB-89E6-AE193CA1BC33}"/>
    <hyperlink ref="DA3228" location="'CM Rec Par.'!DA2308" display="'CM Rec Par.'!DA2308" xr:uid="{8057AE4A-7AFF-4A32-A30D-C61F34D29DAA}"/>
    <hyperlink ref="DA3229" location="'CM Rec Par.'!DA2408" display="'CM Rec Par.'!DA2408" xr:uid="{18350C32-2114-44A2-A109-86BBC29D1DDC}"/>
    <hyperlink ref="DA3230" location="'CM Rec Par.'!DA2508" display="'CM Rec Par.'!DA2508" xr:uid="{5857B937-63C0-4D46-8579-A70589EBACCE}"/>
    <hyperlink ref="DA3231" location="'CM Rec Par.'!DA2608" display="'CM Rec Par.'!DA2608" xr:uid="{D77A199D-6A32-420F-89C3-B065740F29EC}"/>
    <hyperlink ref="DA3232" location="'CM Rec Par.'!DA2708" display="'CM Rec Par.'!DA2708" xr:uid="{74BC7406-0D68-4DC4-A45C-4FEB2E1B8B4F}"/>
    <hyperlink ref="DA3233" location="'CM Rec Par.'!DA2808" display="'CM Rec Par.'!DA2808" xr:uid="{0DAC7BC1-E937-48EE-AC45-BFF5BE2173DD}"/>
    <hyperlink ref="DA3234" location="'CM Rec Par.'!DA2908" display="'CM Rec Par.'!DA2908" xr:uid="{993CF36F-D8FE-4A12-8F0F-865A3898F820}"/>
    <hyperlink ref="DA3235" location="'CM Rec Par.'!DA3008" display="'CM Rec Par.'!DA3008" xr:uid="{FBCC3D2B-D679-47ED-AE24-B6B3772E10CD}"/>
    <hyperlink ref="DA3236" location="'CM Rec Par.'!DA3108" display="'CM Rec Par.'!DA3108" xr:uid="{79B9DAA8-8ADC-4D5F-B7A7-96CD1E1B778D}"/>
    <hyperlink ref="DA3237" location="'CM Rec Par.'!DA3208" display="'CM Rec Par.'!DA3208" xr:uid="{5AE72C49-ABC1-4FF1-B19B-6A2CBD4BFEA5}"/>
    <hyperlink ref="DA3238" location="'CM Rec Par.'!DA3308" display="'CM Rec Par.'!DA3308" xr:uid="{6B2C9752-4511-4247-A4E0-88D80782D59F}"/>
    <hyperlink ref="DA3239" location="'CM Rec Par.'!DA3408" display="'CM Rec Par.'!DA3408" xr:uid="{B0D29C93-E193-4FD0-A73E-BBC9A84CF6DB}"/>
    <hyperlink ref="DA3310" location="'CM Rec Par.'!DA508" display="'CM Rec Par.'!DA508" xr:uid="{8B47EF0D-9AF7-4A0A-B5C2-3703F38E74AB}"/>
    <hyperlink ref="DA3309" location="'CM Rec Par.'!DA50" display="Process" xr:uid="{1A046504-4C2A-4CFA-BDBC-FD2DB3A7F7A6}"/>
    <hyperlink ref="DA3308" location="'CM Rec Par.'!DA6" display="Top" xr:uid="{59DD3314-D857-40BB-AEF0-CF700E19124A}"/>
    <hyperlink ref="DA3311" location="'CM Rec Par.'!DA608" display="'CM Rec Par.'!DA608" xr:uid="{C57DFF8E-9950-474E-8B10-D926CAFB4D76}"/>
    <hyperlink ref="DA3312" location="'CM Rec Par.'!DA708" display="'CM Rec Par.'!DA708" xr:uid="{D7139CC2-B426-4FA4-AF43-C5703C766193}"/>
    <hyperlink ref="DA3313" location="'CM Rec Par.'!DA808" display="'CM Rec Par.'!DA808" xr:uid="{0DCB296A-5199-4461-B87F-A293BF83BF96}"/>
    <hyperlink ref="DA3314" location="'CM Rec Par.'!DA908" display="'CM Rec Par.'!DA908" xr:uid="{1078D5E2-29AE-4DEC-8AD9-9A0638D7D9DE}"/>
    <hyperlink ref="DA3315" location="'CM Rec Par.'!DA1008" display="'CM Rec Par.'!DA1008" xr:uid="{D144C154-A09E-406C-9D1D-9981D7A95C34}"/>
    <hyperlink ref="DA3316" location="'CM Rec Par.'!DA1108" display="'CM Rec Par.'!DA1108" xr:uid="{35EE4BB6-7FBC-4774-A7C6-8287E30C645A}"/>
    <hyperlink ref="DA3317" location="'CM Rec Par.'!DA1208" display="'CM Rec Par.'!DA1208" xr:uid="{BDA3A4B2-93A3-4253-B49A-BAA09FCD4BDC}"/>
    <hyperlink ref="DA3318" location="'CM Rec Par.'!DA1308" display="'CM Rec Par.'!DA1308" xr:uid="{69372E4C-151C-4BA9-8A0D-8DECDAE3F55F}"/>
    <hyperlink ref="DA3319" location="'CM Rec Par.'!DA1408" display="'CM Rec Par.'!DA1408" xr:uid="{434615D1-96C3-46F7-8F49-E4DC3FA5DD43}"/>
    <hyperlink ref="DA3320" location="'CM Rec Par.'!DA1508" display="'CM Rec Par.'!DA1508" xr:uid="{0CB3C6F2-09B4-4656-86E8-03DED632D664}"/>
    <hyperlink ref="DA3321" location="'CM Rec Par.'!DA1608" display="'CM Rec Par.'!DA1608" xr:uid="{7109CF82-34A9-4000-810F-705D607D7B64}"/>
    <hyperlink ref="DA3322" location="'CM Rec Par.'!DA1708" display="'CM Rec Par.'!DA1708" xr:uid="{BA195BF7-C243-4885-8894-C208E8CE1A8D}"/>
    <hyperlink ref="DA3323" location="'CM Rec Par.'!DA1808" display="'CM Rec Par.'!DA1808" xr:uid="{2A2157AD-62FD-4A5C-B08F-0FBB6B42A127}"/>
    <hyperlink ref="DA3324" location="'CM Rec Par.'!DA1908" display="'CM Rec Par.'!DA1908" xr:uid="{1B94CD8F-C7F7-4C84-9EFF-8CA57FAED440}"/>
    <hyperlink ref="DA3325" location="'CM Rec Par.'!DA2008" display="'CM Rec Par.'!DA2008" xr:uid="{523CF6E9-92AC-4804-936E-190298646DBD}"/>
    <hyperlink ref="DA3326" location="'CM Rec Par.'!DA2108" display="'CM Rec Par.'!DA2108" xr:uid="{2658D85F-2E89-4F1B-ACE6-22E61FF18C16}"/>
    <hyperlink ref="DA3327" location="'CM Rec Par.'!DA2208" display="'CM Rec Par.'!DA2208" xr:uid="{977B7428-5E7A-4314-AECD-95D8FADDDDE6}"/>
    <hyperlink ref="DA3328" location="'CM Rec Par.'!DA2308" display="'CM Rec Par.'!DA2308" xr:uid="{1FD11711-E4E6-4BEE-B974-998BDC2D166D}"/>
    <hyperlink ref="DA3329" location="'CM Rec Par.'!DA2408" display="'CM Rec Par.'!DA2408" xr:uid="{F02ACB3B-43FB-4404-A982-AB379F1A6F9B}"/>
    <hyperlink ref="DA3330" location="'CM Rec Par.'!DA2508" display="'CM Rec Par.'!DA2508" xr:uid="{B17DAAE5-B6D1-4CAE-B66C-6CB5C58B0BE8}"/>
    <hyperlink ref="DA3331" location="'CM Rec Par.'!DA2608" display="'CM Rec Par.'!DA2608" xr:uid="{A1B5449D-DEB4-4861-B73D-067CB86ED69A}"/>
    <hyperlink ref="DA3332" location="'CM Rec Par.'!DA2708" display="'CM Rec Par.'!DA2708" xr:uid="{E8A9D860-8EDC-41B4-BD6D-2CA84ACD4DD2}"/>
    <hyperlink ref="DA3333" location="'CM Rec Par.'!DA2808" display="'CM Rec Par.'!DA2808" xr:uid="{4D0C08E4-8E0A-4D1F-ACC2-2C3AF1CFE5F4}"/>
    <hyperlink ref="DA3334" location="'CM Rec Par.'!DA2908" display="'CM Rec Par.'!DA2908" xr:uid="{1AF690A5-4639-47D5-9A6B-7FA575E4582C}"/>
    <hyperlink ref="DA3335" location="'CM Rec Par.'!DA3008" display="'CM Rec Par.'!DA3008" xr:uid="{AA60C84E-3F1A-45D6-A3C2-3C6BBBA6EB62}"/>
    <hyperlink ref="DA3336" location="'CM Rec Par.'!DA3108" display="'CM Rec Par.'!DA3108" xr:uid="{DBF143CD-D776-4C0C-A80A-DF2E22A3ADEA}"/>
    <hyperlink ref="DA3337" location="'CM Rec Par.'!DA3208" display="'CM Rec Par.'!DA3208" xr:uid="{F5799F7A-C163-46A4-BB5D-72D45BE421CA}"/>
    <hyperlink ref="DA3338" location="'CM Rec Par.'!DA3308" display="'CM Rec Par.'!DA3308" xr:uid="{61999D60-1DED-45AF-A13D-42806AB73CA6}"/>
    <hyperlink ref="DA3339" location="'CM Rec Par.'!DA3408" display="'CM Rec Par.'!DA3408" xr:uid="{2F33CA50-E8CF-4569-BF77-19BB11739664}"/>
    <hyperlink ref="DA3410" location="'CM Rec Par.'!DA508" display="'CM Rec Par.'!DA508" xr:uid="{BE06650E-9E87-4E7B-95D9-9F91DBDE2E96}"/>
    <hyperlink ref="DA3409" location="'CM Rec Par.'!DA50" display="Process" xr:uid="{99B94100-2CAA-4E7E-BE30-C38BD7F7D01D}"/>
    <hyperlink ref="DA3408" location="'CM Rec Par.'!DA6" display="Top" xr:uid="{3E9D40BD-FDCC-48F6-AD09-A2F04CE6F9EB}"/>
    <hyperlink ref="DA3411" location="'CM Rec Par.'!DA608" display="'CM Rec Par.'!DA608" xr:uid="{AB5D049C-5725-4B90-9F6C-84F306DF379D}"/>
    <hyperlink ref="DA3412" location="'CM Rec Par.'!DA708" display="'CM Rec Par.'!DA708" xr:uid="{834E6D7B-FE55-49FD-8092-AF697741ECDD}"/>
    <hyperlink ref="DA3413" location="'CM Rec Par.'!DA808" display="'CM Rec Par.'!DA808" xr:uid="{0835832A-4B1A-4AE8-9943-7B5D61D85CA6}"/>
    <hyperlink ref="DA3414" location="'CM Rec Par.'!DA908" display="'CM Rec Par.'!DA908" xr:uid="{828F2785-2FCF-4813-826A-54B04F772C38}"/>
    <hyperlink ref="DA3415" location="'CM Rec Par.'!DA1008" display="'CM Rec Par.'!DA1008" xr:uid="{5024078E-32D2-419F-BAB9-33F68C381321}"/>
    <hyperlink ref="DA3416" location="'CM Rec Par.'!DA1108" display="'CM Rec Par.'!DA1108" xr:uid="{F8B7282E-64B6-493A-AE0F-6E93EC07E5CD}"/>
    <hyperlink ref="DA3417" location="'CM Rec Par.'!DA1208" display="'CM Rec Par.'!DA1208" xr:uid="{EE7952A9-5C38-4665-8A44-93ECCAE2448E}"/>
    <hyperlink ref="DA3418" location="'CM Rec Par.'!DA1308" display="'CM Rec Par.'!DA1308" xr:uid="{045CBFCE-51BE-45A6-B236-52DCA8ED47B7}"/>
    <hyperlink ref="DA3419" location="'CM Rec Par.'!DA1408" display="'CM Rec Par.'!DA1408" xr:uid="{4EB9012F-B9E4-4843-950E-367B1B4B1BDA}"/>
    <hyperlink ref="DA3420" location="'CM Rec Par.'!DA1508" display="'CM Rec Par.'!DA1508" xr:uid="{C22BAFA6-9801-4631-9C59-98F874B3A441}"/>
    <hyperlink ref="DA3421" location="'CM Rec Par.'!DA1608" display="'CM Rec Par.'!DA1608" xr:uid="{0DA90208-1017-4886-9300-7C934CD2575B}"/>
    <hyperlink ref="DA3422" location="'CM Rec Par.'!DA1708" display="'CM Rec Par.'!DA1708" xr:uid="{A1DB85F9-5371-4B02-B7E5-315AA44F86D9}"/>
    <hyperlink ref="DA3423" location="'CM Rec Par.'!DA1808" display="'CM Rec Par.'!DA1808" xr:uid="{31BD7293-B88D-495E-B25D-DE9A8DC489C0}"/>
    <hyperlink ref="DA3424" location="'CM Rec Par.'!DA1908" display="'CM Rec Par.'!DA1908" xr:uid="{378255D8-59F8-44B7-B4DC-5A4EFAB2F616}"/>
    <hyperlink ref="DA3425" location="'CM Rec Par.'!DA2008" display="'CM Rec Par.'!DA2008" xr:uid="{4BCBDEC1-D66F-49F1-9A67-C0A3661049FA}"/>
    <hyperlink ref="DA3426" location="'CM Rec Par.'!DA2108" display="'CM Rec Par.'!DA2108" xr:uid="{ACB702A3-D972-4BD8-8AF6-9572B58D3951}"/>
    <hyperlink ref="DA3427" location="'CM Rec Par.'!DA2208" display="'CM Rec Par.'!DA2208" xr:uid="{EF1B8743-9EBB-4766-B94A-B634916CE64C}"/>
    <hyperlink ref="DA3428" location="'CM Rec Par.'!DA2308" display="'CM Rec Par.'!DA2308" xr:uid="{A2378A4D-DDA0-46AB-BA73-FF066CC6586D}"/>
    <hyperlink ref="DA3429" location="'CM Rec Par.'!DA2408" display="'CM Rec Par.'!DA2408" xr:uid="{78015C05-847C-4B09-9410-CBB12D994D16}"/>
    <hyperlink ref="DA3430" location="'CM Rec Par.'!DA2508" display="'CM Rec Par.'!DA2508" xr:uid="{BFA3869B-1C4E-4851-9DFE-109209BA7C54}"/>
    <hyperlink ref="DA3431" location="'CM Rec Par.'!DA2608" display="'CM Rec Par.'!DA2608" xr:uid="{76446B5A-02BA-4999-AE2D-CE1D18E5F942}"/>
    <hyperlink ref="DA3432" location="'CM Rec Par.'!DA2708" display="'CM Rec Par.'!DA2708" xr:uid="{D23AA87F-073B-417E-91B5-A1E0888E96B6}"/>
    <hyperlink ref="DA3433" location="'CM Rec Par.'!DA2808" display="'CM Rec Par.'!DA2808" xr:uid="{97F8F52C-7B0F-446F-A88F-CDF583E77911}"/>
    <hyperlink ref="DA3434" location="'CM Rec Par.'!DA2908" display="'CM Rec Par.'!DA2908" xr:uid="{4C433398-3BC2-44CC-A9F4-A3818CC31319}"/>
    <hyperlink ref="DA3435" location="'CM Rec Par.'!DA3008" display="'CM Rec Par.'!DA3008" xr:uid="{DEC54E50-9F36-41BC-9B11-6E5DA5467AB7}"/>
    <hyperlink ref="DA3436" location="'CM Rec Par.'!DA3108" display="'CM Rec Par.'!DA3108" xr:uid="{F199A184-1084-47D5-BDC0-88BED1720F7C}"/>
    <hyperlink ref="DA3437" location="'CM Rec Par.'!DA3208" display="'CM Rec Par.'!DA3208" xr:uid="{E2481543-0147-439D-8C13-67183D23E5B6}"/>
    <hyperlink ref="DA3438" location="'CM Rec Par.'!DA3308" display="'CM Rec Par.'!DA3308" xr:uid="{CB1341BF-E68D-4F4D-B36C-64D4A641B293}"/>
    <hyperlink ref="DA3439" location="'CM Rec Par.'!DA3408" display="'CM Rec Par.'!DA3408" xr:uid="{BE55E543-E358-4CC6-95D0-8BCC9DAD1EEA}"/>
    <hyperlink ref="EA56" location="'CM Rec Par.'!EA536" display="'CM Rec Par.'!EA536" xr:uid="{F34E8EF6-F0AC-4EE2-9901-7AF211539BCE}"/>
    <hyperlink ref="EA610" location="'CM Rec Par.'!EA508" display="'CM Rec Par.'!EA508" xr:uid="{E1C44FFF-DAA3-4516-A00E-6D6337BA2D13}"/>
    <hyperlink ref="EA609" location="'CM Rec Par.'!EA50" display="Process" xr:uid="{1D552A4E-3B08-48A6-B2E7-E3780871EFEF}"/>
    <hyperlink ref="EA608" location="'CM Rec Par.'!EA6" display="Top" xr:uid="{C228D630-9450-4A8A-8B4B-03F277587539}"/>
    <hyperlink ref="EA611" location="'CM Rec Par.'!EA608" display="'CM Rec Par.'!EA608" xr:uid="{CEC6F723-F402-4405-B8AC-6F0ADBAE71F0}"/>
    <hyperlink ref="EA612" location="'CM Rec Par.'!EA708" display="'CM Rec Par.'!EA708" xr:uid="{2D33D54F-86E5-4C24-A9DC-CB3BE5D805E6}"/>
    <hyperlink ref="EA613" location="'CM Rec Par.'!EA808" display="'CM Rec Par.'!EA808" xr:uid="{807CD37F-B4AA-4EE5-8B33-66840D482978}"/>
    <hyperlink ref="EA614" location="'CM Rec Par.'!EA908" display="'CM Rec Par.'!EA908" xr:uid="{6D30D1AD-4723-4691-94E8-70F2676766F0}"/>
    <hyperlink ref="EA615" location="'CM Rec Par.'!EA1008" display="'CM Rec Par.'!EA1008" xr:uid="{15556AD0-4CE5-4C91-BE5D-097673C4FBA1}"/>
    <hyperlink ref="EA616" location="'CM Rec Par.'!EA1108" display="'CM Rec Par.'!EA1108" xr:uid="{D8F4D66D-D823-446A-8B1C-E112EEA53BF6}"/>
    <hyperlink ref="EA617" location="'CM Rec Par.'!EA1208" display="'CM Rec Par.'!EA1208" xr:uid="{43BD5D1E-4281-4E02-BBDA-56FC0A19129E}"/>
    <hyperlink ref="EA618" location="'CM Rec Par.'!EA1308" display="'CM Rec Par.'!EA1308" xr:uid="{F9B2DEED-6617-448D-A4B2-C8F685919029}"/>
    <hyperlink ref="EA619" location="'CM Rec Par.'!EA1408" display="'CM Rec Par.'!EA1408" xr:uid="{61F973B8-B6FD-49CE-AFBD-D2A103E2F179}"/>
    <hyperlink ref="EA620" location="'CM Rec Par.'!EA1508" display="'CM Rec Par.'!EA1508" xr:uid="{977733BC-EDEB-4598-B708-EF67007A7A45}"/>
    <hyperlink ref="EA621" location="'CM Rec Par.'!EA1608" display="'CM Rec Par.'!EA1608" xr:uid="{0AC241E0-8819-46AD-9A25-50C0CE15AFC4}"/>
    <hyperlink ref="EA622" location="'CM Rec Par.'!EA1708" display="'CM Rec Par.'!EA1708" xr:uid="{4FF78C33-04BF-4C1E-8646-182551E6B1CE}"/>
    <hyperlink ref="EA623" location="'CM Rec Par.'!EA1808" display="'CM Rec Par.'!EA1808" xr:uid="{687A260A-9FA6-4AC1-9317-E4DEE8641D07}"/>
    <hyperlink ref="EA624" location="'CM Rec Par.'!EA1908" display="'CM Rec Par.'!EA1908" xr:uid="{EA0DB224-F97E-432E-8AF7-A18508B0789E}"/>
    <hyperlink ref="EA625" location="'CM Rec Par.'!EA2008" display="'CM Rec Par.'!EA2008" xr:uid="{3F2A56AE-8D24-4CCD-8619-B4BAAD6CB418}"/>
    <hyperlink ref="EA626" location="'CM Rec Par.'!EA2108" display="'CM Rec Par.'!EA2108" xr:uid="{32C3C3C7-E39D-4157-B124-D24E6D6B9BEE}"/>
    <hyperlink ref="EA627" location="'CM Rec Par.'!EA2208" display="'CM Rec Par.'!EA2208" xr:uid="{C7C5AE95-A3D9-48CA-A5C3-9F8A7CEBD39A}"/>
    <hyperlink ref="EA628" location="'CM Rec Par.'!EA2308" display="'CM Rec Par.'!EA2308" xr:uid="{F7F70531-758F-4E21-B8F4-303C06FF3DB1}"/>
    <hyperlink ref="EA629" location="'CM Rec Par.'!EA2408" display="'CM Rec Par.'!EA2408" xr:uid="{CEE103D9-A098-4AA7-A52B-492EFDED8FB3}"/>
    <hyperlink ref="EA630" location="'CM Rec Par.'!EA2508" display="'CM Rec Par.'!EA2508" xr:uid="{B8A3AF61-789A-451C-97F1-8000261627E0}"/>
    <hyperlink ref="EA631" location="'CM Rec Par.'!EA2608" display="'CM Rec Par.'!EA2608" xr:uid="{F8A4BBAC-DCB1-48F1-9C57-A96646B49758}"/>
    <hyperlink ref="EA632" location="'CM Rec Par.'!EA2708" display="'CM Rec Par.'!EA2708" xr:uid="{E2E77F68-62A8-4ADE-9F9A-FC5A89CCB3AB}"/>
    <hyperlink ref="EA633" location="'CM Rec Par.'!EA2808" display="'CM Rec Par.'!EA2808" xr:uid="{54BC4AB4-78C4-41E9-A7A9-FF6A95A4F454}"/>
    <hyperlink ref="EA634" location="'CM Rec Par.'!EA2908" display="'CM Rec Par.'!EA2908" xr:uid="{07D521AA-23E4-45BC-B820-2EEFDBF386BF}"/>
    <hyperlink ref="EA635" location="'CM Rec Par.'!EA3008" display="'CM Rec Par.'!EA3008" xr:uid="{436DC23F-8CA4-431F-960C-3B4256ED3C84}"/>
    <hyperlink ref="EA636" location="'CM Rec Par.'!EA3108" display="'CM Rec Par.'!EA3108" xr:uid="{2DC38B4D-7197-452C-9ADF-0D4AEA1E8EC0}"/>
    <hyperlink ref="EA637" location="'CM Rec Par.'!EA3208" display="'CM Rec Par.'!EA3208" xr:uid="{70260C97-D649-4E81-AF19-4C39B4F15C1D}"/>
    <hyperlink ref="EA638" location="'CM Rec Par.'!EA3308" display="'CM Rec Par.'!EA3308" xr:uid="{7D195F4B-3518-436C-B55D-516E06939213}"/>
    <hyperlink ref="EA639" location="'CM Rec Par.'!EA3408" display="'CM Rec Par.'!EA3408" xr:uid="{7F229F0A-09CC-4D7C-97FD-CB53FD090165}"/>
    <hyperlink ref="EA710" location="'CM Rec Par.'!EA508" display="'CM Rec Par.'!EA508" xr:uid="{5E0AA5C9-715B-46B6-B73C-FBB10B030256}"/>
    <hyperlink ref="EA709" location="'CM Rec Par.'!EA50" display="Process" xr:uid="{19ADE2BE-2182-48D6-894B-94D89B3B33DD}"/>
    <hyperlink ref="EA708" location="'CM Rec Par.'!EA6" display="Top" xr:uid="{A3CBD3FF-D270-4897-AC03-63B8527FBC99}"/>
    <hyperlink ref="EA711" location="'CM Rec Par.'!EA608" display="'CM Rec Par.'!EA608" xr:uid="{A94C9EFF-13A8-412A-B669-EDF342A543A0}"/>
    <hyperlink ref="EA712" location="'CM Rec Par.'!EA708" display="'CM Rec Par.'!EA708" xr:uid="{2E2B272B-2BCF-417F-B203-461D8565C14E}"/>
    <hyperlink ref="EA713" location="'CM Rec Par.'!EA808" display="'CM Rec Par.'!EA808" xr:uid="{C005CD3F-979A-4A57-B5E7-9787DB45D20C}"/>
    <hyperlink ref="EA714" location="'CM Rec Par.'!EA908" display="'CM Rec Par.'!EA908" xr:uid="{55AF6ED3-5E38-43AE-8129-F838A24344F3}"/>
    <hyperlink ref="EA715" location="'CM Rec Par.'!EA1008" display="'CM Rec Par.'!EA1008" xr:uid="{FFEBD03A-2CEF-47DA-9676-5B464D0D053D}"/>
    <hyperlink ref="EA716" location="'CM Rec Par.'!EA1108" display="'CM Rec Par.'!EA1108" xr:uid="{A3408BF7-61E6-421B-9CC9-1B8E13B9FBFB}"/>
    <hyperlink ref="EA717" location="'CM Rec Par.'!EA1208" display="'CM Rec Par.'!EA1208" xr:uid="{04BB43B5-56AE-4772-909B-FE0D540BB77F}"/>
    <hyperlink ref="EA718" location="'CM Rec Par.'!EA1308" display="'CM Rec Par.'!EA1308" xr:uid="{7B2B24AA-6B6F-4AF7-998C-D84F91DB39B9}"/>
    <hyperlink ref="EA719" location="'CM Rec Par.'!EA1408" display="'CM Rec Par.'!EA1408" xr:uid="{9849F632-06C7-4A1F-B6E0-A988019BCDDE}"/>
    <hyperlink ref="EA720" location="'CM Rec Par.'!EA1508" display="'CM Rec Par.'!EA1508" xr:uid="{40D44B28-2F1F-4340-BEC1-756347D039BB}"/>
    <hyperlink ref="EA721" location="'CM Rec Par.'!EA1608" display="'CM Rec Par.'!EA1608" xr:uid="{4E581ED7-8662-4F4B-84C4-55A72B39DD0D}"/>
    <hyperlink ref="EA722" location="'CM Rec Par.'!EA1708" display="'CM Rec Par.'!EA1708" xr:uid="{D272E590-44FC-4657-A602-A29E67EF01F0}"/>
    <hyperlink ref="EA723" location="'CM Rec Par.'!EA1808" display="'CM Rec Par.'!EA1808" xr:uid="{FB672C96-7546-42AA-9506-931F18EC9112}"/>
    <hyperlink ref="EA724" location="'CM Rec Par.'!EA1908" display="'CM Rec Par.'!EA1908" xr:uid="{FF0D09AF-92FD-4876-B833-E0D38218363F}"/>
    <hyperlink ref="EA725" location="'CM Rec Par.'!EA2008" display="'CM Rec Par.'!EA2008" xr:uid="{AC2977B8-26D4-4DF8-87B2-1A63ECBB499A}"/>
    <hyperlink ref="EA726" location="'CM Rec Par.'!EA2108" display="'CM Rec Par.'!EA2108" xr:uid="{03A82143-BA0B-4BBE-884F-1190AB3EEF5C}"/>
    <hyperlink ref="EA727" location="'CM Rec Par.'!EA2208" display="'CM Rec Par.'!EA2208" xr:uid="{EDD2F1FA-C5BC-4E21-9411-E4E65E0272BB}"/>
    <hyperlink ref="EA728" location="'CM Rec Par.'!EA2308" display="'CM Rec Par.'!EA2308" xr:uid="{97AFDDEE-7030-4617-8E51-A5FFD0674378}"/>
    <hyperlink ref="EA729" location="'CM Rec Par.'!EA2408" display="'CM Rec Par.'!EA2408" xr:uid="{4D728C71-1F7E-4EED-A7DD-1F7766DA0CC9}"/>
    <hyperlink ref="EA730" location="'CM Rec Par.'!EA2508" display="'CM Rec Par.'!EA2508" xr:uid="{21C76879-403F-407E-8193-886819448ABC}"/>
    <hyperlink ref="EA731" location="'CM Rec Par.'!EA2608" display="'CM Rec Par.'!EA2608" xr:uid="{7AA44ECF-8F2B-41A4-85A8-CAB08C821AEA}"/>
    <hyperlink ref="EA732" location="'CM Rec Par.'!EA2708" display="'CM Rec Par.'!EA2708" xr:uid="{8D01C922-04E3-42E7-8B61-F7C357016710}"/>
    <hyperlink ref="EA733" location="'CM Rec Par.'!EA2808" display="'CM Rec Par.'!EA2808" xr:uid="{FD4310B0-C63A-4905-9631-0AC3C9A028B3}"/>
    <hyperlink ref="EA734" location="'CM Rec Par.'!EA2908" display="'CM Rec Par.'!EA2908" xr:uid="{1E91A1E7-0F90-4D43-A175-29D0280D402F}"/>
    <hyperlink ref="EA735" location="'CM Rec Par.'!EA3008" display="'CM Rec Par.'!EA3008" xr:uid="{26FFFEDE-21E2-45E9-8FC9-D9BB7A155D62}"/>
    <hyperlink ref="EA736" location="'CM Rec Par.'!EA3108" display="'CM Rec Par.'!EA3108" xr:uid="{143C3F1C-3EC8-4887-862C-1902B1F49EEE}"/>
    <hyperlink ref="EA737" location="'CM Rec Par.'!EA3208" display="'CM Rec Par.'!EA3208" xr:uid="{1A11B259-76D0-448C-926A-75CD848A7728}"/>
    <hyperlink ref="EA738" location="'CM Rec Par.'!EA3308" display="'CM Rec Par.'!EA3308" xr:uid="{FB1E0699-B03E-4E3B-B438-ACC07E1EFB93}"/>
    <hyperlink ref="EA739" location="'CM Rec Par.'!EA3408" display="'CM Rec Par.'!EA3408" xr:uid="{3ADA36DD-D15B-4453-A382-7CC7D6945DE9}"/>
    <hyperlink ref="EA810" location="'CM Rec Par.'!EA508" display="'CM Rec Par.'!EA508" xr:uid="{80E87EB3-788B-48E4-9F9B-BC1AC2742F18}"/>
    <hyperlink ref="EA809" location="'CM Rec Par.'!EA50" display="Process" xr:uid="{C3A928FB-045F-434D-B580-C0098B25F719}"/>
    <hyperlink ref="EA808" location="'CM Rec Par.'!EA6" display="Top" xr:uid="{74E74413-BD97-4D22-A15A-5D927BD5DFBF}"/>
    <hyperlink ref="EA811" location="'CM Rec Par.'!EA608" display="'CM Rec Par.'!EA608" xr:uid="{F39D79BF-33CA-4FBB-8C29-AD55205CBDFA}"/>
    <hyperlink ref="EA812" location="'CM Rec Par.'!EA708" display="'CM Rec Par.'!EA708" xr:uid="{9DDD3907-F48A-47EB-98B9-3C0F1CF0CC88}"/>
    <hyperlink ref="EA813" location="'CM Rec Par.'!EA808" display="'CM Rec Par.'!EA808" xr:uid="{B27B63C8-EE11-4683-81AB-D1A5D02013F6}"/>
    <hyperlink ref="EA814" location="'CM Rec Par.'!EA908" display="'CM Rec Par.'!EA908" xr:uid="{E3539B43-2E84-48A2-B7D5-0D1513C8963E}"/>
    <hyperlink ref="EA815" location="'CM Rec Par.'!EA1008" display="'CM Rec Par.'!EA1008" xr:uid="{762A2763-F76B-42C2-A259-63154A9B369D}"/>
    <hyperlink ref="EA816" location="'CM Rec Par.'!EA1108" display="'CM Rec Par.'!EA1108" xr:uid="{84B22BB2-90E9-430D-8DEE-1E2F4B0F3C8B}"/>
    <hyperlink ref="EA817" location="'CM Rec Par.'!EA1208" display="'CM Rec Par.'!EA1208" xr:uid="{95D16FB1-10E9-4880-A5A2-BDFD70C8E9C8}"/>
    <hyperlink ref="EA818" location="'CM Rec Par.'!EA1308" display="'CM Rec Par.'!EA1308" xr:uid="{73FF56F0-6626-4ED0-9478-0A0C1941B8E5}"/>
    <hyperlink ref="EA819" location="'CM Rec Par.'!EA1408" display="'CM Rec Par.'!EA1408" xr:uid="{EB04225C-7513-49B4-BBE0-03D2256D3218}"/>
    <hyperlink ref="EA820" location="'CM Rec Par.'!EA1508" display="'CM Rec Par.'!EA1508" xr:uid="{7A27EBF7-4630-4A8A-A329-0394FAE49737}"/>
    <hyperlink ref="EA821" location="'CM Rec Par.'!EA1608" display="'CM Rec Par.'!EA1608" xr:uid="{049C74AD-6CB4-44E5-8CA7-AC7E9BB16408}"/>
    <hyperlink ref="EA822" location="'CM Rec Par.'!EA1708" display="'CM Rec Par.'!EA1708" xr:uid="{A059D7AF-9031-406E-9FAC-8B7E2478BF63}"/>
    <hyperlink ref="EA823" location="'CM Rec Par.'!EA1808" display="'CM Rec Par.'!EA1808" xr:uid="{92717965-4AF6-4985-8B5E-FCD774C2754A}"/>
    <hyperlink ref="EA824" location="'CM Rec Par.'!EA1908" display="'CM Rec Par.'!EA1908" xr:uid="{3B4B0376-1B16-4170-8A0E-1CA88396C47C}"/>
    <hyperlink ref="EA825" location="'CM Rec Par.'!EA2008" display="'CM Rec Par.'!EA2008" xr:uid="{4D63A6C8-5297-4837-8654-0893B4E3F440}"/>
    <hyperlink ref="EA826" location="'CM Rec Par.'!EA2108" display="'CM Rec Par.'!EA2108" xr:uid="{04051696-A283-47F4-BD63-33D2F5CA9350}"/>
    <hyperlink ref="EA827" location="'CM Rec Par.'!EA2208" display="'CM Rec Par.'!EA2208" xr:uid="{70E8FF46-9EB5-4BF1-9F81-07A784750951}"/>
    <hyperlink ref="EA828" location="'CM Rec Par.'!EA2308" display="'CM Rec Par.'!EA2308" xr:uid="{B6B07F0D-B881-4DBF-AB0B-F14D2BE791B7}"/>
    <hyperlink ref="EA829" location="'CM Rec Par.'!EA2408" display="'CM Rec Par.'!EA2408" xr:uid="{C73A228D-C619-490C-AFD9-D99D232B06B8}"/>
    <hyperlink ref="EA830" location="'CM Rec Par.'!EA2508" display="'CM Rec Par.'!EA2508" xr:uid="{B75EA876-A933-48D1-9B03-070BD96AF0A8}"/>
    <hyperlink ref="EA831" location="'CM Rec Par.'!EA2608" display="'CM Rec Par.'!EA2608" xr:uid="{FA9934B4-0339-4F4E-AA2C-DAAD6FAB2F48}"/>
    <hyperlink ref="EA832" location="'CM Rec Par.'!EA2708" display="'CM Rec Par.'!EA2708" xr:uid="{C4BD2181-C3AE-4C95-A30E-065DCA1ABFB8}"/>
    <hyperlink ref="EA833" location="'CM Rec Par.'!EA2808" display="'CM Rec Par.'!EA2808" xr:uid="{ED5BB684-5CB0-4F90-9437-4EDC7334AE82}"/>
    <hyperlink ref="EA834" location="'CM Rec Par.'!EA2908" display="'CM Rec Par.'!EA2908" xr:uid="{05E5ED2E-A3F1-4FAA-9EB3-6612C9B28035}"/>
    <hyperlink ref="EA835" location="'CM Rec Par.'!EA3008" display="'CM Rec Par.'!EA3008" xr:uid="{D5542142-15E9-4A5F-8A58-84F2E439A257}"/>
    <hyperlink ref="EA836" location="'CM Rec Par.'!EA3108" display="'CM Rec Par.'!EA3108" xr:uid="{3CE479E2-6BF5-4F46-852F-F246AFA2A3A7}"/>
    <hyperlink ref="EA837" location="'CM Rec Par.'!EA3208" display="'CM Rec Par.'!EA3208" xr:uid="{BCC1120D-876F-460F-8E0D-4178429FD2A0}"/>
    <hyperlink ref="EA838" location="'CM Rec Par.'!EA3308" display="'CM Rec Par.'!EA3308" xr:uid="{9A00627B-C7DA-496A-A6A5-3E5AEF6E3628}"/>
    <hyperlink ref="EA839" location="'CM Rec Par.'!EA3408" display="'CM Rec Par.'!EA3408" xr:uid="{B53ECA73-2DE6-4636-83C1-FD1508F8A2A5}"/>
    <hyperlink ref="EA910" location="'CM Rec Par.'!EA508" display="'CM Rec Par.'!EA508" xr:uid="{03CEC329-417E-41DF-BE60-0661DA5904D4}"/>
    <hyperlink ref="EA909" location="'CM Rec Par.'!EA50" display="Process" xr:uid="{20E7EC53-5ECB-4C08-939A-E7AB5390D596}"/>
    <hyperlink ref="EA908" location="'CM Rec Par.'!EA6" display="Top" xr:uid="{4D370462-C9B8-4C90-9AEE-677C4907D48F}"/>
    <hyperlink ref="EA911" location="'CM Rec Par.'!EA608" display="'CM Rec Par.'!EA608" xr:uid="{0FB39589-2EB4-42E7-910F-15D16332936E}"/>
    <hyperlink ref="EA912" location="'CM Rec Par.'!EA708" display="'CM Rec Par.'!EA708" xr:uid="{F25C74F3-F141-4603-998B-0193AD68A770}"/>
    <hyperlink ref="EA913" location="'CM Rec Par.'!EA808" display="'CM Rec Par.'!EA808" xr:uid="{0FF2DC84-6302-47E5-BD18-1965E64D4250}"/>
    <hyperlink ref="EA914" location="'CM Rec Par.'!EA908" display="'CM Rec Par.'!EA908" xr:uid="{BDD3D844-9964-4110-A601-938669016586}"/>
    <hyperlink ref="EA915" location="'CM Rec Par.'!EA1008" display="'CM Rec Par.'!EA1008" xr:uid="{AAFF1113-1762-4343-92B4-925EDA14ECF2}"/>
    <hyperlink ref="EA916" location="'CM Rec Par.'!EA1108" display="'CM Rec Par.'!EA1108" xr:uid="{6D573ADB-78B6-4DB4-9C6C-04839A2A8F2D}"/>
    <hyperlink ref="EA917" location="'CM Rec Par.'!EA1208" display="'CM Rec Par.'!EA1208" xr:uid="{DE59C34E-7D42-42A4-9782-6DA6AD286892}"/>
    <hyperlink ref="EA918" location="'CM Rec Par.'!EA1308" display="'CM Rec Par.'!EA1308" xr:uid="{910736E4-4AD0-41A6-8AF0-5E493E5798E8}"/>
    <hyperlink ref="EA919" location="'CM Rec Par.'!EA1408" display="'CM Rec Par.'!EA1408" xr:uid="{DF557B17-24FB-4AE1-9002-B169556B3D15}"/>
    <hyperlink ref="EA920" location="'CM Rec Par.'!EA1508" display="'CM Rec Par.'!EA1508" xr:uid="{7594CCAE-2CDA-4D20-B9BB-8990A721E302}"/>
    <hyperlink ref="EA921" location="'CM Rec Par.'!EA1608" display="'CM Rec Par.'!EA1608" xr:uid="{20F2B144-FA04-4D4B-A893-9DC3399B90F8}"/>
    <hyperlink ref="EA922" location="'CM Rec Par.'!EA1708" display="'CM Rec Par.'!EA1708" xr:uid="{EB47541F-5A6B-40BA-B821-FED3D31E5565}"/>
    <hyperlink ref="EA923" location="'CM Rec Par.'!EA1808" display="'CM Rec Par.'!EA1808" xr:uid="{EDA85118-1EA2-46F7-B57B-520181216C9D}"/>
    <hyperlink ref="EA924" location="'CM Rec Par.'!EA1908" display="'CM Rec Par.'!EA1908" xr:uid="{700090DF-9EED-4BA3-8DB5-3BDA7E23919E}"/>
    <hyperlink ref="EA925" location="'CM Rec Par.'!EA2008" display="'CM Rec Par.'!EA2008" xr:uid="{356C9DF2-17CA-46C1-84EC-1C000F2D7626}"/>
    <hyperlink ref="EA926" location="'CM Rec Par.'!EA2108" display="'CM Rec Par.'!EA2108" xr:uid="{1C4D2ACC-0459-4ACF-8A66-C097A344243C}"/>
    <hyperlink ref="EA927" location="'CM Rec Par.'!EA2208" display="'CM Rec Par.'!EA2208" xr:uid="{923E3601-5A6D-4608-ACA3-D7E14903B0CF}"/>
    <hyperlink ref="EA928" location="'CM Rec Par.'!EA2308" display="'CM Rec Par.'!EA2308" xr:uid="{5E57F79A-5FDB-481D-8174-98E024D12179}"/>
    <hyperlink ref="EA929" location="'CM Rec Par.'!EA2408" display="'CM Rec Par.'!EA2408" xr:uid="{853E3E41-427A-406F-9744-4204E8269EA3}"/>
    <hyperlink ref="EA930" location="'CM Rec Par.'!EA2508" display="'CM Rec Par.'!EA2508" xr:uid="{679FDF27-DF5F-488F-BD0F-8206A923354D}"/>
    <hyperlink ref="EA931" location="'CM Rec Par.'!EA2608" display="'CM Rec Par.'!EA2608" xr:uid="{1C1EF220-FC17-460B-85D0-0E9221023D3E}"/>
    <hyperlink ref="EA932" location="'CM Rec Par.'!EA2708" display="'CM Rec Par.'!EA2708" xr:uid="{DEDF2E84-8251-4D40-A7C9-BC84F8E028A6}"/>
    <hyperlink ref="EA933" location="'CM Rec Par.'!EA2808" display="'CM Rec Par.'!EA2808" xr:uid="{C1D403A6-A780-4ADB-A7EF-59078527650D}"/>
    <hyperlink ref="EA934" location="'CM Rec Par.'!EA2908" display="'CM Rec Par.'!EA2908" xr:uid="{A904A20C-95C3-4ADE-85D4-065F0226639D}"/>
    <hyperlink ref="EA935" location="'CM Rec Par.'!EA3008" display="'CM Rec Par.'!EA3008" xr:uid="{79158509-5C7F-4B85-818D-BE81A0B5B9A9}"/>
    <hyperlink ref="EA936" location="'CM Rec Par.'!EA3108" display="'CM Rec Par.'!EA3108" xr:uid="{8D48C390-B9B5-4E6A-9ED8-6C80F4AE9A81}"/>
    <hyperlink ref="EA937" location="'CM Rec Par.'!EA3208" display="'CM Rec Par.'!EA3208" xr:uid="{02523DD4-59CF-451A-9BD8-F5979783A483}"/>
    <hyperlink ref="EA938" location="'CM Rec Par.'!EA3308" display="'CM Rec Par.'!EA3308" xr:uid="{59266039-B296-4E3F-89AD-7CB297E30AF5}"/>
    <hyperlink ref="EA939" location="'CM Rec Par.'!EA3408" display="'CM Rec Par.'!EA3408" xr:uid="{C37A3023-091A-41F8-A801-25D284E5AC68}"/>
    <hyperlink ref="EA1010" location="'CM Rec Par.'!EA508" display="'CM Rec Par.'!EA508" xr:uid="{0F27CFBB-3229-4AAE-A307-A06E750C1056}"/>
    <hyperlink ref="EA1009" location="'CM Rec Par.'!EA50" display="Process" xr:uid="{6E95548E-82FF-4926-A26C-CF1553F4CC5D}"/>
    <hyperlink ref="EA1008" location="'CM Rec Par.'!EA6" display="Top" xr:uid="{A51489B1-8CAB-4C87-AFB0-A82F649A41A0}"/>
    <hyperlink ref="EA1011" location="'CM Rec Par.'!EA608" display="'CM Rec Par.'!EA608" xr:uid="{C952B158-C0EE-4470-A7A5-9519F0A57E07}"/>
    <hyperlink ref="EA1012" location="'CM Rec Par.'!EA708" display="'CM Rec Par.'!EA708" xr:uid="{A8CE68B5-F897-42DA-803A-3F70A226907E}"/>
    <hyperlink ref="EA1013" location="'CM Rec Par.'!EA808" display="'CM Rec Par.'!EA808" xr:uid="{CD1E829E-96E9-4538-96C2-FA547862BFB7}"/>
    <hyperlink ref="EA1014" location="'CM Rec Par.'!EA908" display="'CM Rec Par.'!EA908" xr:uid="{1DD2E2D9-00CF-4E74-ABF1-313F5C49BC6F}"/>
    <hyperlink ref="EA1015" location="'CM Rec Par.'!EA1008" display="'CM Rec Par.'!EA1008" xr:uid="{71037373-F21E-417D-B50D-AD07D5373271}"/>
    <hyperlink ref="EA1016" location="'CM Rec Par.'!EA1108" display="'CM Rec Par.'!EA1108" xr:uid="{918059F1-52DE-4801-92F6-3D9A8B16D771}"/>
    <hyperlink ref="EA1017" location="'CM Rec Par.'!EA1208" display="'CM Rec Par.'!EA1208" xr:uid="{10483492-E56E-4E0D-AC97-8787A0BA52A7}"/>
    <hyperlink ref="EA1018" location="'CM Rec Par.'!EA1308" display="'CM Rec Par.'!EA1308" xr:uid="{40C56DCB-C15B-4791-9E7F-840639E35E92}"/>
    <hyperlink ref="EA1019" location="'CM Rec Par.'!EA1408" display="'CM Rec Par.'!EA1408" xr:uid="{EDDE20A8-2D2C-4F07-A2F2-26DB34561DA1}"/>
    <hyperlink ref="EA1020" location="'CM Rec Par.'!EA1508" display="'CM Rec Par.'!EA1508" xr:uid="{B3730FCE-428E-47D3-A713-96F34304BD83}"/>
    <hyperlink ref="EA1021" location="'CM Rec Par.'!EA1608" display="'CM Rec Par.'!EA1608" xr:uid="{904F5EE7-C34E-4F70-892C-94DB5B3A0CA9}"/>
    <hyperlink ref="EA1022" location="'CM Rec Par.'!EA1708" display="'CM Rec Par.'!EA1708" xr:uid="{E301EB05-FB1B-48C1-9A6E-392BFB460C2B}"/>
    <hyperlink ref="EA1023" location="'CM Rec Par.'!EA1808" display="'CM Rec Par.'!EA1808" xr:uid="{7DD0B063-9BE2-4607-9C4F-50A89BF591A2}"/>
    <hyperlink ref="EA1024" location="'CM Rec Par.'!EA1908" display="'CM Rec Par.'!EA1908" xr:uid="{A211F618-4684-4FDC-988F-0F3696D99EC9}"/>
    <hyperlink ref="EA1025" location="'CM Rec Par.'!EA2008" display="'CM Rec Par.'!EA2008" xr:uid="{475D2C69-7823-4E17-87E4-2DD8FC8DDF8F}"/>
    <hyperlink ref="EA1026" location="'CM Rec Par.'!EA2108" display="'CM Rec Par.'!EA2108" xr:uid="{ABC7B417-D521-401C-971D-40F2C60C6506}"/>
    <hyperlink ref="EA1027" location="'CM Rec Par.'!EA2208" display="'CM Rec Par.'!EA2208" xr:uid="{DF109635-3BED-4993-9697-617D86E7D394}"/>
    <hyperlink ref="EA1028" location="'CM Rec Par.'!EA2308" display="'CM Rec Par.'!EA2308" xr:uid="{8DDE196B-32DA-471F-9E25-260F0BD15AD0}"/>
    <hyperlink ref="EA1029" location="'CM Rec Par.'!EA2408" display="'CM Rec Par.'!EA2408" xr:uid="{91DB3208-9290-49A2-BC72-390E293B8952}"/>
    <hyperlink ref="EA1030" location="'CM Rec Par.'!EA2508" display="'CM Rec Par.'!EA2508" xr:uid="{0899E5AC-C90E-4F31-89B0-5D8F2E630699}"/>
    <hyperlink ref="EA1031" location="'CM Rec Par.'!EA2608" display="'CM Rec Par.'!EA2608" xr:uid="{09036462-DEF8-4CCD-9ADB-40A9F1C57CD7}"/>
    <hyperlink ref="EA1032" location="'CM Rec Par.'!EA2708" display="'CM Rec Par.'!EA2708" xr:uid="{66D26E01-2D7B-4CC6-A9E5-F1B171AE6B22}"/>
    <hyperlink ref="EA1033" location="'CM Rec Par.'!EA2808" display="'CM Rec Par.'!EA2808" xr:uid="{B67BC32B-F2F3-4095-BB1E-BDF537C23B97}"/>
    <hyperlink ref="EA1034" location="'CM Rec Par.'!EA2908" display="'CM Rec Par.'!EA2908" xr:uid="{00A4E806-8085-4126-A6D4-DEAC662B5D38}"/>
    <hyperlink ref="EA1035" location="'CM Rec Par.'!EA3008" display="'CM Rec Par.'!EA3008" xr:uid="{C1CBAF81-3FD7-4615-94E8-694AEB1C6DD6}"/>
    <hyperlink ref="EA1036" location="'CM Rec Par.'!EA3108" display="'CM Rec Par.'!EA3108" xr:uid="{58BD4B2C-37FC-4A68-B430-F70DA895E2E6}"/>
    <hyperlink ref="EA1037" location="'CM Rec Par.'!EA3208" display="'CM Rec Par.'!EA3208" xr:uid="{2D1983D1-4E98-4587-9CFE-7F6097834D9F}"/>
    <hyperlink ref="EA1038" location="'CM Rec Par.'!EA3308" display="'CM Rec Par.'!EA3308" xr:uid="{2054FE6E-0484-4CB4-B41A-F8ACA2EB1867}"/>
    <hyperlink ref="EA1039" location="'CM Rec Par.'!EA3408" display="'CM Rec Par.'!EA3408" xr:uid="{3F143197-3CEF-456F-BA0A-FC38E2E7CE68}"/>
    <hyperlink ref="EA1110" location="'CM Rec Par.'!EA508" display="'CM Rec Par.'!EA508" xr:uid="{BAD449F0-A685-4D36-B09E-AC5B834D6A15}"/>
    <hyperlink ref="EA1109" location="'CM Rec Par.'!EA50" display="Process" xr:uid="{F248F78D-61FF-4D2A-B312-9D279A488064}"/>
    <hyperlink ref="EA1108" location="'CM Rec Par.'!EA6" display="Top" xr:uid="{8D2E7D16-2C12-48FD-AC9D-57E11317D5F2}"/>
    <hyperlink ref="EA1111" location="'CM Rec Par.'!EA608" display="'CM Rec Par.'!EA608" xr:uid="{87BDDE91-B862-4958-951E-11033AA497F0}"/>
    <hyperlink ref="EA1112" location="'CM Rec Par.'!EA708" display="'CM Rec Par.'!EA708" xr:uid="{977EC10C-6259-4DA8-B5AC-54F6663D2367}"/>
    <hyperlink ref="EA1113" location="'CM Rec Par.'!EA808" display="'CM Rec Par.'!EA808" xr:uid="{8A047D7D-17C2-4D0A-BDCB-7D5324371254}"/>
    <hyperlink ref="EA1114" location="'CM Rec Par.'!EA908" display="'CM Rec Par.'!EA908" xr:uid="{3C55DF11-4FB8-4A4E-9F7C-ECCC11FF3F05}"/>
    <hyperlink ref="EA1115" location="'CM Rec Par.'!EA1008" display="'CM Rec Par.'!EA1008" xr:uid="{297A4805-B824-4796-A8E2-2D78BFB7257C}"/>
    <hyperlink ref="EA1116" location="'CM Rec Par.'!EA1108" display="'CM Rec Par.'!EA1108" xr:uid="{C64F28D9-FF87-485B-8536-C5DB9DE16684}"/>
    <hyperlink ref="EA1117" location="'CM Rec Par.'!EA1208" display="'CM Rec Par.'!EA1208" xr:uid="{36F9B5AF-B2C2-4ACE-B4DC-5394F478ACA8}"/>
    <hyperlink ref="EA1118" location="'CM Rec Par.'!EA1308" display="'CM Rec Par.'!EA1308" xr:uid="{F560D247-23D9-4DF0-9A56-3E46BC2BE942}"/>
    <hyperlink ref="EA1119" location="'CM Rec Par.'!EA1408" display="'CM Rec Par.'!EA1408" xr:uid="{0411F3C9-D0A2-4CC7-AA65-59E43459A8D5}"/>
    <hyperlink ref="EA1120" location="'CM Rec Par.'!EA1508" display="'CM Rec Par.'!EA1508" xr:uid="{18460672-B726-489E-A081-1E32E5EB2A2D}"/>
    <hyperlink ref="EA1121" location="'CM Rec Par.'!EA1608" display="'CM Rec Par.'!EA1608" xr:uid="{256C47BC-FEA5-4168-B46F-134740CF9F4D}"/>
    <hyperlink ref="EA1122" location="'CM Rec Par.'!EA1708" display="'CM Rec Par.'!EA1708" xr:uid="{296E7C8F-7BE2-4A2C-91AF-1500C0E175A7}"/>
    <hyperlink ref="EA1123" location="'CM Rec Par.'!EA1808" display="'CM Rec Par.'!EA1808" xr:uid="{911278D8-F7E5-4CF6-993F-18D1DE947A63}"/>
    <hyperlink ref="EA1124" location="'CM Rec Par.'!EA1908" display="'CM Rec Par.'!EA1908" xr:uid="{F8F7BED3-F142-48B4-ADC3-429EAE00DF0B}"/>
    <hyperlink ref="EA1125" location="'CM Rec Par.'!EA2008" display="'CM Rec Par.'!EA2008" xr:uid="{18D2CB72-E197-4C37-A8BA-4F338D0AF883}"/>
    <hyperlink ref="EA1126" location="'CM Rec Par.'!EA2108" display="'CM Rec Par.'!EA2108" xr:uid="{9A0B47FE-835B-4837-8E56-ECF94185DD94}"/>
    <hyperlink ref="EA1127" location="'CM Rec Par.'!EA2208" display="'CM Rec Par.'!EA2208" xr:uid="{4546B4D0-7494-41D0-9A1A-BB851E2187E6}"/>
    <hyperlink ref="EA1128" location="'CM Rec Par.'!EA2308" display="'CM Rec Par.'!EA2308" xr:uid="{19308AD4-E9F7-4589-871D-6D48BC3614B6}"/>
    <hyperlink ref="EA1129" location="'CM Rec Par.'!EA2408" display="'CM Rec Par.'!EA2408" xr:uid="{71C480B8-89F3-41C9-9074-A1F958CEA3D7}"/>
    <hyperlink ref="EA1130" location="'CM Rec Par.'!EA2508" display="'CM Rec Par.'!EA2508" xr:uid="{B40CB07B-19B6-4845-B798-6523B47654E5}"/>
    <hyperlink ref="EA1131" location="'CM Rec Par.'!EA2608" display="'CM Rec Par.'!EA2608" xr:uid="{A8B81C7D-F0F9-4941-B593-5C09E0F2855A}"/>
    <hyperlink ref="EA1132" location="'CM Rec Par.'!EA2708" display="'CM Rec Par.'!EA2708" xr:uid="{2D51CD26-8BC8-4A6F-BE2B-0B97D0B315CB}"/>
    <hyperlink ref="EA1133" location="'CM Rec Par.'!EA2808" display="'CM Rec Par.'!EA2808" xr:uid="{6026D4F8-BD5F-4F28-AD4F-BC31DD44EA48}"/>
    <hyperlink ref="EA1134" location="'CM Rec Par.'!EA2908" display="'CM Rec Par.'!EA2908" xr:uid="{641826CB-82A8-4E49-8BAB-71D5AED7A5D5}"/>
    <hyperlink ref="EA1135" location="'CM Rec Par.'!EA3008" display="'CM Rec Par.'!EA3008" xr:uid="{80A1C71E-E190-4CD7-A84F-5180EB8BCA18}"/>
    <hyperlink ref="EA1136" location="'CM Rec Par.'!EA3108" display="'CM Rec Par.'!EA3108" xr:uid="{1A245E6F-ABE2-49DC-9436-C6F27AAA8743}"/>
    <hyperlink ref="EA1137" location="'CM Rec Par.'!EA3208" display="'CM Rec Par.'!EA3208" xr:uid="{C080C762-A597-406C-B92C-67627D6FE439}"/>
    <hyperlink ref="EA1138" location="'CM Rec Par.'!EA3308" display="'CM Rec Par.'!EA3308" xr:uid="{B596F3F3-3F3B-41D9-BDD1-F0F056AC3CAF}"/>
    <hyperlink ref="EA1139" location="'CM Rec Par.'!EA3408" display="'CM Rec Par.'!EA3408" xr:uid="{4E7E204B-216B-4F13-AC29-EB53F53CDDA6}"/>
    <hyperlink ref="EA1210" location="'CM Rec Par.'!EA508" display="'CM Rec Par.'!EA508" xr:uid="{1BD2CE58-93A8-4E13-8181-560BFAAAEC7D}"/>
    <hyperlink ref="EA1209" location="'CM Rec Par.'!EA50" display="Process" xr:uid="{3B9A826A-4532-481A-A68C-D18135E71F03}"/>
    <hyperlink ref="EA1208" location="'CM Rec Par.'!EA6" display="Top" xr:uid="{60DC416E-CB9A-4574-8037-5A411CC1961B}"/>
    <hyperlink ref="EA1211" location="'CM Rec Par.'!EA608" display="'CM Rec Par.'!EA608" xr:uid="{D157F642-B5BA-4FD4-8B10-8895C3F8532D}"/>
    <hyperlink ref="EA1212" location="'CM Rec Par.'!EA708" display="'CM Rec Par.'!EA708" xr:uid="{61D79A43-0577-4DA8-AD38-3AC4336AD17F}"/>
    <hyperlink ref="EA1213" location="'CM Rec Par.'!EA808" display="'CM Rec Par.'!EA808" xr:uid="{A7AA8F3C-4BB0-4095-BD8C-EF024DE5397A}"/>
    <hyperlink ref="EA1214" location="'CM Rec Par.'!EA908" display="'CM Rec Par.'!EA908" xr:uid="{2F5046E3-8E6F-4198-A03D-0FB5B638FFD8}"/>
    <hyperlink ref="EA1215" location="'CM Rec Par.'!EA1008" display="'CM Rec Par.'!EA1008" xr:uid="{DBBF2BEB-824A-4220-A074-0DA529913BA2}"/>
    <hyperlink ref="EA1216" location="'CM Rec Par.'!EA1108" display="'CM Rec Par.'!EA1108" xr:uid="{B796B7EC-F75D-484C-9B1C-5117ACD7603B}"/>
    <hyperlink ref="EA1217" location="'CM Rec Par.'!EA1208" display="'CM Rec Par.'!EA1208" xr:uid="{97BC5191-4D46-4D51-832B-109039384DF1}"/>
    <hyperlink ref="EA1218" location="'CM Rec Par.'!EA1308" display="'CM Rec Par.'!EA1308" xr:uid="{108718AE-410F-45EE-A97B-D9366704D8B8}"/>
    <hyperlink ref="EA1219" location="'CM Rec Par.'!EA1408" display="'CM Rec Par.'!EA1408" xr:uid="{7E5861FA-F0FA-497C-948C-3AA72DC88E69}"/>
    <hyperlink ref="EA1220" location="'CM Rec Par.'!EA1508" display="'CM Rec Par.'!EA1508" xr:uid="{DC80DAA7-A351-47C8-A2CC-5BF5B795774B}"/>
    <hyperlink ref="EA1221" location="'CM Rec Par.'!EA1608" display="'CM Rec Par.'!EA1608" xr:uid="{2AD0B1B3-2D62-4369-B1DF-8A50FE7CED03}"/>
    <hyperlink ref="EA1222" location="'CM Rec Par.'!EA1708" display="'CM Rec Par.'!EA1708" xr:uid="{58397DF6-6E54-4A16-B728-BC82467538A6}"/>
    <hyperlink ref="EA1223" location="'CM Rec Par.'!EA1808" display="'CM Rec Par.'!EA1808" xr:uid="{9982E312-5EED-44BE-9B80-9FB7B424AF38}"/>
    <hyperlink ref="EA1224" location="'CM Rec Par.'!EA1908" display="'CM Rec Par.'!EA1908" xr:uid="{49F5F86E-DA3B-4E4C-9CCC-F73E9900D3A5}"/>
    <hyperlink ref="EA1225" location="'CM Rec Par.'!EA2008" display="'CM Rec Par.'!EA2008" xr:uid="{052A0EB8-472A-4FA8-BFC3-1E63679D2872}"/>
    <hyperlink ref="EA1226" location="'CM Rec Par.'!EA2108" display="'CM Rec Par.'!EA2108" xr:uid="{3DAF7923-8DFD-4C90-B386-BB3ABFC87F5F}"/>
    <hyperlink ref="EA1227" location="'CM Rec Par.'!EA2208" display="'CM Rec Par.'!EA2208" xr:uid="{56DC4921-775F-409F-9442-B62AA2C911E4}"/>
    <hyperlink ref="EA1228" location="'CM Rec Par.'!EA2308" display="'CM Rec Par.'!EA2308" xr:uid="{A792741B-3355-4861-8D51-A1433A68DC50}"/>
    <hyperlink ref="EA1229" location="'CM Rec Par.'!EA2408" display="'CM Rec Par.'!EA2408" xr:uid="{43378CCE-1033-4357-AE7A-D4E05BD31421}"/>
    <hyperlink ref="EA1230" location="'CM Rec Par.'!EA2508" display="'CM Rec Par.'!EA2508" xr:uid="{2FD02346-B4E3-4081-A554-BFBC6F2AAF92}"/>
    <hyperlink ref="EA1231" location="'CM Rec Par.'!EA2608" display="'CM Rec Par.'!EA2608" xr:uid="{2E0F005A-6C5B-423D-B3A5-7DD8E7B378B9}"/>
    <hyperlink ref="EA1232" location="'CM Rec Par.'!EA2708" display="'CM Rec Par.'!EA2708" xr:uid="{7EFAE405-5AD7-4051-A735-3B99E7F3E46C}"/>
    <hyperlink ref="EA1233" location="'CM Rec Par.'!EA2808" display="'CM Rec Par.'!EA2808" xr:uid="{BB95BE78-3AA7-4EA6-86B8-A2CBBF2F1F05}"/>
    <hyperlink ref="EA1234" location="'CM Rec Par.'!EA2908" display="'CM Rec Par.'!EA2908" xr:uid="{89999F50-4DD7-494A-8523-772BF3EFAA7E}"/>
    <hyperlink ref="EA1235" location="'CM Rec Par.'!EA3008" display="'CM Rec Par.'!EA3008" xr:uid="{34B45A2A-51F2-45A6-B1B4-AD4204FA6656}"/>
    <hyperlink ref="EA1236" location="'CM Rec Par.'!EA3108" display="'CM Rec Par.'!EA3108" xr:uid="{04A4C6E0-20EB-40D8-B161-2ADBD45D343A}"/>
    <hyperlink ref="EA1237" location="'CM Rec Par.'!EA3208" display="'CM Rec Par.'!EA3208" xr:uid="{1F4A9A28-CEA5-4BF8-8BDD-58A7719AE454}"/>
    <hyperlink ref="EA1238" location="'CM Rec Par.'!EA3308" display="'CM Rec Par.'!EA3308" xr:uid="{E7BC7721-CECC-4EC6-AA47-D10F7A0F3CDC}"/>
    <hyperlink ref="EA1239" location="'CM Rec Par.'!EA3408" display="'CM Rec Par.'!EA3408" xr:uid="{EE9A771D-35D2-494F-BE60-237540AB18CD}"/>
    <hyperlink ref="EA1310" location="'CM Rec Par.'!EA508" display="'CM Rec Par.'!EA508" xr:uid="{ED3A9C22-6984-4BFB-82CA-5E8AC5C33FD1}"/>
    <hyperlink ref="EA1309" location="'CM Rec Par.'!EA50" display="Process" xr:uid="{18CB7B8E-DAB5-4D51-9B1E-D23664E9BF7A}"/>
    <hyperlink ref="EA1308" location="'CM Rec Par.'!EA6" display="Top" xr:uid="{53CA0EAC-C977-4E72-8D46-22746FC812F4}"/>
    <hyperlink ref="EA1311" location="'CM Rec Par.'!EA608" display="'CM Rec Par.'!EA608" xr:uid="{BB5B78B6-CE36-44D8-B031-2DC8141D7FAA}"/>
    <hyperlink ref="EA1312" location="'CM Rec Par.'!EA708" display="'CM Rec Par.'!EA708" xr:uid="{32B90A07-F31A-49DB-B711-F66B866CF88C}"/>
    <hyperlink ref="EA1313" location="'CM Rec Par.'!EA808" display="'CM Rec Par.'!EA808" xr:uid="{B4C6C9EE-EA54-44FD-AF60-CBFA9BDA5528}"/>
    <hyperlink ref="EA1314" location="'CM Rec Par.'!EA908" display="'CM Rec Par.'!EA908" xr:uid="{3DA04025-BF17-40C3-B753-C14E473CAF11}"/>
    <hyperlink ref="EA1315" location="'CM Rec Par.'!EA1008" display="'CM Rec Par.'!EA1008" xr:uid="{4AE27148-41F5-479B-8805-846AB60593A1}"/>
    <hyperlink ref="EA1316" location="'CM Rec Par.'!EA1108" display="'CM Rec Par.'!EA1108" xr:uid="{D3AF2F80-D478-49CC-AEB6-990ECE1214CE}"/>
    <hyperlink ref="EA1317" location="'CM Rec Par.'!EA1208" display="'CM Rec Par.'!EA1208" xr:uid="{0E382F18-A999-43DD-B209-60423D879806}"/>
    <hyperlink ref="EA1318" location="'CM Rec Par.'!EA1308" display="'CM Rec Par.'!EA1308" xr:uid="{E6304F87-F7B2-431F-BE9B-251C643139F1}"/>
    <hyperlink ref="EA1319" location="'CM Rec Par.'!EA1408" display="'CM Rec Par.'!EA1408" xr:uid="{4065EE17-80D4-4867-B5F7-60946B976793}"/>
    <hyperlink ref="EA1320" location="'CM Rec Par.'!EA1508" display="'CM Rec Par.'!EA1508" xr:uid="{775316F0-FAE6-41A2-A5CA-BBFA95D11FC8}"/>
    <hyperlink ref="EA1321" location="'CM Rec Par.'!EA1608" display="'CM Rec Par.'!EA1608" xr:uid="{E149E7AD-35E3-4236-BF6C-18F597ADF51E}"/>
    <hyperlink ref="EA1322" location="'CM Rec Par.'!EA1708" display="'CM Rec Par.'!EA1708" xr:uid="{0C95D63E-CB50-455C-A9AB-F69870453D3C}"/>
    <hyperlink ref="EA1323" location="'CM Rec Par.'!EA1808" display="'CM Rec Par.'!EA1808" xr:uid="{05F8830F-40BA-4A7A-AC18-906FF10D2CCD}"/>
    <hyperlink ref="EA1324" location="'CM Rec Par.'!EA1908" display="'CM Rec Par.'!EA1908" xr:uid="{B3C4630C-E3AD-4F36-8743-8E500096CF97}"/>
    <hyperlink ref="EA1325" location="'CM Rec Par.'!EA2008" display="'CM Rec Par.'!EA2008" xr:uid="{1B665040-8770-4FFD-9B85-D359364FF3FC}"/>
    <hyperlink ref="EA1326" location="'CM Rec Par.'!EA2108" display="'CM Rec Par.'!EA2108" xr:uid="{99ADC2A5-159A-4891-A8EB-218FA3F20B94}"/>
    <hyperlink ref="EA1327" location="'CM Rec Par.'!EA2208" display="'CM Rec Par.'!EA2208" xr:uid="{6020AB61-CF30-49F4-B62F-448BDA29C138}"/>
    <hyperlink ref="EA1328" location="'CM Rec Par.'!EA2308" display="'CM Rec Par.'!EA2308" xr:uid="{958C2E03-F1DD-45D5-B3B7-9683C32E8901}"/>
    <hyperlink ref="EA1329" location="'CM Rec Par.'!EA2408" display="'CM Rec Par.'!EA2408" xr:uid="{C6BF5FA1-27D4-48E7-8E70-79000886A8CD}"/>
    <hyperlink ref="EA1330" location="'CM Rec Par.'!EA2508" display="'CM Rec Par.'!EA2508" xr:uid="{F100A169-A394-4A32-86A1-D2A835917CC8}"/>
    <hyperlink ref="EA1331" location="'CM Rec Par.'!EA2608" display="'CM Rec Par.'!EA2608" xr:uid="{7550CC88-D671-4A16-99EB-3A4503276E9A}"/>
    <hyperlink ref="EA1332" location="'CM Rec Par.'!EA2708" display="'CM Rec Par.'!EA2708" xr:uid="{E7C5BB44-42AD-412D-9994-4520FB0AAB52}"/>
    <hyperlink ref="EA1333" location="'CM Rec Par.'!EA2808" display="'CM Rec Par.'!EA2808" xr:uid="{8C863E96-E982-47E2-94ED-F2047565DFDE}"/>
    <hyperlink ref="EA1334" location="'CM Rec Par.'!EA2908" display="'CM Rec Par.'!EA2908" xr:uid="{40492976-E8C1-4BEE-ADC1-4962AF8D5DA6}"/>
    <hyperlink ref="EA1335" location="'CM Rec Par.'!EA3008" display="'CM Rec Par.'!EA3008" xr:uid="{571B51B8-D894-49A1-A0C7-4D46453F108F}"/>
    <hyperlink ref="EA1336" location="'CM Rec Par.'!EA3108" display="'CM Rec Par.'!EA3108" xr:uid="{9727B494-7C3F-4168-BF89-319F3C6FC8FC}"/>
    <hyperlink ref="EA1337" location="'CM Rec Par.'!EA3208" display="'CM Rec Par.'!EA3208" xr:uid="{FDC842CD-D137-4482-81EF-C0399A1A22B6}"/>
    <hyperlink ref="EA1338" location="'CM Rec Par.'!EA3308" display="'CM Rec Par.'!EA3308" xr:uid="{4661849D-742A-41D1-AD6F-83D627E447EA}"/>
    <hyperlink ref="EA1339" location="'CM Rec Par.'!EA3408" display="'CM Rec Par.'!EA3408" xr:uid="{8BC7554A-4C25-44ED-B3AC-ABE4BDB18FB0}"/>
    <hyperlink ref="EA1410" location="'CM Rec Par.'!EA508" display="'CM Rec Par.'!EA508" xr:uid="{A3CD7FF9-BBCC-42F6-802A-9E70E0B5BB54}"/>
    <hyperlink ref="EA1409" location="'CM Rec Par.'!EA50" display="Process" xr:uid="{5592B40A-41C3-42D3-935A-AD3E7C994F19}"/>
    <hyperlink ref="EA1408" location="'CM Rec Par.'!EA6" display="Top" xr:uid="{D9A78AE6-EDE5-4CCE-AC2D-B362D8262ABB}"/>
    <hyperlink ref="EA1411" location="'CM Rec Par.'!EA608" display="'CM Rec Par.'!EA608" xr:uid="{FF27C9A9-6DE7-4D6B-97A6-8ACBBE638B8F}"/>
    <hyperlink ref="EA1412" location="'CM Rec Par.'!EA708" display="'CM Rec Par.'!EA708" xr:uid="{D180C2AB-13A9-4D8E-81AB-81F018A8833F}"/>
    <hyperlink ref="EA1413" location="'CM Rec Par.'!EA808" display="'CM Rec Par.'!EA808" xr:uid="{B75846FE-9D1A-43F7-AFFF-503C44D968F3}"/>
    <hyperlink ref="EA1414" location="'CM Rec Par.'!EA908" display="'CM Rec Par.'!EA908" xr:uid="{496DF6E8-8AD8-4F7B-80E3-B18D8881324A}"/>
    <hyperlink ref="EA1415" location="'CM Rec Par.'!EA1008" display="'CM Rec Par.'!EA1008" xr:uid="{9ED205CF-656D-4FF5-88A1-25C67A6BD043}"/>
    <hyperlink ref="EA1416" location="'CM Rec Par.'!EA1108" display="'CM Rec Par.'!EA1108" xr:uid="{935B9AFE-64F1-4015-B0FC-AEC84B268E38}"/>
    <hyperlink ref="EA1417" location="'CM Rec Par.'!EA1208" display="'CM Rec Par.'!EA1208" xr:uid="{706DC879-1270-41AE-B3C8-01A6A18B747D}"/>
    <hyperlink ref="EA1418" location="'CM Rec Par.'!EA1308" display="'CM Rec Par.'!EA1308" xr:uid="{E2761A61-C929-4FCE-A789-566A6655BDA2}"/>
    <hyperlink ref="EA1419" location="'CM Rec Par.'!EA1408" display="'CM Rec Par.'!EA1408" xr:uid="{C1179A73-4257-4789-AE67-A63181EA1EE2}"/>
    <hyperlink ref="EA1420" location="'CM Rec Par.'!EA1508" display="'CM Rec Par.'!EA1508" xr:uid="{BBCA2E03-0D9C-4E5C-B7E4-676835F784D8}"/>
    <hyperlink ref="EA1421" location="'CM Rec Par.'!EA1608" display="'CM Rec Par.'!EA1608" xr:uid="{C4F1D8D3-139D-4A73-A930-063FDEAB3902}"/>
    <hyperlink ref="EA1422" location="'CM Rec Par.'!EA1708" display="'CM Rec Par.'!EA1708" xr:uid="{96EEA356-DA94-4984-BFAD-7816E01547FB}"/>
    <hyperlink ref="EA1423" location="'CM Rec Par.'!EA1808" display="'CM Rec Par.'!EA1808" xr:uid="{F3636288-AF22-42F9-AC32-732A7037D42D}"/>
    <hyperlink ref="EA1424" location="'CM Rec Par.'!EA1908" display="'CM Rec Par.'!EA1908" xr:uid="{C1D2F495-1283-4E9F-BE9F-BDA27C580DD6}"/>
    <hyperlink ref="EA1425" location="'CM Rec Par.'!EA2008" display="'CM Rec Par.'!EA2008" xr:uid="{6428BBC4-9CF4-4B39-94AA-CCE85817B6EF}"/>
    <hyperlink ref="EA1426" location="'CM Rec Par.'!EA2108" display="'CM Rec Par.'!EA2108" xr:uid="{DDC74E64-8D01-412A-8ED2-1E0FC0E62539}"/>
    <hyperlink ref="EA1427" location="'CM Rec Par.'!EA2208" display="'CM Rec Par.'!EA2208" xr:uid="{8073B520-F674-43AE-96BC-FC57CE1E7DBB}"/>
    <hyperlink ref="EA1428" location="'CM Rec Par.'!EA2308" display="'CM Rec Par.'!EA2308" xr:uid="{BFF73859-7EF4-4411-ABCC-5521B10C87FF}"/>
    <hyperlink ref="EA1429" location="'CM Rec Par.'!EA2408" display="'CM Rec Par.'!EA2408" xr:uid="{943AEF67-C0F6-4E03-BC9C-855DED3A37FE}"/>
    <hyperlink ref="EA1430" location="'CM Rec Par.'!EA2508" display="'CM Rec Par.'!EA2508" xr:uid="{E25D6481-7477-49A0-B67C-67C157FE2B5B}"/>
    <hyperlink ref="EA1431" location="'CM Rec Par.'!EA2608" display="'CM Rec Par.'!EA2608" xr:uid="{3792B80D-910D-4AFF-86E4-1A773A2D0252}"/>
    <hyperlink ref="EA1432" location="'CM Rec Par.'!EA2708" display="'CM Rec Par.'!EA2708" xr:uid="{1E48A1FD-EE76-4174-AD1D-5BA9A0A8FB22}"/>
    <hyperlink ref="EA1433" location="'CM Rec Par.'!EA2808" display="'CM Rec Par.'!EA2808" xr:uid="{1A2D6D20-A625-46F3-A16C-877B50451028}"/>
    <hyperlink ref="EA1434" location="'CM Rec Par.'!EA2908" display="'CM Rec Par.'!EA2908" xr:uid="{A7DA5AAD-EAF8-4913-BE96-41D28395C36D}"/>
    <hyperlink ref="EA1435" location="'CM Rec Par.'!EA3008" display="'CM Rec Par.'!EA3008" xr:uid="{8E8CD95E-B785-4112-9066-E8078AA4CB64}"/>
    <hyperlink ref="EA1436" location="'CM Rec Par.'!EA3108" display="'CM Rec Par.'!EA3108" xr:uid="{0BFAC975-86A6-4FA1-ACAC-DC4DD331DFBA}"/>
    <hyperlink ref="EA1437" location="'CM Rec Par.'!EA3208" display="'CM Rec Par.'!EA3208" xr:uid="{10DDFA75-A7E1-48BD-821D-1CA750F4FCD8}"/>
    <hyperlink ref="EA1438" location="'CM Rec Par.'!EA3308" display="'CM Rec Par.'!EA3308" xr:uid="{CBCC4684-B09C-4A3F-8490-A005C187E61D}"/>
    <hyperlink ref="EA1439" location="'CM Rec Par.'!EA3408" display="'CM Rec Par.'!EA3408" xr:uid="{FA491D1B-3381-48D9-8612-8D5321BF5EBF}"/>
    <hyperlink ref="EA1510" location="'CM Rec Par.'!EA508" display="'CM Rec Par.'!EA508" xr:uid="{E71EB497-B86A-4E32-B36F-296D7D189EAB}"/>
    <hyperlink ref="EA1509" location="'CM Rec Par.'!EA50" display="Process" xr:uid="{DF3C0B4B-A9E4-4BA0-A41F-7A71279619F1}"/>
    <hyperlink ref="EA1508" location="'CM Rec Par.'!EA6" display="Top" xr:uid="{8C4FAA6E-D1F4-4E1A-BCC7-1C0312B0EBBB}"/>
    <hyperlink ref="EA1511" location="'CM Rec Par.'!EA608" display="'CM Rec Par.'!EA608" xr:uid="{79C76089-09A1-4AF8-8134-FC1B12EA2EAC}"/>
    <hyperlink ref="EA1512" location="'CM Rec Par.'!EA708" display="'CM Rec Par.'!EA708" xr:uid="{619900DB-D937-4A7C-9236-83BB69020B15}"/>
    <hyperlink ref="EA1513" location="'CM Rec Par.'!EA808" display="'CM Rec Par.'!EA808" xr:uid="{5518D5BD-7565-4498-BDF6-1AD4ECAB8FCF}"/>
    <hyperlink ref="EA1514" location="'CM Rec Par.'!EA908" display="'CM Rec Par.'!EA908" xr:uid="{FC57F5A8-A271-42D7-9813-DB8E8B6863D5}"/>
    <hyperlink ref="EA1515" location="'CM Rec Par.'!EA1008" display="'CM Rec Par.'!EA1008" xr:uid="{E17AA268-D7DD-42CB-94BD-CF1953F1D166}"/>
    <hyperlink ref="EA1516" location="'CM Rec Par.'!EA1108" display="'CM Rec Par.'!EA1108" xr:uid="{F6A71EE7-5721-434E-89D7-D3573277A931}"/>
    <hyperlink ref="EA1517" location="'CM Rec Par.'!EA1208" display="'CM Rec Par.'!EA1208" xr:uid="{AB2D943B-09A4-42B6-8190-CCD4F1488D8F}"/>
    <hyperlink ref="EA1518" location="'CM Rec Par.'!EA1308" display="'CM Rec Par.'!EA1308" xr:uid="{416304BB-C0F9-44A7-AFB3-0DE1E590BE1F}"/>
    <hyperlink ref="EA1519" location="'CM Rec Par.'!EA1408" display="'CM Rec Par.'!EA1408" xr:uid="{4FAB4DD9-E2F2-40CA-B190-79CAD58C9547}"/>
    <hyperlink ref="EA1520" location="'CM Rec Par.'!EA1508" display="'CM Rec Par.'!EA1508" xr:uid="{C25E333E-C5B9-4FC5-A62F-9EB41EB715E5}"/>
    <hyperlink ref="EA1521" location="'CM Rec Par.'!EA1608" display="'CM Rec Par.'!EA1608" xr:uid="{0DCD1FFA-C7C0-473C-B49B-9473FC20C86D}"/>
    <hyperlink ref="EA1522" location="'CM Rec Par.'!EA1708" display="'CM Rec Par.'!EA1708" xr:uid="{65A41AB2-1042-464D-9C3B-44B10779FC86}"/>
    <hyperlink ref="EA1523" location="'CM Rec Par.'!EA1808" display="'CM Rec Par.'!EA1808" xr:uid="{90E7A079-BBF8-481C-A6DE-709A13CE1FD1}"/>
    <hyperlink ref="EA1524" location="'CM Rec Par.'!EA1908" display="'CM Rec Par.'!EA1908" xr:uid="{7055B81E-C706-4E70-BBCE-138AA7D1E743}"/>
    <hyperlink ref="EA1525" location="'CM Rec Par.'!EA2008" display="'CM Rec Par.'!EA2008" xr:uid="{088A8BE2-F911-494E-83EA-D1FF3315C8DE}"/>
    <hyperlink ref="EA1526" location="'CM Rec Par.'!EA2108" display="'CM Rec Par.'!EA2108" xr:uid="{B6B38544-FE21-4E13-9A43-F1F1B3F56EB2}"/>
    <hyperlink ref="EA1527" location="'CM Rec Par.'!EA2208" display="'CM Rec Par.'!EA2208" xr:uid="{408EA76D-131B-407A-BAFB-5C73D61F3E18}"/>
    <hyperlink ref="EA1528" location="'CM Rec Par.'!EA2308" display="'CM Rec Par.'!EA2308" xr:uid="{2F717E9A-7CDA-4827-A8FB-61D055EDCE94}"/>
    <hyperlink ref="EA1529" location="'CM Rec Par.'!EA2408" display="'CM Rec Par.'!EA2408" xr:uid="{80573C73-0B97-467E-8970-1C308A0B94D2}"/>
    <hyperlink ref="EA1530" location="'CM Rec Par.'!EA2508" display="'CM Rec Par.'!EA2508" xr:uid="{E12BFEEE-3671-40BB-89F6-3B74F9882F3A}"/>
    <hyperlink ref="EA1531" location="'CM Rec Par.'!EA2608" display="'CM Rec Par.'!EA2608" xr:uid="{E724A10A-516A-43D9-AFD1-4C44F7239A8B}"/>
    <hyperlink ref="EA1532" location="'CM Rec Par.'!EA2708" display="'CM Rec Par.'!EA2708" xr:uid="{976CE6D9-AE42-43E7-8C9D-D8247ADBE5A0}"/>
    <hyperlink ref="EA1533" location="'CM Rec Par.'!EA2808" display="'CM Rec Par.'!EA2808" xr:uid="{29331AFB-FC95-443D-8B95-61ADB9DE4992}"/>
    <hyperlink ref="EA1534" location="'CM Rec Par.'!EA2908" display="'CM Rec Par.'!EA2908" xr:uid="{BD331C1A-1B9C-4314-A80E-4FDE01A36353}"/>
    <hyperlink ref="EA1535" location="'CM Rec Par.'!EA3008" display="'CM Rec Par.'!EA3008" xr:uid="{B5BBF238-4121-4F1E-B84E-38A74CE36E8F}"/>
    <hyperlink ref="EA1536" location="'CM Rec Par.'!EA3108" display="'CM Rec Par.'!EA3108" xr:uid="{2C68E617-E375-4484-8122-E02FEE942544}"/>
    <hyperlink ref="EA1537" location="'CM Rec Par.'!EA3208" display="'CM Rec Par.'!EA3208" xr:uid="{859E5DB1-8822-4CC9-8593-D7C984823090}"/>
    <hyperlink ref="EA1538" location="'CM Rec Par.'!EA3308" display="'CM Rec Par.'!EA3308" xr:uid="{27D72F22-6F7B-4CB7-AE74-3BF1FE9579D5}"/>
    <hyperlink ref="EA1539" location="'CM Rec Par.'!EA3408" display="'CM Rec Par.'!EA3408" xr:uid="{A2DBFD2C-9A78-45AC-A47B-334D3A41A29C}"/>
    <hyperlink ref="EA1610" location="'CM Rec Par.'!EA508" display="'CM Rec Par.'!EA508" xr:uid="{7561550A-25BB-4AB7-BE9F-10428E3AE388}"/>
    <hyperlink ref="EA1609" location="'CM Rec Par.'!EA50" display="Process" xr:uid="{3AD50037-5D03-4133-99ED-3FA1BB19E109}"/>
    <hyperlink ref="EA1608" location="'CM Rec Par.'!EA6" display="Top" xr:uid="{451B8915-FCFD-4C88-8AD9-59576B85F940}"/>
    <hyperlink ref="EA1611" location="'CM Rec Par.'!EA608" display="'CM Rec Par.'!EA608" xr:uid="{62861A65-215E-4020-A051-6DC20453452A}"/>
    <hyperlink ref="EA1612" location="'CM Rec Par.'!EA708" display="'CM Rec Par.'!EA708" xr:uid="{913B1C77-4113-4C2D-983A-D181A73753D0}"/>
    <hyperlink ref="EA1613" location="'CM Rec Par.'!EA808" display="'CM Rec Par.'!EA808" xr:uid="{139150CA-86DF-432D-879A-EF8E1B99D6EA}"/>
    <hyperlink ref="EA1614" location="'CM Rec Par.'!EA908" display="'CM Rec Par.'!EA908" xr:uid="{1ABE2FB3-3E0F-4F49-B360-70777BE46F2A}"/>
    <hyperlink ref="EA1615" location="'CM Rec Par.'!EA1008" display="'CM Rec Par.'!EA1008" xr:uid="{2C40D418-EC4B-4664-A16C-12F69D57EC35}"/>
    <hyperlink ref="EA1616" location="'CM Rec Par.'!EA1108" display="'CM Rec Par.'!EA1108" xr:uid="{74827EBF-D33E-4A91-ACCA-AEBF05CEFFF6}"/>
    <hyperlink ref="EA1617" location="'CM Rec Par.'!EA1208" display="'CM Rec Par.'!EA1208" xr:uid="{322CDE31-22B4-43EF-9D77-26563AE6874E}"/>
    <hyperlink ref="EA1618" location="'CM Rec Par.'!EA1308" display="'CM Rec Par.'!EA1308" xr:uid="{6EBE1810-F124-4F2E-8FFB-95F5AD98F950}"/>
    <hyperlink ref="EA1619" location="'CM Rec Par.'!EA1408" display="'CM Rec Par.'!EA1408" xr:uid="{107D75AE-3951-48EC-A9C3-A400FA9640A7}"/>
    <hyperlink ref="EA1620" location="'CM Rec Par.'!EA1508" display="'CM Rec Par.'!EA1508" xr:uid="{3A93DF7E-EA20-402B-8DA8-0F545D53107E}"/>
    <hyperlink ref="EA1621" location="'CM Rec Par.'!EA1608" display="'CM Rec Par.'!EA1608" xr:uid="{4E06EA6C-7978-4074-83BD-60487593DE3A}"/>
    <hyperlink ref="EA1622" location="'CM Rec Par.'!EA1708" display="'CM Rec Par.'!EA1708" xr:uid="{F9C11037-44E8-4152-87B3-C509BA4BDD2E}"/>
    <hyperlink ref="EA1623" location="'CM Rec Par.'!EA1808" display="'CM Rec Par.'!EA1808" xr:uid="{2F44893D-8561-4A05-9BA1-F18B9E408FAC}"/>
    <hyperlink ref="EA1624" location="'CM Rec Par.'!EA1908" display="'CM Rec Par.'!EA1908" xr:uid="{0D0F508E-CFF6-48A2-888D-1C72EF8104AF}"/>
    <hyperlink ref="EA1625" location="'CM Rec Par.'!EA2008" display="'CM Rec Par.'!EA2008" xr:uid="{95D7E196-4DEE-4855-A2AF-45792CF195CE}"/>
    <hyperlink ref="EA1626" location="'CM Rec Par.'!EA2108" display="'CM Rec Par.'!EA2108" xr:uid="{3698BB9C-4771-403B-A963-A2CD24D41947}"/>
    <hyperlink ref="EA1627" location="'CM Rec Par.'!EA2208" display="'CM Rec Par.'!EA2208" xr:uid="{F663A1D3-48FC-4A92-8FE1-55413FBC5A5D}"/>
    <hyperlink ref="EA1628" location="'CM Rec Par.'!EA2308" display="'CM Rec Par.'!EA2308" xr:uid="{6A6A041E-73C3-4742-AA23-271ACDCCC594}"/>
    <hyperlink ref="EA1629" location="'CM Rec Par.'!EA2408" display="'CM Rec Par.'!EA2408" xr:uid="{557D80FD-F6D2-4EA2-944E-72A589B2E801}"/>
    <hyperlink ref="EA1630" location="'CM Rec Par.'!EA2508" display="'CM Rec Par.'!EA2508" xr:uid="{E5B137CE-82DF-4F0B-A1EA-806622BF3EAF}"/>
    <hyperlink ref="EA1631" location="'CM Rec Par.'!EA2608" display="'CM Rec Par.'!EA2608" xr:uid="{1FE7C774-B966-4756-B7A5-52074F5879B8}"/>
    <hyperlink ref="EA1632" location="'CM Rec Par.'!EA2708" display="'CM Rec Par.'!EA2708" xr:uid="{D6810BB5-2245-4885-88B0-CF4BA084B418}"/>
    <hyperlink ref="EA1633" location="'CM Rec Par.'!EA2808" display="'CM Rec Par.'!EA2808" xr:uid="{63022EA3-DA17-4F65-8A7C-A1642FE7BCC0}"/>
    <hyperlink ref="EA1634" location="'CM Rec Par.'!EA2908" display="'CM Rec Par.'!EA2908" xr:uid="{6FF7C00F-D78E-429E-A052-0D15F1F8A999}"/>
    <hyperlink ref="EA1635" location="'CM Rec Par.'!EA3008" display="'CM Rec Par.'!EA3008" xr:uid="{998D39CE-2DD3-45F8-AFC4-C27F4A2DE75D}"/>
    <hyperlink ref="EA1636" location="'CM Rec Par.'!EA3108" display="'CM Rec Par.'!EA3108" xr:uid="{4A3EBA3B-D126-47F7-AEAB-177F2CD6322E}"/>
    <hyperlink ref="EA1637" location="'CM Rec Par.'!EA3208" display="'CM Rec Par.'!EA3208" xr:uid="{AFD797D9-45FB-4D71-A577-CCC61EAEF705}"/>
    <hyperlink ref="EA1638" location="'CM Rec Par.'!EA3308" display="'CM Rec Par.'!EA3308" xr:uid="{3997ED98-F485-4C82-B17F-21E81A9C502D}"/>
    <hyperlink ref="EA1639" location="'CM Rec Par.'!EA3408" display="'CM Rec Par.'!EA3408" xr:uid="{C581B23E-234C-42DE-A0E9-32DCB755AE7B}"/>
    <hyperlink ref="EA1710" location="'CM Rec Par.'!EA508" display="'CM Rec Par.'!EA508" xr:uid="{97002038-83A1-4985-AE2C-4B5B18A17350}"/>
    <hyperlink ref="EA1709" location="'CM Rec Par.'!EA50" display="Process" xr:uid="{140D0425-95CA-4126-8E04-5B02646DF4C2}"/>
    <hyperlink ref="EA1708" location="'CM Rec Par.'!EA6" display="Top" xr:uid="{7DA4AE30-19C1-4331-9124-E5F22529657E}"/>
    <hyperlink ref="EA1711" location="'CM Rec Par.'!EA608" display="'CM Rec Par.'!EA608" xr:uid="{FF34FE4B-F219-4D3A-B5F7-CF16CB328992}"/>
    <hyperlink ref="EA1712" location="'CM Rec Par.'!EA708" display="'CM Rec Par.'!EA708" xr:uid="{A397CD76-3BF7-4FCB-AFCE-6B9A4634F763}"/>
    <hyperlink ref="EA1713" location="'CM Rec Par.'!EA808" display="'CM Rec Par.'!EA808" xr:uid="{D81DBC84-64C6-43EA-ABA0-4FDFB669D055}"/>
    <hyperlink ref="EA1714" location="'CM Rec Par.'!EA908" display="'CM Rec Par.'!EA908" xr:uid="{09B5815E-1FB9-4EB6-81ED-9C89CC6DF8F4}"/>
    <hyperlink ref="EA1715" location="'CM Rec Par.'!EA1008" display="'CM Rec Par.'!EA1008" xr:uid="{CB5A0147-B2E0-4D53-A852-DEB29B7A0BD6}"/>
    <hyperlink ref="EA1716" location="'CM Rec Par.'!EA1108" display="'CM Rec Par.'!EA1108" xr:uid="{8889EA45-BA00-42CB-9478-2016C6D36519}"/>
    <hyperlink ref="EA1717" location="'CM Rec Par.'!EA1208" display="'CM Rec Par.'!EA1208" xr:uid="{8CFD0F96-98F9-476B-AB82-0E2731F985D7}"/>
    <hyperlink ref="EA1718" location="'CM Rec Par.'!EA1308" display="'CM Rec Par.'!EA1308" xr:uid="{131B1492-21FD-4E4D-ACBA-FDCF7B4F997A}"/>
    <hyperlink ref="EA1719" location="'CM Rec Par.'!EA1408" display="'CM Rec Par.'!EA1408" xr:uid="{900FB86D-B9BC-4CAF-B3F5-4CEBCC67BBD9}"/>
    <hyperlink ref="EA1720" location="'CM Rec Par.'!EA1508" display="'CM Rec Par.'!EA1508" xr:uid="{B5F8234B-FFCC-4816-805E-60001E61ED01}"/>
    <hyperlink ref="EA1721" location="'CM Rec Par.'!EA1608" display="'CM Rec Par.'!EA1608" xr:uid="{C2539B75-92DD-4012-BE9F-2DAF955B5C12}"/>
    <hyperlink ref="EA1722" location="'CM Rec Par.'!EA1708" display="'CM Rec Par.'!EA1708" xr:uid="{0BC829F8-553E-463D-BC09-DD783D8381AF}"/>
    <hyperlink ref="EA1723" location="'CM Rec Par.'!EA1808" display="'CM Rec Par.'!EA1808" xr:uid="{C2059365-E9A2-4FC3-BBAC-5F3DFA75FD5D}"/>
    <hyperlink ref="EA1724" location="'CM Rec Par.'!EA1908" display="'CM Rec Par.'!EA1908" xr:uid="{5229B47A-5820-4A9A-A17A-E6F5F72CD73E}"/>
    <hyperlink ref="EA1725" location="'CM Rec Par.'!EA2008" display="'CM Rec Par.'!EA2008" xr:uid="{89CADA99-BEE8-413A-A142-563C88A54542}"/>
    <hyperlink ref="EA1726" location="'CM Rec Par.'!EA2108" display="'CM Rec Par.'!EA2108" xr:uid="{724E546E-2045-402F-8390-DAAC870927E1}"/>
    <hyperlink ref="EA1727" location="'CM Rec Par.'!EA2208" display="'CM Rec Par.'!EA2208" xr:uid="{AF8091A1-4898-4D00-AD10-3C04DF3CEA7A}"/>
    <hyperlink ref="EA1728" location="'CM Rec Par.'!EA2308" display="'CM Rec Par.'!EA2308" xr:uid="{920A0D48-FBBC-40B2-8382-C068E69FE6AE}"/>
    <hyperlink ref="EA1729" location="'CM Rec Par.'!EA2408" display="'CM Rec Par.'!EA2408" xr:uid="{243DB424-2F7F-41A1-9606-4F6E3BD25690}"/>
    <hyperlink ref="EA1730" location="'CM Rec Par.'!EA2508" display="'CM Rec Par.'!EA2508" xr:uid="{530A55AA-4854-4BEA-8258-0D1964EF3D5E}"/>
    <hyperlink ref="EA1731" location="'CM Rec Par.'!EA2608" display="'CM Rec Par.'!EA2608" xr:uid="{05DE0EC8-77C8-4015-B26D-B445B26C6190}"/>
    <hyperlink ref="EA1732" location="'CM Rec Par.'!EA2708" display="'CM Rec Par.'!EA2708" xr:uid="{A7C28BD8-BD78-4658-8EAB-70F9AEDA566C}"/>
    <hyperlink ref="EA1733" location="'CM Rec Par.'!EA2808" display="'CM Rec Par.'!EA2808" xr:uid="{7EFB17DE-3C17-4D94-ABBC-FB23E68BA72E}"/>
    <hyperlink ref="EA1734" location="'CM Rec Par.'!EA2908" display="'CM Rec Par.'!EA2908" xr:uid="{A1ED2FAD-B01B-4F90-969D-6109EA84A6CA}"/>
    <hyperlink ref="EA1735" location="'CM Rec Par.'!EA3008" display="'CM Rec Par.'!EA3008" xr:uid="{7C2F2AFC-A6EA-4D78-B479-FEEC84ADC9B7}"/>
    <hyperlink ref="EA1736" location="'CM Rec Par.'!EA3108" display="'CM Rec Par.'!EA3108" xr:uid="{6F824641-EBB1-43EF-B3AA-AD2E265DEB9A}"/>
    <hyperlink ref="EA1737" location="'CM Rec Par.'!EA3208" display="'CM Rec Par.'!EA3208" xr:uid="{CF6AECCB-B648-43EC-924A-7CBC6846CE95}"/>
    <hyperlink ref="EA1738" location="'CM Rec Par.'!EA3308" display="'CM Rec Par.'!EA3308" xr:uid="{48AF460C-CEFF-4CAF-9765-BCBD0F6A0B56}"/>
    <hyperlink ref="EA1739" location="'CM Rec Par.'!EA3408" display="'CM Rec Par.'!EA3408" xr:uid="{5165ACB6-02A9-48FE-94E5-A10D85D30B76}"/>
    <hyperlink ref="EA1810" location="'CM Rec Par.'!EA508" display="'CM Rec Par.'!EA508" xr:uid="{04BAC3E5-CFE4-4D08-A4A4-5674EEF86146}"/>
    <hyperlink ref="EA1809" location="'CM Rec Par.'!EA50" display="Process" xr:uid="{88340609-407A-4302-AC50-0DDB6176527D}"/>
    <hyperlink ref="EA1808" location="'CM Rec Par.'!EA6" display="Top" xr:uid="{2421F6D4-95A8-45DB-B5D1-62C3DE755207}"/>
    <hyperlink ref="EA1811" location="'CM Rec Par.'!EA608" display="'CM Rec Par.'!EA608" xr:uid="{553E9F35-883A-43C7-A6A8-3356D7A9C3FA}"/>
    <hyperlink ref="EA1812" location="'CM Rec Par.'!EA708" display="'CM Rec Par.'!EA708" xr:uid="{DA01171E-6B01-4B6D-A8CA-0512EE37E4C0}"/>
    <hyperlink ref="EA1813" location="'CM Rec Par.'!EA808" display="'CM Rec Par.'!EA808" xr:uid="{A9C4766E-8BB3-473B-81EA-10CFD23E8525}"/>
    <hyperlink ref="EA1814" location="'CM Rec Par.'!EA908" display="'CM Rec Par.'!EA908" xr:uid="{5FAAF2B3-4CCF-44C4-AB4B-3FFF3F872E9A}"/>
    <hyperlink ref="EA1815" location="'CM Rec Par.'!EA1008" display="'CM Rec Par.'!EA1008" xr:uid="{5780535C-21C3-4820-AE95-70C5FAF98A82}"/>
    <hyperlink ref="EA1816" location="'CM Rec Par.'!EA1108" display="'CM Rec Par.'!EA1108" xr:uid="{830AC7C7-1B86-49E8-9837-2F7C002C469C}"/>
    <hyperlink ref="EA1817" location="'CM Rec Par.'!EA1208" display="'CM Rec Par.'!EA1208" xr:uid="{932BA26D-5672-4865-99F4-E42765AFD35E}"/>
    <hyperlink ref="EA1818" location="'CM Rec Par.'!EA1308" display="'CM Rec Par.'!EA1308" xr:uid="{E875002E-EA75-4585-8D5E-44DE35087902}"/>
    <hyperlink ref="EA1819" location="'CM Rec Par.'!EA1408" display="'CM Rec Par.'!EA1408" xr:uid="{B155511D-322F-4E02-A6E5-86B7F51BE3AD}"/>
    <hyperlink ref="EA1820" location="'CM Rec Par.'!EA1508" display="'CM Rec Par.'!EA1508" xr:uid="{47A449CB-0EF4-4087-88A2-83394BF7CF11}"/>
    <hyperlink ref="EA1821" location="'CM Rec Par.'!EA1608" display="'CM Rec Par.'!EA1608" xr:uid="{0E5356A4-1623-4018-9937-ACEB0CF45AF0}"/>
    <hyperlink ref="EA1822" location="'CM Rec Par.'!EA1708" display="'CM Rec Par.'!EA1708" xr:uid="{3C147275-7E4E-42F0-BA7F-9AFD05CA28F9}"/>
    <hyperlink ref="EA1823" location="'CM Rec Par.'!EA1808" display="'CM Rec Par.'!EA1808" xr:uid="{6935DADB-7774-4F6E-A0EC-128C218BC016}"/>
    <hyperlink ref="EA1824" location="'CM Rec Par.'!EA1908" display="'CM Rec Par.'!EA1908" xr:uid="{17D8DE53-BF33-42B7-B746-95D1C2F664FE}"/>
    <hyperlink ref="EA1825" location="'CM Rec Par.'!EA2008" display="'CM Rec Par.'!EA2008" xr:uid="{45EF4F72-EF05-4417-A508-0CB5A238360B}"/>
    <hyperlink ref="EA1826" location="'CM Rec Par.'!EA2108" display="'CM Rec Par.'!EA2108" xr:uid="{943B0E78-9049-48B9-A762-5AD2DF83F603}"/>
    <hyperlink ref="EA1827" location="'CM Rec Par.'!EA2208" display="'CM Rec Par.'!EA2208" xr:uid="{0DAAB776-C19C-4C35-B21B-A49176698863}"/>
    <hyperlink ref="EA1828" location="'CM Rec Par.'!EA2308" display="'CM Rec Par.'!EA2308" xr:uid="{94138D15-A7C4-4862-8CBD-2DBE3C91D418}"/>
    <hyperlink ref="EA1829" location="'CM Rec Par.'!EA2408" display="'CM Rec Par.'!EA2408" xr:uid="{5213E731-5C08-474B-9B41-302616DADB4A}"/>
    <hyperlink ref="EA1830" location="'CM Rec Par.'!EA2508" display="'CM Rec Par.'!EA2508" xr:uid="{AB784951-D125-4826-B93A-FD0D8ADC1DE9}"/>
    <hyperlink ref="EA1831" location="'CM Rec Par.'!EA2608" display="'CM Rec Par.'!EA2608" xr:uid="{9A5B4AE0-D7FA-43E3-83BF-38B1C013D522}"/>
    <hyperlink ref="EA1832" location="'CM Rec Par.'!EA2708" display="'CM Rec Par.'!EA2708" xr:uid="{4ECFF511-E68C-4C5C-AE21-A73AA482F4CF}"/>
    <hyperlink ref="EA1833" location="'CM Rec Par.'!EA2808" display="'CM Rec Par.'!EA2808" xr:uid="{7EE479BE-D5E2-4C45-A707-46EC0C6F1CFB}"/>
    <hyperlink ref="EA1834" location="'CM Rec Par.'!EA2908" display="'CM Rec Par.'!EA2908" xr:uid="{7146F1F0-4AF7-4460-92D1-E1C0D87A04C9}"/>
    <hyperlink ref="EA1835" location="'CM Rec Par.'!EA3008" display="'CM Rec Par.'!EA3008" xr:uid="{7147C7D9-58CD-4D3D-998C-44DDAF909872}"/>
    <hyperlink ref="EA1836" location="'CM Rec Par.'!EA3108" display="'CM Rec Par.'!EA3108" xr:uid="{2C7CC4EE-3552-42C4-8557-348DEA7F12E1}"/>
    <hyperlink ref="EA1837" location="'CM Rec Par.'!EA3208" display="'CM Rec Par.'!EA3208" xr:uid="{991BF173-F537-4ED2-827E-A6EF77214B15}"/>
    <hyperlink ref="EA1838" location="'CM Rec Par.'!EA3308" display="'CM Rec Par.'!EA3308" xr:uid="{443809FF-7146-4C9A-AEB0-B29985E3F580}"/>
    <hyperlink ref="EA1839" location="'CM Rec Par.'!EA3408" display="'CM Rec Par.'!EA3408" xr:uid="{BDF4D9EE-082B-4477-8398-3F68D0295275}"/>
    <hyperlink ref="EA1910" location="'CM Rec Par.'!EA508" display="'CM Rec Par.'!EA508" xr:uid="{2A7879A8-0398-4FCB-8D55-95A14F625232}"/>
    <hyperlink ref="EA1909" location="'CM Rec Par.'!EA50" display="Process" xr:uid="{A82A4DFB-3BB6-45B0-80C5-D32D2D71D928}"/>
    <hyperlink ref="EA1908" location="'CM Rec Par.'!EA6" display="Top" xr:uid="{44363966-C343-4A9A-8BFB-A954F4917EF9}"/>
    <hyperlink ref="EA1911" location="'CM Rec Par.'!EA608" display="'CM Rec Par.'!EA608" xr:uid="{A431DC85-D487-4942-84D8-0165C8AAD424}"/>
    <hyperlink ref="EA1912" location="'CM Rec Par.'!EA708" display="'CM Rec Par.'!EA708" xr:uid="{6F7719CD-D43D-4C78-8F1D-5299641691D4}"/>
    <hyperlink ref="EA1913" location="'CM Rec Par.'!EA808" display="'CM Rec Par.'!EA808" xr:uid="{F8929C6D-E812-4317-B0EF-38A05C776E23}"/>
    <hyperlink ref="EA1914" location="'CM Rec Par.'!EA908" display="'CM Rec Par.'!EA908" xr:uid="{B87F4675-9268-4B2F-882D-6D3F9A7EE18D}"/>
    <hyperlink ref="EA1915" location="'CM Rec Par.'!EA1008" display="'CM Rec Par.'!EA1008" xr:uid="{B5457B39-74FC-4E81-ACAE-06D6AB398C81}"/>
    <hyperlink ref="EA1916" location="'CM Rec Par.'!EA1108" display="'CM Rec Par.'!EA1108" xr:uid="{E67C8E34-C204-4775-B64B-84E39F22E59E}"/>
    <hyperlink ref="EA1917" location="'CM Rec Par.'!EA1208" display="'CM Rec Par.'!EA1208" xr:uid="{33F7E6A4-8F1F-4E76-9E85-9599AEA701BF}"/>
    <hyperlink ref="EA1918" location="'CM Rec Par.'!EA1308" display="'CM Rec Par.'!EA1308" xr:uid="{22C6E0B9-0ECC-4F9D-97FF-80DB58804DEC}"/>
    <hyperlink ref="EA1919" location="'CM Rec Par.'!EA1408" display="'CM Rec Par.'!EA1408" xr:uid="{1A156D2A-2F92-45B5-B8B1-9BFCA56C56AA}"/>
    <hyperlink ref="EA1920" location="'CM Rec Par.'!EA1508" display="'CM Rec Par.'!EA1508" xr:uid="{D5BDCB35-745A-4E47-AED0-E59B0CBFC70D}"/>
    <hyperlink ref="EA1921" location="'CM Rec Par.'!EA1608" display="'CM Rec Par.'!EA1608" xr:uid="{212C8882-A563-4BFB-B159-74ACC2D1505C}"/>
    <hyperlink ref="EA1922" location="'CM Rec Par.'!EA1708" display="'CM Rec Par.'!EA1708" xr:uid="{D656227B-3845-4FBE-BF1A-297E80F0AD10}"/>
    <hyperlink ref="EA1923" location="'CM Rec Par.'!EA1808" display="'CM Rec Par.'!EA1808" xr:uid="{CDB11918-08DE-4E45-ADDF-9D1045A0B45D}"/>
    <hyperlink ref="EA1924" location="'CM Rec Par.'!EA1908" display="'CM Rec Par.'!EA1908" xr:uid="{8BD7892B-338A-4846-BBAD-CA1F0282D425}"/>
    <hyperlink ref="EA1925" location="'CM Rec Par.'!EA2008" display="'CM Rec Par.'!EA2008" xr:uid="{51CD8390-E608-4E3D-84BF-5B1BEDA3EF64}"/>
    <hyperlink ref="EA1926" location="'CM Rec Par.'!EA2108" display="'CM Rec Par.'!EA2108" xr:uid="{D48A45E6-03B5-4D2F-8127-6072569670CA}"/>
    <hyperlink ref="EA1927" location="'CM Rec Par.'!EA2208" display="'CM Rec Par.'!EA2208" xr:uid="{DB402BA9-DFE7-4D57-B93E-FFDD14F48E15}"/>
    <hyperlink ref="EA1928" location="'CM Rec Par.'!EA2308" display="'CM Rec Par.'!EA2308" xr:uid="{F432EEAA-0A42-468F-9BCA-6C572C552217}"/>
    <hyperlink ref="EA1929" location="'CM Rec Par.'!EA2408" display="'CM Rec Par.'!EA2408" xr:uid="{219B37DE-20BE-49D8-8AC1-90D61BA7394D}"/>
    <hyperlink ref="EA1930" location="'CM Rec Par.'!EA2508" display="'CM Rec Par.'!EA2508" xr:uid="{87283023-FE3C-418F-8FAF-DE024A5F0A65}"/>
    <hyperlink ref="EA1931" location="'CM Rec Par.'!EA2608" display="'CM Rec Par.'!EA2608" xr:uid="{85BF30AC-513A-4B83-94DE-E28BD3A0E3CA}"/>
    <hyperlink ref="EA1932" location="'CM Rec Par.'!EA2708" display="'CM Rec Par.'!EA2708" xr:uid="{967B820A-8D9A-405E-AA05-D120CE32CE45}"/>
    <hyperlink ref="EA1933" location="'CM Rec Par.'!EA2808" display="'CM Rec Par.'!EA2808" xr:uid="{B841CB3F-1986-4650-ACF7-930360BD40BB}"/>
    <hyperlink ref="EA1934" location="'CM Rec Par.'!EA2908" display="'CM Rec Par.'!EA2908" xr:uid="{3B122EC7-94B9-4F90-9E84-B3FC91026CBE}"/>
    <hyperlink ref="EA1935" location="'CM Rec Par.'!EA3008" display="'CM Rec Par.'!EA3008" xr:uid="{6DD5C10F-713F-426C-89A3-809F4AE204A0}"/>
    <hyperlink ref="EA1936" location="'CM Rec Par.'!EA3108" display="'CM Rec Par.'!EA3108" xr:uid="{3D9D4EE5-4A92-43EB-8EC0-80C5194CA12A}"/>
    <hyperlink ref="EA1937" location="'CM Rec Par.'!EA3208" display="'CM Rec Par.'!EA3208" xr:uid="{758C9C81-AAB0-4F3F-B946-645D34C87B67}"/>
    <hyperlink ref="EA1938" location="'CM Rec Par.'!EA3308" display="'CM Rec Par.'!EA3308" xr:uid="{7828DC40-5424-4AF8-A474-9C1EFB61CE03}"/>
    <hyperlink ref="EA1939" location="'CM Rec Par.'!EA3408" display="'CM Rec Par.'!EA3408" xr:uid="{C2B1C2E0-C379-4160-80B2-9EC3D0AFD948}"/>
    <hyperlink ref="EA2010" location="'CM Rec Par.'!EA508" display="'CM Rec Par.'!EA508" xr:uid="{FD3F4992-E33F-4BA3-A067-E248AA87938E}"/>
    <hyperlink ref="EA2009" location="'CM Rec Par.'!EA50" display="Process" xr:uid="{9DBB995D-F832-424D-B086-34841B11E02A}"/>
    <hyperlink ref="EA2008" location="'CM Rec Par.'!EA6" display="Top" xr:uid="{212FE8C9-7FD8-4661-BEE0-C36A14976A7E}"/>
    <hyperlink ref="EA2011" location="'CM Rec Par.'!EA608" display="'CM Rec Par.'!EA608" xr:uid="{D72E74FD-575D-4AFC-8F5A-187368F9E73A}"/>
    <hyperlink ref="EA2012" location="'CM Rec Par.'!EA708" display="'CM Rec Par.'!EA708" xr:uid="{94E2BEBA-32F6-456C-AC11-28049B858415}"/>
    <hyperlink ref="EA2013" location="'CM Rec Par.'!EA808" display="'CM Rec Par.'!EA808" xr:uid="{316BD788-C176-49F7-A4AE-D6791F96E3E0}"/>
    <hyperlink ref="EA2014" location="'CM Rec Par.'!EA908" display="'CM Rec Par.'!EA908" xr:uid="{111FD09B-3FB5-43C2-9A17-E24D1BB923A7}"/>
    <hyperlink ref="EA2015" location="'CM Rec Par.'!EA1008" display="'CM Rec Par.'!EA1008" xr:uid="{4949ABC0-F0A2-4DAF-8312-230B0DAA6262}"/>
    <hyperlink ref="EA2016" location="'CM Rec Par.'!EA1108" display="'CM Rec Par.'!EA1108" xr:uid="{FAF479A1-3671-4317-BDF6-E3262B1F6C95}"/>
    <hyperlink ref="EA2017" location="'CM Rec Par.'!EA1208" display="'CM Rec Par.'!EA1208" xr:uid="{0AAD634C-D0F7-47D4-BD50-F96321F4AB38}"/>
    <hyperlink ref="EA2018" location="'CM Rec Par.'!EA1308" display="'CM Rec Par.'!EA1308" xr:uid="{370485FC-55B2-4525-A946-CFBC47CEAD31}"/>
    <hyperlink ref="EA2019" location="'CM Rec Par.'!EA1408" display="'CM Rec Par.'!EA1408" xr:uid="{5AC07BE2-F2C0-4491-B3EA-5031F154DF0F}"/>
    <hyperlink ref="EA2020" location="'CM Rec Par.'!EA1508" display="'CM Rec Par.'!EA1508" xr:uid="{589DFB6B-9BA5-4281-946B-F90CAFDEC14F}"/>
    <hyperlink ref="EA2021" location="'CM Rec Par.'!EA1608" display="'CM Rec Par.'!EA1608" xr:uid="{D6F2F602-3DBB-4557-99E8-31C264102653}"/>
    <hyperlink ref="EA2022" location="'CM Rec Par.'!EA1708" display="'CM Rec Par.'!EA1708" xr:uid="{BE805A4A-C792-4D7E-BD8B-C17C3F7F9AD1}"/>
    <hyperlink ref="EA2023" location="'CM Rec Par.'!EA1808" display="'CM Rec Par.'!EA1808" xr:uid="{1F0FDE1E-41E3-4B16-BE76-DD8C87532264}"/>
    <hyperlink ref="EA2024" location="'CM Rec Par.'!EA1908" display="'CM Rec Par.'!EA1908" xr:uid="{0228B3EF-C2A7-4814-BB53-C5C13D536064}"/>
    <hyperlink ref="EA2025" location="'CM Rec Par.'!EA2008" display="'CM Rec Par.'!EA2008" xr:uid="{F53044EF-87F5-437B-B9E1-ADC406175A11}"/>
    <hyperlink ref="EA2026" location="'CM Rec Par.'!EA2108" display="'CM Rec Par.'!EA2108" xr:uid="{F83CFD3C-FEDD-4D16-9FCB-930BB87C28DD}"/>
    <hyperlink ref="EA2027" location="'CM Rec Par.'!EA2208" display="'CM Rec Par.'!EA2208" xr:uid="{4A126933-E1E9-41B8-A855-217238AD919E}"/>
    <hyperlink ref="EA2028" location="'CM Rec Par.'!EA2308" display="'CM Rec Par.'!EA2308" xr:uid="{D577662C-489E-470E-876F-FBD137E32829}"/>
    <hyperlink ref="EA2029" location="'CM Rec Par.'!EA2408" display="'CM Rec Par.'!EA2408" xr:uid="{2250DA51-295D-4AC8-B180-596EFFCA6D53}"/>
    <hyperlink ref="EA2030" location="'CM Rec Par.'!EA2508" display="'CM Rec Par.'!EA2508" xr:uid="{C6EBE8A8-74F4-4092-8D39-61D299BCD053}"/>
    <hyperlink ref="EA2031" location="'CM Rec Par.'!EA2608" display="'CM Rec Par.'!EA2608" xr:uid="{19052854-EF53-4C61-96A7-5FA971F73D40}"/>
    <hyperlink ref="EA2032" location="'CM Rec Par.'!EA2708" display="'CM Rec Par.'!EA2708" xr:uid="{BC62B3FF-8EC9-490C-883F-392162EAC137}"/>
    <hyperlink ref="EA2033" location="'CM Rec Par.'!EA2808" display="'CM Rec Par.'!EA2808" xr:uid="{6D1448AD-7683-4CCF-8962-E13172794393}"/>
    <hyperlink ref="EA2034" location="'CM Rec Par.'!EA2908" display="'CM Rec Par.'!EA2908" xr:uid="{2129F908-9C27-4CBF-B6B4-B82E66801460}"/>
    <hyperlink ref="EA2035" location="'CM Rec Par.'!EA3008" display="'CM Rec Par.'!EA3008" xr:uid="{E445A07F-27B6-4916-8302-76BD29B306FA}"/>
    <hyperlink ref="EA2036" location="'CM Rec Par.'!EA3108" display="'CM Rec Par.'!EA3108" xr:uid="{F1DE7C44-05C0-46E4-B7BA-42F2E495430D}"/>
    <hyperlink ref="EA2037" location="'CM Rec Par.'!EA3208" display="'CM Rec Par.'!EA3208" xr:uid="{8D417F45-DF5D-4A78-A3A5-219048CE7FD1}"/>
    <hyperlink ref="EA2038" location="'CM Rec Par.'!EA3308" display="'CM Rec Par.'!EA3308" xr:uid="{498A83A2-F11A-4E8E-AE0F-7A8FCA5391A4}"/>
    <hyperlink ref="EA2039" location="'CM Rec Par.'!EA3408" display="'CM Rec Par.'!EA3408" xr:uid="{8CEE4474-3E38-4C41-A658-687D9934A253}"/>
    <hyperlink ref="EA2110" location="'CM Rec Par.'!EA508" display="'CM Rec Par.'!EA508" xr:uid="{16F2404B-8935-46A4-ACC6-A91C65E59F44}"/>
    <hyperlink ref="EA2109" location="'CM Rec Par.'!EA50" display="Process" xr:uid="{E2707E50-89FD-441A-8AF8-7F6E08D41A14}"/>
    <hyperlink ref="EA2108" location="'CM Rec Par.'!EA6" display="Top" xr:uid="{F0F64351-E783-4101-AC6B-8D0D29FFE9E0}"/>
    <hyperlink ref="EA2111" location="'CM Rec Par.'!EA608" display="'CM Rec Par.'!EA608" xr:uid="{79842C5D-AAF3-409C-9E3B-DBE1207C5EF7}"/>
    <hyperlink ref="EA2112" location="'CM Rec Par.'!EA708" display="'CM Rec Par.'!EA708" xr:uid="{94009230-1029-4EF6-BF5A-4CACDFE11998}"/>
    <hyperlink ref="EA2113" location="'CM Rec Par.'!EA808" display="'CM Rec Par.'!EA808" xr:uid="{C9D67B63-4B87-4D06-9ACF-593DE9BDFD87}"/>
    <hyperlink ref="EA2114" location="'CM Rec Par.'!EA908" display="'CM Rec Par.'!EA908" xr:uid="{8BF0E55D-F125-43C8-B532-26F845EDF74B}"/>
    <hyperlink ref="EA2115" location="'CM Rec Par.'!EA1008" display="'CM Rec Par.'!EA1008" xr:uid="{5170F7AF-D1BD-4690-8E9F-D44233BC2A83}"/>
    <hyperlink ref="EA2116" location="'CM Rec Par.'!EA1108" display="'CM Rec Par.'!EA1108" xr:uid="{24C067D6-4452-45AB-A730-351DA95B1B9B}"/>
    <hyperlink ref="EA2117" location="'CM Rec Par.'!EA1208" display="'CM Rec Par.'!EA1208" xr:uid="{82739FF9-4B31-4887-AB07-2F8549662EB3}"/>
    <hyperlink ref="EA2118" location="'CM Rec Par.'!EA1308" display="'CM Rec Par.'!EA1308" xr:uid="{89D5D0D1-70C2-4128-9556-551BAC254F66}"/>
    <hyperlink ref="EA2119" location="'CM Rec Par.'!EA1408" display="'CM Rec Par.'!EA1408" xr:uid="{1CB880CF-2733-463E-B7D0-4075743BB0E2}"/>
    <hyperlink ref="EA2120" location="'CM Rec Par.'!EA1508" display="'CM Rec Par.'!EA1508" xr:uid="{5BC1AE18-CA79-4228-A219-B79A06CBFFA6}"/>
    <hyperlink ref="EA2121" location="'CM Rec Par.'!EA1608" display="'CM Rec Par.'!EA1608" xr:uid="{7B2475A6-4AFB-4A4A-BDA6-F9B47F43EA08}"/>
    <hyperlink ref="EA2122" location="'CM Rec Par.'!EA1708" display="'CM Rec Par.'!EA1708" xr:uid="{68CA4548-81AF-477B-82A5-31ED0AC0FBE8}"/>
    <hyperlink ref="EA2123" location="'CM Rec Par.'!EA1808" display="'CM Rec Par.'!EA1808" xr:uid="{40154532-7447-4357-895D-E231879CF02F}"/>
    <hyperlink ref="EA2124" location="'CM Rec Par.'!EA1908" display="'CM Rec Par.'!EA1908" xr:uid="{D4901904-F71F-4F3F-AF34-C052A8FFE9B7}"/>
    <hyperlink ref="EA2125" location="'CM Rec Par.'!EA2008" display="'CM Rec Par.'!EA2008" xr:uid="{09E80ED2-066A-4123-91F5-63989901E65D}"/>
    <hyperlink ref="EA2126" location="'CM Rec Par.'!EA2108" display="'CM Rec Par.'!EA2108" xr:uid="{DC37AB4D-93D4-4796-A36B-2F27BDCD29AB}"/>
    <hyperlink ref="EA2127" location="'CM Rec Par.'!EA2208" display="'CM Rec Par.'!EA2208" xr:uid="{7B58901B-5F47-47D8-B53C-3D73694BCC70}"/>
    <hyperlink ref="EA2128" location="'CM Rec Par.'!EA2308" display="'CM Rec Par.'!EA2308" xr:uid="{0B65DB29-20C7-40DA-ADDE-91473CE5FB82}"/>
    <hyperlink ref="EA2129" location="'CM Rec Par.'!EA2408" display="'CM Rec Par.'!EA2408" xr:uid="{CCAF0EE8-3B6F-4476-A66D-4F7F2D6BDBB1}"/>
    <hyperlink ref="EA2130" location="'CM Rec Par.'!EA2508" display="'CM Rec Par.'!EA2508" xr:uid="{73702755-3799-4347-9AAF-FBDD50411120}"/>
    <hyperlink ref="EA2131" location="'CM Rec Par.'!EA2608" display="'CM Rec Par.'!EA2608" xr:uid="{14F268CA-26A9-4F9C-901B-5BA86AA7B92F}"/>
    <hyperlink ref="EA2132" location="'CM Rec Par.'!EA2708" display="'CM Rec Par.'!EA2708" xr:uid="{9B063BE9-803F-4627-876D-91781EA4D9EA}"/>
    <hyperlink ref="EA2133" location="'CM Rec Par.'!EA2808" display="'CM Rec Par.'!EA2808" xr:uid="{29724FE1-56AA-452D-A6A5-8AD7F5F11C18}"/>
    <hyperlink ref="EA2134" location="'CM Rec Par.'!EA2908" display="'CM Rec Par.'!EA2908" xr:uid="{A1A5BF12-3CF4-4502-9D19-59A60C616670}"/>
    <hyperlink ref="EA2135" location="'CM Rec Par.'!EA3008" display="'CM Rec Par.'!EA3008" xr:uid="{A3BC88C6-47AC-4477-A169-A80E5219BC8D}"/>
    <hyperlink ref="EA2136" location="'CM Rec Par.'!EA3108" display="'CM Rec Par.'!EA3108" xr:uid="{B7F79017-ED13-4810-9FA9-43012CABE993}"/>
    <hyperlink ref="EA2137" location="'CM Rec Par.'!EA3208" display="'CM Rec Par.'!EA3208" xr:uid="{B9EE6DDE-907A-4471-8CCA-949FECEDEA5C}"/>
    <hyperlink ref="EA2138" location="'CM Rec Par.'!EA3308" display="'CM Rec Par.'!EA3308" xr:uid="{10577519-F57D-448B-AB88-CD96B504955F}"/>
    <hyperlink ref="EA2139" location="'CM Rec Par.'!EA3408" display="'CM Rec Par.'!EA3408" xr:uid="{502E4DD6-F1D1-43A3-862A-D4F1A1C34647}"/>
    <hyperlink ref="EA2210" location="'CM Rec Par.'!EA508" display="'CM Rec Par.'!EA508" xr:uid="{F3D941D2-0B86-4648-916E-3D421B3E287F}"/>
    <hyperlink ref="EA2209" location="'CM Rec Par.'!EA50" display="Process" xr:uid="{E0DEBD95-1CD4-47E9-BC3D-35D9C367F6DC}"/>
    <hyperlink ref="EA2208" location="'CM Rec Par.'!EA6" display="Top" xr:uid="{A501E991-2AED-4F77-8B27-261F483584C2}"/>
    <hyperlink ref="EA2211" location="'CM Rec Par.'!EA608" display="'CM Rec Par.'!EA608" xr:uid="{1A63D6D2-9300-48E2-A6D0-738EF6E48C96}"/>
    <hyperlink ref="EA2212" location="'CM Rec Par.'!EA708" display="'CM Rec Par.'!EA708" xr:uid="{2DB40BDD-B3D9-4A82-B453-388E4A829C87}"/>
    <hyperlink ref="EA2213" location="'CM Rec Par.'!EA808" display="'CM Rec Par.'!EA808" xr:uid="{9B507943-888B-4B23-8244-224B19ECFC62}"/>
    <hyperlink ref="EA2214" location="'CM Rec Par.'!EA908" display="'CM Rec Par.'!EA908" xr:uid="{A8A545B0-6DD0-4A3D-B1BC-BBD385E3E5B3}"/>
    <hyperlink ref="EA2215" location="'CM Rec Par.'!EA1008" display="'CM Rec Par.'!EA1008" xr:uid="{C3D24604-5789-4A92-834B-FDABEC9AF3F4}"/>
    <hyperlink ref="EA2216" location="'CM Rec Par.'!EA1108" display="'CM Rec Par.'!EA1108" xr:uid="{A78B3509-35F7-4803-B45F-EEC6329D28B7}"/>
    <hyperlink ref="EA2217" location="'CM Rec Par.'!EA1208" display="'CM Rec Par.'!EA1208" xr:uid="{0A1ACB18-3D19-476B-8940-4E3246577F3E}"/>
    <hyperlink ref="EA2218" location="'CM Rec Par.'!EA1308" display="'CM Rec Par.'!EA1308" xr:uid="{670A6F0E-C30F-4CA4-B5A6-2EA680A9AC60}"/>
    <hyperlink ref="EA2219" location="'CM Rec Par.'!EA1408" display="'CM Rec Par.'!EA1408" xr:uid="{D430E21B-58E7-457B-AA74-839CD06018AB}"/>
    <hyperlink ref="EA2220" location="'CM Rec Par.'!EA1508" display="'CM Rec Par.'!EA1508" xr:uid="{11E26884-6CB8-4994-8A19-D7FEEB157AEE}"/>
    <hyperlink ref="EA2221" location="'CM Rec Par.'!EA1608" display="'CM Rec Par.'!EA1608" xr:uid="{33E110D0-0083-4904-98F8-BC24695002C7}"/>
    <hyperlink ref="EA2222" location="'CM Rec Par.'!EA1708" display="'CM Rec Par.'!EA1708" xr:uid="{11EE7362-A9ED-40FD-8EF4-B723B931337E}"/>
    <hyperlink ref="EA2223" location="'CM Rec Par.'!EA1808" display="'CM Rec Par.'!EA1808" xr:uid="{673A11C0-823F-42DF-8AFD-F86F32F8C141}"/>
    <hyperlink ref="EA2224" location="'CM Rec Par.'!EA1908" display="'CM Rec Par.'!EA1908" xr:uid="{8CF76BB8-1692-4C55-B946-CC16195D2D6B}"/>
    <hyperlink ref="EA2225" location="'CM Rec Par.'!EA2008" display="'CM Rec Par.'!EA2008" xr:uid="{B6B95B02-BEBD-40C4-9E32-CEFA4981FECD}"/>
    <hyperlink ref="EA2226" location="'CM Rec Par.'!EA2108" display="'CM Rec Par.'!EA2108" xr:uid="{BA57F921-A0E4-4406-B063-DF7EC916B015}"/>
    <hyperlink ref="EA2227" location="'CM Rec Par.'!EA2208" display="'CM Rec Par.'!EA2208" xr:uid="{9556CA9F-4201-4B56-8314-DBD872481CBB}"/>
    <hyperlink ref="EA2228" location="'CM Rec Par.'!EA2308" display="'CM Rec Par.'!EA2308" xr:uid="{C408ADD5-D4ED-43F0-A0E9-4B6D283E2888}"/>
    <hyperlink ref="EA2229" location="'CM Rec Par.'!EA2408" display="'CM Rec Par.'!EA2408" xr:uid="{5E9C2848-6DFE-413C-A7EB-F18BD1EFECB9}"/>
    <hyperlink ref="EA2230" location="'CM Rec Par.'!EA2508" display="'CM Rec Par.'!EA2508" xr:uid="{8AFC8744-EEDB-49C4-A7C2-301C415CF23A}"/>
    <hyperlink ref="EA2231" location="'CM Rec Par.'!EA2608" display="'CM Rec Par.'!EA2608" xr:uid="{88AFF04C-1920-404C-A28E-320FF8EC13F4}"/>
    <hyperlink ref="EA2232" location="'CM Rec Par.'!EA2708" display="'CM Rec Par.'!EA2708" xr:uid="{EB29D6B5-5C51-4B76-AC40-3AFAAEF0BEC1}"/>
    <hyperlink ref="EA2233" location="'CM Rec Par.'!EA2808" display="'CM Rec Par.'!EA2808" xr:uid="{E64E93CE-75D7-4BA4-BF58-F8BE5FFD748C}"/>
    <hyperlink ref="EA2234" location="'CM Rec Par.'!EA2908" display="'CM Rec Par.'!EA2908" xr:uid="{5B76AFDA-E789-44F3-AA6E-DFC1A04CFC00}"/>
    <hyperlink ref="EA2235" location="'CM Rec Par.'!EA3008" display="'CM Rec Par.'!EA3008" xr:uid="{196C2017-E13F-4514-82BE-0F2AAA68ABD9}"/>
    <hyperlink ref="EA2236" location="'CM Rec Par.'!EA3108" display="'CM Rec Par.'!EA3108" xr:uid="{D7C2D2AE-6CAB-4B08-AF4E-99AA76C727ED}"/>
    <hyperlink ref="EA2237" location="'CM Rec Par.'!EA3208" display="'CM Rec Par.'!EA3208" xr:uid="{DEA01723-E7F8-4C8A-8109-5A610D0BAC79}"/>
    <hyperlink ref="EA2238" location="'CM Rec Par.'!EA3308" display="'CM Rec Par.'!EA3308" xr:uid="{C0B27E71-1A77-4700-B59D-2FF6B3EE6F1B}"/>
    <hyperlink ref="EA2239" location="'CM Rec Par.'!EA3408" display="'CM Rec Par.'!EA3408" xr:uid="{7F70F02C-64DA-42C4-B4C0-61784390BCD4}"/>
    <hyperlink ref="EA2310" location="'CM Rec Par.'!EA508" display="'CM Rec Par.'!EA508" xr:uid="{81332701-0F5C-4ACB-91BF-61E754DD2BD1}"/>
    <hyperlink ref="EA2309" location="'CM Rec Par.'!EA50" display="Process" xr:uid="{69AA1D4D-AC7B-41D0-9FA2-960092ACB168}"/>
    <hyperlink ref="EA2308" location="'CM Rec Par.'!EA6" display="Top" xr:uid="{D96AF1AD-9D9C-49DF-B012-A8CE9CC64F6E}"/>
    <hyperlink ref="EA2311" location="'CM Rec Par.'!EA608" display="'CM Rec Par.'!EA608" xr:uid="{4FC4352C-DDAC-4F9A-A3EF-D9562B0563CC}"/>
    <hyperlink ref="EA2312" location="'CM Rec Par.'!EA708" display="'CM Rec Par.'!EA708" xr:uid="{096E8FFE-37D0-47C6-BCFA-7D5FD332C847}"/>
    <hyperlink ref="EA2313" location="'CM Rec Par.'!EA808" display="'CM Rec Par.'!EA808" xr:uid="{E0EE46AF-9A70-460C-BC12-19C618311E82}"/>
    <hyperlink ref="EA2314" location="'CM Rec Par.'!EA908" display="'CM Rec Par.'!EA908" xr:uid="{581D3D4D-C481-4FE0-932D-A42E367B397E}"/>
    <hyperlink ref="EA2315" location="'CM Rec Par.'!EA1008" display="'CM Rec Par.'!EA1008" xr:uid="{C604F5C0-4507-40DE-A81B-ED19A9CCB46D}"/>
    <hyperlink ref="EA2316" location="'CM Rec Par.'!EA1108" display="'CM Rec Par.'!EA1108" xr:uid="{0B0BB5C4-196B-4B69-989B-E991B555FFAA}"/>
    <hyperlink ref="EA2317" location="'CM Rec Par.'!EA1208" display="'CM Rec Par.'!EA1208" xr:uid="{1900F933-1213-440F-B3BD-BAC1839AF6E1}"/>
    <hyperlink ref="EA2318" location="'CM Rec Par.'!EA1308" display="'CM Rec Par.'!EA1308" xr:uid="{4302A637-BAD0-4376-A68D-1CC7E555EB14}"/>
    <hyperlink ref="EA2319" location="'CM Rec Par.'!EA1408" display="'CM Rec Par.'!EA1408" xr:uid="{CD81617C-5476-4028-8E15-5EFA1FE325A1}"/>
    <hyperlink ref="EA2320" location="'CM Rec Par.'!EA1508" display="'CM Rec Par.'!EA1508" xr:uid="{47B23FC5-3556-4BD0-9429-8B32ADBE5C0F}"/>
    <hyperlink ref="EA2321" location="'CM Rec Par.'!EA1608" display="'CM Rec Par.'!EA1608" xr:uid="{6F18D9ED-A0C5-4DDB-8E40-33404EF188D9}"/>
    <hyperlink ref="EA2322" location="'CM Rec Par.'!EA1708" display="'CM Rec Par.'!EA1708" xr:uid="{E9989411-3C5A-4A58-8D20-022288B3CB64}"/>
    <hyperlink ref="EA2323" location="'CM Rec Par.'!EA1808" display="'CM Rec Par.'!EA1808" xr:uid="{BF0129BF-0381-4EDF-B4B4-CB952C1F7399}"/>
    <hyperlink ref="EA2324" location="'CM Rec Par.'!EA1908" display="'CM Rec Par.'!EA1908" xr:uid="{41035C37-33C6-4315-A8BC-9A5C3761BFE5}"/>
    <hyperlink ref="EA2325" location="'CM Rec Par.'!EA2008" display="'CM Rec Par.'!EA2008" xr:uid="{42DFFECC-151B-43AE-BE01-1FE0F1875CE0}"/>
    <hyperlink ref="EA2326" location="'CM Rec Par.'!EA2108" display="'CM Rec Par.'!EA2108" xr:uid="{586074B5-7EA3-42AF-B47C-DBB2D5779E99}"/>
    <hyperlink ref="EA2327" location="'CM Rec Par.'!EA2208" display="'CM Rec Par.'!EA2208" xr:uid="{6654AC4A-3DBB-4781-8178-F0F44DF7EF57}"/>
    <hyperlink ref="EA2328" location="'CM Rec Par.'!EA2308" display="'CM Rec Par.'!EA2308" xr:uid="{E21C4AEF-B08B-41E9-ACF2-8543D4FED505}"/>
    <hyperlink ref="EA2329" location="'CM Rec Par.'!EA2408" display="'CM Rec Par.'!EA2408" xr:uid="{BC8342F8-EE19-40CA-BBFC-0376C8F8E3A1}"/>
    <hyperlink ref="EA2330" location="'CM Rec Par.'!EA2508" display="'CM Rec Par.'!EA2508" xr:uid="{3B3EFC4C-6DD1-433D-BD6A-51621B6C85E7}"/>
    <hyperlink ref="EA2331" location="'CM Rec Par.'!EA2608" display="'CM Rec Par.'!EA2608" xr:uid="{2DB02218-DF1F-49CE-9457-335F8ADC4512}"/>
    <hyperlink ref="EA2332" location="'CM Rec Par.'!EA2708" display="'CM Rec Par.'!EA2708" xr:uid="{71CF53E5-A4B6-4E8E-9B43-1606589BB47F}"/>
    <hyperlink ref="EA2333" location="'CM Rec Par.'!EA2808" display="'CM Rec Par.'!EA2808" xr:uid="{2A3A4343-D310-4F42-981D-691153574DA0}"/>
    <hyperlink ref="EA2334" location="'CM Rec Par.'!EA2908" display="'CM Rec Par.'!EA2908" xr:uid="{A0AB6372-6B01-42DA-9A62-A5F5907CAFC5}"/>
    <hyperlink ref="EA2335" location="'CM Rec Par.'!EA3008" display="'CM Rec Par.'!EA3008" xr:uid="{FDA22EDA-577C-40D0-862D-5C4BC0455555}"/>
    <hyperlink ref="EA2336" location="'CM Rec Par.'!EA3108" display="'CM Rec Par.'!EA3108" xr:uid="{C9F09CAB-F4C0-450D-B77B-BC9570522F53}"/>
    <hyperlink ref="EA2337" location="'CM Rec Par.'!EA3208" display="'CM Rec Par.'!EA3208" xr:uid="{FEB9607F-DAF9-4F71-B7FA-DE22EFCBCBF7}"/>
    <hyperlink ref="EA2338" location="'CM Rec Par.'!EA3308" display="'CM Rec Par.'!EA3308" xr:uid="{62A9F54D-4C6F-48C6-B9B8-A54F548C922C}"/>
    <hyperlink ref="EA2339" location="'CM Rec Par.'!EA3408" display="'CM Rec Par.'!EA3408" xr:uid="{5E9DCD46-92DE-4419-B65C-0870175ABC80}"/>
    <hyperlink ref="EA2410" location="'CM Rec Par.'!EA508" display="'CM Rec Par.'!EA508" xr:uid="{75341830-70B1-4455-9F78-41A14F6742BA}"/>
    <hyperlink ref="EA2409" location="'CM Rec Par.'!EA50" display="Process" xr:uid="{31CB21ED-A6AB-4745-9447-8878CE62E3CA}"/>
    <hyperlink ref="EA2408" location="'CM Rec Par.'!EA6" display="Top" xr:uid="{083F02BD-EB55-42F1-8E85-E60B4FCB56FC}"/>
    <hyperlink ref="EA2411" location="'CM Rec Par.'!EA608" display="'CM Rec Par.'!EA608" xr:uid="{FE1C8121-A7F4-44BD-983E-73FE22497CC3}"/>
    <hyperlink ref="EA2412" location="'CM Rec Par.'!EA708" display="'CM Rec Par.'!EA708" xr:uid="{F54E7192-7F23-489F-929A-980974972BC5}"/>
    <hyperlink ref="EA2413" location="'CM Rec Par.'!EA808" display="'CM Rec Par.'!EA808" xr:uid="{26B95795-910B-4DA0-BD2D-BC859F50D15E}"/>
    <hyperlink ref="EA2414" location="'CM Rec Par.'!EA908" display="'CM Rec Par.'!EA908" xr:uid="{FD792CC3-E649-4A77-B2AC-CD0FEA0F249E}"/>
    <hyperlink ref="EA2415" location="'CM Rec Par.'!EA1008" display="'CM Rec Par.'!EA1008" xr:uid="{E25589F4-6730-4E6A-984B-FB8E867256E8}"/>
    <hyperlink ref="EA2416" location="'CM Rec Par.'!EA1108" display="'CM Rec Par.'!EA1108" xr:uid="{40CDBF74-D9FE-4E25-BCBE-1C5A4758A736}"/>
    <hyperlink ref="EA2417" location="'CM Rec Par.'!EA1208" display="'CM Rec Par.'!EA1208" xr:uid="{574CE2AA-A1AB-4EA9-A30D-441D7FF001C0}"/>
    <hyperlink ref="EA2418" location="'CM Rec Par.'!EA1308" display="'CM Rec Par.'!EA1308" xr:uid="{A305169F-4480-4F6E-8F91-D037CDB49938}"/>
    <hyperlink ref="EA2419" location="'CM Rec Par.'!EA1408" display="'CM Rec Par.'!EA1408" xr:uid="{BAAFE442-9F98-4005-9AD0-D19AC8967D10}"/>
    <hyperlink ref="EA2420" location="'CM Rec Par.'!EA1508" display="'CM Rec Par.'!EA1508" xr:uid="{67C5E552-C7B9-479B-B2CF-C9CFD4B0C4EF}"/>
    <hyperlink ref="EA2421" location="'CM Rec Par.'!EA1608" display="'CM Rec Par.'!EA1608" xr:uid="{655B739F-452E-4ABF-BB0C-364C897DDED4}"/>
    <hyperlink ref="EA2422" location="'CM Rec Par.'!EA1708" display="'CM Rec Par.'!EA1708" xr:uid="{743F9E60-D3FC-45B7-A0F1-C087125CC8AA}"/>
    <hyperlink ref="EA2423" location="'CM Rec Par.'!EA1808" display="'CM Rec Par.'!EA1808" xr:uid="{C2AD7B07-D5F7-4387-B3AD-3393F775A0B4}"/>
    <hyperlink ref="EA2424" location="'CM Rec Par.'!EA1908" display="'CM Rec Par.'!EA1908" xr:uid="{A51E0885-B935-4E05-9857-105061446A3D}"/>
    <hyperlink ref="EA2425" location="'CM Rec Par.'!EA2008" display="'CM Rec Par.'!EA2008" xr:uid="{5992C3EE-8081-4F8C-B123-FE9FC7FA47F1}"/>
    <hyperlink ref="EA2426" location="'CM Rec Par.'!EA2108" display="'CM Rec Par.'!EA2108" xr:uid="{238A700D-C929-4097-853D-09C35025AFF3}"/>
    <hyperlink ref="EA2427" location="'CM Rec Par.'!EA2208" display="'CM Rec Par.'!EA2208" xr:uid="{BD00736A-4B18-4557-9206-6AED279C4390}"/>
    <hyperlink ref="EA2428" location="'CM Rec Par.'!EA2308" display="'CM Rec Par.'!EA2308" xr:uid="{F5DB96AB-BD74-4656-A200-1022DA3D9210}"/>
    <hyperlink ref="EA2429" location="'CM Rec Par.'!EA2408" display="'CM Rec Par.'!EA2408" xr:uid="{09170609-6252-4F25-8AEA-D6D290DE1F55}"/>
    <hyperlink ref="EA2430" location="'CM Rec Par.'!EA2508" display="'CM Rec Par.'!EA2508" xr:uid="{DA6583CB-DCD3-444A-A30A-FA9CD5B47192}"/>
    <hyperlink ref="EA2431" location="'CM Rec Par.'!EA2608" display="'CM Rec Par.'!EA2608" xr:uid="{CD5FE3FA-018E-4C6C-96A8-11A766334A0C}"/>
    <hyperlink ref="EA2432" location="'CM Rec Par.'!EA2708" display="'CM Rec Par.'!EA2708" xr:uid="{27D8082B-5B1B-4DE3-8D01-B93F6DE0FF3C}"/>
    <hyperlink ref="EA2433" location="'CM Rec Par.'!EA2808" display="'CM Rec Par.'!EA2808" xr:uid="{BF8EACD8-E69A-4D16-B098-65E35E7DD12C}"/>
    <hyperlink ref="EA2434" location="'CM Rec Par.'!EA2908" display="'CM Rec Par.'!EA2908" xr:uid="{FB9FF011-FDCA-41E9-A1A1-F298AF2F413F}"/>
    <hyperlink ref="EA2435" location="'CM Rec Par.'!EA3008" display="'CM Rec Par.'!EA3008" xr:uid="{E1D917C3-13F9-453F-8A10-B7BA35F7AF71}"/>
    <hyperlink ref="EA2436" location="'CM Rec Par.'!EA3108" display="'CM Rec Par.'!EA3108" xr:uid="{234B8238-F0D5-4547-B31D-D1ADCA03ACDC}"/>
    <hyperlink ref="EA2437" location="'CM Rec Par.'!EA3208" display="'CM Rec Par.'!EA3208" xr:uid="{E1898CB2-5C2C-421C-8ADD-0F37595EABF2}"/>
    <hyperlink ref="EA2438" location="'CM Rec Par.'!EA3308" display="'CM Rec Par.'!EA3308" xr:uid="{20CCB557-3665-4F0A-ACA8-4574FEAB4841}"/>
    <hyperlink ref="EA2439" location="'CM Rec Par.'!EA3408" display="'CM Rec Par.'!EA3408" xr:uid="{77C64EC3-312D-4E83-BDC7-B15EAEC02D27}"/>
    <hyperlink ref="EA2510" location="'CM Rec Par.'!EA508" display="'CM Rec Par.'!EA508" xr:uid="{54AA84EC-E0C7-4680-8AD7-4A3D0CD908F9}"/>
    <hyperlink ref="EA2509" location="'CM Rec Par.'!EA50" display="Process" xr:uid="{54A7B792-D173-4004-B3DE-F60033D73F0B}"/>
    <hyperlink ref="EA2508" location="'CM Rec Par.'!EA6" display="Top" xr:uid="{5B674777-16EC-4A4F-8587-54FD5A3D38AA}"/>
    <hyperlink ref="EA2511" location="'CM Rec Par.'!EA608" display="'CM Rec Par.'!EA608" xr:uid="{A4531DCF-ED26-44C4-A0A0-4ACF8D4552E0}"/>
    <hyperlink ref="EA2512" location="'CM Rec Par.'!EA708" display="'CM Rec Par.'!EA708" xr:uid="{EF54D8F0-4B8A-408B-A698-C91CF8F350F6}"/>
    <hyperlink ref="EA2513" location="'CM Rec Par.'!EA808" display="'CM Rec Par.'!EA808" xr:uid="{12FEC639-DACF-4A91-BC42-AA6036C6130E}"/>
    <hyperlink ref="EA2514" location="'CM Rec Par.'!EA908" display="'CM Rec Par.'!EA908" xr:uid="{1015FC78-9284-4710-9DC1-ED1394FD6A20}"/>
    <hyperlink ref="EA2515" location="'CM Rec Par.'!EA1008" display="'CM Rec Par.'!EA1008" xr:uid="{023ACDFE-BDE3-46D5-A30B-74BE15E15AC3}"/>
    <hyperlink ref="EA2516" location="'CM Rec Par.'!EA1108" display="'CM Rec Par.'!EA1108" xr:uid="{FF9926B4-00C4-41EE-BFE5-B15AC2BEA7DA}"/>
    <hyperlink ref="EA2517" location="'CM Rec Par.'!EA1208" display="'CM Rec Par.'!EA1208" xr:uid="{463FAFFF-B3D1-4738-AC67-86EFB5C5FB79}"/>
    <hyperlink ref="EA2518" location="'CM Rec Par.'!EA1308" display="'CM Rec Par.'!EA1308" xr:uid="{64966A7A-B819-42A0-AD21-3C34671C6BA9}"/>
    <hyperlink ref="EA2519" location="'CM Rec Par.'!EA1408" display="'CM Rec Par.'!EA1408" xr:uid="{DB5EEBF1-1BD9-4997-B571-F2958CD95352}"/>
    <hyperlink ref="EA2520" location="'CM Rec Par.'!EA1508" display="'CM Rec Par.'!EA1508" xr:uid="{423CCA24-92DE-470F-BB91-EC84D1328AF5}"/>
    <hyperlink ref="EA2521" location="'CM Rec Par.'!EA1608" display="'CM Rec Par.'!EA1608" xr:uid="{42143243-9B53-451F-A06F-F62817BEA008}"/>
    <hyperlink ref="EA2522" location="'CM Rec Par.'!EA1708" display="'CM Rec Par.'!EA1708" xr:uid="{BDFD8829-DDC2-4310-AD8C-F5189FD924F7}"/>
    <hyperlink ref="EA2523" location="'CM Rec Par.'!EA1808" display="'CM Rec Par.'!EA1808" xr:uid="{CD5A0DF1-3DBE-4D55-AC61-410061AEA8C0}"/>
    <hyperlink ref="EA2524" location="'CM Rec Par.'!EA1908" display="'CM Rec Par.'!EA1908" xr:uid="{F6C002FB-7068-4AE9-A096-33A2BD94E196}"/>
    <hyperlink ref="EA2525" location="'CM Rec Par.'!EA2008" display="'CM Rec Par.'!EA2008" xr:uid="{3E257BF2-6060-4B1E-8D1A-2E9F9AB075B8}"/>
    <hyperlink ref="EA2526" location="'CM Rec Par.'!EA2108" display="'CM Rec Par.'!EA2108" xr:uid="{8E2FB849-84DA-439B-9473-799F1E3DFCE3}"/>
    <hyperlink ref="EA2527" location="'CM Rec Par.'!EA2208" display="'CM Rec Par.'!EA2208" xr:uid="{FFD7203E-93B9-4956-9D76-0D8D423932DB}"/>
    <hyperlink ref="EA2528" location="'CM Rec Par.'!EA2308" display="'CM Rec Par.'!EA2308" xr:uid="{04D50017-9D74-4269-B2BA-237164734D15}"/>
    <hyperlink ref="EA2529" location="'CM Rec Par.'!EA2408" display="'CM Rec Par.'!EA2408" xr:uid="{1F9BF923-3D13-4B1B-845F-F88AA07A8C45}"/>
    <hyperlink ref="EA2530" location="'CM Rec Par.'!EA2508" display="'CM Rec Par.'!EA2508" xr:uid="{2F38C926-D883-4826-8260-7DC18A6F33F4}"/>
    <hyperlink ref="EA2531" location="'CM Rec Par.'!EA2608" display="'CM Rec Par.'!EA2608" xr:uid="{8465BF12-4E99-48E6-9FC4-8CA75A483B08}"/>
    <hyperlink ref="EA2532" location="'CM Rec Par.'!EA2708" display="'CM Rec Par.'!EA2708" xr:uid="{4AB7B7DC-1D41-43DF-8EB4-4D451CE28F0B}"/>
    <hyperlink ref="EA2533" location="'CM Rec Par.'!EA2808" display="'CM Rec Par.'!EA2808" xr:uid="{D0F142FB-C303-45BE-BE59-CCCE7519EC0C}"/>
    <hyperlink ref="EA2534" location="'CM Rec Par.'!EA2908" display="'CM Rec Par.'!EA2908" xr:uid="{CDF67959-4743-489E-9A6E-FB0BA9D8BB40}"/>
    <hyperlink ref="EA2535" location="'CM Rec Par.'!EA3008" display="'CM Rec Par.'!EA3008" xr:uid="{C42D62D6-714C-4EAD-B716-AE172F2F6128}"/>
    <hyperlink ref="EA2536" location="'CM Rec Par.'!EA3108" display="'CM Rec Par.'!EA3108" xr:uid="{055DA0EF-2636-4D65-901C-23BF47FD7BF8}"/>
    <hyperlink ref="EA2537" location="'CM Rec Par.'!EA3208" display="'CM Rec Par.'!EA3208" xr:uid="{336858E6-546A-4955-B128-7BC9B221BBD5}"/>
    <hyperlink ref="EA2538" location="'CM Rec Par.'!EA3308" display="'CM Rec Par.'!EA3308" xr:uid="{BD50F546-16B4-428D-AC06-1E1DF624783B}"/>
    <hyperlink ref="EA2539" location="'CM Rec Par.'!EA3408" display="'CM Rec Par.'!EA3408" xr:uid="{F63F4AD5-D996-4F84-B9DD-07AEEFE033B9}"/>
    <hyperlink ref="EA2610" location="'CM Rec Par.'!EA508" display="'CM Rec Par.'!EA508" xr:uid="{D9FBF111-D69B-4797-B500-18C571C4B0B1}"/>
    <hyperlink ref="EA2609" location="'CM Rec Par.'!EA50" display="Process" xr:uid="{8230D266-3584-4C9B-A895-8461E08D5F5A}"/>
    <hyperlink ref="EA2608" location="'CM Rec Par.'!EA6" display="Top" xr:uid="{0B9C13CF-CAF8-4BE5-89AE-A42BEEAF18BA}"/>
    <hyperlink ref="EA2611" location="'CM Rec Par.'!EA608" display="'CM Rec Par.'!EA608" xr:uid="{0AA7E440-E96C-44C9-AFA4-13493CFE268B}"/>
    <hyperlink ref="EA2612" location="'CM Rec Par.'!EA708" display="'CM Rec Par.'!EA708" xr:uid="{D856D140-138A-4ABA-AE2C-12FDEE177F9B}"/>
    <hyperlink ref="EA2613" location="'CM Rec Par.'!EA808" display="'CM Rec Par.'!EA808" xr:uid="{E5C2815F-F8A0-43A0-A563-A32A042B972C}"/>
    <hyperlink ref="EA2614" location="'CM Rec Par.'!EA908" display="'CM Rec Par.'!EA908" xr:uid="{11500FA5-53D0-4613-8453-7AB71503ADB3}"/>
    <hyperlink ref="EA2615" location="'CM Rec Par.'!EA1008" display="'CM Rec Par.'!EA1008" xr:uid="{D8C4DA74-419A-4317-BD14-CC8967369369}"/>
    <hyperlink ref="EA2616" location="'CM Rec Par.'!EA1108" display="'CM Rec Par.'!EA1108" xr:uid="{169D3348-53DB-45F4-8824-6A3A81C77389}"/>
    <hyperlink ref="EA2617" location="'CM Rec Par.'!EA1208" display="'CM Rec Par.'!EA1208" xr:uid="{8CD52C16-0168-4E24-B0D5-6E7C90E21C85}"/>
    <hyperlink ref="EA2618" location="'CM Rec Par.'!EA1308" display="'CM Rec Par.'!EA1308" xr:uid="{8B1AB0A5-D081-4C69-A07A-D9D925AB8FAC}"/>
    <hyperlink ref="EA2619" location="'CM Rec Par.'!EA1408" display="'CM Rec Par.'!EA1408" xr:uid="{BE45855E-49D2-45C4-BDEA-A21CD03699E4}"/>
    <hyperlink ref="EA2620" location="'CM Rec Par.'!EA1508" display="'CM Rec Par.'!EA1508" xr:uid="{6D8D4376-9D83-4002-8D6F-C4F4BB08FFBA}"/>
    <hyperlink ref="EA2621" location="'CM Rec Par.'!EA1608" display="'CM Rec Par.'!EA1608" xr:uid="{2D269F2F-F8C3-4936-9145-FF1616E3E9B2}"/>
    <hyperlink ref="EA2622" location="'CM Rec Par.'!EA1708" display="'CM Rec Par.'!EA1708" xr:uid="{ED49230A-CBB7-4494-A7BD-3E33EC832AB7}"/>
    <hyperlink ref="EA2623" location="'CM Rec Par.'!EA1808" display="'CM Rec Par.'!EA1808" xr:uid="{90DBEB8A-119F-4DE6-ACDE-38F891ABB344}"/>
    <hyperlink ref="EA2624" location="'CM Rec Par.'!EA1908" display="'CM Rec Par.'!EA1908" xr:uid="{A31D75EF-7C97-43E5-94F4-6BC260231D42}"/>
    <hyperlink ref="EA2625" location="'CM Rec Par.'!EA2008" display="'CM Rec Par.'!EA2008" xr:uid="{5AB29717-3E61-422C-9B10-03B1692D99AA}"/>
    <hyperlink ref="EA2626" location="'CM Rec Par.'!EA2108" display="'CM Rec Par.'!EA2108" xr:uid="{881A15D6-D475-46F3-BA61-7FDDDED07869}"/>
    <hyperlink ref="EA2627" location="'CM Rec Par.'!EA2208" display="'CM Rec Par.'!EA2208" xr:uid="{19D3F3BE-8258-4EAD-A873-FE27232FD9C3}"/>
    <hyperlink ref="EA2628" location="'CM Rec Par.'!EA2308" display="'CM Rec Par.'!EA2308" xr:uid="{48E1B03F-2AB8-4DDD-A21A-693925A42A3C}"/>
    <hyperlink ref="EA2629" location="'CM Rec Par.'!EA2408" display="'CM Rec Par.'!EA2408" xr:uid="{31E40DD3-C0F5-42A1-B91C-D3E0ABAE5781}"/>
    <hyperlink ref="EA2630" location="'CM Rec Par.'!EA2508" display="'CM Rec Par.'!EA2508" xr:uid="{96ECCF96-27AD-4C20-BA56-549B4547BBA9}"/>
    <hyperlink ref="EA2631" location="'CM Rec Par.'!EA2608" display="'CM Rec Par.'!EA2608" xr:uid="{687B34B7-2F46-4C39-9B01-C4468FB141E3}"/>
    <hyperlink ref="EA2632" location="'CM Rec Par.'!EA2708" display="'CM Rec Par.'!EA2708" xr:uid="{119B6C18-ED4D-4880-84BC-7D736325F2FC}"/>
    <hyperlink ref="EA2633" location="'CM Rec Par.'!EA2808" display="'CM Rec Par.'!EA2808" xr:uid="{94595355-C57B-4281-A942-5DA325221DD1}"/>
    <hyperlink ref="EA2634" location="'CM Rec Par.'!EA2908" display="'CM Rec Par.'!EA2908" xr:uid="{9B129642-176B-4C3A-A88F-C47A31534F7D}"/>
    <hyperlink ref="EA2635" location="'CM Rec Par.'!EA3008" display="'CM Rec Par.'!EA3008" xr:uid="{D54E186C-1A04-4320-8973-BCD8861605AB}"/>
    <hyperlink ref="EA2636" location="'CM Rec Par.'!EA3108" display="'CM Rec Par.'!EA3108" xr:uid="{C9A5F190-5612-40E2-AEB7-B5CB6C681810}"/>
    <hyperlink ref="EA2637" location="'CM Rec Par.'!EA3208" display="'CM Rec Par.'!EA3208" xr:uid="{2A494B6E-7C28-4840-9B4B-6FA3AD94C482}"/>
    <hyperlink ref="EA2638" location="'CM Rec Par.'!EA3308" display="'CM Rec Par.'!EA3308" xr:uid="{834B9444-5557-43DC-9C70-F8136441DE16}"/>
    <hyperlink ref="EA2639" location="'CM Rec Par.'!EA3408" display="'CM Rec Par.'!EA3408" xr:uid="{7F4FEDD0-FE2E-4879-9D8F-966DE8A4C082}"/>
    <hyperlink ref="EA2710" location="'CM Rec Par.'!EA508" display="'CM Rec Par.'!EA508" xr:uid="{583C38E0-BE35-4043-82EA-C12E69FB2C00}"/>
    <hyperlink ref="EA2709" location="'CM Rec Par.'!EA50" display="Process" xr:uid="{1F2B1B24-878A-430C-A568-88D1FE2BF5D5}"/>
    <hyperlink ref="EA2708" location="'CM Rec Par.'!EA6" display="Top" xr:uid="{3BD205C3-9891-40C4-8273-8CA727685105}"/>
    <hyperlink ref="EA2711" location="'CM Rec Par.'!EA608" display="'CM Rec Par.'!EA608" xr:uid="{DDCE3E30-5D3C-4A8B-9C19-6F8E80CEA746}"/>
    <hyperlink ref="EA2712" location="'CM Rec Par.'!EA708" display="'CM Rec Par.'!EA708" xr:uid="{EDCD0ABE-7491-4D6B-9C3C-7E39867737D9}"/>
    <hyperlink ref="EA2713" location="'CM Rec Par.'!EA808" display="'CM Rec Par.'!EA808" xr:uid="{7CBDF7FB-0EA5-42C4-B536-BEE02B48B26B}"/>
    <hyperlink ref="EA2714" location="'CM Rec Par.'!EA908" display="'CM Rec Par.'!EA908" xr:uid="{CA09FCA1-A030-41F3-8DB9-3F58E275D4D3}"/>
    <hyperlink ref="EA2715" location="'CM Rec Par.'!EA1008" display="'CM Rec Par.'!EA1008" xr:uid="{A11F6F99-9C9E-46EC-A6B0-7FBEB817E732}"/>
    <hyperlink ref="EA2716" location="'CM Rec Par.'!EA1108" display="'CM Rec Par.'!EA1108" xr:uid="{399988B0-A368-4E38-9E20-8272B960D96E}"/>
    <hyperlink ref="EA2717" location="'CM Rec Par.'!EA1208" display="'CM Rec Par.'!EA1208" xr:uid="{F532DF19-923C-44F6-BB46-95D41694F629}"/>
    <hyperlink ref="EA2718" location="'CM Rec Par.'!EA1308" display="'CM Rec Par.'!EA1308" xr:uid="{3D96A109-C5B3-4B10-A476-0CA67733B151}"/>
    <hyperlink ref="EA2719" location="'CM Rec Par.'!EA1408" display="'CM Rec Par.'!EA1408" xr:uid="{EFFC542A-D095-4D04-ABA1-FF900BDECD10}"/>
    <hyperlink ref="EA2720" location="'CM Rec Par.'!EA1508" display="'CM Rec Par.'!EA1508" xr:uid="{3F0D976D-C43C-4609-95AE-9F8F455EB7E4}"/>
    <hyperlink ref="EA2721" location="'CM Rec Par.'!EA1608" display="'CM Rec Par.'!EA1608" xr:uid="{07262839-A379-470D-B013-F293CCB0CD6E}"/>
    <hyperlink ref="EA2722" location="'CM Rec Par.'!EA1708" display="'CM Rec Par.'!EA1708" xr:uid="{FD419FB3-B387-4136-9B45-466AE42D065E}"/>
    <hyperlink ref="EA2723" location="'CM Rec Par.'!EA1808" display="'CM Rec Par.'!EA1808" xr:uid="{0E5BA9E6-DF5D-4B72-B198-410488FFDB1F}"/>
    <hyperlink ref="EA2724" location="'CM Rec Par.'!EA1908" display="'CM Rec Par.'!EA1908" xr:uid="{B8CBE2F3-1711-4F41-9878-0B5D0E202F91}"/>
    <hyperlink ref="EA2725" location="'CM Rec Par.'!EA2008" display="'CM Rec Par.'!EA2008" xr:uid="{7D750822-33E8-49A4-830C-6075AEF3102F}"/>
    <hyperlink ref="EA2726" location="'CM Rec Par.'!EA2108" display="'CM Rec Par.'!EA2108" xr:uid="{3B14EEE7-0988-49CA-9D23-A1A55E2AF943}"/>
    <hyperlink ref="EA2727" location="'CM Rec Par.'!EA2208" display="'CM Rec Par.'!EA2208" xr:uid="{E24273B8-DB21-4D68-8527-FA8EC4F75A82}"/>
    <hyperlink ref="EA2728" location="'CM Rec Par.'!EA2308" display="'CM Rec Par.'!EA2308" xr:uid="{0FB5AAC5-0704-49FC-965E-113DBB9DA200}"/>
    <hyperlink ref="EA2729" location="'CM Rec Par.'!EA2408" display="'CM Rec Par.'!EA2408" xr:uid="{A1F76CD6-004D-46C6-B1DC-E3B0ABB88C1E}"/>
    <hyperlink ref="EA2730" location="'CM Rec Par.'!EA2508" display="'CM Rec Par.'!EA2508" xr:uid="{A988AD46-6CE9-439C-A461-3867E69BCD7A}"/>
    <hyperlink ref="EA2731" location="'CM Rec Par.'!EA2608" display="'CM Rec Par.'!EA2608" xr:uid="{A6F4749F-3CE1-423E-8E88-C53D7412522E}"/>
    <hyperlink ref="EA2732" location="'CM Rec Par.'!EA2708" display="'CM Rec Par.'!EA2708" xr:uid="{3DD55250-42F4-4CC8-BDAC-9AFCED95D040}"/>
    <hyperlink ref="EA2733" location="'CM Rec Par.'!EA2808" display="'CM Rec Par.'!EA2808" xr:uid="{56C19D48-4AFE-499A-916C-9961FF75AAA6}"/>
    <hyperlink ref="EA2734" location="'CM Rec Par.'!EA2908" display="'CM Rec Par.'!EA2908" xr:uid="{17798359-8428-4B6C-A306-F413734A9045}"/>
    <hyperlink ref="EA2735" location="'CM Rec Par.'!EA3008" display="'CM Rec Par.'!EA3008" xr:uid="{69DFD3D5-8F88-480B-895B-E817B5CB240E}"/>
    <hyperlink ref="EA2736" location="'CM Rec Par.'!EA3108" display="'CM Rec Par.'!EA3108" xr:uid="{BD3AD8BB-A9C8-4C9D-93F3-41D9E1C54AFA}"/>
    <hyperlink ref="EA2737" location="'CM Rec Par.'!EA3208" display="'CM Rec Par.'!EA3208" xr:uid="{D96D7A90-5EEC-4283-83A7-813D90B406B8}"/>
    <hyperlink ref="EA2738" location="'CM Rec Par.'!EA3308" display="'CM Rec Par.'!EA3308" xr:uid="{A1EFE1EA-B536-458A-9798-026061684736}"/>
    <hyperlink ref="EA2739" location="'CM Rec Par.'!EA3408" display="'CM Rec Par.'!EA3408" xr:uid="{F2007F93-7355-40AD-8FDE-1B33AF6B9DAA}"/>
    <hyperlink ref="EA2810" location="'CM Rec Par.'!EA508" display="'CM Rec Par.'!EA508" xr:uid="{69CEC8BC-E5E7-479C-B147-06E9C8581509}"/>
    <hyperlink ref="EA2809" location="'CM Rec Par.'!EA50" display="Process" xr:uid="{92D17639-5ED7-471D-859B-D238D7EEDC81}"/>
    <hyperlink ref="EA2808" location="'CM Rec Par.'!EA6" display="Top" xr:uid="{73B72300-D48D-4479-A025-78FE09AF025D}"/>
    <hyperlink ref="EA2811" location="'CM Rec Par.'!EA608" display="'CM Rec Par.'!EA608" xr:uid="{ACD98725-E445-4A7F-BBDF-23E49A9115C4}"/>
    <hyperlink ref="EA2812" location="'CM Rec Par.'!EA708" display="'CM Rec Par.'!EA708" xr:uid="{5FA6EE97-FC9C-47BA-97EE-87DF14A9890D}"/>
    <hyperlink ref="EA2813" location="'CM Rec Par.'!EA808" display="'CM Rec Par.'!EA808" xr:uid="{332D3640-6F3D-4994-A9DF-B43C9C21B5A4}"/>
    <hyperlink ref="EA2814" location="'CM Rec Par.'!EA908" display="'CM Rec Par.'!EA908" xr:uid="{9763C15C-9BBE-406E-A6B3-A0B7D9463743}"/>
    <hyperlink ref="EA2815" location="'CM Rec Par.'!EA1008" display="'CM Rec Par.'!EA1008" xr:uid="{38906F1C-C151-4CF1-BEC1-5CAF5D97D147}"/>
    <hyperlink ref="EA2816" location="'CM Rec Par.'!EA1108" display="'CM Rec Par.'!EA1108" xr:uid="{02FD4254-9CCA-4D4D-A151-77259C0C79F5}"/>
    <hyperlink ref="EA2817" location="'CM Rec Par.'!EA1208" display="'CM Rec Par.'!EA1208" xr:uid="{ECE3A75E-8EB7-4E69-9A75-8FB8B3D2AF41}"/>
    <hyperlink ref="EA2818" location="'CM Rec Par.'!EA1308" display="'CM Rec Par.'!EA1308" xr:uid="{42CA5BCA-1A8F-41AF-913A-BDAE4B3DA2FC}"/>
    <hyperlink ref="EA2819" location="'CM Rec Par.'!EA1408" display="'CM Rec Par.'!EA1408" xr:uid="{292E6496-6E9D-40C6-93BD-A0DAE9D37675}"/>
    <hyperlink ref="EA2820" location="'CM Rec Par.'!EA1508" display="'CM Rec Par.'!EA1508" xr:uid="{53EB1FA8-5237-4CB8-AED0-A27627C0BBCA}"/>
    <hyperlink ref="EA2821" location="'CM Rec Par.'!EA1608" display="'CM Rec Par.'!EA1608" xr:uid="{28C7A752-12D6-477C-B55E-F8FBE57AD372}"/>
    <hyperlink ref="EA2822" location="'CM Rec Par.'!EA1708" display="'CM Rec Par.'!EA1708" xr:uid="{2D504A54-7A21-43D5-9F64-FE3A93A3EC6F}"/>
    <hyperlink ref="EA2823" location="'CM Rec Par.'!EA1808" display="'CM Rec Par.'!EA1808" xr:uid="{754FDC73-CE20-4EA8-9990-8DF7D8DDB2AC}"/>
    <hyperlink ref="EA2824" location="'CM Rec Par.'!EA1908" display="'CM Rec Par.'!EA1908" xr:uid="{76A90891-7DB5-4413-BC70-454E271F8403}"/>
    <hyperlink ref="EA2825" location="'CM Rec Par.'!EA2008" display="'CM Rec Par.'!EA2008" xr:uid="{5563AC1D-F770-4566-8737-B90B6CBE9E41}"/>
    <hyperlink ref="EA2826" location="'CM Rec Par.'!EA2108" display="'CM Rec Par.'!EA2108" xr:uid="{B297CBBC-61F6-4151-9B78-225755D5A79F}"/>
    <hyperlink ref="EA2827" location="'CM Rec Par.'!EA2208" display="'CM Rec Par.'!EA2208" xr:uid="{7CA8360E-5760-4826-9DEA-E3512337E618}"/>
    <hyperlink ref="EA2828" location="'CM Rec Par.'!EA2308" display="'CM Rec Par.'!EA2308" xr:uid="{917373FB-631A-4B6E-A742-15E1DF44EFB2}"/>
    <hyperlink ref="EA2829" location="'CM Rec Par.'!EA2408" display="'CM Rec Par.'!EA2408" xr:uid="{42FE0FA7-ECCF-4D52-B661-35565731F66F}"/>
    <hyperlink ref="EA2830" location="'CM Rec Par.'!EA2508" display="'CM Rec Par.'!EA2508" xr:uid="{24E5785A-DF3C-406C-A393-F8F84751C518}"/>
    <hyperlink ref="EA2831" location="'CM Rec Par.'!EA2608" display="'CM Rec Par.'!EA2608" xr:uid="{044CB257-28B9-4FEA-B9B5-D2BC0222FF51}"/>
    <hyperlink ref="EA2832" location="'CM Rec Par.'!EA2708" display="'CM Rec Par.'!EA2708" xr:uid="{19B46E83-38AC-4FF6-AF3F-8F42FDBDDE96}"/>
    <hyperlink ref="EA2833" location="'CM Rec Par.'!EA2808" display="'CM Rec Par.'!EA2808" xr:uid="{8D11DD21-6F90-4239-9FA1-759934A8BBCF}"/>
    <hyperlink ref="EA2834" location="'CM Rec Par.'!EA2908" display="'CM Rec Par.'!EA2908" xr:uid="{735CC90E-A5B2-459C-93B1-315B201D93A6}"/>
    <hyperlink ref="EA2835" location="'CM Rec Par.'!EA3008" display="'CM Rec Par.'!EA3008" xr:uid="{A3A62269-BD62-4526-A321-42474195D6D7}"/>
    <hyperlink ref="EA2836" location="'CM Rec Par.'!EA3108" display="'CM Rec Par.'!EA3108" xr:uid="{CA043334-0BC6-4CF5-906F-9EBCF84AA7F9}"/>
    <hyperlink ref="EA2837" location="'CM Rec Par.'!EA3208" display="'CM Rec Par.'!EA3208" xr:uid="{C5B5EC35-F0CC-4BA1-8DB3-47D315269154}"/>
    <hyperlink ref="EA2838" location="'CM Rec Par.'!EA3308" display="'CM Rec Par.'!EA3308" xr:uid="{4081626D-69FD-4F8C-AD55-864C48C33BB3}"/>
    <hyperlink ref="EA2839" location="'CM Rec Par.'!EA3408" display="'CM Rec Par.'!EA3408" xr:uid="{0F15A3E1-F8FD-422D-A4A5-CC0F7023CFFC}"/>
    <hyperlink ref="EA2910" location="'CM Rec Par.'!EA508" display="'CM Rec Par.'!EA508" xr:uid="{DAE4E5BB-38F3-4FD1-B892-263FF0951190}"/>
    <hyperlink ref="EA2909" location="'CM Rec Par.'!EA50" display="Process" xr:uid="{D7BA285D-556E-4FE5-B714-991FB2D75DA6}"/>
    <hyperlink ref="EA2908" location="'CM Rec Par.'!EA6" display="Top" xr:uid="{D7946E87-663D-433D-B96E-478DEBBDD14F}"/>
    <hyperlink ref="EA2911" location="'CM Rec Par.'!EA608" display="'CM Rec Par.'!EA608" xr:uid="{27B827A1-BABF-43CB-BD0C-29B65DD3A2A7}"/>
    <hyperlink ref="EA2912" location="'CM Rec Par.'!EA708" display="'CM Rec Par.'!EA708" xr:uid="{7781A49C-252C-4E9B-BE04-1AAE8482726B}"/>
    <hyperlink ref="EA2913" location="'CM Rec Par.'!EA808" display="'CM Rec Par.'!EA808" xr:uid="{061D9F4C-618C-4E95-B727-CFEC3ABD2287}"/>
    <hyperlink ref="EA2914" location="'CM Rec Par.'!EA908" display="'CM Rec Par.'!EA908" xr:uid="{94464543-7644-4093-8008-40C07A0A1D12}"/>
    <hyperlink ref="EA2915" location="'CM Rec Par.'!EA1008" display="'CM Rec Par.'!EA1008" xr:uid="{F7B4C596-E5FC-4841-8C16-51CA5B5F8973}"/>
    <hyperlink ref="EA2916" location="'CM Rec Par.'!EA1108" display="'CM Rec Par.'!EA1108" xr:uid="{8FB2C2F5-9BBD-41F4-A539-37436C912F78}"/>
    <hyperlink ref="EA2917" location="'CM Rec Par.'!EA1208" display="'CM Rec Par.'!EA1208" xr:uid="{67534624-C043-4643-8667-AAC94C793F7F}"/>
    <hyperlink ref="EA2918" location="'CM Rec Par.'!EA1308" display="'CM Rec Par.'!EA1308" xr:uid="{B62CF81A-2F96-4902-B8DF-38D081937114}"/>
    <hyperlink ref="EA2919" location="'CM Rec Par.'!EA1408" display="'CM Rec Par.'!EA1408" xr:uid="{F84C8013-5167-437E-8ABD-52F14A997E74}"/>
    <hyperlink ref="EA2920" location="'CM Rec Par.'!EA1508" display="'CM Rec Par.'!EA1508" xr:uid="{408D3F20-A6B0-4662-99CE-AB0D30328D88}"/>
    <hyperlink ref="EA2921" location="'CM Rec Par.'!EA1608" display="'CM Rec Par.'!EA1608" xr:uid="{143B9B19-753C-4BE8-99AC-90FD7623C5F1}"/>
    <hyperlink ref="EA2922" location="'CM Rec Par.'!EA1708" display="'CM Rec Par.'!EA1708" xr:uid="{43372909-CEF5-4995-8495-3F76E4AC202A}"/>
    <hyperlink ref="EA2923" location="'CM Rec Par.'!EA1808" display="'CM Rec Par.'!EA1808" xr:uid="{07B41242-670F-4987-B309-BB6D52C17AC9}"/>
    <hyperlink ref="EA2924" location="'CM Rec Par.'!EA1908" display="'CM Rec Par.'!EA1908" xr:uid="{276E9C58-4021-4B4C-A47C-1A85D875C41B}"/>
    <hyperlink ref="EA2925" location="'CM Rec Par.'!EA2008" display="'CM Rec Par.'!EA2008" xr:uid="{58FB0536-3B2A-401D-8734-33F2B21B6C54}"/>
    <hyperlink ref="EA2926" location="'CM Rec Par.'!EA2108" display="'CM Rec Par.'!EA2108" xr:uid="{22D1CE1C-8D1D-4E9C-8F44-B8A985D59A8B}"/>
    <hyperlink ref="EA2927" location="'CM Rec Par.'!EA2208" display="'CM Rec Par.'!EA2208" xr:uid="{9BA56974-05AB-4D50-A4FB-9877150137D5}"/>
    <hyperlink ref="EA2928" location="'CM Rec Par.'!EA2308" display="'CM Rec Par.'!EA2308" xr:uid="{F3A42840-7A7C-4029-A924-5F9A954BE503}"/>
    <hyperlink ref="EA2929" location="'CM Rec Par.'!EA2408" display="'CM Rec Par.'!EA2408" xr:uid="{44BA904D-5A20-44FC-AC46-3A8B1BA01E30}"/>
    <hyperlink ref="EA2930" location="'CM Rec Par.'!EA2508" display="'CM Rec Par.'!EA2508" xr:uid="{8839A81A-F2A9-4A28-B8E2-4FEFAF40552D}"/>
    <hyperlink ref="EA2931" location="'CM Rec Par.'!EA2608" display="'CM Rec Par.'!EA2608" xr:uid="{96754F12-E2EF-4261-8D20-C700B3CBB4B9}"/>
    <hyperlink ref="EA2932" location="'CM Rec Par.'!EA2708" display="'CM Rec Par.'!EA2708" xr:uid="{4BE018D7-05F6-451E-87FA-2491FC1556D2}"/>
    <hyperlink ref="EA2933" location="'CM Rec Par.'!EA2808" display="'CM Rec Par.'!EA2808" xr:uid="{69E220B8-5B9B-431C-99CA-76EB141569AA}"/>
    <hyperlink ref="EA2934" location="'CM Rec Par.'!EA2908" display="'CM Rec Par.'!EA2908" xr:uid="{1DB133AD-EB32-4A6D-9B49-729485405FD4}"/>
    <hyperlink ref="EA2935" location="'CM Rec Par.'!EA3008" display="'CM Rec Par.'!EA3008" xr:uid="{D5FA7E61-B1DD-4D65-9C5F-C21EA303E2D2}"/>
    <hyperlink ref="EA2936" location="'CM Rec Par.'!EA3108" display="'CM Rec Par.'!EA3108" xr:uid="{40DF579C-DB08-4D43-9522-51FAC2214AD4}"/>
    <hyperlink ref="EA2937" location="'CM Rec Par.'!EA3208" display="'CM Rec Par.'!EA3208" xr:uid="{805F410E-7E7A-4A5B-8586-555189B4FA50}"/>
    <hyperlink ref="EA2938" location="'CM Rec Par.'!EA3308" display="'CM Rec Par.'!EA3308" xr:uid="{CAE2B2A0-D86A-40A7-A198-B24D1D8D241C}"/>
    <hyperlink ref="EA2939" location="'CM Rec Par.'!EA3408" display="'CM Rec Par.'!EA3408" xr:uid="{5CD51C3E-C629-490C-A35F-881D63A15B22}"/>
    <hyperlink ref="EA3010" location="'CM Rec Par.'!EA508" display="'CM Rec Par.'!EA508" xr:uid="{B0C5D1B5-CDC9-4D58-9D93-AD282AF2B13F}"/>
    <hyperlink ref="EA3009" location="'CM Rec Par.'!EA50" display="Process" xr:uid="{7AE85ED7-AA16-4E53-B888-59C47B44743B}"/>
    <hyperlink ref="EA3008" location="'CM Rec Par.'!EA6" display="Top" xr:uid="{F2B21A31-2AB0-4905-8122-DA433D66DFF7}"/>
    <hyperlink ref="EA3011" location="'CM Rec Par.'!EA608" display="'CM Rec Par.'!EA608" xr:uid="{87723D68-7ECE-49CB-9703-602B0EE4E5A3}"/>
    <hyperlink ref="EA3012" location="'CM Rec Par.'!EA708" display="'CM Rec Par.'!EA708" xr:uid="{DC0FBF1F-AA9B-4207-8F50-55114B8948A0}"/>
    <hyperlink ref="EA3013" location="'CM Rec Par.'!EA808" display="'CM Rec Par.'!EA808" xr:uid="{DAA29F63-9669-4305-9D39-5F97BF2C0EDE}"/>
    <hyperlink ref="EA3014" location="'CM Rec Par.'!EA908" display="'CM Rec Par.'!EA908" xr:uid="{1359E674-5D6A-497B-A9BF-4D2F9AC82C28}"/>
    <hyperlink ref="EA3015" location="'CM Rec Par.'!EA1008" display="'CM Rec Par.'!EA1008" xr:uid="{C7386A1B-03AC-432E-A6CA-1A1CEF5CD578}"/>
    <hyperlink ref="EA3016" location="'CM Rec Par.'!EA1108" display="'CM Rec Par.'!EA1108" xr:uid="{083475B9-F229-4245-BEE2-C4B0634478EA}"/>
    <hyperlink ref="EA3017" location="'CM Rec Par.'!EA1208" display="'CM Rec Par.'!EA1208" xr:uid="{ECF9C15E-0D7E-41EC-9ABC-ADF9AD190AA8}"/>
    <hyperlink ref="EA3018" location="'CM Rec Par.'!EA1308" display="'CM Rec Par.'!EA1308" xr:uid="{1D397A6C-7E4E-4E17-BB1F-AB43C5C15278}"/>
    <hyperlink ref="EA3019" location="'CM Rec Par.'!EA1408" display="'CM Rec Par.'!EA1408" xr:uid="{941EA350-9B2B-48B3-B116-6034A673EF40}"/>
    <hyperlink ref="EA3020" location="'CM Rec Par.'!EA1508" display="'CM Rec Par.'!EA1508" xr:uid="{EB8B9AC6-356F-4EF2-B575-770369F21585}"/>
    <hyperlink ref="EA3021" location="'CM Rec Par.'!EA1608" display="'CM Rec Par.'!EA1608" xr:uid="{D14EBB4E-CD92-4926-A2A4-014670F51402}"/>
    <hyperlink ref="EA3022" location="'CM Rec Par.'!EA1708" display="'CM Rec Par.'!EA1708" xr:uid="{A384D834-C67C-40A3-9D71-B349D6C9C1D8}"/>
    <hyperlink ref="EA3023" location="'CM Rec Par.'!EA1808" display="'CM Rec Par.'!EA1808" xr:uid="{6B557FC4-AF8A-4886-8B09-B57EF856CF49}"/>
    <hyperlink ref="EA3024" location="'CM Rec Par.'!EA1908" display="'CM Rec Par.'!EA1908" xr:uid="{4FC1A2F9-2A9C-4DC6-AED5-E9AB0F9B58FB}"/>
    <hyperlink ref="EA3025" location="'CM Rec Par.'!EA2008" display="'CM Rec Par.'!EA2008" xr:uid="{BEEC8FC9-10AE-4883-8988-F2357D1C6EF5}"/>
    <hyperlink ref="EA3026" location="'CM Rec Par.'!EA2108" display="'CM Rec Par.'!EA2108" xr:uid="{C9CEFB02-A797-4797-92C8-983559A89765}"/>
    <hyperlink ref="EA3027" location="'CM Rec Par.'!EA2208" display="'CM Rec Par.'!EA2208" xr:uid="{3FF5AC58-B4F7-45C2-AD9E-FC48071E803C}"/>
    <hyperlink ref="EA3028" location="'CM Rec Par.'!EA2308" display="'CM Rec Par.'!EA2308" xr:uid="{243DFB45-ECF8-4F63-9D25-E8C593A061F7}"/>
    <hyperlink ref="EA3029" location="'CM Rec Par.'!EA2408" display="'CM Rec Par.'!EA2408" xr:uid="{EB49C0AE-E0F5-41B1-BF1C-FF352A3D03A8}"/>
    <hyperlink ref="EA3030" location="'CM Rec Par.'!EA2508" display="'CM Rec Par.'!EA2508" xr:uid="{C7B9694B-67BA-4242-AE2F-69763903480E}"/>
    <hyperlink ref="EA3031" location="'CM Rec Par.'!EA2608" display="'CM Rec Par.'!EA2608" xr:uid="{FF264637-1E39-4F9D-BFDF-204B979D6863}"/>
    <hyperlink ref="EA3032" location="'CM Rec Par.'!EA2708" display="'CM Rec Par.'!EA2708" xr:uid="{0E3B4678-142A-4AAA-9D77-271009818B0C}"/>
    <hyperlink ref="EA3033" location="'CM Rec Par.'!EA2808" display="'CM Rec Par.'!EA2808" xr:uid="{FE98C01D-2E0D-4A69-B6FC-0F0BB80C32FF}"/>
    <hyperlink ref="EA3034" location="'CM Rec Par.'!EA2908" display="'CM Rec Par.'!EA2908" xr:uid="{54BD013E-D4F2-41D4-82AB-097713ED9755}"/>
    <hyperlink ref="EA3035" location="'CM Rec Par.'!EA3008" display="'CM Rec Par.'!EA3008" xr:uid="{289F7CBE-68ED-4FDF-8CDC-6C80C0EF844D}"/>
    <hyperlink ref="EA3036" location="'CM Rec Par.'!EA3108" display="'CM Rec Par.'!EA3108" xr:uid="{41C3E833-8D86-4B8B-B9BF-43277C74ED36}"/>
    <hyperlink ref="EA3037" location="'CM Rec Par.'!EA3208" display="'CM Rec Par.'!EA3208" xr:uid="{EDB63501-C2F1-4C87-9435-96C62E4A8B12}"/>
    <hyperlink ref="EA3038" location="'CM Rec Par.'!EA3308" display="'CM Rec Par.'!EA3308" xr:uid="{BDA0CAE5-286C-412B-BD32-4736E299DC42}"/>
    <hyperlink ref="EA3039" location="'CM Rec Par.'!EA3408" display="'CM Rec Par.'!EA3408" xr:uid="{6E974DFB-2D8A-45A4-8935-5397C60A5A89}"/>
    <hyperlink ref="EA3110" location="'CM Rec Par.'!EA508" display="'CM Rec Par.'!EA508" xr:uid="{665DCB92-18A8-4F5B-A50A-EC26EBAC1185}"/>
    <hyperlink ref="EA3109" location="'CM Rec Par.'!EA50" display="Process" xr:uid="{2FCCC671-0719-434B-8662-DCE3CD6C2D56}"/>
    <hyperlink ref="EA3108" location="'CM Rec Par.'!EA6" display="Top" xr:uid="{8C229099-9941-4408-9BCF-FE4045C7EA5A}"/>
    <hyperlink ref="EA3111" location="'CM Rec Par.'!EA608" display="'CM Rec Par.'!EA608" xr:uid="{86949C69-A167-4239-8E09-A2A6054F50C0}"/>
    <hyperlink ref="EA3112" location="'CM Rec Par.'!EA708" display="'CM Rec Par.'!EA708" xr:uid="{7A204240-0ED4-4167-B243-D16F27898B30}"/>
    <hyperlink ref="EA3113" location="'CM Rec Par.'!EA808" display="'CM Rec Par.'!EA808" xr:uid="{A5AD7361-0C01-4FC0-B906-03452094AB53}"/>
    <hyperlink ref="EA3114" location="'CM Rec Par.'!EA908" display="'CM Rec Par.'!EA908" xr:uid="{5C5AB526-178A-4DAC-95ED-FB0E1EE101CA}"/>
    <hyperlink ref="EA3115" location="'CM Rec Par.'!EA1008" display="'CM Rec Par.'!EA1008" xr:uid="{3E7609EE-4630-4846-A3D6-5AA5BA97A9AC}"/>
    <hyperlink ref="EA3116" location="'CM Rec Par.'!EA1108" display="'CM Rec Par.'!EA1108" xr:uid="{6AAC6658-4486-4292-872A-E41DA0CECA87}"/>
    <hyperlink ref="EA3117" location="'CM Rec Par.'!EA1208" display="'CM Rec Par.'!EA1208" xr:uid="{52D479A3-9310-4A78-9FC5-EA7F7EA68AC0}"/>
    <hyperlink ref="EA3118" location="'CM Rec Par.'!EA1308" display="'CM Rec Par.'!EA1308" xr:uid="{1FEEFFF7-50DF-4096-B579-2AFF54F60507}"/>
    <hyperlink ref="EA3119" location="'CM Rec Par.'!EA1408" display="'CM Rec Par.'!EA1408" xr:uid="{62D7AE64-A11C-46A2-B7E2-F902C6200AA8}"/>
    <hyperlink ref="EA3120" location="'CM Rec Par.'!EA1508" display="'CM Rec Par.'!EA1508" xr:uid="{4D315CE6-B570-43DE-8BEE-9C25A80DC13D}"/>
    <hyperlink ref="EA3121" location="'CM Rec Par.'!EA1608" display="'CM Rec Par.'!EA1608" xr:uid="{FF4AA887-E950-433E-8753-4553FB226C6E}"/>
    <hyperlink ref="EA3122" location="'CM Rec Par.'!EA1708" display="'CM Rec Par.'!EA1708" xr:uid="{4B04FCD0-8700-4846-BD19-FF88FC97A912}"/>
    <hyperlink ref="EA3123" location="'CM Rec Par.'!EA1808" display="'CM Rec Par.'!EA1808" xr:uid="{3DC46777-F721-46B7-B1A1-33A9FFA640C5}"/>
    <hyperlink ref="EA3124" location="'CM Rec Par.'!EA1908" display="'CM Rec Par.'!EA1908" xr:uid="{49ACDD9C-B80F-4DEB-A6B5-35A56EE9E3EB}"/>
    <hyperlink ref="EA3125" location="'CM Rec Par.'!EA2008" display="'CM Rec Par.'!EA2008" xr:uid="{C8257584-3EA7-478F-A08B-B5495793BFFD}"/>
    <hyperlink ref="EA3126" location="'CM Rec Par.'!EA2108" display="'CM Rec Par.'!EA2108" xr:uid="{28930DDC-35CB-4205-9407-041EF16573B2}"/>
    <hyperlink ref="EA3127" location="'CM Rec Par.'!EA2208" display="'CM Rec Par.'!EA2208" xr:uid="{A50D1F81-25B3-46ED-BE23-95E3D27CC3D0}"/>
    <hyperlink ref="EA3128" location="'CM Rec Par.'!EA2308" display="'CM Rec Par.'!EA2308" xr:uid="{53D0DE34-091C-4B3E-91E5-9497BD4B97DD}"/>
    <hyperlink ref="EA3129" location="'CM Rec Par.'!EA2408" display="'CM Rec Par.'!EA2408" xr:uid="{3B2C0E9A-553E-4A63-925F-D5F451AFEDD9}"/>
    <hyperlink ref="EA3130" location="'CM Rec Par.'!EA2508" display="'CM Rec Par.'!EA2508" xr:uid="{B82BB04C-03A5-4029-87D3-3CAF0CF3824F}"/>
    <hyperlink ref="EA3131" location="'CM Rec Par.'!EA2608" display="'CM Rec Par.'!EA2608" xr:uid="{A8E1BECA-2E2C-4599-8061-3D6ADB4669A0}"/>
    <hyperlink ref="EA3132" location="'CM Rec Par.'!EA2708" display="'CM Rec Par.'!EA2708" xr:uid="{1636C9B5-070D-4B1F-9197-A52CC275AF20}"/>
    <hyperlink ref="EA3133" location="'CM Rec Par.'!EA2808" display="'CM Rec Par.'!EA2808" xr:uid="{DDFAC3A9-1BC6-40C7-8129-9310B867BD16}"/>
    <hyperlink ref="EA3134" location="'CM Rec Par.'!EA2908" display="'CM Rec Par.'!EA2908" xr:uid="{891CB895-3C0C-40D0-86FE-D481E0EBB88F}"/>
    <hyperlink ref="EA3135" location="'CM Rec Par.'!EA3008" display="'CM Rec Par.'!EA3008" xr:uid="{C59F4422-373E-45C1-AF09-0FB644D0FE53}"/>
    <hyperlink ref="EA3136" location="'CM Rec Par.'!EA3108" display="'CM Rec Par.'!EA3108" xr:uid="{1CF0D343-381A-4796-AF2A-0D05595825EC}"/>
    <hyperlink ref="EA3137" location="'CM Rec Par.'!EA3208" display="'CM Rec Par.'!EA3208" xr:uid="{18C6A7FA-3787-41A8-9F68-D2FB26551D20}"/>
    <hyperlink ref="EA3138" location="'CM Rec Par.'!EA3308" display="'CM Rec Par.'!EA3308" xr:uid="{FD1DCB57-8F08-4E84-9176-E726C982A62B}"/>
    <hyperlink ref="EA3139" location="'CM Rec Par.'!EA3408" display="'CM Rec Par.'!EA3408" xr:uid="{990CEF14-C7A5-4DBB-85E6-1E0C94C40A29}"/>
    <hyperlink ref="EA3210" location="'CM Rec Par.'!EA508" display="'CM Rec Par.'!EA508" xr:uid="{9C4B6F00-D789-4F6C-B94F-17807B6AE488}"/>
    <hyperlink ref="EA3209" location="'CM Rec Par.'!EA50" display="Process" xr:uid="{F116E9D4-A478-4394-958E-BA2BE4A74839}"/>
    <hyperlink ref="EA3208" location="'CM Rec Par.'!EA6" display="Top" xr:uid="{3EFACBBA-CE54-42EF-A4D6-5C7BC955143C}"/>
    <hyperlink ref="EA3211" location="'CM Rec Par.'!EA608" display="'CM Rec Par.'!EA608" xr:uid="{9A1191CC-AB57-41C9-9F68-4E3CFD9039A8}"/>
    <hyperlink ref="EA3212" location="'CM Rec Par.'!EA708" display="'CM Rec Par.'!EA708" xr:uid="{3C9A0BC0-745A-4974-A464-989A5A880937}"/>
    <hyperlink ref="EA3213" location="'CM Rec Par.'!EA808" display="'CM Rec Par.'!EA808" xr:uid="{83D03058-614A-4E11-895F-671938315FC5}"/>
    <hyperlink ref="EA3214" location="'CM Rec Par.'!EA908" display="'CM Rec Par.'!EA908" xr:uid="{5B687D2A-E061-4422-828C-0936F804653E}"/>
    <hyperlink ref="EA3215" location="'CM Rec Par.'!EA1008" display="'CM Rec Par.'!EA1008" xr:uid="{25E0D1C3-37A5-4BF6-8607-DEEC33ADFE07}"/>
    <hyperlink ref="EA3216" location="'CM Rec Par.'!EA1108" display="'CM Rec Par.'!EA1108" xr:uid="{B688AE94-7711-44FC-A3F3-E3CC82B9B7F5}"/>
    <hyperlink ref="EA3217" location="'CM Rec Par.'!EA1208" display="'CM Rec Par.'!EA1208" xr:uid="{534740EF-55FD-4838-B84D-E222438D87E6}"/>
    <hyperlink ref="EA3218" location="'CM Rec Par.'!EA1308" display="'CM Rec Par.'!EA1308" xr:uid="{1805C5CC-93CF-4190-8EC5-4363B5C00C52}"/>
    <hyperlink ref="EA3219" location="'CM Rec Par.'!EA1408" display="'CM Rec Par.'!EA1408" xr:uid="{84A1B370-4B17-498D-8DC0-32ED7D5EDA0E}"/>
    <hyperlink ref="EA3220" location="'CM Rec Par.'!EA1508" display="'CM Rec Par.'!EA1508" xr:uid="{D37BEAB2-2707-4012-B31C-FA5018346A3A}"/>
    <hyperlink ref="EA3221" location="'CM Rec Par.'!EA1608" display="'CM Rec Par.'!EA1608" xr:uid="{3803BD3B-88EE-4037-9AC7-1E64E540DE23}"/>
    <hyperlink ref="EA3222" location="'CM Rec Par.'!EA1708" display="'CM Rec Par.'!EA1708" xr:uid="{2BC3A9A6-1B9D-4A01-9D0C-B0383ABA4D5F}"/>
    <hyperlink ref="EA3223" location="'CM Rec Par.'!EA1808" display="'CM Rec Par.'!EA1808" xr:uid="{1955E089-13D2-4439-91E6-21DB0ABB2905}"/>
    <hyperlink ref="EA3224" location="'CM Rec Par.'!EA1908" display="'CM Rec Par.'!EA1908" xr:uid="{66C2B3EA-4E8E-4607-80E0-6C8D7A699BB3}"/>
    <hyperlink ref="EA3225" location="'CM Rec Par.'!EA2008" display="'CM Rec Par.'!EA2008" xr:uid="{0D8A3300-A188-48F4-92DE-9C13929C7397}"/>
    <hyperlink ref="EA3226" location="'CM Rec Par.'!EA2108" display="'CM Rec Par.'!EA2108" xr:uid="{DB8FE73C-A9AC-4D40-AE7C-9F405180F6BA}"/>
    <hyperlink ref="EA3227" location="'CM Rec Par.'!EA2208" display="'CM Rec Par.'!EA2208" xr:uid="{E2F00235-A350-4715-91B5-6903BACDC5E8}"/>
    <hyperlink ref="EA3228" location="'CM Rec Par.'!EA2308" display="'CM Rec Par.'!EA2308" xr:uid="{CC61153E-6084-47A9-83C6-221A9001AEAA}"/>
    <hyperlink ref="EA3229" location="'CM Rec Par.'!EA2408" display="'CM Rec Par.'!EA2408" xr:uid="{3C74FE4A-E0FA-4224-A287-6681B02E7880}"/>
    <hyperlink ref="EA3230" location="'CM Rec Par.'!EA2508" display="'CM Rec Par.'!EA2508" xr:uid="{A848A783-A27C-4B27-9A39-C7F1F7433E22}"/>
    <hyperlink ref="EA3231" location="'CM Rec Par.'!EA2608" display="'CM Rec Par.'!EA2608" xr:uid="{F44040CB-5840-4142-84D7-DE3C412D5D51}"/>
    <hyperlink ref="EA3232" location="'CM Rec Par.'!EA2708" display="'CM Rec Par.'!EA2708" xr:uid="{002F1C6B-AFAD-4E78-A000-5B0205CF3652}"/>
    <hyperlink ref="EA3233" location="'CM Rec Par.'!EA2808" display="'CM Rec Par.'!EA2808" xr:uid="{2619A816-6F74-4627-B0E4-4A8F8A7D5C6E}"/>
    <hyperlink ref="EA3234" location="'CM Rec Par.'!EA2908" display="'CM Rec Par.'!EA2908" xr:uid="{1AD74110-9E8B-4505-907B-15EBB3D28D66}"/>
    <hyperlink ref="EA3235" location="'CM Rec Par.'!EA3008" display="'CM Rec Par.'!EA3008" xr:uid="{33EA8DCD-8AD6-4A58-9FC8-4C9587E300A3}"/>
    <hyperlink ref="EA3236" location="'CM Rec Par.'!EA3108" display="'CM Rec Par.'!EA3108" xr:uid="{1538403C-73B7-4C2B-B041-DAA83F762111}"/>
    <hyperlink ref="EA3237" location="'CM Rec Par.'!EA3208" display="'CM Rec Par.'!EA3208" xr:uid="{2DBD7D2D-E589-4867-9308-9FF0C1F195FB}"/>
    <hyperlink ref="EA3238" location="'CM Rec Par.'!EA3308" display="'CM Rec Par.'!EA3308" xr:uid="{7153BADE-303C-4FE6-9F65-0821EFEF7AC6}"/>
    <hyperlink ref="EA3239" location="'CM Rec Par.'!EA3408" display="'CM Rec Par.'!EA3408" xr:uid="{EC76C73A-83DA-4F67-AF0B-F73EE9C4C0BE}"/>
    <hyperlink ref="EA3310" location="'CM Rec Par.'!EA508" display="'CM Rec Par.'!EA508" xr:uid="{2B9AF8EB-4617-4492-A942-5ED72EB7A4FB}"/>
    <hyperlink ref="EA3309" location="'CM Rec Par.'!EA50" display="Process" xr:uid="{BF584BEF-3DDE-493B-A7A1-BEE81AFA4D5D}"/>
    <hyperlink ref="EA3308" location="'CM Rec Par.'!EA6" display="Top" xr:uid="{1A15BBED-E083-4540-BDC7-5A40D0427D97}"/>
    <hyperlink ref="EA3311" location="'CM Rec Par.'!EA608" display="'CM Rec Par.'!EA608" xr:uid="{1830B16A-5934-4BE2-9B4A-80BF6A881BB2}"/>
    <hyperlink ref="EA3312" location="'CM Rec Par.'!EA708" display="'CM Rec Par.'!EA708" xr:uid="{8F270558-BCF9-47CA-97BA-B7FA9CAD8819}"/>
    <hyperlink ref="EA3313" location="'CM Rec Par.'!EA808" display="'CM Rec Par.'!EA808" xr:uid="{01846C9D-590A-46DE-A415-1B0493F47D4A}"/>
    <hyperlink ref="EA3314" location="'CM Rec Par.'!EA908" display="'CM Rec Par.'!EA908" xr:uid="{A4CD6808-BD9A-4E05-8074-AA20B76FD32B}"/>
    <hyperlink ref="EA3315" location="'CM Rec Par.'!EA1008" display="'CM Rec Par.'!EA1008" xr:uid="{31B9D048-71D5-4CD6-AB43-83E3ED308CD5}"/>
    <hyperlink ref="EA3316" location="'CM Rec Par.'!EA1108" display="'CM Rec Par.'!EA1108" xr:uid="{F167386C-9C01-4FC7-A3DB-864625CD336E}"/>
    <hyperlink ref="EA3317" location="'CM Rec Par.'!EA1208" display="'CM Rec Par.'!EA1208" xr:uid="{242132A6-5794-4CA6-B7C8-2A67D690885B}"/>
    <hyperlink ref="EA3318" location="'CM Rec Par.'!EA1308" display="'CM Rec Par.'!EA1308" xr:uid="{EDDE179F-BE06-49AC-ADEC-C0EAAC22F9F6}"/>
    <hyperlink ref="EA3319" location="'CM Rec Par.'!EA1408" display="'CM Rec Par.'!EA1408" xr:uid="{99F72D98-298B-4C7F-AB4C-9002C4BA3DD5}"/>
    <hyperlink ref="EA3320" location="'CM Rec Par.'!EA1508" display="'CM Rec Par.'!EA1508" xr:uid="{D9B9D156-1239-4DB6-9831-09321E817364}"/>
    <hyperlink ref="EA3321" location="'CM Rec Par.'!EA1608" display="'CM Rec Par.'!EA1608" xr:uid="{C01FE708-1733-4A8E-A98A-8B254CFCB441}"/>
    <hyperlink ref="EA3322" location="'CM Rec Par.'!EA1708" display="'CM Rec Par.'!EA1708" xr:uid="{09392322-04F8-491E-BA53-5E6E1562F0B3}"/>
    <hyperlink ref="EA3323" location="'CM Rec Par.'!EA1808" display="'CM Rec Par.'!EA1808" xr:uid="{5429DFA1-2741-447E-8065-44359B4AF9A8}"/>
    <hyperlink ref="EA3324" location="'CM Rec Par.'!EA1908" display="'CM Rec Par.'!EA1908" xr:uid="{BBBFEEE3-BE57-4EB3-8A60-0CBEA86DFE3C}"/>
    <hyperlink ref="EA3325" location="'CM Rec Par.'!EA2008" display="'CM Rec Par.'!EA2008" xr:uid="{B5182D92-6BA6-4845-96BC-6C48DEDCC8C6}"/>
    <hyperlink ref="EA3326" location="'CM Rec Par.'!EA2108" display="'CM Rec Par.'!EA2108" xr:uid="{EA36886D-F9EE-47F4-954A-5E3BDFB85356}"/>
    <hyperlink ref="EA3327" location="'CM Rec Par.'!EA2208" display="'CM Rec Par.'!EA2208" xr:uid="{743F0324-3DAC-4DB3-B8A8-4E04E6D5D7B0}"/>
    <hyperlink ref="EA3328" location="'CM Rec Par.'!EA2308" display="'CM Rec Par.'!EA2308" xr:uid="{D0E0E0C5-E779-4F1A-8286-A1455016090F}"/>
    <hyperlink ref="EA3329" location="'CM Rec Par.'!EA2408" display="'CM Rec Par.'!EA2408" xr:uid="{F168C2F5-54B5-4B4C-9F61-A480BBEC45A2}"/>
    <hyperlink ref="EA3330" location="'CM Rec Par.'!EA2508" display="'CM Rec Par.'!EA2508" xr:uid="{BBCBCAC6-C222-4DCF-B4F6-34742FEB60D8}"/>
    <hyperlink ref="EA3331" location="'CM Rec Par.'!EA2608" display="'CM Rec Par.'!EA2608" xr:uid="{227EDA2A-A975-48F8-BEAC-FD010186B723}"/>
    <hyperlink ref="EA3332" location="'CM Rec Par.'!EA2708" display="'CM Rec Par.'!EA2708" xr:uid="{8E998F1C-3A4D-44BC-BEC1-98C1B62398D5}"/>
    <hyperlink ref="EA3333" location="'CM Rec Par.'!EA2808" display="'CM Rec Par.'!EA2808" xr:uid="{06F51E9C-96D0-45AF-B99F-1E3DE96A3C35}"/>
    <hyperlink ref="EA3334" location="'CM Rec Par.'!EA2908" display="'CM Rec Par.'!EA2908" xr:uid="{05A3FB5C-48EC-460B-BA8D-47E82D8F0C23}"/>
    <hyperlink ref="EA3335" location="'CM Rec Par.'!EA3008" display="'CM Rec Par.'!EA3008" xr:uid="{325897AA-9645-4D01-A6AE-54FBA7E99924}"/>
    <hyperlink ref="EA3336" location="'CM Rec Par.'!EA3108" display="'CM Rec Par.'!EA3108" xr:uid="{481C79E2-AFCD-40CE-85C8-C06FAB2C2B8D}"/>
    <hyperlink ref="EA3337" location="'CM Rec Par.'!EA3208" display="'CM Rec Par.'!EA3208" xr:uid="{1B2BFC39-D8D0-439F-980A-DEBC095AFEE8}"/>
    <hyperlink ref="EA3338" location="'CM Rec Par.'!EA3308" display="'CM Rec Par.'!EA3308" xr:uid="{24A11888-3CC9-4DF7-AF1B-4C216D1730FE}"/>
    <hyperlink ref="EA3339" location="'CM Rec Par.'!EA3408" display="'CM Rec Par.'!EA3408" xr:uid="{52BDB558-3709-4FD9-8592-F3DFD5DF131A}"/>
    <hyperlink ref="EA3410" location="'CM Rec Par.'!EA508" display="'CM Rec Par.'!EA508" xr:uid="{1FACEC63-6A68-4266-98F8-BA258834E1E5}"/>
    <hyperlink ref="EA3409" location="'CM Rec Par.'!EA50" display="Process" xr:uid="{5C77BB9C-09CA-4A60-BC68-616E395906D4}"/>
    <hyperlink ref="EA3408" location="'CM Rec Par.'!EA6" display="Top" xr:uid="{25EB8B8E-1406-47D6-9D59-393CC6E5B415}"/>
    <hyperlink ref="EA3411" location="'CM Rec Par.'!EA608" display="'CM Rec Par.'!EA608" xr:uid="{63101D77-667C-410E-B247-82E165692639}"/>
    <hyperlink ref="EA3412" location="'CM Rec Par.'!EA708" display="'CM Rec Par.'!EA708" xr:uid="{175D49DC-1B31-4E81-A125-D3EA1450540F}"/>
    <hyperlink ref="EA3413" location="'CM Rec Par.'!EA808" display="'CM Rec Par.'!EA808" xr:uid="{8F23B38C-6AB6-42AD-AD15-0BED42B2C8F8}"/>
    <hyperlink ref="EA3414" location="'CM Rec Par.'!EA908" display="'CM Rec Par.'!EA908" xr:uid="{B5DBCA54-A9FA-4B7F-9C8D-7CF566C7A35C}"/>
    <hyperlink ref="EA3415" location="'CM Rec Par.'!EA1008" display="'CM Rec Par.'!EA1008" xr:uid="{ED416A9A-5C9A-45B1-9108-D361D0F2807B}"/>
    <hyperlink ref="EA3416" location="'CM Rec Par.'!EA1108" display="'CM Rec Par.'!EA1108" xr:uid="{CC179A5C-8F05-405F-A77D-7B65E7EE9505}"/>
    <hyperlink ref="EA3417" location="'CM Rec Par.'!EA1208" display="'CM Rec Par.'!EA1208" xr:uid="{B421217E-AB6E-4155-BE64-78DC80E61CA1}"/>
    <hyperlink ref="EA3418" location="'CM Rec Par.'!EA1308" display="'CM Rec Par.'!EA1308" xr:uid="{662FC3D5-8B69-4845-8345-E77411839B14}"/>
    <hyperlink ref="EA3419" location="'CM Rec Par.'!EA1408" display="'CM Rec Par.'!EA1408" xr:uid="{E8DD8773-2CF0-4603-B661-1DC3A91BEC97}"/>
    <hyperlink ref="EA3420" location="'CM Rec Par.'!EA1508" display="'CM Rec Par.'!EA1508" xr:uid="{57141405-3E2E-43D6-A5F2-85EB548AC2A1}"/>
    <hyperlink ref="EA3421" location="'CM Rec Par.'!EA1608" display="'CM Rec Par.'!EA1608" xr:uid="{5D2133CD-4F57-46CF-B601-81B58B50B2E2}"/>
    <hyperlink ref="EA3422" location="'CM Rec Par.'!EA1708" display="'CM Rec Par.'!EA1708" xr:uid="{6BCB2A8C-C9E3-4738-893A-9A67D064A474}"/>
    <hyperlink ref="EA3423" location="'CM Rec Par.'!EA1808" display="'CM Rec Par.'!EA1808" xr:uid="{298D459F-3247-488A-A7CB-E10B4DB38FE1}"/>
    <hyperlink ref="EA3424" location="'CM Rec Par.'!EA1908" display="'CM Rec Par.'!EA1908" xr:uid="{A1557B98-EDDF-4468-A822-75BFAC9C5999}"/>
    <hyperlink ref="EA3425" location="'CM Rec Par.'!EA2008" display="'CM Rec Par.'!EA2008" xr:uid="{4926237D-24E2-47A5-8D11-46E6FC1C449D}"/>
    <hyperlink ref="EA3426" location="'CM Rec Par.'!EA2108" display="'CM Rec Par.'!EA2108" xr:uid="{1BC6FF49-A19C-41ED-AFE9-E11496B19FED}"/>
    <hyperlink ref="EA3427" location="'CM Rec Par.'!EA2208" display="'CM Rec Par.'!EA2208" xr:uid="{64C412B5-E1C6-4228-9FE8-DFFD08B62002}"/>
    <hyperlink ref="EA3428" location="'CM Rec Par.'!EA2308" display="'CM Rec Par.'!EA2308" xr:uid="{BF2107DB-7B3C-4DBA-BF6A-B10018201135}"/>
    <hyperlink ref="EA3429" location="'CM Rec Par.'!EA2408" display="'CM Rec Par.'!EA2408" xr:uid="{D94EFFBB-2427-49D2-85EA-75511E52C589}"/>
    <hyperlink ref="EA3430" location="'CM Rec Par.'!EA2508" display="'CM Rec Par.'!EA2508" xr:uid="{7C19D695-0313-42F0-976B-CF8044FF3DAD}"/>
    <hyperlink ref="EA3431" location="'CM Rec Par.'!EA2608" display="'CM Rec Par.'!EA2608" xr:uid="{006250EB-435C-45F3-B8C0-C2578E1D95D3}"/>
    <hyperlink ref="EA3432" location="'CM Rec Par.'!EA2708" display="'CM Rec Par.'!EA2708" xr:uid="{B9CB4C09-B57B-4A01-B701-AA15177AFEC9}"/>
    <hyperlink ref="EA3433" location="'CM Rec Par.'!EA2808" display="'CM Rec Par.'!EA2808" xr:uid="{92099E08-4B2C-42E5-893F-BDE0726156B2}"/>
    <hyperlink ref="EA3434" location="'CM Rec Par.'!EA2908" display="'CM Rec Par.'!EA2908" xr:uid="{46F3825E-D9C4-4C59-8169-86C109DC4610}"/>
    <hyperlink ref="EA3435" location="'CM Rec Par.'!EA3008" display="'CM Rec Par.'!EA3008" xr:uid="{94118A36-B58A-4FE8-AE55-E80D7836E538}"/>
    <hyperlink ref="EA3436" location="'CM Rec Par.'!EA3108" display="'CM Rec Par.'!EA3108" xr:uid="{56D9B83F-1A72-45EB-821B-DF51D99D7245}"/>
    <hyperlink ref="EA3437" location="'CM Rec Par.'!EA3208" display="'CM Rec Par.'!EA3208" xr:uid="{CA1FBBA6-13D5-4016-B114-5382C431191D}"/>
    <hyperlink ref="EA3438" location="'CM Rec Par.'!EA3308" display="'CM Rec Par.'!EA3308" xr:uid="{0196BBA5-3EC5-46CA-A11A-10CF32AFD4ED}"/>
    <hyperlink ref="EA3439" location="'CM Rec Par.'!EA3408" display="'CM Rec Par.'!EA3408" xr:uid="{573CE554-134E-4698-8319-F018D336EAE7}"/>
  </hyperlinks>
  <pageMargins left="0.7" right="0.7" top="0.75" bottom="0.75" header="0.3" footer="0.3"/>
  <pageSetup orientation="portrait" verticalDpi="1200" r:id="rId1"/>
  <drawing r:id="rId2"/>
  <legacyDrawing r:id="rId3"/>
  <oleObjects>
    <mc:AlternateContent xmlns:mc="http://schemas.openxmlformats.org/markup-compatibility/2006">
      <mc:Choice Requires="x14">
        <oleObject progId="Visio.Drawing.15" shapeId="74137" r:id="rId4">
          <objectPr defaultSize="0" autoPict="0" altText="" r:id="rId5">
            <anchor moveWithCells="1" sizeWithCells="1">
              <from>
                <xdr:col>56</xdr:col>
                <xdr:colOff>1117600</xdr:colOff>
                <xdr:row>35</xdr:row>
                <xdr:rowOff>120650</xdr:rowOff>
              </from>
              <to>
                <xdr:col>65</xdr:col>
                <xdr:colOff>63500</xdr:colOff>
                <xdr:row>67</xdr:row>
                <xdr:rowOff>76200</xdr:rowOff>
              </to>
            </anchor>
          </objectPr>
        </oleObject>
      </mc:Choice>
      <mc:Fallback>
        <oleObject progId="Visio.Drawing.15" shapeId="74137" r:id="rId4"/>
      </mc:Fallback>
    </mc:AlternateContent>
    <mc:AlternateContent xmlns:mc="http://schemas.openxmlformats.org/markup-compatibility/2006">
      <mc:Choice Requires="x14">
        <oleObject progId="Visio.Drawing.15" shapeId="74138" r:id="rId6">
          <objectPr defaultSize="0" autoPict="0" altText="" r:id="rId7">
            <anchor moveWithCells="1" sizeWithCells="1">
              <from>
                <xdr:col>82</xdr:col>
                <xdr:colOff>158750</xdr:colOff>
                <xdr:row>43</xdr:row>
                <xdr:rowOff>158750</xdr:rowOff>
              </from>
              <to>
                <xdr:col>91</xdr:col>
                <xdr:colOff>317500</xdr:colOff>
                <xdr:row>74</xdr:row>
                <xdr:rowOff>177800</xdr:rowOff>
              </to>
            </anchor>
          </objectPr>
        </oleObject>
      </mc:Choice>
      <mc:Fallback>
        <oleObject progId="Visio.Drawing.15" shapeId="74138" r:id="rId6"/>
      </mc:Fallback>
    </mc:AlternateContent>
    <mc:AlternateContent xmlns:mc="http://schemas.openxmlformats.org/markup-compatibility/2006">
      <mc:Choice Requires="x14">
        <oleObject progId="Visio.Drawing.15" shapeId="74142" r:id="rId8">
          <objectPr locked="0" defaultSize="0" autoPict="0" altText="" r:id="rId9">
            <anchor moveWithCells="1" sizeWithCells="1">
              <from>
                <xdr:col>108</xdr:col>
                <xdr:colOff>152400</xdr:colOff>
                <xdr:row>43</xdr:row>
                <xdr:rowOff>139700</xdr:rowOff>
              </from>
              <to>
                <xdr:col>120</xdr:col>
                <xdr:colOff>654050</xdr:colOff>
                <xdr:row>66</xdr:row>
                <xdr:rowOff>31750</xdr:rowOff>
              </to>
            </anchor>
          </objectPr>
        </oleObject>
      </mc:Choice>
      <mc:Fallback>
        <oleObject progId="Visio.Drawing.15" shapeId="74142" r:id="rId8"/>
      </mc:Fallback>
    </mc:AlternateContent>
  </oleObjec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rgb="FFFFFF00"/>
  </sheetPr>
  <dimension ref="B5:FX531"/>
  <sheetViews>
    <sheetView zoomScaleNormal="100" workbookViewId="0">
      <pane ySplit="5" topLeftCell="A6" activePane="bottomLeft" state="frozen"/>
      <selection pane="bottomLeft" activeCell="G78" sqref="G78"/>
    </sheetView>
  </sheetViews>
  <sheetFormatPr defaultColWidth="8.83203125" defaultRowHeight="14"/>
  <cols>
    <col min="2" max="2" width="29.4140625" customWidth="1"/>
    <col min="3" max="3" width="14.75" customWidth="1"/>
    <col min="4" max="4" width="16.4140625" customWidth="1"/>
    <col min="5" max="5" width="13.25" customWidth="1"/>
    <col min="6" max="6" width="17.4140625" customWidth="1"/>
    <col min="7" max="9" width="9.4140625" bestFit="1" customWidth="1"/>
    <col min="27" max="27" width="50" customWidth="1"/>
    <col min="28" max="28" width="16.25" customWidth="1"/>
    <col min="29" max="29" width="20.83203125" customWidth="1"/>
    <col min="30" max="30" width="19" customWidth="1"/>
    <col min="31" max="31" width="20" customWidth="1"/>
    <col min="32" max="32" width="19" customWidth="1"/>
    <col min="33" max="33" width="11" bestFit="1" customWidth="1"/>
    <col min="34" max="34" width="15" customWidth="1"/>
    <col min="35" max="35" width="11.83203125" customWidth="1"/>
    <col min="36" max="36" width="9.1640625" bestFit="1" customWidth="1"/>
    <col min="53" max="53" width="37.1640625" customWidth="1"/>
    <col min="54" max="54" width="15" customWidth="1"/>
    <col min="55" max="55" width="22.25" customWidth="1"/>
    <col min="56" max="56" width="20.75" customWidth="1"/>
    <col min="57" max="57" width="22.1640625" customWidth="1"/>
    <col min="58" max="58" width="19.4140625" customWidth="1"/>
    <col min="59" max="59" width="13.25" customWidth="1"/>
    <col min="60" max="60" width="10.4140625" customWidth="1"/>
    <col min="61" max="61" width="13.75" customWidth="1"/>
    <col min="79" max="79" width="37.1640625" customWidth="1"/>
    <col min="80" max="80" width="15" customWidth="1"/>
    <col min="81" max="81" width="22.25" customWidth="1"/>
    <col min="82" max="82" width="20.75" customWidth="1"/>
    <col min="83" max="83" width="22.1640625" customWidth="1"/>
    <col min="84" max="84" width="19.4140625" customWidth="1"/>
    <col min="85" max="85" width="13.25" customWidth="1"/>
    <col min="86" max="86" width="10.4140625" customWidth="1"/>
    <col min="87" max="87" width="13.75" customWidth="1"/>
    <col min="105" max="105" width="40.1640625" customWidth="1"/>
    <col min="106" max="106" width="15.4140625" customWidth="1"/>
    <col min="107" max="107" width="20.1640625" customWidth="1"/>
    <col min="108" max="108" width="22.1640625" customWidth="1"/>
    <col min="109" max="109" width="24.1640625" customWidth="1"/>
    <col min="110" max="110" width="17.83203125" customWidth="1"/>
    <col min="111" max="111" width="13" customWidth="1"/>
    <col min="112" max="112" width="16.75" customWidth="1"/>
    <col min="113" max="113" width="14" customWidth="1"/>
    <col min="114" max="114" width="11" bestFit="1" customWidth="1"/>
    <col min="131" max="131" width="40.1640625" customWidth="1"/>
    <col min="132" max="132" width="15.4140625" customWidth="1"/>
    <col min="133" max="133" width="20.1640625" customWidth="1"/>
    <col min="134" max="134" width="22.1640625" customWidth="1"/>
    <col min="135" max="135" width="24.1640625" customWidth="1"/>
    <col min="136" max="136" width="17.83203125" customWidth="1"/>
    <col min="137" max="137" width="13" customWidth="1"/>
    <col min="138" max="138" width="16.75" customWidth="1"/>
    <col min="139" max="139" width="14" customWidth="1"/>
    <col min="157" max="157" width="40.1640625" customWidth="1"/>
    <col min="158" max="158" width="15.4140625" customWidth="1"/>
    <col min="159" max="159" width="20.1640625" customWidth="1"/>
    <col min="160" max="160" width="22.1640625" customWidth="1"/>
    <col min="161" max="161" width="24.1640625" customWidth="1"/>
    <col min="162" max="162" width="25.25" customWidth="1"/>
    <col min="163" max="163" width="13" customWidth="1"/>
    <col min="164" max="164" width="16.75" customWidth="1"/>
    <col min="165" max="165" width="14" customWidth="1"/>
  </cols>
  <sheetData>
    <row r="5" spans="2:180" ht="19.5" thickBot="1">
      <c r="B5" s="26" t="s">
        <v>688</v>
      </c>
      <c r="C5" s="26"/>
      <c r="D5" s="26"/>
      <c r="E5" s="26"/>
      <c r="F5" s="26"/>
      <c r="G5" s="26"/>
      <c r="H5" s="26"/>
      <c r="I5" s="26"/>
      <c r="J5" s="26"/>
      <c r="K5" s="26"/>
      <c r="L5" s="26"/>
      <c r="M5" s="26"/>
      <c r="N5" s="26"/>
      <c r="O5" s="26"/>
      <c r="P5" s="26"/>
      <c r="Q5" s="26"/>
      <c r="R5" s="26"/>
      <c r="S5" s="26"/>
      <c r="T5" s="26"/>
      <c r="U5" s="26"/>
      <c r="V5" s="26"/>
      <c r="W5" s="26"/>
      <c r="X5" s="26"/>
      <c r="AA5" s="1067" t="s">
        <v>1030</v>
      </c>
      <c r="AB5" s="26"/>
      <c r="AC5" s="26"/>
      <c r="AD5" s="26"/>
      <c r="AE5" s="26"/>
      <c r="AF5" s="26"/>
      <c r="AG5" s="26"/>
      <c r="AH5" s="26"/>
      <c r="AI5" s="26"/>
      <c r="AJ5" s="26"/>
      <c r="AK5" s="26"/>
      <c r="AL5" s="26"/>
      <c r="AM5" s="26"/>
      <c r="AN5" s="26"/>
      <c r="AO5" s="26"/>
      <c r="AP5" s="26"/>
      <c r="AQ5" s="26"/>
      <c r="AR5" s="26"/>
      <c r="AS5" s="26"/>
      <c r="AT5" s="26"/>
      <c r="AU5" s="26"/>
      <c r="AV5" s="26"/>
      <c r="AW5" s="26"/>
      <c r="AX5" s="26"/>
      <c r="BA5" s="1067" t="s">
        <v>1541</v>
      </c>
      <c r="BB5" s="26"/>
      <c r="BC5" s="26"/>
      <c r="BD5" s="26"/>
      <c r="BE5" s="26"/>
      <c r="BF5" s="26"/>
      <c r="BG5" s="26"/>
      <c r="BH5" s="26"/>
      <c r="BI5" s="26"/>
      <c r="BJ5" s="26"/>
      <c r="BK5" s="26"/>
      <c r="BL5" s="26"/>
      <c r="BM5" s="26"/>
      <c r="BN5" s="26"/>
      <c r="BO5" s="26"/>
      <c r="BP5" s="26"/>
      <c r="BQ5" s="26"/>
      <c r="BR5" s="26"/>
      <c r="BS5" s="26"/>
      <c r="BT5" s="26"/>
      <c r="BU5" s="26"/>
      <c r="BV5" s="26"/>
      <c r="BW5" s="26"/>
      <c r="BX5" s="26"/>
      <c r="CA5" s="1067" t="s">
        <v>1017</v>
      </c>
      <c r="CB5" s="26"/>
      <c r="CC5" s="26"/>
      <c r="CD5" s="26"/>
      <c r="CE5" s="26"/>
      <c r="CF5" s="26"/>
      <c r="CG5" s="26"/>
      <c r="CH5" s="26"/>
      <c r="CI5" s="26"/>
      <c r="CJ5" s="26"/>
      <c r="CK5" s="26"/>
      <c r="CL5" s="26"/>
      <c r="CM5" s="26"/>
      <c r="CN5" s="26"/>
      <c r="CO5" s="26"/>
      <c r="CP5" s="26"/>
      <c r="CQ5" s="26"/>
      <c r="CR5" s="26"/>
      <c r="CS5" s="26"/>
      <c r="CT5" s="26"/>
      <c r="CU5" s="26"/>
      <c r="CV5" s="26"/>
      <c r="CW5" s="26"/>
      <c r="CX5" s="26"/>
      <c r="DA5" s="1067" t="s">
        <v>1019</v>
      </c>
      <c r="DB5" s="26"/>
      <c r="DC5" s="26"/>
      <c r="DD5" s="26"/>
      <c r="DE5" s="26"/>
      <c r="DF5" s="26"/>
      <c r="DG5" s="26"/>
      <c r="DH5" s="26"/>
      <c r="DI5" s="26"/>
      <c r="DJ5" s="26"/>
      <c r="DK5" s="26"/>
      <c r="DL5" s="26"/>
      <c r="DM5" s="26"/>
      <c r="DN5" s="26"/>
      <c r="DO5" s="26"/>
      <c r="DP5" s="26"/>
      <c r="DQ5" s="26"/>
      <c r="DR5" s="26"/>
      <c r="DS5" s="26"/>
      <c r="DT5" s="26"/>
      <c r="DU5" s="26"/>
      <c r="DV5" s="26"/>
      <c r="DW5" s="26"/>
      <c r="DX5" s="26"/>
      <c r="EA5" s="1067" t="s">
        <v>1032</v>
      </c>
      <c r="EB5" s="26"/>
      <c r="EC5" s="26"/>
      <c r="ED5" s="26"/>
      <c r="EE5" s="26"/>
      <c r="EF5" s="26"/>
      <c r="EG5" s="26"/>
      <c r="EH5" s="26"/>
      <c r="EI5" s="26"/>
      <c r="EJ5" s="26"/>
      <c r="EK5" s="26"/>
      <c r="EL5" s="26"/>
      <c r="EM5" s="26"/>
      <c r="EN5" s="26"/>
      <c r="EO5" s="26"/>
      <c r="EP5" s="26"/>
      <c r="EQ5" s="26"/>
      <c r="ER5" s="26"/>
      <c r="ES5" s="26"/>
      <c r="ET5" s="26"/>
      <c r="EU5" s="26"/>
      <c r="EV5" s="26"/>
      <c r="EW5" s="26"/>
      <c r="EX5" s="26"/>
      <c r="FA5" s="1067" t="s">
        <v>1258</v>
      </c>
      <c r="FB5" s="26"/>
      <c r="FC5" s="26"/>
      <c r="FD5" s="26"/>
      <c r="FE5" s="26"/>
      <c r="FF5" s="26"/>
      <c r="FG5" s="26"/>
      <c r="FH5" s="26"/>
      <c r="FI5" s="26"/>
      <c r="FJ5" s="26"/>
      <c r="FK5" s="26"/>
      <c r="FL5" s="26"/>
      <c r="FM5" s="26"/>
      <c r="FN5" s="26"/>
      <c r="FO5" s="26"/>
      <c r="FP5" s="26"/>
      <c r="FQ5" s="26"/>
      <c r="FR5" s="26"/>
      <c r="FS5" s="26"/>
      <c r="FT5" s="26"/>
      <c r="FU5" s="26"/>
      <c r="FV5" s="26"/>
      <c r="FW5" s="26"/>
      <c r="FX5" s="26"/>
    </row>
    <row r="6" spans="2:180" ht="14.5" thickTop="1">
      <c r="B6" s="2" t="s">
        <v>160</v>
      </c>
      <c r="AA6" s="2" t="s">
        <v>160</v>
      </c>
      <c r="BA6" s="2" t="s">
        <v>160</v>
      </c>
      <c r="CA6" s="2" t="s">
        <v>160</v>
      </c>
      <c r="DA6" s="2" t="s">
        <v>160</v>
      </c>
      <c r="EA6" s="2" t="s">
        <v>160</v>
      </c>
      <c r="FA6" s="2" t="s">
        <v>160</v>
      </c>
    </row>
    <row r="7" spans="2:180">
      <c r="B7" s="2" t="s">
        <v>689</v>
      </c>
      <c r="AA7" s="2" t="s">
        <v>721</v>
      </c>
      <c r="BA7" s="2" t="s">
        <v>721</v>
      </c>
      <c r="CA7" s="2" t="s">
        <v>721</v>
      </c>
      <c r="DA7" s="2" t="s">
        <v>721</v>
      </c>
      <c r="EA7" s="2" t="s">
        <v>721</v>
      </c>
      <c r="FA7" s="2" t="s">
        <v>721</v>
      </c>
    </row>
    <row r="8" spans="2:180" ht="14.5">
      <c r="B8" s="1105" t="str">
        <f>Input!C39</f>
        <v>Throughput</v>
      </c>
      <c r="C8" s="1110" t="str">
        <f>Input!D39</f>
        <v>tonne/yr</v>
      </c>
      <c r="D8" s="1137">
        <f>Input!E40</f>
        <v>0</v>
      </c>
      <c r="AA8" s="702"/>
      <c r="AB8" s="700" t="s">
        <v>714</v>
      </c>
      <c r="AC8" s="700" t="s">
        <v>597</v>
      </c>
      <c r="AD8" s="700" t="s">
        <v>598</v>
      </c>
      <c r="AE8" s="701" t="s">
        <v>52</v>
      </c>
      <c r="BA8" s="702"/>
      <c r="BB8" s="700" t="s">
        <v>714</v>
      </c>
      <c r="BC8" s="700" t="s">
        <v>597</v>
      </c>
      <c r="BD8" s="700" t="s">
        <v>598</v>
      </c>
      <c r="BE8" s="701" t="s">
        <v>52</v>
      </c>
      <c r="CA8" s="702"/>
      <c r="CB8" s="700" t="s">
        <v>714</v>
      </c>
      <c r="CC8" s="700" t="s">
        <v>597</v>
      </c>
      <c r="CD8" s="700" t="s">
        <v>598</v>
      </c>
      <c r="CE8" s="701" t="s">
        <v>52</v>
      </c>
      <c r="DA8" s="702"/>
      <c r="DB8" s="700" t="s">
        <v>714</v>
      </c>
      <c r="DC8" s="700" t="s">
        <v>597</v>
      </c>
      <c r="DD8" s="700" t="s">
        <v>598</v>
      </c>
      <c r="DE8" s="701" t="s">
        <v>52</v>
      </c>
      <c r="EA8" s="702"/>
      <c r="EB8" s="700" t="s">
        <v>714</v>
      </c>
      <c r="EC8" s="700" t="s">
        <v>597</v>
      </c>
      <c r="ED8" s="700" t="s">
        <v>598</v>
      </c>
      <c r="EE8" s="701" t="s">
        <v>52</v>
      </c>
      <c r="FA8" s="702"/>
      <c r="FB8" s="700" t="s">
        <v>714</v>
      </c>
      <c r="FC8" s="700" t="s">
        <v>597</v>
      </c>
      <c r="FD8" s="700" t="s">
        <v>598</v>
      </c>
      <c r="FE8" s="701" t="s">
        <v>52</v>
      </c>
    </row>
    <row r="9" spans="2:180" ht="14.5">
      <c r="B9" s="1106" t="str">
        <f>Input!C38</f>
        <v>Cathode chemistry</v>
      </c>
      <c r="C9" s="1104"/>
      <c r="D9" s="1107" t="str">
        <f>Input!E38</f>
        <v>Select Chemistry</v>
      </c>
      <c r="AA9" s="704" t="s">
        <v>542</v>
      </c>
      <c r="AB9" s="718">
        <f>IF(AE9&gt;0,AE9,IF($C$22="Default GREET",AC9,AD9))</f>
        <v>0.53559333748012994</v>
      </c>
      <c r="AC9" s="716">
        <f t="shared" ref="AC9:AC15" si="0">IFERROR(VLOOKUP(AA9,$B$25:$J$42,3,FALSE),0)</f>
        <v>0.53559333748012994</v>
      </c>
      <c r="AD9" s="740" t="e">
        <f>AC125/AC110</f>
        <v>#DIV/0!</v>
      </c>
      <c r="AE9" s="719"/>
      <c r="BA9" s="704" t="s">
        <v>542</v>
      </c>
      <c r="BB9" s="718">
        <f>IF(BE9&gt;0,BE9,IF($C$22="Default GREET",BC9,BD9))</f>
        <v>0.32104647188590724</v>
      </c>
      <c r="BC9" s="716">
        <f t="shared" ref="BC9:BC15" si="1">IFERROR(VLOOKUP(BA9,$B$25:$J$42,4,FALSE),0)</f>
        <v>0.32104647188590724</v>
      </c>
      <c r="BD9" s="740" t="e">
        <f>BC125/BC110</f>
        <v>#DIV/0!</v>
      </c>
      <c r="BE9" s="719"/>
      <c r="CA9" s="704" t="s">
        <v>542</v>
      </c>
      <c r="CB9" s="718">
        <f>IF(CE9&gt;0,CE9,IF($C$22="Default GREET",CC9,CD9))</f>
        <v>0.31980439088808188</v>
      </c>
      <c r="CC9" s="716">
        <f>IFERROR(VLOOKUP(CA9,$B$25:$J$42,5,FALSE),0)</f>
        <v>0.31980439088808188</v>
      </c>
      <c r="CD9" s="740" t="e">
        <f>CC125/CC110</f>
        <v>#DIV/0!</v>
      </c>
      <c r="CE9" s="719"/>
      <c r="DA9" s="704" t="s">
        <v>542</v>
      </c>
      <c r="DB9" s="718">
        <f>IF(DE9&gt;0,DE9,IF($C$22="Default GREET",DC9,DD9))</f>
        <v>0.15932523977425758</v>
      </c>
      <c r="DC9" s="716">
        <f>IFERROR(VLOOKUP(DA9,$B$25:$J$42,6,FALSE),0)</f>
        <v>0.15932523977425758</v>
      </c>
      <c r="DD9" s="740" t="e">
        <f>DC125/DC110</f>
        <v>#DIV/0!</v>
      </c>
      <c r="DE9" s="719"/>
      <c r="EA9" s="704" t="s">
        <v>542</v>
      </c>
      <c r="EB9" s="718">
        <f>IF(EE9&gt;0,EE9,IF($C$22="Default GREET",EC9,ED9))</f>
        <v>0.247</v>
      </c>
      <c r="EC9" s="716">
        <f>IFERROR(VLOOKUP(EA9,$B$25:$J$42,7,FALSE),0)</f>
        <v>0.247</v>
      </c>
      <c r="ED9" s="740" t="e">
        <f>EC125/EC110</f>
        <v>#DIV/0!</v>
      </c>
      <c r="EE9" s="719"/>
      <c r="FA9" s="704" t="s">
        <v>705</v>
      </c>
      <c r="FB9" s="718">
        <f>IF(FE9&gt;0,FE9,IF($C$22="Default GREET",FC9,FD9))</f>
        <v>0.82010086983987096</v>
      </c>
      <c r="FC9" s="716">
        <f t="shared" ref="FC9:FC15" si="2">IFERROR(VLOOKUP(FA9,$B$25:$J$42,2,FALSE),0)</f>
        <v>0.82010086983987096</v>
      </c>
      <c r="FD9" s="740"/>
      <c r="FE9" s="719"/>
    </row>
    <row r="10" spans="2:180" ht="14.5">
      <c r="B10" s="1108" t="str">
        <f>Input!C41</f>
        <v>Geographic location</v>
      </c>
      <c r="C10" s="1111"/>
      <c r="D10" s="1109" t="str">
        <f>IF(Input!$E$41="User-defined", 'Geographic Par.'!$K$60, Input!$E$41)</f>
        <v>Select Location</v>
      </c>
      <c r="AA10" s="704" t="s">
        <v>543</v>
      </c>
      <c r="AB10" s="718">
        <f>IF(AE10&gt;0,AE10,IF($C$22="Default GREET",AC10,AD10))</f>
        <v>0.5347639781602046</v>
      </c>
      <c r="AC10" s="716">
        <f t="shared" si="0"/>
        <v>0.5347639781602046</v>
      </c>
      <c r="AD10" s="740" t="e">
        <f>AC117/AC110</f>
        <v>#DIV/0!</v>
      </c>
      <c r="AE10" s="719"/>
      <c r="BA10" s="704" t="s">
        <v>543</v>
      </c>
      <c r="BB10" s="718">
        <f>IF(BE10&gt;0,BE10,IF($C$22="Default GREET",BC10,BD10))</f>
        <v>0.80137333899516328</v>
      </c>
      <c r="BC10" s="716">
        <f t="shared" si="1"/>
        <v>0.80137333899516328</v>
      </c>
      <c r="BD10" s="740" t="e">
        <f>BC117/BC110</f>
        <v>#DIV/0!</v>
      </c>
      <c r="BE10" s="719"/>
      <c r="CA10" s="704" t="s">
        <v>543</v>
      </c>
      <c r="CB10" s="718">
        <f>IF(CE10&gt;0,CE10,IF($C$22="Default GREET",CC10,CD10))</f>
        <v>0.95792753383955098</v>
      </c>
      <c r="CC10" s="716">
        <f t="shared" ref="CC10:CC15" si="3">IFERROR(VLOOKUP(CA10,$B$25:$J$42,5,FALSE),0)</f>
        <v>0.95792753383955098</v>
      </c>
      <c r="CD10" s="740" t="e">
        <f>CC117/CC110</f>
        <v>#DIV/0!</v>
      </c>
      <c r="CE10" s="719"/>
      <c r="DA10" s="704" t="s">
        <v>543</v>
      </c>
      <c r="DB10" s="718">
        <f>IF(DE10&gt;0,DE10,IF($C$22="Default GREET",DC10,DD10))</f>
        <v>1.2726282136946312</v>
      </c>
      <c r="DC10" s="716">
        <f t="shared" ref="DC10:DC15" si="4">IFERROR(VLOOKUP(DA10,$B$25:$J$42,6,FALSE),0)</f>
        <v>1.2726282136946312</v>
      </c>
      <c r="DD10" s="740" t="e">
        <f>DC117/DC110</f>
        <v>#DIV/0!</v>
      </c>
      <c r="DE10" s="719"/>
      <c r="EA10" s="704" t="s">
        <v>543</v>
      </c>
      <c r="EB10" s="718">
        <f>IF(EE10&gt;0,EE10,IF($C$22="Default GREET",EC10,ED10))</f>
        <v>1.292</v>
      </c>
      <c r="EC10" s="716">
        <f t="shared" ref="EC10:EC15" si="5">IFERROR(VLOOKUP(EA10,$B$25:$J$42,7,FALSE),0)</f>
        <v>1.292</v>
      </c>
      <c r="ED10" s="740" t="e">
        <f>EC117/EC110</f>
        <v>#DIV/0!</v>
      </c>
      <c r="EE10" s="719"/>
      <c r="FA10" s="704" t="s">
        <v>399</v>
      </c>
      <c r="FB10" s="718">
        <f>IF(FE10&gt;0,FE10,IF($C$22="Default GREET",FC10,FD10))</f>
        <v>0.37748359493852202</v>
      </c>
      <c r="FC10" s="716">
        <f t="shared" si="2"/>
        <v>0.37748359493852202</v>
      </c>
      <c r="FD10" s="740"/>
      <c r="FE10" s="719"/>
    </row>
    <row r="11" spans="2:180">
      <c r="AA11" s="704" t="s">
        <v>399</v>
      </c>
      <c r="AB11" s="718">
        <f>IF(AE11&gt;0,AE11,IF($C$22="Default GREET",AC11,AD12))</f>
        <v>0.38300850093302902</v>
      </c>
      <c r="AC11" s="716">
        <f t="shared" si="0"/>
        <v>0.38300850093302902</v>
      </c>
      <c r="AD11" s="740" t="e">
        <f>AC299/AC110</f>
        <v>#DIV/0!</v>
      </c>
      <c r="AE11" s="719"/>
      <c r="BA11" s="704" t="s">
        <v>399</v>
      </c>
      <c r="BB11" s="718">
        <f>IF(BE11&gt;0,BE11,IF($C$22="Default GREET",BC11,BD12))</f>
        <v>0.38263958654832064</v>
      </c>
      <c r="BC11" s="716">
        <f t="shared" si="1"/>
        <v>0.38263958654832064</v>
      </c>
      <c r="BD11" s="740" t="e">
        <f>BC299/BC110</f>
        <v>#DIV/0!</v>
      </c>
      <c r="BE11" s="719"/>
      <c r="CA11" s="704" t="s">
        <v>399</v>
      </c>
      <c r="CB11" s="718">
        <f>IF(CE11&gt;0,CE11,IF($C$22="Default GREET",CC11,CD12))</f>
        <v>0.38115921096071298</v>
      </c>
      <c r="CC11" s="716">
        <f t="shared" si="3"/>
        <v>0.38115921096071298</v>
      </c>
      <c r="CD11" s="740" t="e">
        <f>CC299/CC110</f>
        <v>#DIV/0!</v>
      </c>
      <c r="CE11" s="719"/>
      <c r="DA11" s="704" t="s">
        <v>546</v>
      </c>
      <c r="DB11" s="718">
        <f>IF(DE11&gt;0,DE11,IF($C$22="Default GREET",DC11,DD12))</f>
        <v>0.246199076881958</v>
      </c>
      <c r="DC11" s="716">
        <f t="shared" si="4"/>
        <v>0.246199076881958</v>
      </c>
      <c r="DD11" s="740" t="e">
        <f>DC299/DC110</f>
        <v>#DIV/0!</v>
      </c>
      <c r="DE11" s="719"/>
      <c r="EA11" s="704" t="s">
        <v>546</v>
      </c>
      <c r="EB11" s="718">
        <f>IF(EE11&gt;0,EE11,IF($C$22="Default GREET",EC11,ED12))</f>
        <v>0.25</v>
      </c>
      <c r="EC11" s="716">
        <f t="shared" si="5"/>
        <v>0.25</v>
      </c>
      <c r="ED11" s="740" t="e">
        <f>EC299/EC110</f>
        <v>#DIV/0!</v>
      </c>
      <c r="EE11" s="719"/>
      <c r="FA11" s="704"/>
      <c r="FB11" s="718">
        <f>IF(FE11&gt;0,FE11,IF($C$22="Default GREET",FC11,FD12))</f>
        <v>0</v>
      </c>
      <c r="FC11" s="716">
        <f t="shared" si="2"/>
        <v>0</v>
      </c>
      <c r="FD11" s="740"/>
      <c r="FE11" s="719"/>
    </row>
    <row r="12" spans="2:180">
      <c r="B12" s="2" t="s">
        <v>690</v>
      </c>
      <c r="AA12" s="704" t="s">
        <v>537</v>
      </c>
      <c r="AB12" s="718">
        <f>IF(AE12&gt;0,AE12,IF($C$22="Default GREET",AC12,#REF!))</f>
        <v>0.52180523878637086</v>
      </c>
      <c r="AC12" s="716">
        <f t="shared" si="0"/>
        <v>0.52180523878637086</v>
      </c>
      <c r="AD12" s="740" t="e">
        <f>AC121/AC110</f>
        <v>#DIV/0!</v>
      </c>
      <c r="AE12" s="719"/>
      <c r="BA12" s="704" t="s">
        <v>537</v>
      </c>
      <c r="BB12" s="718">
        <f>IF(BE12&gt;0,BE12,IF($C$22="Default GREET",BC12,#REF!))</f>
        <v>0.46917237165080317</v>
      </c>
      <c r="BC12" s="716">
        <f t="shared" si="1"/>
        <v>0.46917237165080317</v>
      </c>
      <c r="BD12" s="740" t="e">
        <f>BC121/BC110</f>
        <v>#DIV/0!</v>
      </c>
      <c r="BE12" s="719"/>
      <c r="CA12" s="704" t="s">
        <v>537</v>
      </c>
      <c r="CB12" s="718">
        <f>IF(CE12&gt;0,CE12,IF($C$22="Default GREET",CC12,#REF!))</f>
        <v>0.31157147573456584</v>
      </c>
      <c r="CC12" s="716">
        <f t="shared" si="3"/>
        <v>0.31157147573456584</v>
      </c>
      <c r="CD12" s="740" t="e">
        <f>CC121/CC110</f>
        <v>#DIV/0!</v>
      </c>
      <c r="CE12" s="719"/>
      <c r="DA12" s="704" t="s">
        <v>537</v>
      </c>
      <c r="DB12" s="718">
        <f>IF(DE12&gt;0,DE12,IF($C$22="Default GREET",DC12,#REF!))</f>
        <v>0.15522363511138068</v>
      </c>
      <c r="DC12" s="716">
        <f t="shared" si="4"/>
        <v>0.15522363511138068</v>
      </c>
      <c r="DD12" s="740" t="e">
        <f>DC121/DC110</f>
        <v>#DIV/0!</v>
      </c>
      <c r="DE12" s="719"/>
      <c r="EA12" s="704" t="s">
        <v>535</v>
      </c>
      <c r="EB12" s="718">
        <f>IF(EE12&gt;0,EE12,IF($C$22="Default GREET",EC12,#REF!))</f>
        <v>8.5499999999999993E-2</v>
      </c>
      <c r="EC12" s="716">
        <f t="shared" si="5"/>
        <v>8.5499999999999993E-2</v>
      </c>
      <c r="ED12" s="740" t="e">
        <f>EC121/EC110</f>
        <v>#DIV/0!</v>
      </c>
      <c r="EE12" s="719"/>
      <c r="FA12" s="704"/>
      <c r="FB12" s="718">
        <f>IF(FE12&gt;0,FE12,IF($C$22="Default GREET",FC12,#REF!))</f>
        <v>0</v>
      </c>
      <c r="FC12" s="716">
        <f t="shared" si="2"/>
        <v>0</v>
      </c>
      <c r="FD12" s="740"/>
      <c r="FE12" s="719"/>
    </row>
    <row r="13" spans="2:180">
      <c r="B13" s="692"/>
      <c r="C13" s="693" t="s">
        <v>677</v>
      </c>
      <c r="D13" s="693" t="s">
        <v>426</v>
      </c>
      <c r="E13" s="694" t="s">
        <v>36</v>
      </c>
      <c r="AA13" s="704" t="s">
        <v>391</v>
      </c>
      <c r="AB13" s="718">
        <f>IF(AE13&gt;0,AE13,IF($C$22="Default GREET",AC13,AD13))</f>
        <v>0</v>
      </c>
      <c r="AC13" s="716">
        <f t="shared" si="0"/>
        <v>0</v>
      </c>
      <c r="AD13" s="740" t="e">
        <f>AC152/AC110</f>
        <v>#DIV/0!</v>
      </c>
      <c r="AE13" s="719"/>
      <c r="BA13" s="704" t="s">
        <v>391</v>
      </c>
      <c r="BB13" s="718">
        <f>IF(BE13&gt;0,BE13,IF($C$22="Default GREET",BC13,BD13))</f>
        <v>0</v>
      </c>
      <c r="BC13" s="716">
        <f t="shared" si="1"/>
        <v>0</v>
      </c>
      <c r="BD13" s="740" t="e">
        <f>BC152/BC110</f>
        <v>#DIV/0!</v>
      </c>
      <c r="BE13" s="719"/>
      <c r="CA13" s="704" t="s">
        <v>391</v>
      </c>
      <c r="CB13" s="718">
        <f>IF(CE13&gt;0,CE13,IF($C$22="Default GREET",CC13,CD13))</f>
        <v>0</v>
      </c>
      <c r="CC13" s="716">
        <f t="shared" si="3"/>
        <v>0</v>
      </c>
      <c r="CD13" s="740" t="e">
        <f>CC152/CC110</f>
        <v>#DIV/0!</v>
      </c>
      <c r="CE13" s="719"/>
      <c r="DA13" s="704" t="s">
        <v>391</v>
      </c>
      <c r="DB13" s="718">
        <f>IF(DE13&gt;0,DE13,IF($C$22="Default GREET",DC13,DD13))</f>
        <v>0</v>
      </c>
      <c r="DC13" s="716">
        <f t="shared" si="4"/>
        <v>0</v>
      </c>
      <c r="DD13" s="740" t="e">
        <f>DC152/DC110</f>
        <v>#DIV/0!</v>
      </c>
      <c r="DE13" s="719"/>
      <c r="EA13" s="704" t="s">
        <v>391</v>
      </c>
      <c r="EB13" s="718">
        <f>IF(EE13&gt;0,EE13,IF($C$22="Default GREET",EC13,ED13))</f>
        <v>0</v>
      </c>
      <c r="EC13" s="716">
        <f t="shared" si="5"/>
        <v>0</v>
      </c>
      <c r="ED13" s="740" t="e">
        <f>EC152/EC110</f>
        <v>#DIV/0!</v>
      </c>
      <c r="EE13" s="719"/>
      <c r="FA13" s="704"/>
      <c r="FB13" s="718">
        <f>IF(FE13&gt;0,FE13,IF($C$22="Default GREET",FC13,FD13))</f>
        <v>0</v>
      </c>
      <c r="FC13" s="716">
        <f t="shared" si="2"/>
        <v>0</v>
      </c>
      <c r="FD13" s="740"/>
      <c r="FE13" s="719"/>
    </row>
    <row r="14" spans="2:180">
      <c r="B14" s="695" t="str">
        <f>'Mat. Conv Par.'!B31</f>
        <v>Cobalt Oxide</v>
      </c>
      <c r="C14" s="697">
        <f>'Mat. Conv Par.'!C31*SUM(Input!$F$28:$F$32)</f>
        <v>1661.8788907753253</v>
      </c>
      <c r="D14" s="697">
        <f>'Mat. Conv Par.'!D31*SUM(Input!$F$28:$F$32)</f>
        <v>1716.3667232597625</v>
      </c>
      <c r="E14" s="698">
        <f>'Mat. Conv Par.'!E31*SUM(Input!$F$28:$F$32)</f>
        <v>0</v>
      </c>
      <c r="AA14" s="704" t="s">
        <v>539</v>
      </c>
      <c r="AB14" s="718">
        <f>IF(AE14&gt;0,AE14,IF($C$22="Default GREET",AC14,AD14))</f>
        <v>0.84416468422143942</v>
      </c>
      <c r="AC14" s="716">
        <f t="shared" si="0"/>
        <v>0.84416468422143942</v>
      </c>
      <c r="AD14" s="716">
        <v>0</v>
      </c>
      <c r="AE14" s="719"/>
      <c r="BA14" s="704" t="s">
        <v>539</v>
      </c>
      <c r="BB14" s="718">
        <f>IF(BE14&gt;0,BE14,IF($C$22="Default GREET",BC14,BD14))</f>
        <v>0.84420838594347158</v>
      </c>
      <c r="BC14" s="716">
        <f t="shared" si="1"/>
        <v>0.84420838594347158</v>
      </c>
      <c r="BD14" s="716">
        <v>0</v>
      </c>
      <c r="BE14" s="719"/>
      <c r="CA14" s="704" t="s">
        <v>539</v>
      </c>
      <c r="CB14" s="718">
        <f>IF(CE14&gt;0,CE14,IF($C$22="Default GREET",CC14,CD14))</f>
        <v>0.84438375173324565</v>
      </c>
      <c r="CC14" s="716">
        <f t="shared" si="3"/>
        <v>0.84438375173324565</v>
      </c>
      <c r="CD14" s="716">
        <v>0</v>
      </c>
      <c r="CE14" s="719"/>
      <c r="DA14" s="704" t="s">
        <v>539</v>
      </c>
      <c r="DB14" s="718">
        <f>IF(DE14&gt;0,DE14,IF($C$22="Default GREET",DC14,DD14))</f>
        <v>0.84454666910638498</v>
      </c>
      <c r="DC14" s="716">
        <f t="shared" si="4"/>
        <v>0.84454666910638498</v>
      </c>
      <c r="DD14" s="716">
        <v>0</v>
      </c>
      <c r="DE14" s="719"/>
      <c r="EA14" s="704" t="s">
        <v>539</v>
      </c>
      <c r="EB14" s="718">
        <f>IF(EE14&gt;0,EE14,IF($C$22="Default GREET",EC14,ED14))</f>
        <v>0.83599999999999997</v>
      </c>
      <c r="EC14" s="716">
        <f t="shared" si="5"/>
        <v>0.83599999999999997</v>
      </c>
      <c r="ED14" s="716">
        <v>0</v>
      </c>
      <c r="EE14" s="719"/>
      <c r="FA14" s="704"/>
      <c r="FB14" s="718">
        <f>IF(FE14&gt;0,FE14,IF($C$22="Default GREET",FC14,FD14))</f>
        <v>0</v>
      </c>
      <c r="FC14" s="716">
        <f t="shared" si="2"/>
        <v>0</v>
      </c>
      <c r="FD14" s="716"/>
      <c r="FE14" s="719"/>
    </row>
    <row r="15" spans="2:180">
      <c r="B15" s="695" t="str">
        <f>'Mat. Conv Par.'!B32</f>
        <v>Cobalt Sulfate</v>
      </c>
      <c r="C15" s="697">
        <f>'Mat. Conv Par.'!C32*SUM(Input!$F$28:$F$32)</f>
        <v>3208.4550084889647</v>
      </c>
      <c r="D15" s="697">
        <f>'Mat. Conv Par.'!D32*SUM(Input!$F$28:$F$32)</f>
        <v>3313.6502546689308</v>
      </c>
      <c r="E15" s="698">
        <f>'Mat. Conv Par.'!E32*SUM(Input!$F$28:$F$32)</f>
        <v>0</v>
      </c>
      <c r="AA15" s="710" t="s">
        <v>540</v>
      </c>
      <c r="AB15" s="720">
        <f>IF(AE15&gt;0,AE15,IF($C$22="Default GREET",AC15,AD15))</f>
        <v>0.11722872022539077</v>
      </c>
      <c r="AC15" s="717">
        <f t="shared" si="0"/>
        <v>0.11722872022539077</v>
      </c>
      <c r="AD15" s="823" t="e">
        <f ca="1">AC171</f>
        <v>#DIV/0!</v>
      </c>
      <c r="AE15" s="721"/>
      <c r="BA15" s="710" t="s">
        <v>540</v>
      </c>
      <c r="BB15" s="862">
        <f>IF(BE15&gt;0,BE15,IF($C$22="Default GREET",BC15,BD15))</f>
        <v>0.11723478906129581</v>
      </c>
      <c r="BC15" s="717">
        <f t="shared" si="1"/>
        <v>0.11723478906129581</v>
      </c>
      <c r="BD15" s="717" t="e">
        <f ca="1">BC171</f>
        <v>#DIV/0!</v>
      </c>
      <c r="BE15" s="820"/>
      <c r="CA15" s="710" t="s">
        <v>540</v>
      </c>
      <c r="CB15" s="862">
        <f>IF(CE15&gt;0,CE15,IF($C$22="Default GREET",CC15,CD15))</f>
        <v>0.11725914201930376</v>
      </c>
      <c r="CC15" s="1052">
        <f t="shared" si="3"/>
        <v>0.11725914201930376</v>
      </c>
      <c r="CD15" s="717" t="e">
        <f ca="1">CC171</f>
        <v>#DIV/0!</v>
      </c>
      <c r="CE15" s="820"/>
      <c r="DA15" s="710" t="s">
        <v>540</v>
      </c>
      <c r="DB15" s="720">
        <f>IF(DE15&gt;0,DE15,IF($C$22="Default GREET",DC15,DD15))</f>
        <v>0.11728176627202669</v>
      </c>
      <c r="DC15" s="1052">
        <f t="shared" si="4"/>
        <v>0.11728176627202669</v>
      </c>
      <c r="DD15" s="823" t="e">
        <f ca="1">DC171</f>
        <v>#DIV/0!</v>
      </c>
      <c r="DE15" s="721"/>
      <c r="EA15" s="710" t="s">
        <v>534</v>
      </c>
      <c r="EB15" s="720">
        <f>IF(EE15&gt;0,EE15,IF($C$22="Default GREET",EC15,ED15))</f>
        <v>0.35149999999999998</v>
      </c>
      <c r="EC15" s="1052">
        <f t="shared" si="5"/>
        <v>0.35149999999999998</v>
      </c>
      <c r="ED15" s="823" t="e">
        <f ca="1">EC171</f>
        <v>#DIV/0!</v>
      </c>
      <c r="EE15" s="721"/>
      <c r="FA15" s="710"/>
      <c r="FB15" s="720">
        <f>IF(FE15&gt;0,FE15,IF($C$22="Default GREET",FC15,FD15))</f>
        <v>0</v>
      </c>
      <c r="FC15" s="1052">
        <f t="shared" si="2"/>
        <v>0</v>
      </c>
      <c r="FD15" s="823"/>
      <c r="FE15" s="721"/>
    </row>
    <row r="16" spans="2:180">
      <c r="B16" s="695" t="str">
        <f>'Mat. Conv Par.'!B33</f>
        <v>Nickel Sulfate</v>
      </c>
      <c r="C16" s="697">
        <f>'Mat. Conv Par.'!C33*SUM(Input!$F$28:$F$32)</f>
        <v>3215.2299829642243</v>
      </c>
      <c r="D16" s="697">
        <f>'Mat. Conv Par.'!D33*SUM(Input!$F$28:$F$32)</f>
        <v>3320.6473594548547</v>
      </c>
      <c r="E16" s="698">
        <f>'Mat. Conv Par.'!E33*SUM(Input!$F$28:$F$32)</f>
        <v>0</v>
      </c>
    </row>
    <row r="17" spans="2:166">
      <c r="B17" s="695" t="str">
        <f>'Mat. Conv Par.'!B34</f>
        <v>Lithium Carbonate</v>
      </c>
      <c r="C17" s="697"/>
      <c r="D17" s="697">
        <f>'Mat. Conv Par.'!D34*SUM(Input!$F$28:$F$32)</f>
        <v>0</v>
      </c>
      <c r="E17" s="698">
        <f>'Mat. Conv Par.'!E34*SUM(Input!$F$28:$F$32)</f>
        <v>0</v>
      </c>
    </row>
    <row r="18" spans="2:166">
      <c r="B18" s="695" t="str">
        <f>'Mat. Conv Par.'!B35</f>
        <v>Lithium Hydroxide</v>
      </c>
      <c r="C18" s="697"/>
      <c r="D18" s="697">
        <f>'Mat. Conv Par.'!D35*SUM(Input!$F$28:$F$32)</f>
        <v>0</v>
      </c>
      <c r="E18" s="698">
        <f>'Mat. Conv Par.'!E35*SUM(Input!$F$28:$F$32)</f>
        <v>0</v>
      </c>
      <c r="AA18" s="2" t="s">
        <v>722</v>
      </c>
      <c r="BA18" s="2" t="s">
        <v>722</v>
      </c>
      <c r="CA18" s="2" t="s">
        <v>722</v>
      </c>
      <c r="DA18" s="2" t="s">
        <v>722</v>
      </c>
      <c r="EA18" s="2" t="s">
        <v>722</v>
      </c>
      <c r="FA18" s="2" t="s">
        <v>722</v>
      </c>
    </row>
    <row r="19" spans="2:166">
      <c r="B19" s="696" t="s">
        <v>537</v>
      </c>
      <c r="C19" s="1658"/>
      <c r="D19" s="1658">
        <f>'Mat. Conv Par.'!D36*SUM(Input!$F$28:$F$32)</f>
        <v>3243.3879781420765</v>
      </c>
      <c r="E19" s="1659">
        <f>'Mat. Conv Par.'!E36*SUM(Input!$F$28:$F$32)</f>
        <v>0</v>
      </c>
      <c r="AA19" s="706"/>
      <c r="AB19" s="707" t="s">
        <v>677</v>
      </c>
      <c r="AC19" s="708"/>
      <c r="AD19" s="709"/>
      <c r="AE19" s="707" t="s">
        <v>426</v>
      </c>
      <c r="AF19" s="708"/>
      <c r="AG19" s="709"/>
      <c r="AH19" s="707" t="s">
        <v>36</v>
      </c>
      <c r="AI19" s="708"/>
      <c r="AJ19" s="709"/>
      <c r="BA19" s="706"/>
      <c r="BB19" s="707" t="s">
        <v>677</v>
      </c>
      <c r="BC19" s="708"/>
      <c r="BD19" s="709"/>
      <c r="BE19" s="707" t="s">
        <v>426</v>
      </c>
      <c r="BF19" s="708"/>
      <c r="BG19" s="709"/>
      <c r="BH19" s="707" t="s">
        <v>36</v>
      </c>
      <c r="BI19" s="708"/>
      <c r="BJ19" s="709"/>
      <c r="CA19" s="706"/>
      <c r="CB19" s="707" t="s">
        <v>677</v>
      </c>
      <c r="CC19" s="708"/>
      <c r="CD19" s="709"/>
      <c r="CE19" s="707" t="s">
        <v>426</v>
      </c>
      <c r="CF19" s="708"/>
      <c r="CG19" s="709"/>
      <c r="CH19" s="707" t="s">
        <v>36</v>
      </c>
      <c r="CI19" s="708"/>
      <c r="CJ19" s="709"/>
      <c r="DA19" s="706"/>
      <c r="DB19" s="707" t="s">
        <v>677</v>
      </c>
      <c r="DC19" s="708"/>
      <c r="DD19" s="709"/>
      <c r="DE19" s="707" t="s">
        <v>426</v>
      </c>
      <c r="DF19" s="708"/>
      <c r="DG19" s="709"/>
      <c r="DH19" s="707" t="s">
        <v>36</v>
      </c>
      <c r="DI19" s="708"/>
      <c r="DJ19" s="709"/>
      <c r="EA19" s="706"/>
      <c r="EB19" s="707" t="s">
        <v>677</v>
      </c>
      <c r="EC19" s="708"/>
      <c r="ED19" s="709"/>
      <c r="EE19" s="707" t="s">
        <v>426</v>
      </c>
      <c r="EF19" s="708"/>
      <c r="EG19" s="709"/>
      <c r="EH19" s="707" t="s">
        <v>36</v>
      </c>
      <c r="EI19" s="708"/>
      <c r="EJ19" s="709"/>
      <c r="FA19" s="706"/>
      <c r="FB19" s="707" t="s">
        <v>677</v>
      </c>
      <c r="FC19" s="708"/>
      <c r="FD19" s="709"/>
      <c r="FE19" s="707" t="s">
        <v>426</v>
      </c>
      <c r="FF19" s="708"/>
      <c r="FG19" s="709"/>
      <c r="FH19" s="707" t="s">
        <v>36</v>
      </c>
      <c r="FI19" s="708"/>
      <c r="FJ19" s="709"/>
    </row>
    <row r="20" spans="2:166">
      <c r="AA20" s="703"/>
      <c r="AB20" s="702" t="s">
        <v>719</v>
      </c>
      <c r="AC20" s="702" t="s">
        <v>718</v>
      </c>
      <c r="AD20" s="702" t="s">
        <v>720</v>
      </c>
      <c r="AE20" s="702" t="s">
        <v>719</v>
      </c>
      <c r="AF20" s="702" t="s">
        <v>718</v>
      </c>
      <c r="AG20" s="702" t="s">
        <v>720</v>
      </c>
      <c r="AH20" s="702" t="s">
        <v>719</v>
      </c>
      <c r="AI20" s="702" t="s">
        <v>718</v>
      </c>
      <c r="AJ20" s="705" t="s">
        <v>720</v>
      </c>
      <c r="BA20" s="703"/>
      <c r="BB20" s="702" t="s">
        <v>719</v>
      </c>
      <c r="BC20" s="702" t="s">
        <v>718</v>
      </c>
      <c r="BD20" s="702" t="s">
        <v>720</v>
      </c>
      <c r="BE20" s="702" t="s">
        <v>719</v>
      </c>
      <c r="BF20" s="702" t="s">
        <v>718</v>
      </c>
      <c r="BG20" s="702" t="s">
        <v>720</v>
      </c>
      <c r="BH20" s="702" t="s">
        <v>719</v>
      </c>
      <c r="BI20" s="702" t="s">
        <v>718</v>
      </c>
      <c r="BJ20" s="705" t="s">
        <v>720</v>
      </c>
      <c r="CA20" s="703"/>
      <c r="CB20" s="702" t="s">
        <v>719</v>
      </c>
      <c r="CC20" s="702" t="s">
        <v>718</v>
      </c>
      <c r="CD20" s="702" t="s">
        <v>720</v>
      </c>
      <c r="CE20" s="702" t="s">
        <v>719</v>
      </c>
      <c r="CF20" s="702" t="s">
        <v>718</v>
      </c>
      <c r="CG20" s="702" t="s">
        <v>720</v>
      </c>
      <c r="CH20" s="702" t="s">
        <v>719</v>
      </c>
      <c r="CI20" s="702" t="s">
        <v>718</v>
      </c>
      <c r="CJ20" s="705" t="s">
        <v>720</v>
      </c>
      <c r="DA20" s="703"/>
      <c r="DB20" s="702" t="s">
        <v>719</v>
      </c>
      <c r="DC20" s="702" t="s">
        <v>718</v>
      </c>
      <c r="DD20" s="702" t="s">
        <v>720</v>
      </c>
      <c r="DE20" s="702" t="s">
        <v>719</v>
      </c>
      <c r="DF20" s="702" t="s">
        <v>718</v>
      </c>
      <c r="DG20" s="702" t="s">
        <v>720</v>
      </c>
      <c r="DH20" s="702" t="s">
        <v>719</v>
      </c>
      <c r="DI20" s="702" t="s">
        <v>718</v>
      </c>
      <c r="DJ20" s="705" t="s">
        <v>720</v>
      </c>
      <c r="EA20" s="703"/>
      <c r="EB20" s="702" t="s">
        <v>719</v>
      </c>
      <c r="EC20" s="702" t="s">
        <v>718</v>
      </c>
      <c r="ED20" s="702" t="s">
        <v>720</v>
      </c>
      <c r="EE20" s="702" t="s">
        <v>719</v>
      </c>
      <c r="EF20" s="702" t="s">
        <v>718</v>
      </c>
      <c r="EG20" s="702" t="s">
        <v>720</v>
      </c>
      <c r="EH20" s="702" t="s">
        <v>719</v>
      </c>
      <c r="EI20" s="702" t="s">
        <v>718</v>
      </c>
      <c r="EJ20" s="705" t="s">
        <v>720</v>
      </c>
      <c r="FA20" s="703"/>
      <c r="FB20" s="702" t="s">
        <v>719</v>
      </c>
      <c r="FC20" s="702" t="s">
        <v>718</v>
      </c>
      <c r="FD20" s="702" t="s">
        <v>720</v>
      </c>
      <c r="FE20" s="702" t="s">
        <v>719</v>
      </c>
      <c r="FF20" s="702" t="s">
        <v>718</v>
      </c>
      <c r="FG20" s="702" t="s">
        <v>720</v>
      </c>
      <c r="FH20" s="702" t="s">
        <v>719</v>
      </c>
      <c r="FI20" s="702" t="s">
        <v>718</v>
      </c>
      <c r="FJ20" s="705" t="s">
        <v>720</v>
      </c>
    </row>
    <row r="21" spans="2:166">
      <c r="AA21" s="704" t="str">
        <f t="shared" ref="AA21:AA27" si="6">AA9</f>
        <v>Cobalt Sulfate</v>
      </c>
      <c r="AB21" s="722" t="e">
        <f>C15/$D$8</f>
        <v>#DIV/0!</v>
      </c>
      <c r="AC21" s="723" t="e">
        <f t="shared" ref="AC21:AC27" si="7">IF(AB21&gt;AB9,0,AB9-AB21)</f>
        <v>#DIV/0!</v>
      </c>
      <c r="AD21" s="723" t="e">
        <f t="shared" ref="AD21:AD27" si="8">IF(AB21&gt;AB9,AB21-AB9,0)</f>
        <v>#DIV/0!</v>
      </c>
      <c r="AE21" s="724" t="e">
        <f>D15/$D$8</f>
        <v>#DIV/0!</v>
      </c>
      <c r="AF21" s="724" t="e">
        <f t="shared" ref="AF21:AF27" si="9">IF(AE21&gt;AB9,0,AB9-AE21)</f>
        <v>#DIV/0!</v>
      </c>
      <c r="AG21" s="724" t="e">
        <f t="shared" ref="AG21:AG27" si="10">IF(AE21&gt;AB9,AE21-AB9,0)</f>
        <v>#DIV/0!</v>
      </c>
      <c r="AH21" s="724" t="e">
        <f>E15/$D$8</f>
        <v>#DIV/0!</v>
      </c>
      <c r="AI21" s="724" t="e">
        <f t="shared" ref="AI21:AI27" si="11">IF(AH21&gt;AB9,0,AB9-AH21)</f>
        <v>#DIV/0!</v>
      </c>
      <c r="AJ21" s="725" t="e">
        <f t="shared" ref="AJ21:AJ27" si="12">IF(AH21&gt;AB9,AH21-AB9,0)</f>
        <v>#DIV/0!</v>
      </c>
      <c r="BA21" s="704" t="str">
        <f t="shared" ref="BA21:BA27" si="13">BA9</f>
        <v>Cobalt Sulfate</v>
      </c>
      <c r="BB21" s="722" t="e">
        <f>$C15/$D$8</f>
        <v>#DIV/0!</v>
      </c>
      <c r="BC21" s="723" t="e">
        <f t="shared" ref="BC21:BC27" si="14">IF(BB21&gt;BB9,0,BB9-BB21)</f>
        <v>#DIV/0!</v>
      </c>
      <c r="BD21" s="723" t="e">
        <f t="shared" ref="BD21:BD27" si="15">IF(BB21&gt;BB9,BB21-BB9,0)</f>
        <v>#DIV/0!</v>
      </c>
      <c r="BE21" s="724" t="e">
        <f>$D15/$D$8</f>
        <v>#DIV/0!</v>
      </c>
      <c r="BF21" s="724" t="e">
        <f t="shared" ref="BF21:BF27" si="16">IF(BE21&gt;BB9,0,BB9-BE21)</f>
        <v>#DIV/0!</v>
      </c>
      <c r="BG21" s="724" t="e">
        <f t="shared" ref="BG21:BG27" si="17">IF(BE21&gt;BB9,BE21-BB9,0)</f>
        <v>#DIV/0!</v>
      </c>
      <c r="BH21" s="724" t="e">
        <f>$E15/$D$8</f>
        <v>#DIV/0!</v>
      </c>
      <c r="BI21" s="724" t="e">
        <f t="shared" ref="BI21:BI27" si="18">IF(BH21&gt;BB9,0,BB9-BH21)</f>
        <v>#DIV/0!</v>
      </c>
      <c r="BJ21" s="725" t="e">
        <f t="shared" ref="BJ21:BJ27" si="19">IF(BH21&gt;BB9,BH21-BB9,0)</f>
        <v>#DIV/0!</v>
      </c>
      <c r="CA21" s="704" t="str">
        <f t="shared" ref="CA21:CA27" si="20">CA9</f>
        <v>Cobalt Sulfate</v>
      </c>
      <c r="CB21" s="722" t="e">
        <f>$C15/$D$8</f>
        <v>#DIV/0!</v>
      </c>
      <c r="CC21" s="723" t="e">
        <f t="shared" ref="CC21:CC27" si="21">IF(CB21&gt;CB9,0,CB9-CB21)</f>
        <v>#DIV/0!</v>
      </c>
      <c r="CD21" s="723" t="e">
        <f t="shared" ref="CD21:CD27" si="22">IF(CB21&gt;CB9,CB21-CB9,0)</f>
        <v>#DIV/0!</v>
      </c>
      <c r="CE21" s="724" t="e">
        <f>$D15/$D$8</f>
        <v>#DIV/0!</v>
      </c>
      <c r="CF21" s="724" t="e">
        <f t="shared" ref="CF21:CF27" si="23">IF(CE21&gt;CB9,0,CB9-CE21)</f>
        <v>#DIV/0!</v>
      </c>
      <c r="CG21" s="724" t="e">
        <f t="shared" ref="CG21:CG27" si="24">IF(CE21&gt;CB9,CE21-CB9,0)</f>
        <v>#DIV/0!</v>
      </c>
      <c r="CH21" s="724" t="e">
        <f>$E15/$D$8</f>
        <v>#DIV/0!</v>
      </c>
      <c r="CI21" s="724" t="e">
        <f t="shared" ref="CI21:CI27" si="25">IF(CH21&gt;CB9,0,CB9-CH21)</f>
        <v>#DIV/0!</v>
      </c>
      <c r="CJ21" s="725" t="e">
        <f t="shared" ref="CJ21:CJ27" si="26">IF(CH21&gt;CB9,CH21-CB9,0)</f>
        <v>#DIV/0!</v>
      </c>
      <c r="DA21" s="704" t="str">
        <f t="shared" ref="DA21:DA27" si="27">DA9</f>
        <v>Cobalt Sulfate</v>
      </c>
      <c r="DB21" s="722" t="e">
        <f>$C15/$D$8</f>
        <v>#DIV/0!</v>
      </c>
      <c r="DC21" s="723" t="e">
        <f t="shared" ref="DC21:DC27" si="28">IF(DB21&gt;DB9,0,DB9-DB21)</f>
        <v>#DIV/0!</v>
      </c>
      <c r="DD21" s="723" t="e">
        <f t="shared" ref="DD21:DD27" si="29">IF(DB21&gt;DB9,DB21-DB9,0)</f>
        <v>#DIV/0!</v>
      </c>
      <c r="DE21" s="724" t="e">
        <f>$D15/$D$8</f>
        <v>#DIV/0!</v>
      </c>
      <c r="DF21" s="724" t="e">
        <f t="shared" ref="DF21:DF27" si="30">IF(DE21&gt;DB9,0,DB9-DE21)</f>
        <v>#DIV/0!</v>
      </c>
      <c r="DG21" s="724" t="e">
        <f t="shared" ref="DG21:DG27" si="31">IF(DE21&gt;DB9,DE21-DB9,0)</f>
        <v>#DIV/0!</v>
      </c>
      <c r="DH21" s="724" t="e">
        <f>$E15/$D$8</f>
        <v>#DIV/0!</v>
      </c>
      <c r="DI21" s="724" t="e">
        <f t="shared" ref="DI21:DI27" si="32">IF(DH21&gt;DB9,0,DB9-DH21)</f>
        <v>#DIV/0!</v>
      </c>
      <c r="DJ21" s="725" t="e">
        <f t="shared" ref="DJ21:DJ27" si="33">IF(DH21&gt;DB9,DH21-DB9,0)</f>
        <v>#DIV/0!</v>
      </c>
      <c r="EA21" s="704" t="str">
        <f t="shared" ref="EA21:EA27" si="34">EA9</f>
        <v>Cobalt Sulfate</v>
      </c>
      <c r="EB21" s="722" t="e">
        <f>$C15/$D$8</f>
        <v>#DIV/0!</v>
      </c>
      <c r="EC21" s="723" t="e">
        <f t="shared" ref="EC21:EC26" si="35">IF(EB21&gt;EB9,0,EB9-EB21)</f>
        <v>#DIV/0!</v>
      </c>
      <c r="ED21" s="723" t="e">
        <f t="shared" ref="ED21:ED26" si="36">IF(EB21&gt;EB9,EB21-EB9,0)</f>
        <v>#DIV/0!</v>
      </c>
      <c r="EE21" s="724" t="e">
        <f>$D15/$D$8</f>
        <v>#DIV/0!</v>
      </c>
      <c r="EF21" s="724" t="e">
        <f t="shared" ref="EF21:EF26" si="37">IF(EE21&gt;EB9,0,EB9-EE21)</f>
        <v>#DIV/0!</v>
      </c>
      <c r="EG21" s="724" t="e">
        <f t="shared" ref="EG21:EG26" si="38">IF(EE21&gt;EB9,EE21-EB9,0)</f>
        <v>#DIV/0!</v>
      </c>
      <c r="EH21" s="724" t="e">
        <f>$E15/$D$8</f>
        <v>#DIV/0!</v>
      </c>
      <c r="EI21" s="724" t="e">
        <f t="shared" ref="EI21:EI26" si="39">IF(EH21&gt;EB9,0,EB9-EH21)</f>
        <v>#DIV/0!</v>
      </c>
      <c r="EJ21" s="725" t="e">
        <f t="shared" ref="EJ21:EJ26" si="40">IF(EH21&gt;EB9,EH21-EB9,0)</f>
        <v>#DIV/0!</v>
      </c>
      <c r="FA21" s="704" t="str">
        <f t="shared" ref="FA21:FA27" si="41">FA9</f>
        <v>Cobalt Oxide</v>
      </c>
      <c r="FB21" s="722" t="e">
        <f>$C14/$D$8</f>
        <v>#DIV/0!</v>
      </c>
      <c r="FC21" s="723" t="e">
        <f t="shared" ref="FC21:FC26" si="42">IF(FB21&gt;FB9,0,FB9-FB21)</f>
        <v>#DIV/0!</v>
      </c>
      <c r="FD21" s="723" t="e">
        <f t="shared" ref="FD21:FD26" si="43">IF(FB21&gt;FB9,FB21-FB9,0)</f>
        <v>#DIV/0!</v>
      </c>
      <c r="FE21" s="724" t="e">
        <f>$D14/$D$8</f>
        <v>#DIV/0!</v>
      </c>
      <c r="FF21" s="724" t="e">
        <f t="shared" ref="FF21:FF26" si="44">IF(FE21&gt;FB9,0,FB9-FE21)</f>
        <v>#DIV/0!</v>
      </c>
      <c r="FG21" s="724" t="e">
        <f t="shared" ref="FG21:FG26" si="45">IF(FE21&gt;FB9,FE21-FB9,0)</f>
        <v>#DIV/0!</v>
      </c>
      <c r="FH21" s="724" t="e">
        <f>$E$14/$D$8</f>
        <v>#DIV/0!</v>
      </c>
      <c r="FI21" s="724" t="e">
        <f t="shared" ref="FI21:FI26" si="46">IF(FH21&gt;FB9,0,FB9-FH21)</f>
        <v>#DIV/0!</v>
      </c>
      <c r="FJ21" s="725" t="e">
        <f t="shared" ref="FJ21:FJ26" si="47">IF(FH21&gt;FB9,FH21-FB9,0)</f>
        <v>#DIV/0!</v>
      </c>
    </row>
    <row r="22" spans="2:166">
      <c r="B22" s="133" t="s">
        <v>716</v>
      </c>
      <c r="C22" s="246" t="s">
        <v>597</v>
      </c>
      <c r="AA22" s="704" t="str">
        <f t="shared" si="6"/>
        <v>Nickel Sulfate</v>
      </c>
      <c r="AB22" s="729" t="e">
        <f>C16/$D$8</f>
        <v>#DIV/0!</v>
      </c>
      <c r="AC22" s="726" t="e">
        <f t="shared" si="7"/>
        <v>#DIV/0!</v>
      </c>
      <c r="AD22" s="726" t="e">
        <f t="shared" si="8"/>
        <v>#DIV/0!</v>
      </c>
      <c r="AE22" s="727" t="e">
        <f>D16/$D$8</f>
        <v>#DIV/0!</v>
      </c>
      <c r="AF22" s="727" t="e">
        <f t="shared" si="9"/>
        <v>#DIV/0!</v>
      </c>
      <c r="AG22" s="727" t="e">
        <f t="shared" si="10"/>
        <v>#DIV/0!</v>
      </c>
      <c r="AH22" s="727" t="e">
        <f>E16/$D$8</f>
        <v>#DIV/0!</v>
      </c>
      <c r="AI22" s="727" t="e">
        <f t="shared" si="11"/>
        <v>#DIV/0!</v>
      </c>
      <c r="AJ22" s="728" t="e">
        <f t="shared" si="12"/>
        <v>#DIV/0!</v>
      </c>
      <c r="BA22" s="704" t="str">
        <f t="shared" si="13"/>
        <v>Nickel Sulfate</v>
      </c>
      <c r="BB22" s="729" t="e">
        <f>$C16/$D$8</f>
        <v>#DIV/0!</v>
      </c>
      <c r="BC22" s="726" t="e">
        <f t="shared" si="14"/>
        <v>#DIV/0!</v>
      </c>
      <c r="BD22" s="726" t="e">
        <f t="shared" si="15"/>
        <v>#DIV/0!</v>
      </c>
      <c r="BE22" s="727" t="e">
        <f>$D16/$D$8</f>
        <v>#DIV/0!</v>
      </c>
      <c r="BF22" s="727" t="e">
        <f t="shared" si="16"/>
        <v>#DIV/0!</v>
      </c>
      <c r="BG22" s="727" t="e">
        <f t="shared" si="17"/>
        <v>#DIV/0!</v>
      </c>
      <c r="BH22" s="727" t="e">
        <f>$E16/$D$8</f>
        <v>#DIV/0!</v>
      </c>
      <c r="BI22" s="727" t="e">
        <f t="shared" si="18"/>
        <v>#DIV/0!</v>
      </c>
      <c r="BJ22" s="728" t="e">
        <f t="shared" si="19"/>
        <v>#DIV/0!</v>
      </c>
      <c r="CA22" s="704" t="str">
        <f t="shared" si="20"/>
        <v>Nickel Sulfate</v>
      </c>
      <c r="CB22" s="729" t="e">
        <f>$C16/$D$8</f>
        <v>#DIV/0!</v>
      </c>
      <c r="CC22" s="726" t="e">
        <f t="shared" si="21"/>
        <v>#DIV/0!</v>
      </c>
      <c r="CD22" s="726" t="e">
        <f t="shared" si="22"/>
        <v>#DIV/0!</v>
      </c>
      <c r="CE22" s="727" t="e">
        <f>$D16/$D$8</f>
        <v>#DIV/0!</v>
      </c>
      <c r="CF22" s="727" t="e">
        <f t="shared" si="23"/>
        <v>#DIV/0!</v>
      </c>
      <c r="CG22" s="727" t="e">
        <f t="shared" si="24"/>
        <v>#DIV/0!</v>
      </c>
      <c r="CH22" s="727" t="e">
        <f>$E16/$D$8</f>
        <v>#DIV/0!</v>
      </c>
      <c r="CI22" s="727" t="e">
        <f t="shared" si="25"/>
        <v>#DIV/0!</v>
      </c>
      <c r="CJ22" s="728" t="e">
        <f t="shared" si="26"/>
        <v>#DIV/0!</v>
      </c>
      <c r="DA22" s="704" t="str">
        <f t="shared" si="27"/>
        <v>Nickel Sulfate</v>
      </c>
      <c r="DB22" s="729" t="e">
        <f>$C16/$D$8</f>
        <v>#DIV/0!</v>
      </c>
      <c r="DC22" s="726" t="e">
        <f t="shared" si="28"/>
        <v>#DIV/0!</v>
      </c>
      <c r="DD22" s="726" t="e">
        <f t="shared" si="29"/>
        <v>#DIV/0!</v>
      </c>
      <c r="DE22" s="727" t="e">
        <f>$D16/$D$8</f>
        <v>#DIV/0!</v>
      </c>
      <c r="DF22" s="727" t="e">
        <f t="shared" si="30"/>
        <v>#DIV/0!</v>
      </c>
      <c r="DG22" s="727" t="e">
        <f t="shared" si="31"/>
        <v>#DIV/0!</v>
      </c>
      <c r="DH22" s="727" t="e">
        <f>$E16/$D$8</f>
        <v>#DIV/0!</v>
      </c>
      <c r="DI22" s="727" t="e">
        <f t="shared" si="32"/>
        <v>#DIV/0!</v>
      </c>
      <c r="DJ22" s="728" t="e">
        <f t="shared" si="33"/>
        <v>#DIV/0!</v>
      </c>
      <c r="EA22" s="704" t="str">
        <f t="shared" si="34"/>
        <v>Nickel Sulfate</v>
      </c>
      <c r="EB22" s="729" t="e">
        <f>$C16/$D$8</f>
        <v>#DIV/0!</v>
      </c>
      <c r="EC22" s="726" t="e">
        <f t="shared" si="35"/>
        <v>#DIV/0!</v>
      </c>
      <c r="ED22" s="726" t="e">
        <f t="shared" si="36"/>
        <v>#DIV/0!</v>
      </c>
      <c r="EE22" s="727" t="e">
        <f>$D16/$D$8</f>
        <v>#DIV/0!</v>
      </c>
      <c r="EF22" s="727" t="e">
        <f t="shared" si="37"/>
        <v>#DIV/0!</v>
      </c>
      <c r="EG22" s="727" t="e">
        <f t="shared" si="38"/>
        <v>#DIV/0!</v>
      </c>
      <c r="EH22" s="727" t="e">
        <f>$E16/$D$8</f>
        <v>#DIV/0!</v>
      </c>
      <c r="EI22" s="727" t="e">
        <f t="shared" si="39"/>
        <v>#DIV/0!</v>
      </c>
      <c r="EJ22" s="728" t="e">
        <f t="shared" si="40"/>
        <v>#DIV/0!</v>
      </c>
      <c r="FA22" s="704" t="str">
        <f t="shared" si="41"/>
        <v>Lithium Carbonate</v>
      </c>
      <c r="FB22" s="729"/>
      <c r="FC22" s="726">
        <f t="shared" si="42"/>
        <v>0.37748359493852202</v>
      </c>
      <c r="FD22" s="726">
        <f t="shared" si="43"/>
        <v>0</v>
      </c>
      <c r="FE22" s="727" t="e">
        <f>$D$17/$D$8</f>
        <v>#DIV/0!</v>
      </c>
      <c r="FF22" s="727" t="e">
        <f t="shared" si="44"/>
        <v>#DIV/0!</v>
      </c>
      <c r="FG22" s="727" t="e">
        <f t="shared" si="45"/>
        <v>#DIV/0!</v>
      </c>
      <c r="FH22" s="727" t="e">
        <f>$E$17/$D$8</f>
        <v>#DIV/0!</v>
      </c>
      <c r="FI22" s="727" t="e">
        <f t="shared" si="46"/>
        <v>#DIV/0!</v>
      </c>
      <c r="FJ22" s="728" t="e">
        <f t="shared" si="47"/>
        <v>#DIV/0!</v>
      </c>
    </row>
    <row r="23" spans="2:166">
      <c r="AA23" s="704" t="str">
        <f t="shared" si="6"/>
        <v>Lithium Carbonate</v>
      </c>
      <c r="AB23" s="729" t="e">
        <f>C17/$D$8</f>
        <v>#DIV/0!</v>
      </c>
      <c r="AC23" s="726" t="e">
        <f t="shared" si="7"/>
        <v>#DIV/0!</v>
      </c>
      <c r="AD23" s="726" t="e">
        <f t="shared" si="8"/>
        <v>#DIV/0!</v>
      </c>
      <c r="AE23" s="727" t="e">
        <f>D17/$D$8</f>
        <v>#DIV/0!</v>
      </c>
      <c r="AF23" s="727" t="e">
        <f t="shared" si="9"/>
        <v>#DIV/0!</v>
      </c>
      <c r="AG23" s="727" t="e">
        <f t="shared" si="10"/>
        <v>#DIV/0!</v>
      </c>
      <c r="AH23" s="727" t="e">
        <f>E17/$D$8</f>
        <v>#DIV/0!</v>
      </c>
      <c r="AI23" s="727" t="e">
        <f t="shared" si="11"/>
        <v>#DIV/0!</v>
      </c>
      <c r="AJ23" s="728" t="e">
        <f t="shared" si="12"/>
        <v>#DIV/0!</v>
      </c>
      <c r="BA23" s="704" t="str">
        <f t="shared" si="13"/>
        <v>Lithium Carbonate</v>
      </c>
      <c r="BB23" s="729" t="e">
        <f>$C17/$D$8</f>
        <v>#DIV/0!</v>
      </c>
      <c r="BC23" s="726" t="e">
        <f t="shared" si="14"/>
        <v>#DIV/0!</v>
      </c>
      <c r="BD23" s="726" t="e">
        <f t="shared" si="15"/>
        <v>#DIV/0!</v>
      </c>
      <c r="BE23" s="727" t="e">
        <f>$D17/$D$8</f>
        <v>#DIV/0!</v>
      </c>
      <c r="BF23" s="727" t="e">
        <f t="shared" si="16"/>
        <v>#DIV/0!</v>
      </c>
      <c r="BG23" s="727" t="e">
        <f t="shared" si="17"/>
        <v>#DIV/0!</v>
      </c>
      <c r="BH23" s="727" t="e">
        <f>$E17/$D$8</f>
        <v>#DIV/0!</v>
      </c>
      <c r="BI23" s="727" t="e">
        <f t="shared" si="18"/>
        <v>#DIV/0!</v>
      </c>
      <c r="BJ23" s="728" t="e">
        <f t="shared" si="19"/>
        <v>#DIV/0!</v>
      </c>
      <c r="CA23" s="704" t="str">
        <f t="shared" si="20"/>
        <v>Lithium Carbonate</v>
      </c>
      <c r="CB23" s="729" t="e">
        <f>$C17/$D$8</f>
        <v>#DIV/0!</v>
      </c>
      <c r="CC23" s="726" t="e">
        <f t="shared" si="21"/>
        <v>#DIV/0!</v>
      </c>
      <c r="CD23" s="726" t="e">
        <f t="shared" si="22"/>
        <v>#DIV/0!</v>
      </c>
      <c r="CE23" s="727" t="e">
        <f>$D17/$D$8</f>
        <v>#DIV/0!</v>
      </c>
      <c r="CF23" s="727" t="e">
        <f t="shared" si="23"/>
        <v>#DIV/0!</v>
      </c>
      <c r="CG23" s="727" t="e">
        <f t="shared" si="24"/>
        <v>#DIV/0!</v>
      </c>
      <c r="CH23" s="727" t="e">
        <f>$E17/$D$8</f>
        <v>#DIV/0!</v>
      </c>
      <c r="CI23" s="727" t="e">
        <f t="shared" si="25"/>
        <v>#DIV/0!</v>
      </c>
      <c r="CJ23" s="728" t="e">
        <f t="shared" si="26"/>
        <v>#DIV/0!</v>
      </c>
      <c r="DA23" s="704" t="str">
        <f t="shared" si="27"/>
        <v>Lithium Hydroxide</v>
      </c>
      <c r="DB23" s="729" t="e">
        <f>$C18/$D$8</f>
        <v>#DIV/0!</v>
      </c>
      <c r="DC23" s="726" t="e">
        <f t="shared" si="28"/>
        <v>#DIV/0!</v>
      </c>
      <c r="DD23" s="726" t="e">
        <f t="shared" si="29"/>
        <v>#DIV/0!</v>
      </c>
      <c r="DE23" s="727" t="e">
        <f>$D18/$D$8</f>
        <v>#DIV/0!</v>
      </c>
      <c r="DF23" s="727" t="e">
        <f t="shared" si="30"/>
        <v>#DIV/0!</v>
      </c>
      <c r="DG23" s="727" t="e">
        <f t="shared" si="31"/>
        <v>#DIV/0!</v>
      </c>
      <c r="DH23" s="727" t="e">
        <f>$E18/$D$8</f>
        <v>#DIV/0!</v>
      </c>
      <c r="DI23" s="727" t="e">
        <f t="shared" si="32"/>
        <v>#DIV/0!</v>
      </c>
      <c r="DJ23" s="728" t="e">
        <f t="shared" si="33"/>
        <v>#DIV/0!</v>
      </c>
      <c r="EA23" s="704" t="str">
        <f t="shared" si="34"/>
        <v>Lithium Hydroxide</v>
      </c>
      <c r="EB23" s="729" t="e">
        <f>$C18/$D$8</f>
        <v>#DIV/0!</v>
      </c>
      <c r="EC23" s="726" t="e">
        <f t="shared" si="35"/>
        <v>#DIV/0!</v>
      </c>
      <c r="ED23" s="726" t="e">
        <f t="shared" si="36"/>
        <v>#DIV/0!</v>
      </c>
      <c r="EE23" s="727" t="e">
        <f>$D18/$D$8</f>
        <v>#DIV/0!</v>
      </c>
      <c r="EF23" s="727" t="e">
        <f t="shared" si="37"/>
        <v>#DIV/0!</v>
      </c>
      <c r="EG23" s="727" t="e">
        <f t="shared" si="38"/>
        <v>#DIV/0!</v>
      </c>
      <c r="EH23" s="727" t="e">
        <f>$E18/$D$8</f>
        <v>#DIV/0!</v>
      </c>
      <c r="EI23" s="727" t="e">
        <f t="shared" si="39"/>
        <v>#DIV/0!</v>
      </c>
      <c r="EJ23" s="728" t="e">
        <f t="shared" si="40"/>
        <v>#DIV/0!</v>
      </c>
      <c r="FA23" s="704">
        <f t="shared" si="41"/>
        <v>0</v>
      </c>
      <c r="FB23" s="729"/>
      <c r="FC23" s="726">
        <f t="shared" si="42"/>
        <v>0</v>
      </c>
      <c r="FD23" s="726">
        <f t="shared" si="43"/>
        <v>0</v>
      </c>
      <c r="FE23" s="727"/>
      <c r="FF23" s="727">
        <f t="shared" si="44"/>
        <v>0</v>
      </c>
      <c r="FG23" s="727">
        <f t="shared" si="45"/>
        <v>0</v>
      </c>
      <c r="FH23" s="727"/>
      <c r="FI23" s="727">
        <f t="shared" si="46"/>
        <v>0</v>
      </c>
      <c r="FJ23" s="728">
        <f t="shared" si="47"/>
        <v>0</v>
      </c>
    </row>
    <row r="24" spans="2:166">
      <c r="B24" s="133" t="s">
        <v>715</v>
      </c>
      <c r="C24" s="111"/>
      <c r="D24" s="111"/>
      <c r="E24" s="111"/>
      <c r="F24" s="111"/>
      <c r="G24" s="111"/>
      <c r="H24" s="111"/>
      <c r="AA24" s="704" t="str">
        <f t="shared" si="6"/>
        <v>Manganese Sulfate</v>
      </c>
      <c r="AB24" s="729"/>
      <c r="AC24" s="726">
        <f t="shared" si="7"/>
        <v>0.52180523878637086</v>
      </c>
      <c r="AD24" s="726">
        <f t="shared" si="8"/>
        <v>0</v>
      </c>
      <c r="AE24" s="727" t="e">
        <f>D19/$D$8</f>
        <v>#DIV/0!</v>
      </c>
      <c r="AF24" s="727" t="e">
        <f t="shared" si="9"/>
        <v>#DIV/0!</v>
      </c>
      <c r="AG24" s="727" t="e">
        <f t="shared" si="10"/>
        <v>#DIV/0!</v>
      </c>
      <c r="AH24" s="727"/>
      <c r="AI24" s="727">
        <f t="shared" si="11"/>
        <v>0.52180523878637086</v>
      </c>
      <c r="AJ24" s="728">
        <f t="shared" si="12"/>
        <v>0</v>
      </c>
      <c r="BA24" s="704" t="str">
        <f t="shared" si="13"/>
        <v>Manganese Sulfate</v>
      </c>
      <c r="BB24" s="729"/>
      <c r="BC24" s="726">
        <f t="shared" si="14"/>
        <v>0.46917237165080317</v>
      </c>
      <c r="BD24" s="726">
        <f t="shared" si="15"/>
        <v>0</v>
      </c>
      <c r="BE24" s="727" t="e">
        <f>D19/$D$8</f>
        <v>#DIV/0!</v>
      </c>
      <c r="BF24" s="727" t="e">
        <f t="shared" si="16"/>
        <v>#DIV/0!</v>
      </c>
      <c r="BG24" s="727" t="e">
        <f t="shared" si="17"/>
        <v>#DIV/0!</v>
      </c>
      <c r="BH24" s="727"/>
      <c r="BI24" s="727">
        <f t="shared" si="18"/>
        <v>0.46917237165080317</v>
      </c>
      <c r="BJ24" s="728">
        <f t="shared" si="19"/>
        <v>0</v>
      </c>
      <c r="CA24" s="704" t="str">
        <f t="shared" si="20"/>
        <v>Manganese Sulfate</v>
      </c>
      <c r="CB24" s="729"/>
      <c r="CC24" s="726">
        <f t="shared" si="21"/>
        <v>0.31157147573456584</v>
      </c>
      <c r="CD24" s="726">
        <f t="shared" si="22"/>
        <v>0</v>
      </c>
      <c r="CE24" s="727" t="e">
        <f>D19/$D$8</f>
        <v>#DIV/0!</v>
      </c>
      <c r="CF24" s="727" t="e">
        <f t="shared" si="23"/>
        <v>#DIV/0!</v>
      </c>
      <c r="CG24" s="727" t="e">
        <f t="shared" si="24"/>
        <v>#DIV/0!</v>
      </c>
      <c r="CH24" s="727"/>
      <c r="CI24" s="727">
        <f t="shared" si="25"/>
        <v>0.31157147573456584</v>
      </c>
      <c r="CJ24" s="728">
        <f t="shared" si="26"/>
        <v>0</v>
      </c>
      <c r="DA24" s="704" t="str">
        <f t="shared" si="27"/>
        <v>Manganese Sulfate</v>
      </c>
      <c r="DB24" s="729"/>
      <c r="DC24" s="726">
        <f t="shared" si="28"/>
        <v>0.15522363511138068</v>
      </c>
      <c r="DD24" s="726">
        <f t="shared" si="29"/>
        <v>0</v>
      </c>
      <c r="DE24" s="727" t="e">
        <f>D19/$D$8</f>
        <v>#DIV/0!</v>
      </c>
      <c r="DF24" s="727" t="e">
        <f t="shared" si="30"/>
        <v>#DIV/0!</v>
      </c>
      <c r="DG24" s="727" t="e">
        <f t="shared" si="31"/>
        <v>#DIV/0!</v>
      </c>
      <c r="DH24" s="727"/>
      <c r="DI24" s="727">
        <f t="shared" si="32"/>
        <v>0.15522363511138068</v>
      </c>
      <c r="DJ24" s="728">
        <f t="shared" si="33"/>
        <v>0</v>
      </c>
      <c r="EA24" s="704" t="str">
        <f t="shared" si="34"/>
        <v>Aluminum Sulfate</v>
      </c>
      <c r="EB24" s="729"/>
      <c r="EC24" s="726">
        <f t="shared" si="35"/>
        <v>8.5499999999999993E-2</v>
      </c>
      <c r="ED24" s="726">
        <f t="shared" si="36"/>
        <v>0</v>
      </c>
      <c r="EE24" s="727"/>
      <c r="EF24" s="727">
        <f t="shared" si="37"/>
        <v>8.5499999999999993E-2</v>
      </c>
      <c r="EG24" s="727">
        <f t="shared" si="38"/>
        <v>0</v>
      </c>
      <c r="EH24" s="727"/>
      <c r="EI24" s="727">
        <f t="shared" si="39"/>
        <v>8.5499999999999993E-2</v>
      </c>
      <c r="EJ24" s="728">
        <f t="shared" si="40"/>
        <v>0</v>
      </c>
      <c r="FA24" s="704">
        <f t="shared" si="41"/>
        <v>0</v>
      </c>
      <c r="FB24" s="729"/>
      <c r="FC24" s="726">
        <f t="shared" si="42"/>
        <v>0</v>
      </c>
      <c r="FD24" s="726">
        <f t="shared" si="43"/>
        <v>0</v>
      </c>
      <c r="FE24" s="727"/>
      <c r="FF24" s="727">
        <f t="shared" si="44"/>
        <v>0</v>
      </c>
      <c r="FG24" s="727">
        <f t="shared" si="45"/>
        <v>0</v>
      </c>
      <c r="FH24" s="727"/>
      <c r="FI24" s="727">
        <f t="shared" si="46"/>
        <v>0</v>
      </c>
      <c r="FJ24" s="728">
        <f t="shared" si="47"/>
        <v>0</v>
      </c>
    </row>
    <row r="25" spans="2:166">
      <c r="B25" s="629"/>
      <c r="C25" s="623" t="s">
        <v>42</v>
      </c>
      <c r="D25" s="678" t="s">
        <v>1029</v>
      </c>
      <c r="E25" s="678" t="s">
        <v>1540</v>
      </c>
      <c r="F25" s="678" t="s">
        <v>667</v>
      </c>
      <c r="G25" s="630" t="s">
        <v>669</v>
      </c>
      <c r="H25" s="623" t="s">
        <v>73</v>
      </c>
      <c r="I25" s="630" t="s">
        <v>148</v>
      </c>
      <c r="J25" s="623" t="s">
        <v>149</v>
      </c>
      <c r="AA25" s="704" t="str">
        <f t="shared" si="6"/>
        <v>Soda Ash</v>
      </c>
      <c r="AB25" s="729"/>
      <c r="AC25" s="726">
        <f t="shared" si="7"/>
        <v>0</v>
      </c>
      <c r="AD25" s="726">
        <f t="shared" si="8"/>
        <v>0</v>
      </c>
      <c r="AE25" s="727"/>
      <c r="AF25" s="727">
        <f t="shared" si="9"/>
        <v>0</v>
      </c>
      <c r="AG25" s="727">
        <f t="shared" si="10"/>
        <v>0</v>
      </c>
      <c r="AH25" s="727"/>
      <c r="AI25" s="727">
        <f t="shared" si="11"/>
        <v>0</v>
      </c>
      <c r="AJ25" s="728">
        <f t="shared" si="12"/>
        <v>0</v>
      </c>
      <c r="BA25" s="704" t="str">
        <f t="shared" si="13"/>
        <v>Soda Ash</v>
      </c>
      <c r="BB25" s="729"/>
      <c r="BC25" s="726">
        <f t="shared" si="14"/>
        <v>0</v>
      </c>
      <c r="BD25" s="726">
        <f t="shared" si="15"/>
        <v>0</v>
      </c>
      <c r="BE25" s="727"/>
      <c r="BF25" s="727">
        <f t="shared" si="16"/>
        <v>0</v>
      </c>
      <c r="BG25" s="727">
        <f t="shared" si="17"/>
        <v>0</v>
      </c>
      <c r="BH25" s="727"/>
      <c r="BI25" s="727">
        <f t="shared" si="18"/>
        <v>0</v>
      </c>
      <c r="BJ25" s="728">
        <f t="shared" si="19"/>
        <v>0</v>
      </c>
      <c r="CA25" s="704" t="str">
        <f t="shared" si="20"/>
        <v>Soda Ash</v>
      </c>
      <c r="CB25" s="729"/>
      <c r="CC25" s="726">
        <f t="shared" si="21"/>
        <v>0</v>
      </c>
      <c r="CD25" s="726">
        <f t="shared" si="22"/>
        <v>0</v>
      </c>
      <c r="CE25" s="727"/>
      <c r="CF25" s="727">
        <f t="shared" si="23"/>
        <v>0</v>
      </c>
      <c r="CG25" s="727">
        <f t="shared" si="24"/>
        <v>0</v>
      </c>
      <c r="CH25" s="727"/>
      <c r="CI25" s="727">
        <f t="shared" si="25"/>
        <v>0</v>
      </c>
      <c r="CJ25" s="728">
        <f t="shared" si="26"/>
        <v>0</v>
      </c>
      <c r="DA25" s="704" t="str">
        <f t="shared" si="27"/>
        <v>Soda Ash</v>
      </c>
      <c r="DB25" s="729"/>
      <c r="DC25" s="726">
        <f t="shared" si="28"/>
        <v>0</v>
      </c>
      <c r="DD25" s="726">
        <f t="shared" si="29"/>
        <v>0</v>
      </c>
      <c r="DE25" s="727"/>
      <c r="DF25" s="727">
        <f t="shared" si="30"/>
        <v>0</v>
      </c>
      <c r="DG25" s="727">
        <f t="shared" si="31"/>
        <v>0</v>
      </c>
      <c r="DH25" s="727"/>
      <c r="DI25" s="727">
        <f t="shared" si="32"/>
        <v>0</v>
      </c>
      <c r="DJ25" s="728">
        <f t="shared" si="33"/>
        <v>0</v>
      </c>
      <c r="EA25" s="704" t="str">
        <f t="shared" si="34"/>
        <v>Soda Ash</v>
      </c>
      <c r="EB25" s="729"/>
      <c r="EC25" s="726">
        <f t="shared" si="35"/>
        <v>0</v>
      </c>
      <c r="ED25" s="726">
        <f t="shared" si="36"/>
        <v>0</v>
      </c>
      <c r="EE25" s="727"/>
      <c r="EF25" s="727">
        <f t="shared" si="37"/>
        <v>0</v>
      </c>
      <c r="EG25" s="727">
        <f t="shared" si="38"/>
        <v>0</v>
      </c>
      <c r="EH25" s="727"/>
      <c r="EI25" s="727">
        <f t="shared" si="39"/>
        <v>0</v>
      </c>
      <c r="EJ25" s="728">
        <f t="shared" si="40"/>
        <v>0</v>
      </c>
      <c r="FA25" s="704">
        <f t="shared" si="41"/>
        <v>0</v>
      </c>
      <c r="FB25" s="729"/>
      <c r="FC25" s="726">
        <f t="shared" si="42"/>
        <v>0</v>
      </c>
      <c r="FD25" s="726">
        <f t="shared" si="43"/>
        <v>0</v>
      </c>
      <c r="FE25" s="727"/>
      <c r="FF25" s="727">
        <f t="shared" si="44"/>
        <v>0</v>
      </c>
      <c r="FG25" s="727">
        <f t="shared" si="45"/>
        <v>0</v>
      </c>
      <c r="FH25" s="727"/>
      <c r="FI25" s="727">
        <f t="shared" si="46"/>
        <v>0</v>
      </c>
      <c r="FJ25" s="728">
        <f t="shared" si="47"/>
        <v>0</v>
      </c>
    </row>
    <row r="26" spans="2:166">
      <c r="B26" s="711" t="s">
        <v>531</v>
      </c>
      <c r="C26" s="712"/>
      <c r="D26" s="712"/>
      <c r="E26" s="712"/>
      <c r="F26" s="712"/>
      <c r="G26" s="712"/>
      <c r="H26" s="712"/>
      <c r="I26" s="712"/>
      <c r="J26" s="713"/>
      <c r="AA26" s="704" t="str">
        <f t="shared" si="6"/>
        <v>Sodium Hydroxide</v>
      </c>
      <c r="AB26" s="729"/>
      <c r="AC26" s="726">
        <f t="shared" si="7"/>
        <v>0.84416468422143942</v>
      </c>
      <c r="AD26" s="726">
        <f t="shared" si="8"/>
        <v>0</v>
      </c>
      <c r="AE26" s="727"/>
      <c r="AF26" s="727">
        <f t="shared" si="9"/>
        <v>0.84416468422143942</v>
      </c>
      <c r="AG26" s="727">
        <f t="shared" si="10"/>
        <v>0</v>
      </c>
      <c r="AH26" s="727"/>
      <c r="AI26" s="727">
        <f t="shared" si="11"/>
        <v>0.84416468422143942</v>
      </c>
      <c r="AJ26" s="728">
        <f t="shared" si="12"/>
        <v>0</v>
      </c>
      <c r="BA26" s="704" t="str">
        <f t="shared" si="13"/>
        <v>Sodium Hydroxide</v>
      </c>
      <c r="BB26" s="729"/>
      <c r="BC26" s="726">
        <f t="shared" si="14"/>
        <v>0.84420838594347158</v>
      </c>
      <c r="BD26" s="726">
        <f t="shared" si="15"/>
        <v>0</v>
      </c>
      <c r="BE26" s="727"/>
      <c r="BF26" s="727">
        <f t="shared" si="16"/>
        <v>0.84420838594347158</v>
      </c>
      <c r="BG26" s="727">
        <f t="shared" si="17"/>
        <v>0</v>
      </c>
      <c r="BH26" s="727"/>
      <c r="BI26" s="727">
        <f t="shared" si="18"/>
        <v>0.84420838594347158</v>
      </c>
      <c r="BJ26" s="728">
        <f t="shared" si="19"/>
        <v>0</v>
      </c>
      <c r="CA26" s="704" t="str">
        <f t="shared" si="20"/>
        <v>Sodium Hydroxide</v>
      </c>
      <c r="CB26" s="729"/>
      <c r="CC26" s="726">
        <f t="shared" si="21"/>
        <v>0.84438375173324565</v>
      </c>
      <c r="CD26" s="726">
        <f t="shared" si="22"/>
        <v>0</v>
      </c>
      <c r="CE26" s="727"/>
      <c r="CF26" s="727">
        <f t="shared" si="23"/>
        <v>0.84438375173324565</v>
      </c>
      <c r="CG26" s="727">
        <f t="shared" si="24"/>
        <v>0</v>
      </c>
      <c r="CH26" s="727"/>
      <c r="CI26" s="727">
        <f t="shared" si="25"/>
        <v>0.84438375173324565</v>
      </c>
      <c r="CJ26" s="728">
        <f t="shared" si="26"/>
        <v>0</v>
      </c>
      <c r="DA26" s="704" t="str">
        <f t="shared" si="27"/>
        <v>Sodium Hydroxide</v>
      </c>
      <c r="DB26" s="729"/>
      <c r="DC26" s="726">
        <f t="shared" si="28"/>
        <v>0.84454666910638498</v>
      </c>
      <c r="DD26" s="726">
        <f t="shared" si="29"/>
        <v>0</v>
      </c>
      <c r="DE26" s="727"/>
      <c r="DF26" s="727">
        <f t="shared" si="30"/>
        <v>0.84454666910638498</v>
      </c>
      <c r="DG26" s="727">
        <f t="shared" si="31"/>
        <v>0</v>
      </c>
      <c r="DH26" s="727"/>
      <c r="DI26" s="727">
        <f t="shared" si="32"/>
        <v>0.84454666910638498</v>
      </c>
      <c r="DJ26" s="728">
        <f t="shared" si="33"/>
        <v>0</v>
      </c>
      <c r="EA26" s="704" t="str">
        <f t="shared" si="34"/>
        <v>Sodium Hydroxide</v>
      </c>
      <c r="EB26" s="729"/>
      <c r="EC26" s="726">
        <f t="shared" si="35"/>
        <v>0.83599999999999997</v>
      </c>
      <c r="ED26" s="726">
        <f t="shared" si="36"/>
        <v>0</v>
      </c>
      <c r="EE26" s="727"/>
      <c r="EF26" s="727">
        <f t="shared" si="37"/>
        <v>0.83599999999999997</v>
      </c>
      <c r="EG26" s="727">
        <f t="shared" si="38"/>
        <v>0</v>
      </c>
      <c r="EH26" s="727"/>
      <c r="EI26" s="727">
        <f t="shared" si="39"/>
        <v>0.83599999999999997</v>
      </c>
      <c r="EJ26" s="728">
        <f t="shared" si="40"/>
        <v>0</v>
      </c>
      <c r="FA26" s="704">
        <f t="shared" si="41"/>
        <v>0</v>
      </c>
      <c r="FB26" s="729"/>
      <c r="FC26" s="726">
        <f t="shared" si="42"/>
        <v>0</v>
      </c>
      <c r="FD26" s="726">
        <f t="shared" si="43"/>
        <v>0</v>
      </c>
      <c r="FE26" s="727"/>
      <c r="FF26" s="727">
        <f t="shared" si="44"/>
        <v>0</v>
      </c>
      <c r="FG26" s="727">
        <f t="shared" si="45"/>
        <v>0</v>
      </c>
      <c r="FH26" s="727"/>
      <c r="FI26" s="727">
        <f t="shared" si="46"/>
        <v>0</v>
      </c>
      <c r="FJ26" s="728">
        <f t="shared" si="47"/>
        <v>0</v>
      </c>
    </row>
    <row r="27" spans="2:166">
      <c r="B27" s="83" t="s">
        <v>539</v>
      </c>
      <c r="C27" s="631"/>
      <c r="D27" s="631">
        <v>0.84416468422143942</v>
      </c>
      <c r="E27" s="631">
        <v>0.84420838594347158</v>
      </c>
      <c r="F27" s="631">
        <v>0.84438375173324565</v>
      </c>
      <c r="G27" s="631">
        <v>0.84454666910638498</v>
      </c>
      <c r="H27" s="631">
        <v>0.83599999999999997</v>
      </c>
      <c r="I27" s="631"/>
      <c r="J27" s="631"/>
      <c r="AA27" s="710" t="str">
        <f t="shared" si="6"/>
        <v>Ammonium Hydroxide</v>
      </c>
      <c r="AB27" s="730"/>
      <c r="AC27" s="731">
        <f t="shared" si="7"/>
        <v>0.11722872022539077</v>
      </c>
      <c r="AD27" s="731">
        <f t="shared" si="8"/>
        <v>0</v>
      </c>
      <c r="AE27" s="732"/>
      <c r="AF27" s="732">
        <f t="shared" si="9"/>
        <v>0.11722872022539077</v>
      </c>
      <c r="AG27" s="732">
        <f t="shared" si="10"/>
        <v>0</v>
      </c>
      <c r="AH27" s="732"/>
      <c r="AI27" s="732">
        <f t="shared" si="11"/>
        <v>0.11722872022539077</v>
      </c>
      <c r="AJ27" s="733">
        <f t="shared" si="12"/>
        <v>0</v>
      </c>
      <c r="BA27" s="710" t="str">
        <f t="shared" si="13"/>
        <v>Ammonium Hydroxide</v>
      </c>
      <c r="BB27" s="730"/>
      <c r="BC27" s="731">
        <f t="shared" si="14"/>
        <v>0.11723478906129581</v>
      </c>
      <c r="BD27" s="731">
        <f t="shared" si="15"/>
        <v>0</v>
      </c>
      <c r="BE27" s="732"/>
      <c r="BF27" s="732">
        <f t="shared" si="16"/>
        <v>0.11723478906129581</v>
      </c>
      <c r="BG27" s="732">
        <f t="shared" si="17"/>
        <v>0</v>
      </c>
      <c r="BH27" s="732"/>
      <c r="BI27" s="732">
        <f t="shared" si="18"/>
        <v>0.11723478906129581</v>
      </c>
      <c r="BJ27" s="733">
        <f t="shared" si="19"/>
        <v>0</v>
      </c>
      <c r="CA27" s="710" t="str">
        <f t="shared" si="20"/>
        <v>Ammonium Hydroxide</v>
      </c>
      <c r="CB27" s="730"/>
      <c r="CC27" s="731">
        <f t="shared" si="21"/>
        <v>0.11725914201930376</v>
      </c>
      <c r="CD27" s="731">
        <f t="shared" si="22"/>
        <v>0</v>
      </c>
      <c r="CE27" s="732"/>
      <c r="CF27" s="732">
        <f t="shared" si="23"/>
        <v>0.11725914201930376</v>
      </c>
      <c r="CG27" s="732">
        <f t="shared" si="24"/>
        <v>0</v>
      </c>
      <c r="CH27" s="732"/>
      <c r="CI27" s="732">
        <f t="shared" si="25"/>
        <v>0.11725914201930376</v>
      </c>
      <c r="CJ27" s="733">
        <f t="shared" si="26"/>
        <v>0</v>
      </c>
      <c r="DA27" s="710" t="str">
        <f t="shared" si="27"/>
        <v>Ammonium Hydroxide</v>
      </c>
      <c r="DB27" s="730"/>
      <c r="DC27" s="731">
        <f t="shared" si="28"/>
        <v>0.11728176627202669</v>
      </c>
      <c r="DD27" s="731">
        <f t="shared" si="29"/>
        <v>0</v>
      </c>
      <c r="DE27" s="732"/>
      <c r="DF27" s="732">
        <f t="shared" si="30"/>
        <v>0.11728176627202669</v>
      </c>
      <c r="DG27" s="732">
        <f t="shared" si="31"/>
        <v>0</v>
      </c>
      <c r="DH27" s="732"/>
      <c r="DI27" s="732">
        <f t="shared" si="32"/>
        <v>0.11728176627202669</v>
      </c>
      <c r="DJ27" s="733">
        <f t="shared" si="33"/>
        <v>0</v>
      </c>
      <c r="EA27" s="710" t="str">
        <f t="shared" si="34"/>
        <v>Ammonia</v>
      </c>
      <c r="EB27" s="730"/>
      <c r="EC27" s="731">
        <f>IF(EB27&gt;EB15,0,EB15-EB27)</f>
        <v>0.35149999999999998</v>
      </c>
      <c r="ED27" s="731">
        <f>IF(EB27&gt;EB15,EB27-EB15,0)</f>
        <v>0</v>
      </c>
      <c r="EE27" s="732"/>
      <c r="EF27" s="732">
        <f>IF(EE27&gt;EB15,0,EB15-EE27)</f>
        <v>0.35149999999999998</v>
      </c>
      <c r="EG27" s="732">
        <f>IF(EE27&gt;EB15,EE27-EB15,0)</f>
        <v>0</v>
      </c>
      <c r="EH27" s="732"/>
      <c r="EI27" s="732">
        <f>IF(EH27&gt;EB15,0,EB15-EH27)</f>
        <v>0.35149999999999998</v>
      </c>
      <c r="EJ27" s="733">
        <f>IF(EH27&gt;EB15,EH27-EB15,0)</f>
        <v>0</v>
      </c>
      <c r="FA27" s="710">
        <f t="shared" si="41"/>
        <v>0</v>
      </c>
      <c r="FB27" s="730"/>
      <c r="FC27" s="731">
        <f>IF(FB27&gt;FB15,0,FB15-FB27)</f>
        <v>0</v>
      </c>
      <c r="FD27" s="731">
        <f>IF(FB27&gt;FB15,FB27-FB15,0)</f>
        <v>0</v>
      </c>
      <c r="FE27" s="732"/>
      <c r="FF27" s="732">
        <f>IF(FE27&gt;FB15,0,FB15-FE27)</f>
        <v>0</v>
      </c>
      <c r="FG27" s="732">
        <f>IF(FE27&gt;FB15,FE27-FB15,0)</f>
        <v>0</v>
      </c>
      <c r="FH27" s="732"/>
      <c r="FI27" s="732">
        <f>IF(FH27&gt;FB15,0,FB15-FH27)</f>
        <v>0</v>
      </c>
      <c r="FJ27" s="733">
        <f>IF(FH27&gt;FB15,FH27-FB15,0)</f>
        <v>0</v>
      </c>
    </row>
    <row r="28" spans="2:166">
      <c r="B28" s="83" t="s">
        <v>546</v>
      </c>
      <c r="C28" s="631"/>
      <c r="D28" s="631"/>
      <c r="E28" s="631"/>
      <c r="F28" s="631"/>
      <c r="G28" s="631">
        <v>0.246199076881958</v>
      </c>
      <c r="H28" s="631">
        <v>0.25</v>
      </c>
      <c r="I28" s="631"/>
      <c r="J28" s="631">
        <v>0.26837560122177961</v>
      </c>
    </row>
    <row r="29" spans="2:166">
      <c r="B29" s="83" t="s">
        <v>399</v>
      </c>
      <c r="C29" s="631">
        <v>0.37748359493852202</v>
      </c>
      <c r="D29" s="631">
        <v>0.38300850093302902</v>
      </c>
      <c r="E29" s="631">
        <v>0.38263958654832064</v>
      </c>
      <c r="F29" s="631">
        <v>0.38115921096071298</v>
      </c>
      <c r="G29" s="631"/>
      <c r="H29" s="631"/>
      <c r="I29" s="631">
        <v>0.20433868871498501</v>
      </c>
      <c r="J29" s="631"/>
    </row>
    <row r="30" spans="2:166">
      <c r="B30" s="83" t="s">
        <v>395</v>
      </c>
      <c r="C30" s="631"/>
      <c r="D30" s="631"/>
      <c r="E30" s="631"/>
      <c r="F30" s="631"/>
      <c r="G30" s="631"/>
      <c r="H30" s="631"/>
      <c r="I30" s="631"/>
      <c r="J30" s="631"/>
      <c r="AA30" s="2" t="s">
        <v>1300</v>
      </c>
      <c r="BA30" s="2" t="s">
        <v>1300</v>
      </c>
      <c r="CA30" s="2" t="s">
        <v>1300</v>
      </c>
      <c r="DA30" s="2" t="s">
        <v>1300</v>
      </c>
      <c r="EA30" s="2" t="s">
        <v>1300</v>
      </c>
      <c r="FA30" s="2" t="s">
        <v>1300</v>
      </c>
    </row>
    <row r="31" spans="2:166">
      <c r="B31" s="83" t="s">
        <v>545</v>
      </c>
      <c r="C31" s="631"/>
      <c r="D31" s="631"/>
      <c r="E31" s="631"/>
      <c r="F31" s="631"/>
      <c r="G31" s="631"/>
      <c r="H31" s="631"/>
      <c r="I31" s="631"/>
      <c r="J31" s="631"/>
      <c r="AA31" s="702"/>
      <c r="AB31" s="700" t="s">
        <v>714</v>
      </c>
      <c r="AC31" s="700" t="s">
        <v>597</v>
      </c>
      <c r="AD31" s="700" t="s">
        <v>598</v>
      </c>
      <c r="AE31" s="701" t="s">
        <v>52</v>
      </c>
      <c r="AH31" s="120" t="s">
        <v>1293</v>
      </c>
      <c r="AI31" s="120">
        <f>1/1055</f>
        <v>9.4786729857819908E-4</v>
      </c>
      <c r="BA31" s="702"/>
      <c r="BB31" s="700" t="s">
        <v>714</v>
      </c>
      <c r="BC31" s="700" t="s">
        <v>597</v>
      </c>
      <c r="BD31" s="700" t="s">
        <v>598</v>
      </c>
      <c r="BE31" s="701" t="s">
        <v>52</v>
      </c>
      <c r="CA31" s="702"/>
      <c r="CB31" s="700" t="s">
        <v>714</v>
      </c>
      <c r="CC31" s="700" t="s">
        <v>597</v>
      </c>
      <c r="CD31" s="700" t="s">
        <v>598</v>
      </c>
      <c r="CE31" s="701" t="s">
        <v>52</v>
      </c>
      <c r="DA31" s="702"/>
      <c r="DB31" s="700" t="s">
        <v>714</v>
      </c>
      <c r="DC31" s="700" t="s">
        <v>597</v>
      </c>
      <c r="DD31" s="700" t="s">
        <v>598</v>
      </c>
      <c r="DE31" s="701" t="s">
        <v>52</v>
      </c>
      <c r="EA31" s="702"/>
      <c r="EB31" s="700" t="s">
        <v>714</v>
      </c>
      <c r="EC31" s="700" t="s">
        <v>597</v>
      </c>
      <c r="ED31" s="700" t="s">
        <v>598</v>
      </c>
      <c r="EE31" s="701" t="s">
        <v>52</v>
      </c>
      <c r="FA31" s="702"/>
      <c r="FB31" s="700" t="s">
        <v>714</v>
      </c>
      <c r="FC31" s="700" t="s">
        <v>597</v>
      </c>
      <c r="FD31" s="700" t="s">
        <v>598</v>
      </c>
      <c r="FE31" s="701" t="s">
        <v>52</v>
      </c>
    </row>
    <row r="32" spans="2:166">
      <c r="B32" s="83" t="s">
        <v>705</v>
      </c>
      <c r="C32" s="631">
        <v>0.82010086983987096</v>
      </c>
      <c r="D32" s="631"/>
      <c r="E32" s="631"/>
      <c r="F32" s="631"/>
      <c r="G32" s="631"/>
      <c r="H32" s="631"/>
      <c r="I32" s="631"/>
      <c r="J32" s="631"/>
      <c r="AA32" s="704" t="s">
        <v>243</v>
      </c>
      <c r="AB32" s="1667">
        <f>IF(AE32&gt;0,AE32,IF($C$22="Default GREET",AC32,AD32))</f>
        <v>42.618701454825832</v>
      </c>
      <c r="AC32" s="1668">
        <f>D46</f>
        <v>42.618701454825832</v>
      </c>
      <c r="AD32" s="1669" t="e">
        <f ca="1">AC363*24/AC110/$AI$33</f>
        <v>#DIV/0!</v>
      </c>
      <c r="AE32" s="719"/>
      <c r="AH32" s="120" t="s">
        <v>554</v>
      </c>
      <c r="AI32" s="1222">
        <v>907.2</v>
      </c>
      <c r="BA32" s="704" t="s">
        <v>243</v>
      </c>
      <c r="BB32" s="1667">
        <f>IF(BE32&gt;0,BE32,IF($C$22="Default GREET",BC32,BD32))</f>
        <v>42.620907790484239</v>
      </c>
      <c r="BC32" s="1668">
        <f>E46</f>
        <v>42.620907790484239</v>
      </c>
      <c r="BD32" s="1669" t="e">
        <f ca="1">BC363*24/BC110/$AI$33</f>
        <v>#DIV/0!</v>
      </c>
      <c r="BE32" s="719"/>
      <c r="CA32" s="704" t="s">
        <v>243</v>
      </c>
      <c r="CB32" s="1667">
        <f>IF(CE32&gt;0,CE32,IF($C$22="Default GREET",CC32,CD32))</f>
        <v>42.629761349960788</v>
      </c>
      <c r="CC32" s="1668">
        <f>F46</f>
        <v>42.629761349960788</v>
      </c>
      <c r="CD32" s="1669" t="e">
        <f ca="1">CC363*24/CC110/$AI$33</f>
        <v>#DIV/0!</v>
      </c>
      <c r="CE32" s="719"/>
      <c r="DA32" s="704" t="s">
        <v>243</v>
      </c>
      <c r="DB32" s="1667">
        <f>IF(DE32&gt;0,DE32,IF($C$22="Default GREET",DC32,DD32))</f>
        <v>42.616823312058067</v>
      </c>
      <c r="DC32" s="1668">
        <f>G46</f>
        <v>42.616823312058067</v>
      </c>
      <c r="DD32" s="1669" t="e">
        <f ca="1">DC363*24/DC110/$AI$33</f>
        <v>#DIV/0!</v>
      </c>
      <c r="DE32" s="719"/>
      <c r="EA32" s="704" t="s">
        <v>243</v>
      </c>
      <c r="EB32" s="1667">
        <f>IF(EE32&gt;0,EE32,IF($C$22="Default GREET",EC32,ED32))</f>
        <v>42.663862193749971</v>
      </c>
      <c r="EC32" s="1668">
        <f>H46</f>
        <v>42.663862193749971</v>
      </c>
      <c r="ED32" s="1669" t="e">
        <f ca="1">EC363*24/EC110/$AI$33</f>
        <v>#DIV/0!</v>
      </c>
      <c r="EE32" s="719"/>
      <c r="FA32" s="704" t="s">
        <v>243</v>
      </c>
      <c r="FB32" s="1667">
        <f>IF(FE32&gt;0,FE32,IF($C$22="Default GREET",FC32,FD32))</f>
        <v>0</v>
      </c>
      <c r="FC32" s="1668">
        <f>C46</f>
        <v>0</v>
      </c>
      <c r="FD32" s="1668" t="e">
        <f>FC363*24/FC110/$AI$33</f>
        <v>#DIV/0!</v>
      </c>
      <c r="FE32" s="719"/>
    </row>
    <row r="33" spans="2:165">
      <c r="B33" s="83" t="s">
        <v>525</v>
      </c>
      <c r="C33" s="631"/>
      <c r="D33" s="631"/>
      <c r="E33" s="631"/>
      <c r="F33" s="631"/>
      <c r="G33" s="631"/>
      <c r="H33" s="631">
        <v>0.04</v>
      </c>
      <c r="I33" s="631"/>
      <c r="J33" s="631"/>
      <c r="AA33" s="710" t="s">
        <v>363</v>
      </c>
      <c r="AB33" s="1670">
        <f>IF(AE33&gt;0,AE33,IF($C$22="Default GREET",AC33,AD33))</f>
        <v>25.2</v>
      </c>
      <c r="AC33" s="1671">
        <f>D45</f>
        <v>25.2</v>
      </c>
      <c r="AD33" s="1672" t="e">
        <f ca="1">AC371*24/AC110/$AI$33</f>
        <v>#DIV/0!</v>
      </c>
      <c r="AE33" s="820"/>
      <c r="AH33" s="120" t="s">
        <v>608</v>
      </c>
      <c r="AI33" s="120">
        <f>1/3.6</f>
        <v>0.27777777777777779</v>
      </c>
      <c r="BA33" s="710" t="s">
        <v>363</v>
      </c>
      <c r="BB33" s="1670">
        <f>IF(BE33&gt;0,BE33,IF($C$22="Default GREET",BC33,BD33))</f>
        <v>25.2</v>
      </c>
      <c r="BC33" s="1671">
        <f>E45</f>
        <v>25.2</v>
      </c>
      <c r="BD33" s="1672" t="e">
        <f ca="1">BC371*24/BC110/$AI$33</f>
        <v>#DIV/0!</v>
      </c>
      <c r="BE33" s="820"/>
      <c r="CA33" s="710" t="s">
        <v>363</v>
      </c>
      <c r="CB33" s="1670">
        <f>IF(CE33&gt;0,CE33,IF($C$22="Default GREET",CC33,CD33))</f>
        <v>25.2</v>
      </c>
      <c r="CC33" s="1671">
        <f>F45</f>
        <v>25.2</v>
      </c>
      <c r="CD33" s="1672" t="e">
        <f ca="1">CC371*24/CC110/$AI$33</f>
        <v>#DIV/0!</v>
      </c>
      <c r="CE33" s="820"/>
      <c r="DA33" s="710" t="s">
        <v>363</v>
      </c>
      <c r="DB33" s="1670">
        <f>IF(DE33&gt;0,DE33,IF($C$22="Default GREET",DC33,DD33))</f>
        <v>28.8</v>
      </c>
      <c r="DC33" s="1671">
        <f>G45</f>
        <v>28.8</v>
      </c>
      <c r="DD33" s="1672" t="e">
        <f ca="1">DC371*24/DC110/$AI$33</f>
        <v>#DIV/0!</v>
      </c>
      <c r="DE33" s="820"/>
      <c r="EA33" s="710" t="s">
        <v>363</v>
      </c>
      <c r="EB33" s="1670">
        <f>IF(EE33&gt;0,EE33,IF($C$22="Default GREET",EC33,ED33))</f>
        <v>28.8</v>
      </c>
      <c r="EC33" s="1671">
        <f>H45</f>
        <v>28.8</v>
      </c>
      <c r="ED33" s="1672" t="e">
        <f ca="1">EC371*24/EC110/$AI$33</f>
        <v>#DIV/0!</v>
      </c>
      <c r="EE33" s="820"/>
      <c r="FA33" s="710" t="s">
        <v>363</v>
      </c>
      <c r="FB33" s="1670">
        <f>IF(FE33&gt;0,FE33,IF($C$22="Default GREET",FC33,FD33))</f>
        <v>21.60000000000003</v>
      </c>
      <c r="FC33" s="1671">
        <f>C45</f>
        <v>21.60000000000003</v>
      </c>
      <c r="FD33" s="1672" t="e">
        <f>FC371*24/FC110/$AI$33</f>
        <v>#DIV/0!</v>
      </c>
      <c r="FE33" s="820"/>
    </row>
    <row r="34" spans="2:165">
      <c r="B34" s="83" t="s">
        <v>543</v>
      </c>
      <c r="C34" s="631"/>
      <c r="D34" s="631">
        <v>0.5347639781602046</v>
      </c>
      <c r="E34" s="631">
        <v>0.80137333899516328</v>
      </c>
      <c r="F34" s="631">
        <v>0.95792753383955098</v>
      </c>
      <c r="G34" s="631">
        <v>1.2726282136946312</v>
      </c>
      <c r="H34" s="631">
        <v>1.292</v>
      </c>
      <c r="I34" s="631"/>
      <c r="J34" s="631"/>
    </row>
    <row r="35" spans="2:165">
      <c r="B35" s="83" t="s">
        <v>542</v>
      </c>
      <c r="C35" s="631"/>
      <c r="D35" s="631">
        <v>0.53559333748012994</v>
      </c>
      <c r="E35" s="631">
        <v>0.32104647188590724</v>
      </c>
      <c r="F35" s="631">
        <v>0.31980439088808188</v>
      </c>
      <c r="G35" s="631">
        <v>0.15932523977425758</v>
      </c>
      <c r="H35" s="631">
        <v>0.247</v>
      </c>
      <c r="I35" s="631"/>
      <c r="J35" s="631"/>
      <c r="AA35" s="2" t="s">
        <v>1015</v>
      </c>
      <c r="BA35" s="2" t="s">
        <v>1015</v>
      </c>
      <c r="CA35" s="2" t="s">
        <v>1015</v>
      </c>
      <c r="DA35" s="2" t="s">
        <v>1015</v>
      </c>
      <c r="EA35" s="2" t="s">
        <v>1015</v>
      </c>
      <c r="FA35" s="2" t="s">
        <v>1015</v>
      </c>
    </row>
    <row r="36" spans="2:165">
      <c r="B36" s="83" t="s">
        <v>537</v>
      </c>
      <c r="C36" s="631"/>
      <c r="D36" s="631">
        <v>0.52180523878637086</v>
      </c>
      <c r="E36" s="631">
        <v>0.46917237165080317</v>
      </c>
      <c r="F36" s="631">
        <v>0.31157147573456584</v>
      </c>
      <c r="G36" s="631">
        <v>0.15522363511138068</v>
      </c>
      <c r="H36" s="631"/>
      <c r="I36" s="631"/>
      <c r="J36" s="631"/>
      <c r="AA36" s="702"/>
      <c r="AB36" s="700" t="s">
        <v>714</v>
      </c>
      <c r="AC36" s="700" t="s">
        <v>597</v>
      </c>
      <c r="AD36" s="700" t="s">
        <v>598</v>
      </c>
      <c r="AE36" s="701" t="s">
        <v>52</v>
      </c>
      <c r="BA36" s="702"/>
      <c r="BB36" s="700" t="s">
        <v>714</v>
      </c>
      <c r="BC36" s="700" t="s">
        <v>597</v>
      </c>
      <c r="BD36" s="700" t="s">
        <v>598</v>
      </c>
      <c r="BE36" s="701" t="s">
        <v>52</v>
      </c>
      <c r="CA36" s="702"/>
      <c r="CB36" s="700" t="s">
        <v>714</v>
      </c>
      <c r="CC36" s="700" t="s">
        <v>597</v>
      </c>
      <c r="CD36" s="700" t="s">
        <v>598</v>
      </c>
      <c r="CE36" s="701" t="s">
        <v>52</v>
      </c>
      <c r="DA36" s="702"/>
      <c r="DB36" s="700" t="s">
        <v>714</v>
      </c>
      <c r="DC36" s="700" t="s">
        <v>597</v>
      </c>
      <c r="DD36" s="700" t="s">
        <v>598</v>
      </c>
      <c r="DE36" s="701" t="s">
        <v>52</v>
      </c>
      <c r="EA36" s="702"/>
      <c r="EB36" s="700" t="s">
        <v>714</v>
      </c>
      <c r="EC36" s="700" t="s">
        <v>597</v>
      </c>
      <c r="ED36" s="700" t="s">
        <v>598</v>
      </c>
      <c r="EE36" s="701" t="s">
        <v>52</v>
      </c>
      <c r="FA36" s="702"/>
      <c r="FB36" s="700" t="s">
        <v>714</v>
      </c>
      <c r="FC36" s="700" t="s">
        <v>597</v>
      </c>
      <c r="FD36" s="700" t="s">
        <v>598</v>
      </c>
      <c r="FE36" s="701" t="s">
        <v>52</v>
      </c>
    </row>
    <row r="37" spans="2:165">
      <c r="B37" s="83" t="s">
        <v>540</v>
      </c>
      <c r="C37" s="631"/>
      <c r="D37" s="631">
        <v>0.11722872022539077</v>
      </c>
      <c r="E37" s="631">
        <v>0.11723478906129581</v>
      </c>
      <c r="F37" s="631">
        <v>0.11725914201930376</v>
      </c>
      <c r="G37" s="631">
        <v>0.11728176627202669</v>
      </c>
      <c r="H37" s="631"/>
      <c r="I37" s="631"/>
      <c r="J37" s="631"/>
      <c r="AA37" s="714" t="s">
        <v>93</v>
      </c>
      <c r="AB37" s="824">
        <f>IF(AE37&gt;0,AE37,IF($C$22="Default GREET",AC37,AD37))</f>
        <v>0.17639152034759364</v>
      </c>
      <c r="AC37" s="825">
        <f>D43</f>
        <v>0.17639152034759364</v>
      </c>
      <c r="AD37" s="826" t="e">
        <f ca="1">AC380/AC110</f>
        <v>#DIV/0!</v>
      </c>
      <c r="AE37" s="827"/>
      <c r="BA37" s="714" t="s">
        <v>93</v>
      </c>
      <c r="BB37" s="824">
        <f>IF(BE37&gt;0,BE37,IF($C$22="Default GREET",BC37,BD37))</f>
        <v>0.17640065199374652</v>
      </c>
      <c r="BC37" s="825">
        <f>E43</f>
        <v>0.17640065199374652</v>
      </c>
      <c r="BD37" s="826" t="e">
        <f ca="1">BC380/BC110</f>
        <v>#DIV/0!</v>
      </c>
      <c r="BE37" s="827"/>
      <c r="CA37" s="714" t="s">
        <v>93</v>
      </c>
      <c r="CB37" s="824">
        <f>IF(CE37&gt;0,CE37,IF($C$22="Default GREET",CC37,CD37))</f>
        <v>0.17643729536304803</v>
      </c>
      <c r="CC37" s="825">
        <f>F43</f>
        <v>0.17643729536304803</v>
      </c>
      <c r="CD37" s="826" t="e">
        <f ca="1">CC380/CC110</f>
        <v>#DIV/0!</v>
      </c>
      <c r="CE37" s="827"/>
      <c r="DA37" s="714" t="s">
        <v>93</v>
      </c>
      <c r="DB37" s="824">
        <f>IF(DE37&gt;0,DE37,IF($C$22="Default GREET",DC37,DD37))</f>
        <v>0.17647133758688921</v>
      </c>
      <c r="DC37" s="825">
        <f>G43</f>
        <v>0.17647133758688921</v>
      </c>
      <c r="DD37" s="826" t="e">
        <f ca="1">DC380/DC110</f>
        <v>#DIV/0!</v>
      </c>
      <c r="DE37" s="827"/>
      <c r="EA37" s="714" t="s">
        <v>93</v>
      </c>
      <c r="EB37" s="824">
        <f>IF(EE37&gt;0,EE37,IF($C$22="Default GREET",EC37,ED37))</f>
        <v>0.17657843292650677</v>
      </c>
      <c r="EC37" s="825">
        <f>H43</f>
        <v>0.17657843292650677</v>
      </c>
      <c r="ED37" s="826" t="e">
        <f ca="1">EC380/EC110</f>
        <v>#DIV/0!</v>
      </c>
      <c r="EE37" s="827"/>
      <c r="FA37" s="714" t="s">
        <v>93</v>
      </c>
      <c r="FB37" s="824">
        <f>IF(FE37&gt;0,FE37,IF($C$22="Default GREET",FC37,FD37))</f>
        <v>0</v>
      </c>
      <c r="FC37" s="825">
        <f>AG43</f>
        <v>0</v>
      </c>
      <c r="FD37" s="826" t="e">
        <f>FC380/FC110</f>
        <v>#DIV/0!</v>
      </c>
      <c r="FE37" s="827"/>
    </row>
    <row r="38" spans="2:165">
      <c r="B38" s="83" t="s">
        <v>535</v>
      </c>
      <c r="C38" s="631"/>
      <c r="D38" s="631"/>
      <c r="E38" s="631"/>
      <c r="F38" s="631"/>
      <c r="G38" s="631"/>
      <c r="H38" s="631">
        <v>8.5499999999999993E-2</v>
      </c>
      <c r="I38" s="631"/>
      <c r="J38" s="631"/>
    </row>
    <row r="39" spans="2:165">
      <c r="B39" s="83" t="s">
        <v>534</v>
      </c>
      <c r="C39" s="631"/>
      <c r="D39" s="631"/>
      <c r="E39" s="631"/>
      <c r="F39" s="631"/>
      <c r="G39" s="631"/>
      <c r="H39" s="631">
        <v>0.35149999999999998</v>
      </c>
      <c r="I39" s="631"/>
      <c r="J39" s="631"/>
      <c r="AA39" s="2" t="s">
        <v>159</v>
      </c>
      <c r="BA39" s="2" t="s">
        <v>159</v>
      </c>
      <c r="CA39" s="2" t="s">
        <v>159</v>
      </c>
      <c r="DA39" s="2" t="s">
        <v>159</v>
      </c>
      <c r="EA39" s="2" t="s">
        <v>159</v>
      </c>
      <c r="FA39" s="2" t="s">
        <v>159</v>
      </c>
    </row>
    <row r="40" spans="2:165">
      <c r="B40" s="83" t="s">
        <v>541</v>
      </c>
      <c r="C40" s="631"/>
      <c r="D40" s="631"/>
      <c r="E40" s="631"/>
      <c r="F40" s="631"/>
      <c r="G40" s="631"/>
      <c r="H40" s="631"/>
      <c r="I40" s="631">
        <v>0.87312667643724295</v>
      </c>
      <c r="J40" s="631"/>
      <c r="AA40" s="2" t="s">
        <v>723</v>
      </c>
      <c r="BA40" s="2" t="s">
        <v>723</v>
      </c>
      <c r="CA40" s="2" t="s">
        <v>723</v>
      </c>
      <c r="DA40" s="2" t="s">
        <v>723</v>
      </c>
      <c r="EA40" s="2" t="s">
        <v>723</v>
      </c>
      <c r="FA40" s="2" t="s">
        <v>723</v>
      </c>
    </row>
    <row r="41" spans="2:165">
      <c r="B41" s="83" t="s">
        <v>544</v>
      </c>
      <c r="C41" s="631"/>
      <c r="D41" s="631"/>
      <c r="E41" s="631"/>
      <c r="F41" s="631"/>
      <c r="G41" s="631"/>
      <c r="H41" s="631"/>
      <c r="I41" s="631"/>
      <c r="J41" s="631">
        <v>0.36605946504045417</v>
      </c>
      <c r="AA41" s="145"/>
      <c r="AB41" s="1781" t="s">
        <v>376</v>
      </c>
      <c r="AC41" s="1782"/>
      <c r="AD41" s="1783"/>
      <c r="AE41" s="1786" t="s">
        <v>377</v>
      </c>
      <c r="AF41" s="1784" t="s">
        <v>5</v>
      </c>
      <c r="AG41" s="1781" t="s">
        <v>193</v>
      </c>
      <c r="AH41" s="1782"/>
      <c r="AI41" s="1783"/>
      <c r="BA41" s="145"/>
      <c r="BB41" s="1781" t="s">
        <v>376</v>
      </c>
      <c r="BC41" s="1782"/>
      <c r="BD41" s="1783"/>
      <c r="BE41" s="1786" t="s">
        <v>377</v>
      </c>
      <c r="BF41" s="1784" t="s">
        <v>5</v>
      </c>
      <c r="BG41" s="1781" t="s">
        <v>193</v>
      </c>
      <c r="BH41" s="1782"/>
      <c r="BI41" s="1783"/>
      <c r="CA41" s="145"/>
      <c r="CB41" s="1781" t="s">
        <v>376</v>
      </c>
      <c r="CC41" s="1782"/>
      <c r="CD41" s="1783"/>
      <c r="CE41" s="1786" t="s">
        <v>377</v>
      </c>
      <c r="CF41" s="1784" t="s">
        <v>5</v>
      </c>
      <c r="CG41" s="1781" t="s">
        <v>193</v>
      </c>
      <c r="CH41" s="1782"/>
      <c r="CI41" s="1783"/>
      <c r="DA41" s="145"/>
      <c r="DB41" s="1781" t="s">
        <v>376</v>
      </c>
      <c r="DC41" s="1782"/>
      <c r="DD41" s="1783"/>
      <c r="DE41" s="1786" t="s">
        <v>377</v>
      </c>
      <c r="DF41" s="1784" t="s">
        <v>5</v>
      </c>
      <c r="DG41" s="1781" t="s">
        <v>193</v>
      </c>
      <c r="DH41" s="1782"/>
      <c r="DI41" s="1783"/>
      <c r="EA41" s="145"/>
      <c r="EB41" s="1781" t="s">
        <v>376</v>
      </c>
      <c r="EC41" s="1782"/>
      <c r="ED41" s="1783"/>
      <c r="EE41" s="1786" t="s">
        <v>377</v>
      </c>
      <c r="EF41" s="1784" t="s">
        <v>5</v>
      </c>
      <c r="EG41" s="1781" t="s">
        <v>193</v>
      </c>
      <c r="EH41" s="1782"/>
      <c r="EI41" s="1783"/>
      <c r="FA41" s="145"/>
      <c r="FB41" s="1781" t="s">
        <v>376</v>
      </c>
      <c r="FC41" s="1782"/>
      <c r="FD41" s="1783"/>
      <c r="FE41" s="1786" t="s">
        <v>377</v>
      </c>
      <c r="FF41" s="1784" t="s">
        <v>5</v>
      </c>
      <c r="FG41" s="1781" t="s">
        <v>193</v>
      </c>
      <c r="FH41" s="1782"/>
      <c r="FI41" s="1783"/>
    </row>
    <row r="42" spans="2:165">
      <c r="B42" s="83" t="s">
        <v>536</v>
      </c>
      <c r="C42" s="631"/>
      <c r="D42" s="631"/>
      <c r="E42" s="631"/>
      <c r="F42" s="631"/>
      <c r="G42" s="631"/>
      <c r="H42" s="631"/>
      <c r="I42" s="631"/>
      <c r="J42" s="631">
        <v>0.56745045447220144</v>
      </c>
      <c r="AB42" s="702" t="s">
        <v>677</v>
      </c>
      <c r="AC42" s="702" t="s">
        <v>426</v>
      </c>
      <c r="AD42" s="702" t="s">
        <v>36</v>
      </c>
      <c r="AE42" s="1787"/>
      <c r="AF42" s="1785"/>
      <c r="AG42" s="702" t="s">
        <v>677</v>
      </c>
      <c r="AH42" s="702" t="s">
        <v>426</v>
      </c>
      <c r="AI42" s="702" t="s">
        <v>36</v>
      </c>
      <c r="BB42" s="702" t="s">
        <v>677</v>
      </c>
      <c r="BC42" s="702" t="s">
        <v>426</v>
      </c>
      <c r="BD42" s="702" t="s">
        <v>36</v>
      </c>
      <c r="BE42" s="1787"/>
      <c r="BF42" s="1785"/>
      <c r="BG42" s="702" t="s">
        <v>677</v>
      </c>
      <c r="BH42" s="702" t="s">
        <v>426</v>
      </c>
      <c r="BI42" s="702" t="s">
        <v>36</v>
      </c>
      <c r="CB42" s="702" t="s">
        <v>677</v>
      </c>
      <c r="CC42" s="702" t="s">
        <v>426</v>
      </c>
      <c r="CD42" s="702" t="s">
        <v>36</v>
      </c>
      <c r="CE42" s="1787"/>
      <c r="CF42" s="1785"/>
      <c r="CG42" s="702" t="s">
        <v>677</v>
      </c>
      <c r="CH42" s="702" t="s">
        <v>426</v>
      </c>
      <c r="CI42" s="702" t="s">
        <v>36</v>
      </c>
      <c r="DB42" s="702" t="s">
        <v>677</v>
      </c>
      <c r="DC42" s="702" t="s">
        <v>426</v>
      </c>
      <c r="DD42" s="702" t="s">
        <v>36</v>
      </c>
      <c r="DE42" s="1787"/>
      <c r="DF42" s="1785"/>
      <c r="DG42" s="702" t="s">
        <v>677</v>
      </c>
      <c r="DH42" s="702" t="s">
        <v>426</v>
      </c>
      <c r="DI42" s="702" t="s">
        <v>36</v>
      </c>
      <c r="EB42" s="702" t="s">
        <v>677</v>
      </c>
      <c r="EC42" s="702" t="s">
        <v>426</v>
      </c>
      <c r="ED42" s="702" t="s">
        <v>36</v>
      </c>
      <c r="EE42" s="1787"/>
      <c r="EF42" s="1785"/>
      <c r="EG42" s="702" t="s">
        <v>677</v>
      </c>
      <c r="EH42" s="702" t="s">
        <v>426</v>
      </c>
      <c r="EI42" s="702" t="s">
        <v>36</v>
      </c>
      <c r="FB42" s="702" t="s">
        <v>677</v>
      </c>
      <c r="FC42" s="702" t="s">
        <v>426</v>
      </c>
      <c r="FD42" s="702" t="s">
        <v>36</v>
      </c>
      <c r="FE42" s="1787"/>
      <c r="FF42" s="1785"/>
      <c r="FG42" s="702" t="s">
        <v>677</v>
      </c>
      <c r="FH42" s="702" t="s">
        <v>426</v>
      </c>
      <c r="FI42" s="702" t="s">
        <v>36</v>
      </c>
    </row>
    <row r="43" spans="2:165">
      <c r="B43" s="83" t="s">
        <v>550</v>
      </c>
      <c r="C43" s="715"/>
      <c r="D43" s="1199">
        <v>0.17639152034759364</v>
      </c>
      <c r="E43" s="1199">
        <v>0.17640065199374652</v>
      </c>
      <c r="F43" s="1199">
        <v>0.17643729536304803</v>
      </c>
      <c r="G43" s="1199">
        <v>0.17647133758688921</v>
      </c>
      <c r="H43" s="1199">
        <v>0.17657843292650677</v>
      </c>
      <c r="I43" s="628"/>
      <c r="J43" s="628"/>
      <c r="AA43" s="147" t="s">
        <v>346</v>
      </c>
      <c r="AB43" s="193"/>
      <c r="AC43" s="235"/>
      <c r="AD43" s="867"/>
      <c r="AE43" s="679"/>
      <c r="AF43" s="679"/>
      <c r="AG43" s="679"/>
      <c r="AH43" s="235"/>
      <c r="AI43" s="236"/>
      <c r="BA43" s="147" t="s">
        <v>346</v>
      </c>
      <c r="BB43" s="193"/>
      <c r="BC43" s="235"/>
      <c r="BD43" s="867"/>
      <c r="BE43" s="679"/>
      <c r="BF43" s="679"/>
      <c r="BG43" s="679"/>
      <c r="BH43" s="235"/>
      <c r="BI43" s="236"/>
      <c r="CA43" s="147" t="s">
        <v>346</v>
      </c>
      <c r="CB43" s="193"/>
      <c r="CC43" s="235"/>
      <c r="CD43" s="867"/>
      <c r="CE43" s="679"/>
      <c r="CF43" s="679"/>
      <c r="CG43" s="679"/>
      <c r="CH43" s="235"/>
      <c r="CI43" s="236"/>
      <c r="DA43" s="147" t="s">
        <v>346</v>
      </c>
      <c r="DB43" s="193"/>
      <c r="DC43" s="235"/>
      <c r="DD43" s="867"/>
      <c r="DE43" s="679"/>
      <c r="DF43" s="679"/>
      <c r="DG43" s="679"/>
      <c r="DH43" s="235"/>
      <c r="DI43" s="236"/>
      <c r="EA43" s="147" t="s">
        <v>346</v>
      </c>
      <c r="EB43" s="193"/>
      <c r="EC43" s="235"/>
      <c r="ED43" s="867"/>
      <c r="EE43" s="679"/>
      <c r="EF43" s="679"/>
      <c r="EG43" s="679"/>
      <c r="EH43" s="235"/>
      <c r="EI43" s="236"/>
      <c r="FA43" s="147" t="s">
        <v>346</v>
      </c>
      <c r="FB43" s="193"/>
      <c r="FC43" s="235"/>
      <c r="FD43" s="235"/>
      <c r="FE43" s="679"/>
      <c r="FF43" s="679"/>
      <c r="FG43" s="679"/>
      <c r="FH43" s="235"/>
      <c r="FI43" s="236"/>
    </row>
    <row r="44" spans="2:165">
      <c r="B44" s="711" t="s">
        <v>532</v>
      </c>
      <c r="C44" s="712"/>
      <c r="D44" s="712"/>
      <c r="E44" s="712"/>
      <c r="F44" s="712"/>
      <c r="G44" s="712"/>
      <c r="H44" s="712"/>
      <c r="I44" s="712"/>
      <c r="J44" s="713"/>
      <c r="AA44" s="147" t="s">
        <v>173</v>
      </c>
      <c r="AB44" s="237" t="e">
        <f>AB$21*'Mat. Conv Par.'!$AC26+AB$22*'Mat. Conv Par.'!$BB24+'Mat. Conv Par.'!$C114*SUM(Input!$F$28:$F$32)/$D$8+(AC$21*HLOOKUP($AA$21,'GREET IO'!$A$77:$AZ$98,ROW(AA44)-ROW(AA$42)+1,FALSE)+AC$22*HLOOKUP($AA$22,'GREET IO'!$A$77:$AZ$98,ROW(AA44)-ROW(AA$42)+1,FALSE)+AC$23*HLOOKUP($AA$23,'GREET IO'!$A$77:$AZ$98,ROW(AA44)-ROW(AA$42)+1,FALSE)+AC$24*HLOOKUP($AA$24,'GREET IO'!$A$77:$AZ$98,ROW(AA44)-ROW(AA$42)+1,FALSE)+AC$25*HLOOKUP($AA$25,'GREET IO'!$A$77:$AZ$98,ROW(AA44)-ROW(AA$42)+1,FALSE)+AC$26*HLOOKUP($AA$26,'GREET IO'!$A$77:$AZ$98,ROW(AA44)-ROW(AA$42)+1,FALSE)+AC$27*HLOOKUP($AA$27,'GREET IO'!$A$77:$AZ$98,ROW(AA44)-ROW(AA$42)+1,FALSE))/$AI$32</f>
        <v>#DIV/0!</v>
      </c>
      <c r="AC44" s="237" t="e">
        <f>AE$21*'Mat. Conv Par.'!$AC26+AE$22*'Mat. Conv Par.'!$BB24+'Mat. Conv Par.'!$D114*SUM(Input!$F$28:$F$32)/$D$8+(AF$21*HLOOKUP($AA$21,'GREET IO'!$A$77:$AZ$98,ROW(AA44)-ROW(AA$42)+1,FALSE)+AF$22*HLOOKUP($AA$22,'GREET IO'!$A$77:$AZ$98,ROW(AA44)-ROW(AA$42)+1,FALSE)+AF$23*HLOOKUP($AA$23,'GREET IO'!$A$77:$AZ$98,ROW(AA44)-ROW(AA$42)+1,FALSE)+AF$24*HLOOKUP($AA$24,'GREET IO'!$A$77:$AZ$98,ROW(AA44)-ROW(AA$42)+1,FALSE)+AF$25*HLOOKUP($AA$25,'GREET IO'!$A$77:$AZ$98,ROW(AA44)-ROW(AA$42)+1,FALSE)+AF$26*HLOOKUP($AA$26,'GREET IO'!$A$77:$AZ$98,ROW(AA44)-ROW(AA$42)+1,FALSE)+AF$27*HLOOKUP($AA$27,'GREET IO'!$A$77:$AZ$98,ROW(AA44)-ROW(AA$42)+1,FALSE))/$AI$32</f>
        <v>#DIV/0!</v>
      </c>
      <c r="AD44" s="868" t="e">
        <f>AH$21*'Mat. Conv Par.'!$AC26+AH$22*'Mat. Conv Par.'!$BB24+'Mat. Conv Par.'!$F114*SUM(Input!$F$28:$F$32)/$D$8+(AI$21*HLOOKUP($AA$21,'GREET IO'!$A$77:$AZ$98,ROW(AA44)-ROW(AA$42)+1,FALSE)+AI$22*HLOOKUP($AA$22,'GREET IO'!$A$77:$AZ$98,ROW(AA44)-ROW(AA$42)+1,FALSE)+AI$23*HLOOKUP($AA$23,'GREET IO'!$A$77:$AZ$98,ROW(AA44)-ROW(AA$42)+1,FALSE)+AI$24*HLOOKUP($AA$24,'GREET IO'!$A$77:$AZ$98,ROW(AA44)-ROW(AA$42)+1,FALSE)+AI$25*HLOOKUP($AA$25,'GREET IO'!$A$77:$AZ$98,ROW(AA44)-ROW(AA$42)+1,FALSE)+AI$26*HLOOKUP($AA$26,'GREET IO'!$A$77:$AZ$98,ROW(AA44)-ROW(AA$42)+1,FALSE)+AI$27*HLOOKUP($AA$27,'GREET IO'!$A$77:$AZ$98,ROW(AA44)-ROW(AA$42)+1,FALSE))/$AI$32</f>
        <v>#DIV/0!</v>
      </c>
      <c r="AE44" s="868">
        <f>AB$32*$AI$31*('GREET IO'!$B22/1000000+1)+AB$33*$AI$31*IF($D$10=Input!$AD$35, 'Geographic Par.'!$E70, IF($D$10=Input!$AD$36,  'Geographic Par.'!$F70, IF($D$10=Input!$AD$37,  'Geographic Par.'!$H70, IF($D$10=Input!$AD$38, 'Geographic Par.'!$G70, 'Geographic Par.'!$K70))))/1000000</f>
        <v>4.4971802891073775E-2</v>
      </c>
      <c r="AF44" s="876"/>
      <c r="AG44" s="237" t="e">
        <f>AB44+AE44+AF44</f>
        <v>#DIV/0!</v>
      </c>
      <c r="AH44" s="178" t="e">
        <f>AC44+AE44+AF44</f>
        <v>#DIV/0!</v>
      </c>
      <c r="AI44" s="179" t="e">
        <f>SUM(AD44:AF44)</f>
        <v>#DIV/0!</v>
      </c>
      <c r="BA44" s="147" t="s">
        <v>173</v>
      </c>
      <c r="BB44" s="237" t="e">
        <f>BB$21*'Mat. Conv Par.'!$AC26+BB$22*'Mat. Conv Par.'!$BB24+'Mat. Conv Par.'!$C114*SUM(Input!$F$28:$F$32)/$D$8+(BC$21*HLOOKUP($AA$21,'GREET IO'!$A$77:$AZ$98,ROW(BA44)-ROW(BA$42)+1,FALSE)+BC$22*HLOOKUP($AA$22,'GREET IO'!$A$77:$AZ$98,ROW(BA44)-ROW(BA$42)+1,FALSE)+BC$23*HLOOKUP($AA$23,'GREET IO'!$A$77:$AZ$98,ROW(BA44)-ROW(BA$42)+1,FALSE)+BC$24*HLOOKUP($AA$24,'GREET IO'!$A$77:$AZ$98,ROW(BA44)-ROW(BA$42)+1,FALSE)+BC$25*HLOOKUP($AA$25,'GREET IO'!$A$77:$AZ$98,ROW(BA44)-ROW(BA$42)+1,FALSE)+BC$26*HLOOKUP($AA$26,'GREET IO'!$A$77:$AZ$98,ROW(BA44)-ROW(BA$42)+1,FALSE)+BC$27*HLOOKUP($AA$27,'GREET IO'!$A$77:$AZ$98,ROW(BA44)-ROW(BA$42)+1,FALSE))/$AI$32</f>
        <v>#DIV/0!</v>
      </c>
      <c r="BC44" s="237" t="e">
        <f>BE$21*'Mat. Conv Par.'!$AC26+BE$22*'Mat. Conv Par.'!$BB24+'Mat. Conv Par.'!$D114*SUM(Input!$F$28:$F$32)/$D$8+(BF$21*HLOOKUP($AA$21,'GREET IO'!$A$77:$AZ$98,ROW(BA44)-ROW(BA$42)+1,FALSE)+BF$22*HLOOKUP($AA$22,'GREET IO'!$A$77:$AZ$98,ROW(BA44)-ROW(BA$42)+1,FALSE)+BF$23*HLOOKUP($AA$23,'GREET IO'!$A$77:$AZ$98,ROW(BA44)-ROW(BA$42)+1,FALSE)+BF$24*HLOOKUP($AA$24,'GREET IO'!$A$77:$AZ$98,ROW(BA44)-ROW(BA$42)+1,FALSE)+BF$25*HLOOKUP($AA$25,'GREET IO'!$A$77:$AZ$98,ROW(BA44)-ROW(BA$42)+1,FALSE)+BF$26*HLOOKUP($AA$26,'GREET IO'!$A$77:$AZ$98,ROW(BA44)-ROW(BA$42)+1,FALSE)+BF$27*HLOOKUP($AA$27,'GREET IO'!$A$77:$AZ$98,ROW(BA44)-ROW(BA$42)+1,FALSE))/$AI$32</f>
        <v>#DIV/0!</v>
      </c>
      <c r="BD44" s="868" t="e">
        <f>BH$21*'Mat. Conv Par.'!$AC26+BH$22*'Mat. Conv Par.'!$BB24+'Mat. Conv Par.'!$F114*SUM(Input!$F$28:$F$32)/$D$8+(BI$21*HLOOKUP($AA$21,'GREET IO'!$A$77:$AZ$98,ROW(BA44)-ROW(BA$42)+1,FALSE)+BI$22*HLOOKUP($AA$22,'GREET IO'!$A$77:$AZ$98,ROW(BA44)-ROW(BA$42)+1,FALSE)+BI$23*HLOOKUP($AA$23,'GREET IO'!$A$77:$AZ$98,ROW(BA44)-ROW(BA$42)+1,FALSE)+BI$24*HLOOKUP($AA$24,'GREET IO'!$A$77:$AZ$98,ROW(BA44)-ROW(BA$42)+1,FALSE)+BI$25*HLOOKUP($AA$25,'GREET IO'!$A$77:$AZ$98,ROW(BA44)-ROW(BA$42)+1,FALSE)+BI$26*HLOOKUP($AA$26,'GREET IO'!$A$77:$AZ$98,ROW(BA44)-ROW(BA$42)+1,FALSE)+BI$27*HLOOKUP($AA$27,'GREET IO'!$A$77:$AZ$98,ROW(BA44)-ROW(BA$42)+1,FALSE))/$AI$32</f>
        <v>#DIV/0!</v>
      </c>
      <c r="BE44" s="868">
        <f>BB$32*$AI$31*('GREET IO'!$B22/1000000+1)+BB$33*$AI$31*IF($D$10=Input!$AD$35, 'Geographic Par.'!$E70, IF($D$10=Input!$AD$36,  'Geographic Par.'!$F70, IF($D$10=Input!$AD$37,  'Geographic Par.'!$H70, IF($D$10=Input!$AD$38, 'Geographic Par.'!$G70, 'Geographic Par.'!$K70))))/1000000</f>
        <v>4.4974131044887816E-2</v>
      </c>
      <c r="BF44" s="876"/>
      <c r="BG44" s="237" t="e">
        <f t="shared" ref="BG44:BG49" si="48">BB44+BE44+BF44</f>
        <v>#DIV/0!</v>
      </c>
      <c r="BH44" s="178" t="e">
        <f t="shared" ref="BH44:BH49" si="49">BC44+BE44+BF44</f>
        <v>#DIV/0!</v>
      </c>
      <c r="BI44" s="179" t="e">
        <f t="shared" ref="BI44:BI49" si="50">SUM(BD44:BF44)</f>
        <v>#DIV/0!</v>
      </c>
      <c r="CA44" s="147" t="s">
        <v>173</v>
      </c>
      <c r="CB44" s="237" t="e">
        <f>CB$21*'Mat. Conv Par.'!$AC26+CB$22*'Mat. Conv Par.'!$BB24+'Mat. Conv Par.'!$C114*SUM(Input!$F$28:$F$32)/$D$8+(CC$21*HLOOKUP($AA$21,'GREET IO'!$A$77:$AZ$98,ROW(CA44)-ROW(CA$42)+1,FALSE)+CC$22*HLOOKUP($AA$22,'GREET IO'!$A$77:$AZ$98,ROW(CA44)-ROW(CA$42)+1,FALSE)+CC$23*HLOOKUP($AA$23,'GREET IO'!$A$77:$AZ$98,ROW(CA44)-ROW(CA$42)+1,FALSE)+CC$24*HLOOKUP($AA$24,'GREET IO'!$A$77:$AZ$98,ROW(CA44)-ROW(CA$42)+1,FALSE)+CC$25*HLOOKUP($AA$25,'GREET IO'!$A$77:$AZ$98,ROW(CA44)-ROW(CA$42)+1,FALSE)+CC$26*HLOOKUP($AA$26,'GREET IO'!$A$77:$AZ$98,ROW(CA44)-ROW(CA$42)+1,FALSE)+CC$27*HLOOKUP($AA$27,'GREET IO'!$A$77:$AZ$98,ROW(CA44)-ROW(CA$42)+1,FALSE))/$AI$32</f>
        <v>#DIV/0!</v>
      </c>
      <c r="CC44" s="237" t="e">
        <f>CE$21*'Mat. Conv Par.'!$AC26+CE$22*'Mat. Conv Par.'!$BB24+'Mat. Conv Par.'!$D114*SUM(Input!$F$28:$F$32)/$D$8+(CF$21*HLOOKUP($AA$21,'GREET IO'!$A$77:$AZ$98,ROW(CA44)-ROW(CA$42)+1,FALSE)+CF$22*HLOOKUP($AA$22,'GREET IO'!$A$77:$AZ$98,ROW(CA44)-ROW(CA$42)+1,FALSE)+CF$23*HLOOKUP($AA$23,'GREET IO'!$A$77:$AZ$98,ROW(CA44)-ROW(CA$42)+1,FALSE)+CF$24*HLOOKUP($AA$24,'GREET IO'!$A$77:$AZ$98,ROW(CA44)-ROW(CA$42)+1,FALSE)+CF$25*HLOOKUP($AA$25,'GREET IO'!$A$77:$AZ$98,ROW(CA44)-ROW(CA$42)+1,FALSE)+CF$26*HLOOKUP($AA$26,'GREET IO'!$A$77:$AZ$98,ROW(CA44)-ROW(CA$42)+1,FALSE)+CF$27*HLOOKUP($AA$27,'GREET IO'!$A$77:$AZ$98,ROW(CA44)-ROW(CA$42)+1,FALSE))/$AI$32</f>
        <v>#DIV/0!</v>
      </c>
      <c r="CD44" s="868" t="e">
        <f>CH$21*'Mat. Conv Par.'!$AC26+CH$22*'Mat. Conv Par.'!$BB24+'Mat. Conv Par.'!$F114*SUM(Input!$F$28:$F$32)/$D$8+(CI$21*HLOOKUP($AA$21,'GREET IO'!$A$77:$AZ$98,ROW(CA44)-ROW(CA$42)+1,FALSE)+CI$22*HLOOKUP($AA$22,'GREET IO'!$A$77:$AZ$98,ROW(CA44)-ROW(CA$42)+1,FALSE)+CI$23*HLOOKUP($AA$23,'GREET IO'!$A$77:$AZ$98,ROW(CA44)-ROW(CA$42)+1,FALSE)+CI$24*HLOOKUP($AA$24,'GREET IO'!$A$77:$AZ$98,ROW(CA44)-ROW(CA$42)+1,FALSE)+CI$25*HLOOKUP($AA$25,'GREET IO'!$A$77:$AZ$98,ROW(CA44)-ROW(CA$42)+1,FALSE)+CI$26*HLOOKUP($AA$26,'GREET IO'!$A$77:$AZ$98,ROW(CA44)-ROW(CA$42)+1,FALSE)+CI$27*HLOOKUP($AA$27,'GREET IO'!$A$77:$AZ$98,ROW(CA44)-ROW(CA$42)+1,FALSE))/$AI$32</f>
        <v>#DIV/0!</v>
      </c>
      <c r="CE44" s="868">
        <f>CB$32*$AI$31*('GREET IO'!$B22/1000000+1)+CB$33*$AI$31*IF($D$10=Input!$AD$35, 'Geographic Par.'!$E70, IF($D$10=Input!$AD$36,  'Geographic Par.'!$F70, IF($D$10=Input!$AD$37,  'Geographic Par.'!$H70, IF($D$10=Input!$AD$38, 'Geographic Par.'!$G70, 'Geographic Par.'!$K70))))/1000000</f>
        <v>4.4983473434920172E-2</v>
      </c>
      <c r="CF44" s="876"/>
      <c r="CG44" s="237" t="e">
        <f t="shared" ref="CG44:CG49" si="51">CB44+CE44+CF44</f>
        <v>#DIV/0!</v>
      </c>
      <c r="CH44" s="178" t="e">
        <f t="shared" ref="CH44:CH49" si="52">CC44+CE44+CF44</f>
        <v>#DIV/0!</v>
      </c>
      <c r="CI44" s="179" t="e">
        <f>SUM(CD44:CF44)</f>
        <v>#DIV/0!</v>
      </c>
      <c r="DA44" s="147" t="s">
        <v>173</v>
      </c>
      <c r="DB44" s="237" t="e">
        <f>DB$21*'Mat. Conv Par.'!$AC26+DB$22*'Mat. Conv Par.'!$BB24+'Mat. Conv Par.'!$C114*SUM(Input!$F$28:$F$32)/$D$8+(DC$21*HLOOKUP($DA$21,'GREET IO'!$A$77:$AZ$98,ROW(DA44)-ROW(DA$42)+1,FALSE)+DC$22*HLOOKUP($DA$22,'GREET IO'!$A$77:$AZ$98,ROW(DA44)-ROW(DA$42)+1,FALSE)+DC$23*HLOOKUP($DA$23,'GREET IO'!$A$77:$AZ$98,ROW(DA44)-ROW(DA$42)+1,FALSE)+DC$24*HLOOKUP($DA$24,'GREET IO'!$A$77:$AZ$98,ROW(DA44)-ROW(DA$42)+1,FALSE)+DC$25*HLOOKUP($DA$25,'GREET IO'!$A$77:$AZ$98,ROW(DA44)-ROW(DA$42)+1,FALSE)+DC$26*HLOOKUP($DA$26,'GREET IO'!$A$77:$AZ$98,ROW(DA44)-ROW(DA$42)+1,FALSE)+DC$27*HLOOKUP($DA$27,'GREET IO'!$A$77:$AZ$98,ROW(DA44)-ROW(DA$42)+1,FALSE))/$AI$32</f>
        <v>#DIV/0!</v>
      </c>
      <c r="DC44" s="1205" t="e">
        <f>DE$21*'Mat. Conv Par.'!$AC26+DE$22*'Mat. Conv Par.'!$BB24+DE$23*'Mat. Conv Par.'!$CB24+'Mat. Conv Par.'!$D114*SUM(Input!$F$28:$F$32)/$D$8+(DF$21*HLOOKUP($DA$21,'GREET IO'!$A$77:$AZ$98,ROW(DA44)-ROW(DA$42)+1,FALSE)+DF$22*HLOOKUP($DA$22,'GREET IO'!$A$77:$AZ$98,ROW(DA44)-ROW(DA$42)+1,FALSE)+DF$23*HLOOKUP($DA$23,'GREET IO'!$A$77:$AZ$98,ROW(DA44)-ROW(DA$42)+1,FALSE)+DF$24*HLOOKUP($DA$24,'GREET IO'!$A$77:$AZ$98,ROW(DA44)-ROW(DA$42)+1,FALSE)+DF$25*HLOOKUP($DA$25,'GREET IO'!$A$77:$AZ$98,ROW(DA44)-ROW(DA$42)+1,FALSE)+DF$26*HLOOKUP($DA$26,'GREET IO'!$A$77:$AZ$98,ROW(DA44)-ROW(DA$42)+1,FALSE)+DF$27*HLOOKUP($DA$27,'GREET IO'!$A$77:$AZ$98,ROW(DA44)-ROW(DA$42)+1,FALSE))/$AI$32</f>
        <v>#DIV/0!</v>
      </c>
      <c r="DD44" s="1205" t="e">
        <f>DH$21*'Mat. Conv Par.'!$AC26+DH$22*'Mat. Conv Par.'!$BB24+DH$23*'Mat. Conv Par.'!$CB24+'Mat. Conv Par.'!$F114*SUM(Input!$F$28:$F$32)/$D$8+(DI$21*HLOOKUP($DA$21,'GREET IO'!$A$77:$AZ$98,ROW(DA44)-ROW(DA$42)+1,FALSE)+DI$22*HLOOKUP($DA$22,'GREET IO'!$A$77:$AZ$98,ROW(DA44)-ROW(DA$42)+1,FALSE)+DI$23*HLOOKUP($DA$23,'GREET IO'!$A$77:$AZ$98,ROW(DA44)-ROW(DA$42)+1,FALSE)+DI$24*HLOOKUP($DA$24,'GREET IO'!$A$77:$AZ$98,ROW(DA44)-ROW(DA$42)+1,FALSE)+DI$25*HLOOKUP($DA$25,'GREET IO'!$A$77:$AZ$98,ROW(DA44)-ROW(DA$42)+1,FALSE)+DI$26*HLOOKUP($DA$26,'GREET IO'!$A$77:$AZ$98,ROW(DA44)-ROW(DA$42)+1,FALSE)+DI$27*HLOOKUP($DA$27,'GREET IO'!$A$77:$AZ$98,ROW(DA44)-ROW(DA$42)+1,FALSE))/$AI$32</f>
        <v>#DIV/0!</v>
      </c>
      <c r="DE44" s="868">
        <f>DB$32*$AI$31*('GREET IO'!$B22/1000000+1)+DB$33*$AI$31*IF($D$10=Input!$AD$35, 'Geographic Par.'!$E70, IF($D$10=Input!$AD$36,  'Geographic Par.'!$F70, IF($D$10=Input!$AD$37,  'Geographic Par.'!$H70, IF($D$10=Input!$AD$38, 'Geographic Par.'!$G70, 'Geographic Par.'!$K70))))/1000000</f>
        <v>4.496982105062651E-2</v>
      </c>
      <c r="DF44" s="876"/>
      <c r="DG44" s="237" t="e">
        <f t="shared" ref="DG44:DG49" si="53">DB44+DE44+DF44</f>
        <v>#DIV/0!</v>
      </c>
      <c r="DH44" s="178" t="e">
        <f t="shared" ref="DH44:DH49" si="54">DC44+DE44+DF44</f>
        <v>#DIV/0!</v>
      </c>
      <c r="DI44" s="179" t="e">
        <f>SUM(DD44:DF44)</f>
        <v>#DIV/0!</v>
      </c>
      <c r="EA44" s="147" t="s">
        <v>173</v>
      </c>
      <c r="EB44" s="237" t="e">
        <f>EB$21*'Mat. Conv Par.'!$AC26+EB$22*'Mat. Conv Par.'!$BB24+EB$23*'Mat. Conv Par.'!$CB24+'Mat. Conv Par.'!$C114*SUM(Input!$F$28:$F$32)/$D$8+(EC$21*HLOOKUP($EA$21,'GREET IO'!$A$77:$AZ$98,ROW(EA44)-ROW(EA$42)+1,FALSE)+EC$22*HLOOKUP($EA$22,'GREET IO'!$A$77:$AZ$98,ROW(EA44)-ROW(EA$42)+1,FALSE)+EC$23*HLOOKUP($EA$23,'GREET IO'!$A$77:$AZ$98,ROW(EA44)-ROW(EA$42)+1,FALSE)+EC$24*HLOOKUP($EA$24,'GREET IO'!$A$77:$AZ$98,ROW(EA44)-ROW(EA$42)+1,FALSE)+EC$25*HLOOKUP($EA$25,'GREET IO'!$A$77:$AZ$98,ROW(EA44)-ROW(EA$42)+1,FALSE)+EC$26*HLOOKUP($EA$26,'GREET IO'!$A$77:$AZ$98,ROW(EA44)-ROW(EA$42)+1,FALSE)+EC$27*HLOOKUP($EA$27,'GREET IO'!$A$77:$AZ$98,ROW(EA44)-ROW(EA$42)+1,FALSE))/$AI$32</f>
        <v>#DIV/0!</v>
      </c>
      <c r="EC44" s="237" t="e">
        <f>EE$21*'Mat. Conv Par.'!$AC26+EE$22*'Mat. Conv Par.'!$BB24+EE$23*'Mat. Conv Par.'!$CB24+'Mat. Conv Par.'!$D114*SUM(Input!$F$28:$F$32)/$D$8+(EF$21*HLOOKUP($EA$21,'GREET IO'!$A$77:$AZ$98,ROW(EA44)-ROW(EA$42)+1,FALSE)+EF$22*HLOOKUP($EA$22,'GREET IO'!$A$77:$AZ$98,ROW(EA44)-ROW(EA$42)+1,FALSE)+EF$23*HLOOKUP($EA$23,'GREET IO'!$A$77:$AZ$98,ROW(EA44)-ROW(EA$42)+1,FALSE)+EF$24*HLOOKUP($EA$24,'GREET IO'!$A$77:$AZ$98,ROW(EA44)-ROW(EA$42)+1,FALSE)+EF$25*HLOOKUP($EA$25,'GREET IO'!$A$77:$AZ$98,ROW(EA44)-ROW(EA$42)+1,FALSE)+EF$26*HLOOKUP($EA$26,'GREET IO'!$A$77:$AZ$98,ROW(EA44)-ROW(EA$42)+1,FALSE)+EF$27*HLOOKUP($EA$27,'GREET IO'!$A$77:$AZ$98,ROW(EA44)-ROW(EA$42)+1,FALSE))/$AI$32</f>
        <v>#DIV/0!</v>
      </c>
      <c r="ED44" s="237" t="e">
        <f>EH$21*'Mat. Conv Par.'!$AC26+EH$22*'Mat. Conv Par.'!$BB24+EH$23*'Mat. Conv Par.'!$CB24+'Mat. Conv Par.'!$F114*SUM(Input!$F$28:$F$32)/$D$8+(EI$21*HLOOKUP($EA$21,'GREET IO'!$A$77:$AZ$98,ROW(EA44)-ROW(EA$42)+1,FALSE)+EI$22*HLOOKUP($EA$22,'GREET IO'!$A$77:$AZ$98,ROW(EA44)-ROW(EA$42)+1,FALSE)+EI$23*HLOOKUP($EA$23,'GREET IO'!$A$77:$AZ$98,ROW(EA44)-ROW(EA$42)+1,FALSE)+EI$24*HLOOKUP($EA$24,'GREET IO'!$A$77:$AZ$98,ROW(EA44)-ROW(EA$42)+1,FALSE)+EI$25*HLOOKUP($EA$25,'GREET IO'!$A$77:$AZ$98,ROW(EA44)-ROW(EA$42)+1,FALSE)+EI$26*HLOOKUP($EA$26,'GREET IO'!$A$77:$AZ$98,ROW(EA44)-ROW(EA$42)+1,FALSE)+EI$27*HLOOKUP($EA$27,'GREET IO'!$A$77:$AZ$98,ROW(EA44)-ROW(EA$42)+1,FALSE))/$AI$32</f>
        <v>#DIV/0!</v>
      </c>
      <c r="EE44" s="868">
        <f>EB$32*$AI$31*('GREET IO'!$B22/1000000+1)+EB$33*$AI$31*IF($D$10=Input!$AD$35, 'Geographic Par.'!$E70, IF($D$10=Input!$AD$36,  'Geographic Par.'!$F70, IF($D$10=Input!$AD$37,  'Geographic Par.'!$H70, IF($D$10=Input!$AD$38, 'Geographic Par.'!$G70, 'Geographic Par.'!$K70))))/1000000</f>
        <v>4.5019457084655073E-2</v>
      </c>
      <c r="EF44" s="876"/>
      <c r="EG44" s="237" t="e">
        <f t="shared" ref="EG44:EG49" si="55">EB44+EE44+EF44</f>
        <v>#DIV/0!</v>
      </c>
      <c r="EH44" s="178" t="e">
        <f t="shared" ref="EH44:EH49" si="56">EC44+EE44+EF44</f>
        <v>#DIV/0!</v>
      </c>
      <c r="EI44" s="179" t="e">
        <f>SUM(ED44:EF44)</f>
        <v>#DIV/0!</v>
      </c>
      <c r="FA44" s="147" t="s">
        <v>173</v>
      </c>
      <c r="FB44" s="237" t="e">
        <f>FB$21*'Mat. Conv Par.'!$AB26+'Mat. Conv Par.'!$C114*SUM(Input!$F$28:$F$32)/$D$8+(FC$21*HLOOKUP($FA$21,'GREET IO'!$A$77:$AZ$98,ROW(FA44)-ROW(FA$42)+1,FALSE)+FC$22*HLOOKUP($FA$22,'GREET IO'!$A$77:$AZ$98,ROW(FA44)-ROW(FA$42)+1,FALSE))/$AI$32</f>
        <v>#DIV/0!</v>
      </c>
      <c r="FC44" s="237" t="e">
        <f>FE$21*'Mat. Conv Par.'!$AB26+'Mat. Conv Par.'!$D114*SUM(Input!$F$28:$F$32)/$D$8+(FF$21*HLOOKUP($FA$21,'GREET IO'!$A$77:$AZ$98,ROW(FA44)-ROW(FA$42)+1,FALSE)+FF$22*HLOOKUP($FA$22,'GREET IO'!$A$77:$AZ$98,ROW(FA44)-ROW(FA$42)+1,FALSE))/$AI$32</f>
        <v>#DIV/0!</v>
      </c>
      <c r="FD44" s="237" t="e">
        <f>FH$21*'Mat. Conv Par.'!$AB26+'Mat. Conv Par.'!$F114*SUM(Input!$F$28:$F$32)/$D$8+(FI$21*HLOOKUP($FA$21,'GREET IO'!$A$77:$AZ$98,ROW(FA44)-ROW(FA$42)+1,FALSE)+FI$22*HLOOKUP($FA$22,'GREET IO'!$A$77:$AZ$98,ROW(FA44)-ROW(FA$42)+1,FALSE))/$AI$32</f>
        <v>#DIV/0!</v>
      </c>
      <c r="FE44" s="868">
        <f>FB$32*$AI$31*('GREET IO'!$B22/1000000+1)+FB$33*$AI$31*IF($D$10=Input!$AD$35, 'Geographic Par.'!$E70, IF($D$10=Input!$AD$36,  'Geographic Par.'!$F70, IF($D$10=Input!$AD$37,  'Geographic Par.'!$H70, IF($D$10=Input!$AD$38, 'Geographic Par.'!$G70, 'Geographic Par.'!$K70))))/1000000</f>
        <v>0</v>
      </c>
      <c r="FF44" s="876"/>
      <c r="FG44" s="237" t="e">
        <f t="shared" ref="FG44:FG49" si="57">FB44+FE44+FF44</f>
        <v>#DIV/0!</v>
      </c>
      <c r="FH44" s="178" t="e">
        <f t="shared" ref="FH44:FH49" si="58">FC44+FE44+FF44</f>
        <v>#DIV/0!</v>
      </c>
      <c r="FI44" s="179" t="e">
        <f t="shared" ref="FI44:FI49" si="59">SUM(FD44:FF44)</f>
        <v>#DIV/0!</v>
      </c>
    </row>
    <row r="45" spans="2:165">
      <c r="B45" s="83" t="s">
        <v>363</v>
      </c>
      <c r="C45" s="628">
        <f>18.5739526066351*1055/907.2</f>
        <v>21.60000000000003</v>
      </c>
      <c r="D45" s="1200">
        <v>25.2</v>
      </c>
      <c r="E45" s="1200">
        <v>25.2</v>
      </c>
      <c r="F45" s="1200">
        <v>25.2</v>
      </c>
      <c r="G45" s="1201">
        <v>28.8</v>
      </c>
      <c r="H45" s="1202">
        <v>28.8</v>
      </c>
      <c r="I45" s="628">
        <v>1.8420634920634914E-2</v>
      </c>
      <c r="J45" s="628"/>
      <c r="AA45" s="147" t="s">
        <v>174</v>
      </c>
      <c r="AB45" s="237" t="e">
        <f>AB$21*'Mat. Conv Par.'!$AC27+AB$22*'Mat. Conv Par.'!$BB25+'Mat. Conv Par.'!$C115*SUM(Input!$F$28:$F$32)/$D$8+(AC$21*HLOOKUP($AA$21,'GREET IO'!$A$77:$AZ$98,ROW(AA45)-ROW(AA$42)+1,FALSE)+AC$22*HLOOKUP($AA$22,'GREET IO'!$A$77:$AZ$98,ROW(AA45)-ROW(AA$42)+1,FALSE)+AC$23*HLOOKUP($AA$23,'GREET IO'!$A$77:$AZ$98,ROW(AA45)-ROW(AA$42)+1,FALSE)+AC$24*HLOOKUP($AA$24,'GREET IO'!$A$77:$AZ$98,ROW(AA45)-ROW(AA$42)+1,FALSE)+AC$25*HLOOKUP($AA$25,'GREET IO'!$A$77:$AZ$98,ROW(AA45)-ROW(AA$42)+1,FALSE)+AC$26*HLOOKUP($AA$26,'GREET IO'!$A$77:$AZ$98,ROW(AA45)-ROW(AA$42)+1,FALSE)+AC$27*HLOOKUP($AA$27,'GREET IO'!$A$77:$AZ$98,ROW(AA45)-ROW(AA$42)+1,FALSE))/$AI$32</f>
        <v>#DIV/0!</v>
      </c>
      <c r="AC45" s="237" t="e">
        <f>AE$21*'Mat. Conv Par.'!$AC27+AE$22*'Mat. Conv Par.'!$BB25+'Mat. Conv Par.'!$D115*SUM(Input!$F$28:$F$32)/$D$8+(AF$21*HLOOKUP($AA$21,'GREET IO'!$A$77:$AZ$98,ROW(AA45)-ROW(AA$42)+1,FALSE)+AF$22*HLOOKUP($AA$22,'GREET IO'!$A$77:$AZ$98,ROW(AA45)-ROW(AA$42)+1,FALSE)+AF$23*HLOOKUP($AA$23,'GREET IO'!$A$77:$AZ$98,ROW(AA45)-ROW(AA$42)+1,FALSE)+AF$24*HLOOKUP($AA$24,'GREET IO'!$A$77:$AZ$98,ROW(AA45)-ROW(AA$42)+1,FALSE)+AF$25*HLOOKUP($AA$25,'GREET IO'!$A$77:$AZ$98,ROW(AA45)-ROW(AA$42)+1,FALSE)+AF$26*HLOOKUP($AA$26,'GREET IO'!$A$77:$AZ$98,ROW(AA45)-ROW(AA$42)+1,FALSE)+AF$27*HLOOKUP($AA$27,'GREET IO'!$A$77:$AZ$98,ROW(AA45)-ROW(AA$42)+1,FALSE))/$AI$32</f>
        <v>#DIV/0!</v>
      </c>
      <c r="AD45" s="868" t="e">
        <f>AH$21*'Mat. Conv Par.'!$AC27+AH$22*'Mat. Conv Par.'!$BB25+'Mat. Conv Par.'!$F115*SUM(Input!$F$28:$F$32)/$D$8+(AI$21*HLOOKUP($AA$21,'GREET IO'!$A$77:$AZ$98,ROW(AA45)-ROW(AA$42)+1,FALSE)+AI$22*HLOOKUP($AA$22,'GREET IO'!$A$77:$AZ$98,ROW(AA45)-ROW(AA$42)+1,FALSE)+AI$23*HLOOKUP($AA$23,'GREET IO'!$A$77:$AZ$98,ROW(AA45)-ROW(AA$42)+1,FALSE)+AI$24*HLOOKUP($AA$24,'GREET IO'!$A$77:$AZ$98,ROW(AA45)-ROW(AA$42)+1,FALSE)+AI$25*HLOOKUP($AA$25,'GREET IO'!$A$77:$AZ$98,ROW(AA45)-ROW(AA$42)+1,FALSE)+AI$26*HLOOKUP($AA$26,'GREET IO'!$A$77:$AZ$98,ROW(AA45)-ROW(AA$42)+1,FALSE)+AI$27*HLOOKUP($AA$27,'GREET IO'!$A$77:$AZ$98,ROW(AA45)-ROW(AA$42)+1,FALSE))/$AI$32</f>
        <v>#DIV/0!</v>
      </c>
      <c r="AE45" s="868">
        <f>AB$32*$AI$31*('GREET IO'!$B23/1000000+1)+AB$33*$AI$31*IF($D$10=Input!$AD$35,  'Geographic Par.'!$E71, IF($D$10=Input!$AD$36, 'Geographic Par.'!$F71, IF($D$10=Input!$AD$37,  'Geographic Par.'!$H71, IF($D$10=Input!$AD$38, 'Geographic Par.'!$G71, 'Geographic Par.'!$K71))))/1000000</f>
        <v>4.4946412071189497E-2</v>
      </c>
      <c r="AF45" s="876"/>
      <c r="AG45" s="237" t="e">
        <f t="shared" ref="AG45:AG63" si="60">AB45+AE45+AF45</f>
        <v>#DIV/0!</v>
      </c>
      <c r="AH45" s="178" t="e">
        <f t="shared" ref="AH45:AH63" si="61">AC45+AE45+AF45</f>
        <v>#DIV/0!</v>
      </c>
      <c r="AI45" s="179" t="e">
        <f t="shared" ref="AI45:AI63" si="62">SUM(AD45:AF45)</f>
        <v>#DIV/0!</v>
      </c>
      <c r="BA45" s="147" t="s">
        <v>174</v>
      </c>
      <c r="BB45" s="237" t="e">
        <f>BB$21*'Mat. Conv Par.'!$AC27+BB$22*'Mat. Conv Par.'!$BB25+'Mat. Conv Par.'!$C115*SUM(Input!$F$28:$F$32)/$D$8+(BC$21*HLOOKUP($AA$21,'GREET IO'!$A$77:$AZ$98,ROW(BA45)-ROW(BA$42)+1,FALSE)+BC$22*HLOOKUP($AA$22,'GREET IO'!$A$77:$AZ$98,ROW(BA45)-ROW(BA$42)+1,FALSE)+BC$23*HLOOKUP($AA$23,'GREET IO'!$A$77:$AZ$98,ROW(BA45)-ROW(BA$42)+1,FALSE)+BC$24*HLOOKUP($AA$24,'GREET IO'!$A$77:$AZ$98,ROW(BA45)-ROW(BA$42)+1,FALSE)+BC$25*HLOOKUP($AA$25,'GREET IO'!$A$77:$AZ$98,ROW(BA45)-ROW(BA$42)+1,FALSE)+BC$26*HLOOKUP($AA$26,'GREET IO'!$A$77:$AZ$98,ROW(BA45)-ROW(BA$42)+1,FALSE)+BC$27*HLOOKUP($AA$27,'GREET IO'!$A$77:$AZ$98,ROW(BA45)-ROW(BA$42)+1,FALSE))/$AI$32</f>
        <v>#DIV/0!</v>
      </c>
      <c r="BC45" s="237" t="e">
        <f>BE$21*'Mat. Conv Par.'!$AC27+BE$22*'Mat. Conv Par.'!$BB25+'Mat. Conv Par.'!$D115*SUM(Input!$F$28:$F$32)/$D$8+(BF$21*HLOOKUP($AA$21,'GREET IO'!$A$77:$AZ$98,ROW(BA45)-ROW(BA$42)+1,FALSE)+BF$22*HLOOKUP($AA$22,'GREET IO'!$A$77:$AZ$98,ROW(BA45)-ROW(BA$42)+1,FALSE)+BF$23*HLOOKUP($AA$23,'GREET IO'!$A$77:$AZ$98,ROW(BA45)-ROW(BA$42)+1,FALSE)+BF$24*HLOOKUP($AA$24,'GREET IO'!$A$77:$AZ$98,ROW(BA45)-ROW(BA$42)+1,FALSE)+BF$25*HLOOKUP($AA$25,'GREET IO'!$A$77:$AZ$98,ROW(BA45)-ROW(BA$42)+1,FALSE)+BF$26*HLOOKUP($AA$26,'GREET IO'!$A$77:$AZ$98,ROW(BA45)-ROW(BA$42)+1,FALSE)+BF$27*HLOOKUP($AA$27,'GREET IO'!$A$77:$AZ$98,ROW(BA45)-ROW(BA$42)+1,FALSE))/$AI$32</f>
        <v>#DIV/0!</v>
      </c>
      <c r="BD45" s="868" t="e">
        <f>BH$21*'Mat. Conv Par.'!$AC27+BH$22*'Mat. Conv Par.'!$BB25+'Mat. Conv Par.'!$F115*SUM(Input!$F$28:$F$32)/$D$8+(BI$21*HLOOKUP($AA$21,'GREET IO'!$A$77:$AZ$98,ROW(BA45)-ROW(BA$42)+1,FALSE)+BI$22*HLOOKUP($AA$22,'GREET IO'!$A$77:$AZ$98,ROW(BA45)-ROW(BA$42)+1,FALSE)+BI$23*HLOOKUP($AA$23,'GREET IO'!$A$77:$AZ$98,ROW(BA45)-ROW(BA$42)+1,FALSE)+BI$24*HLOOKUP($AA$24,'GREET IO'!$A$77:$AZ$98,ROW(BA45)-ROW(BA$42)+1,FALSE)+BI$25*HLOOKUP($AA$25,'GREET IO'!$A$77:$AZ$98,ROW(BA45)-ROW(BA$42)+1,FALSE)+BI$26*HLOOKUP($AA$26,'GREET IO'!$A$77:$AZ$98,ROW(BA45)-ROW(BA$42)+1,FALSE)+BI$27*HLOOKUP($AA$27,'GREET IO'!$A$77:$AZ$98,ROW(BA45)-ROW(BA$42)+1,FALSE))/$AI$32</f>
        <v>#DIV/0!</v>
      </c>
      <c r="BE45" s="868">
        <f>BB$32*$AI$31*('GREET IO'!$B23/1000000+1)+BB$33*$AI$31*IF($D$10=Input!$AD$35,  'Geographic Par.'!$E71, IF($D$10=Input!$AD$36, 'Geographic Par.'!$F71, IF($D$10=Input!$AD$37,  'Geographic Par.'!$H71, IF($D$10=Input!$AD$38, 'Geographic Par.'!$G71, 'Geographic Par.'!$K71))))/1000000</f>
        <v>4.4948738910541353E-2</v>
      </c>
      <c r="BF45" s="876"/>
      <c r="BG45" s="237" t="e">
        <f t="shared" si="48"/>
        <v>#DIV/0!</v>
      </c>
      <c r="BH45" s="178" t="e">
        <f t="shared" si="49"/>
        <v>#DIV/0!</v>
      </c>
      <c r="BI45" s="179" t="e">
        <f t="shared" si="50"/>
        <v>#DIV/0!</v>
      </c>
      <c r="CA45" s="147" t="s">
        <v>174</v>
      </c>
      <c r="CB45" s="237" t="e">
        <f>CB$21*'Mat. Conv Par.'!$AC27+CB$22*'Mat. Conv Par.'!$BB25+'Mat. Conv Par.'!$C115*SUM(Input!$F$28:$F$32)/$D$8+(CC$21*HLOOKUP($AA$21,'GREET IO'!$A$77:$AZ$98,ROW(CA45)-ROW(CA$42)+1,FALSE)+CC$22*HLOOKUP($AA$22,'GREET IO'!$A$77:$AZ$98,ROW(CA45)-ROW(CA$42)+1,FALSE)+CC$23*HLOOKUP($AA$23,'GREET IO'!$A$77:$AZ$98,ROW(CA45)-ROW(CA$42)+1,FALSE)+CC$24*HLOOKUP($AA$24,'GREET IO'!$A$77:$AZ$98,ROW(CA45)-ROW(CA$42)+1,FALSE)+CC$25*HLOOKUP($AA$25,'GREET IO'!$A$77:$AZ$98,ROW(CA45)-ROW(CA$42)+1,FALSE)+CC$26*HLOOKUP($AA$26,'GREET IO'!$A$77:$AZ$98,ROW(CA45)-ROW(CA$42)+1,FALSE)+CC$27*HLOOKUP($AA$27,'GREET IO'!$A$77:$AZ$98,ROW(CA45)-ROW(CA$42)+1,FALSE))/$AI$32</f>
        <v>#DIV/0!</v>
      </c>
      <c r="CC45" s="237" t="e">
        <f>CE$21*'Mat. Conv Par.'!$AC27+CE$22*'Mat. Conv Par.'!$BB25+'Mat. Conv Par.'!$D115*SUM(Input!$F$28:$F$32)/$D$8+(CF$21*HLOOKUP($AA$21,'GREET IO'!$A$77:$AZ$98,ROW(CA45)-ROW(CA$42)+1,FALSE)+CF$22*HLOOKUP($AA$22,'GREET IO'!$A$77:$AZ$98,ROW(CA45)-ROW(CA$42)+1,FALSE)+CF$23*HLOOKUP($AA$23,'GREET IO'!$A$77:$AZ$98,ROW(CA45)-ROW(CA$42)+1,FALSE)+CF$24*HLOOKUP($AA$24,'GREET IO'!$A$77:$AZ$98,ROW(CA45)-ROW(CA$42)+1,FALSE)+CF$25*HLOOKUP($AA$25,'GREET IO'!$A$77:$AZ$98,ROW(CA45)-ROW(CA$42)+1,FALSE)+CF$26*HLOOKUP($AA$26,'GREET IO'!$A$77:$AZ$98,ROW(CA45)-ROW(CA$42)+1,FALSE)+CF$27*HLOOKUP($AA$27,'GREET IO'!$A$77:$AZ$98,ROW(CA45)-ROW(CA$42)+1,FALSE))/$AI$32</f>
        <v>#DIV/0!</v>
      </c>
      <c r="CD45" s="868" t="e">
        <f>CH$21*'Mat. Conv Par.'!$AC27+CH$22*'Mat. Conv Par.'!$BB25+'Mat. Conv Par.'!$F115*SUM(Input!$F$28:$F$32)/$D$8+(CI$21*HLOOKUP($AA$21,'GREET IO'!$A$77:$AZ$98,ROW(CA45)-ROW(CA$42)+1,FALSE)+CI$22*HLOOKUP($AA$22,'GREET IO'!$A$77:$AZ$98,ROW(CA45)-ROW(CA$42)+1,FALSE)+CI$23*HLOOKUP($AA$23,'GREET IO'!$A$77:$AZ$98,ROW(CA45)-ROW(CA$42)+1,FALSE)+CI$24*HLOOKUP($AA$24,'GREET IO'!$A$77:$AZ$98,ROW(CA45)-ROW(CA$42)+1,FALSE)+CI$25*HLOOKUP($AA$25,'GREET IO'!$A$77:$AZ$98,ROW(CA45)-ROW(CA$42)+1,FALSE)+CI$26*HLOOKUP($AA$26,'GREET IO'!$A$77:$AZ$98,ROW(CA45)-ROW(CA$42)+1,FALSE)+CI$27*HLOOKUP($AA$27,'GREET IO'!$A$77:$AZ$98,ROW(CA45)-ROW(CA$42)+1,FALSE))/$AI$32</f>
        <v>#DIV/0!</v>
      </c>
      <c r="CE45" s="868">
        <f>CB$32*$AI$31*('GREET IO'!$B23/1000000+1)+CB$33*$AI$31*IF($D$10=Input!$AD$35,  'Geographic Par.'!$E71, IF($D$10=Input!$AD$36, 'Geographic Par.'!$F71, IF($D$10=Input!$AD$37,  'Geographic Par.'!$H71, IF($D$10=Input!$AD$38, 'Geographic Par.'!$G71, 'Geographic Par.'!$K71))))/1000000</f>
        <v>4.4958076025914319E-2</v>
      </c>
      <c r="CF45" s="876"/>
      <c r="CG45" s="237" t="e">
        <f t="shared" si="51"/>
        <v>#DIV/0!</v>
      </c>
      <c r="CH45" s="178" t="e">
        <f t="shared" si="52"/>
        <v>#DIV/0!</v>
      </c>
      <c r="CI45" s="179" t="e">
        <f t="shared" ref="CI45:CI63" si="63">SUM(CD45:CF45)</f>
        <v>#DIV/0!</v>
      </c>
      <c r="DA45" s="147" t="s">
        <v>174</v>
      </c>
      <c r="DB45" s="237" t="e">
        <f>DB$21*'Mat. Conv Par.'!$AC27+DB$22*'Mat. Conv Par.'!$BB25+'Mat. Conv Par.'!$C115*SUM(Input!$F$28:$F$32)/$D$8+(DC$21*HLOOKUP($DA$21,'GREET IO'!$A$77:$AZ$98,ROW(DA45)-ROW(DA$42)+1,FALSE)+DC$22*HLOOKUP($DA$22,'GREET IO'!$A$77:$AZ$98,ROW(DA45)-ROW(DA$42)+1,FALSE)+DC$23*HLOOKUP($DA$23,'GREET IO'!$A$77:$AZ$98,ROW(DA45)-ROW(DA$42)+1,FALSE)+DC$24*HLOOKUP($DA$24,'GREET IO'!$A$77:$AZ$98,ROW(DA45)-ROW(DA$42)+1,FALSE)+DC$25*HLOOKUP($DA$25,'GREET IO'!$A$77:$AZ$98,ROW(DA45)-ROW(DA$42)+1,FALSE)+DC$26*HLOOKUP($DA$26,'GREET IO'!$A$77:$AZ$98,ROW(DA45)-ROW(DA$42)+1,FALSE)+DC$27*HLOOKUP($DA$27,'GREET IO'!$A$77:$AZ$98,ROW(DA45)-ROW(DA$42)+1,FALSE))/$AI$32</f>
        <v>#DIV/0!</v>
      </c>
      <c r="DC45" s="1205" t="e">
        <f>DE$21*'Mat. Conv Par.'!$AC27+DE$22*'Mat. Conv Par.'!$BB25+DE$23*'Mat. Conv Par.'!$CB25+'Mat. Conv Par.'!$D115*SUM(Input!$F$28:$F$32)/$D$8+(DF$21*HLOOKUP($DA$21,'GREET IO'!$A$77:$AZ$98,ROW(DA45)-ROW(DA$42)+1,FALSE)+DF$22*HLOOKUP($DA$22,'GREET IO'!$A$77:$AZ$98,ROW(DA45)-ROW(DA$42)+1,FALSE)+DF$23*HLOOKUP($DA$23,'GREET IO'!$A$77:$AZ$98,ROW(DA45)-ROW(DA$42)+1,FALSE)+DF$24*HLOOKUP($DA$24,'GREET IO'!$A$77:$AZ$98,ROW(DA45)-ROW(DA$42)+1,FALSE)+DF$25*HLOOKUP($DA$25,'GREET IO'!$A$77:$AZ$98,ROW(DA45)-ROW(DA$42)+1,FALSE)+DF$26*HLOOKUP($DA$26,'GREET IO'!$A$77:$AZ$98,ROW(DA45)-ROW(DA$42)+1,FALSE)+DF$27*HLOOKUP($DA$27,'GREET IO'!$A$77:$AZ$98,ROW(DA45)-ROW(DA$42)+1,FALSE))/$AI$32</f>
        <v>#DIV/0!</v>
      </c>
      <c r="DD45" s="1205" t="e">
        <f>DH$21*'Mat. Conv Par.'!$AC27+DH$22*'Mat. Conv Par.'!$BB25+DH$23*'Mat. Conv Par.'!$CB25+'Mat. Conv Par.'!$F115*SUM(Input!$F$28:$F$32)/$D$8+(DI$21*HLOOKUP($DA$21,'GREET IO'!$A$77:$AZ$98,ROW(DA45)-ROW(DA$42)+1,FALSE)+DI$22*HLOOKUP($DA$22,'GREET IO'!$A$77:$AZ$98,ROW(DA45)-ROW(DA$42)+1,FALSE)+DI$23*HLOOKUP($DA$23,'GREET IO'!$A$77:$AZ$98,ROW(DA45)-ROW(DA$42)+1,FALSE)+DI$24*HLOOKUP($DA$24,'GREET IO'!$A$77:$AZ$98,ROW(DA45)-ROW(DA$42)+1,FALSE)+DI$25*HLOOKUP($DA$25,'GREET IO'!$A$77:$AZ$98,ROW(DA45)-ROW(DA$42)+1,FALSE)+DI$26*HLOOKUP($DA$26,'GREET IO'!$A$77:$AZ$98,ROW(DA45)-ROW(DA$42)+1,FALSE)+DI$27*HLOOKUP($DA$27,'GREET IO'!$A$77:$AZ$98,ROW(DA45)-ROW(DA$42)+1,FALSE))/$AI$32</f>
        <v>#DIV/0!</v>
      </c>
      <c r="DE45" s="868">
        <f>DB$32*$AI$31*('GREET IO'!$B23/1000000+1)+DB$33*$AI$31*IF($D$10=Input!$AD$35,  'Geographic Par.'!$E71, IF($D$10=Input!$AD$36, 'Geographic Par.'!$F71, IF($D$10=Input!$AD$37,  'Geographic Par.'!$H71, IF($D$10=Input!$AD$38, 'Geographic Par.'!$G71, 'Geographic Par.'!$K71))))/1000000</f>
        <v>4.4944431349677884E-2</v>
      </c>
      <c r="DF45" s="876"/>
      <c r="DG45" s="237" t="e">
        <f t="shared" si="53"/>
        <v>#DIV/0!</v>
      </c>
      <c r="DH45" s="178" t="e">
        <f t="shared" si="54"/>
        <v>#DIV/0!</v>
      </c>
      <c r="DI45" s="179" t="e">
        <f t="shared" ref="DI45:DI63" si="64">SUM(DD45:DF45)</f>
        <v>#DIV/0!</v>
      </c>
      <c r="EA45" s="147" t="s">
        <v>174</v>
      </c>
      <c r="EB45" s="237" t="e">
        <f>EB$21*'Mat. Conv Par.'!$AC27+EB$22*'Mat. Conv Par.'!$BB25+EB$23*'Mat. Conv Par.'!$CB25+'Mat. Conv Par.'!$C115*SUM(Input!$F$28:$F$32)/$D$8+(EC$21*HLOOKUP($EA$21,'GREET IO'!$A$77:$AZ$98,ROW(EA45)-ROW(EA$42)+1,FALSE)+EC$22*HLOOKUP($EA$22,'GREET IO'!$A$77:$AZ$98,ROW(EA45)-ROW(EA$42)+1,FALSE)+EC$23*HLOOKUP($EA$23,'GREET IO'!$A$77:$AZ$98,ROW(EA45)-ROW(EA$42)+1,FALSE)+EC$24*HLOOKUP($EA$24,'GREET IO'!$A$77:$AZ$98,ROW(EA45)-ROW(EA$42)+1,FALSE)+EC$25*HLOOKUP($EA$25,'GREET IO'!$A$77:$AZ$98,ROW(EA45)-ROW(EA$42)+1,FALSE)+EC$26*HLOOKUP($EA$26,'GREET IO'!$A$77:$AZ$98,ROW(EA45)-ROW(EA$42)+1,FALSE)+EC$27*HLOOKUP($EA$27,'GREET IO'!$A$77:$AZ$98,ROW(EA45)-ROW(EA$42)+1,FALSE))/$AI$32</f>
        <v>#DIV/0!</v>
      </c>
      <c r="EC45" s="237" t="e">
        <f>EE$21*'Mat. Conv Par.'!$AC27+EE$22*'Mat. Conv Par.'!$BB25+EE$23*'Mat. Conv Par.'!$CB25+'Mat. Conv Par.'!$D115*SUM(Input!$F$28:$F$32)/$D$8+(EF$21*HLOOKUP($EA$21,'GREET IO'!$A$77:$AZ$98,ROW(EA45)-ROW(EA$42)+1,FALSE)+EF$22*HLOOKUP($EA$22,'GREET IO'!$A$77:$AZ$98,ROW(EA45)-ROW(EA$42)+1,FALSE)+EF$23*HLOOKUP($EA$23,'GREET IO'!$A$77:$AZ$98,ROW(EA45)-ROW(EA$42)+1,FALSE)+EF$24*HLOOKUP($EA$24,'GREET IO'!$A$77:$AZ$98,ROW(EA45)-ROW(EA$42)+1,FALSE)+EF$25*HLOOKUP($EA$25,'GREET IO'!$A$77:$AZ$98,ROW(EA45)-ROW(EA$42)+1,FALSE)+EF$26*HLOOKUP($EA$26,'GREET IO'!$A$77:$AZ$98,ROW(EA45)-ROW(EA$42)+1,FALSE)+EF$27*HLOOKUP($EA$27,'GREET IO'!$A$77:$AZ$98,ROW(EA45)-ROW(EA$42)+1,FALSE))/$AI$32</f>
        <v>#DIV/0!</v>
      </c>
      <c r="ED45" s="237" t="e">
        <f>EH$21*'Mat. Conv Par.'!$AC27+EH$22*'Mat. Conv Par.'!$BB25+EH$23*'Mat. Conv Par.'!$CB25+'Mat. Conv Par.'!$F115*SUM(Input!$F$28:$F$32)/$D$8+(EI$21*HLOOKUP($EA$21,'GREET IO'!$A$77:$AZ$98,ROW(EA45)-ROW(EA$42)+1,FALSE)+EI$22*HLOOKUP($EA$22,'GREET IO'!$A$77:$AZ$98,ROW(EA45)-ROW(EA$42)+1,FALSE)+EI$23*HLOOKUP($EA$23,'GREET IO'!$A$77:$AZ$98,ROW(EA45)-ROW(EA$42)+1,FALSE)+EI$24*HLOOKUP($EA$24,'GREET IO'!$A$77:$AZ$98,ROW(EA45)-ROW(EA$42)+1,FALSE)+EI$25*HLOOKUP($EA$25,'GREET IO'!$A$77:$AZ$98,ROW(EA45)-ROW(EA$42)+1,FALSE)+EI$26*HLOOKUP($EA$26,'GREET IO'!$A$77:$AZ$98,ROW(EA45)-ROW(EA$42)+1,FALSE)+EI$27*HLOOKUP($EA$27,'GREET IO'!$A$77:$AZ$98,ROW(EA45)-ROW(EA$42)+1,FALSE))/$AI$32</f>
        <v>#DIV/0!</v>
      </c>
      <c r="EE45" s="868">
        <f>EB$32*$AI$31*('GREET IO'!$B23/1000000+1)+EB$33*$AI$31*IF($D$10=Input!$AD$35,  'Geographic Par.'!$E71, IF($D$10=Input!$AD$36, 'Geographic Par.'!$F71, IF($D$10=Input!$AD$37,  'Geographic Par.'!$H71, IF($D$10=Input!$AD$38, 'Geographic Par.'!$G71, 'Geographic Par.'!$K71))))/1000000</f>
        <v>4.4994039359488633E-2</v>
      </c>
      <c r="EF45" s="876"/>
      <c r="EG45" s="237" t="e">
        <f t="shared" si="55"/>
        <v>#DIV/0!</v>
      </c>
      <c r="EH45" s="178" t="e">
        <f t="shared" si="56"/>
        <v>#DIV/0!</v>
      </c>
      <c r="EI45" s="179" t="e">
        <f t="shared" ref="EI45:EI63" si="65">SUM(ED45:EF45)</f>
        <v>#DIV/0!</v>
      </c>
      <c r="FA45" s="147" t="s">
        <v>174</v>
      </c>
      <c r="FB45" s="237" t="e">
        <f>FB$21*'Mat. Conv Par.'!$AB27+'Mat. Conv Par.'!$C115*SUM(Input!$F$28:$F$32)/$D$8+(FC$21*HLOOKUP($FA$21,'GREET IO'!$A$77:$AZ$98,ROW(FA45)-ROW(FA$42)+1,FALSE)+FC$22*HLOOKUP($FA$22,'GREET IO'!$A$77:$AZ$98,ROW(FA45)-ROW(FA$42)+1,FALSE))/$AI$32</f>
        <v>#DIV/0!</v>
      </c>
      <c r="FC45" s="237" t="e">
        <f>FE$21*'Mat. Conv Par.'!$AB27+'Mat. Conv Par.'!$D115*SUM(Input!$F$28:$F$32)/$D$8+(FF$21*HLOOKUP($FA$21,'GREET IO'!$A$77:$AZ$98,ROW(FA45)-ROW(FA$42)+1,FALSE)+FF$22*HLOOKUP($FA$22,'GREET IO'!$A$77:$AZ$98,ROW(FA45)-ROW(FA$42)+1,FALSE))/$AI$32</f>
        <v>#DIV/0!</v>
      </c>
      <c r="FD45" s="237" t="e">
        <f>FH$21*'Mat. Conv Par.'!$AB27+'Mat. Conv Par.'!$F115*SUM(Input!$F$28:$F$32)/$D$8+(FI$21*HLOOKUP($FA$21,'GREET IO'!$A$77:$AZ$98,ROW(FA45)-ROW(FA$42)+1,FALSE)+FI$22*HLOOKUP($FA$22,'GREET IO'!$A$77:$AZ$98,ROW(FA45)-ROW(FA$42)+1,FALSE))/$AI$32</f>
        <v>#DIV/0!</v>
      </c>
      <c r="FE45" s="868">
        <f>FB$32*$AI$31*('GREET IO'!$B23/1000000+1)+FB$33*$AI$31*IF($D$10=Input!$AD$35,  'Geographic Par.'!$E71, IF($D$10=Input!$AD$36, 'Geographic Par.'!$F71, IF($D$10=Input!$AD$37,  'Geographic Par.'!$H71, IF($D$10=Input!$AD$38, 'Geographic Par.'!$G71, 'Geographic Par.'!$K71))))/1000000</f>
        <v>0</v>
      </c>
      <c r="FF45" s="876"/>
      <c r="FG45" s="237" t="e">
        <f t="shared" si="57"/>
        <v>#DIV/0!</v>
      </c>
      <c r="FH45" s="178" t="e">
        <f t="shared" si="58"/>
        <v>#DIV/0!</v>
      </c>
      <c r="FI45" s="179" t="e">
        <f t="shared" si="59"/>
        <v>#DIV/0!</v>
      </c>
    </row>
    <row r="46" spans="2:165">
      <c r="B46" s="81" t="s">
        <v>243</v>
      </c>
      <c r="C46" s="628"/>
      <c r="D46" s="1203">
        <v>42.618701454825832</v>
      </c>
      <c r="E46" s="1281">
        <v>42.620907790484239</v>
      </c>
      <c r="F46" s="1281">
        <v>42.629761349960788</v>
      </c>
      <c r="G46" s="1204">
        <v>42.616823312058067</v>
      </c>
      <c r="H46" s="1202">
        <v>42.663862193749971</v>
      </c>
      <c r="I46" s="628">
        <v>15.332108465608465</v>
      </c>
      <c r="J46" s="628">
        <v>36.539967364103198</v>
      </c>
      <c r="AA46" s="147" t="s">
        <v>175</v>
      </c>
      <c r="AB46" s="237" t="e">
        <f>AB$21*'Mat. Conv Par.'!$AC28+AB$22*'Mat. Conv Par.'!$BB26+'Mat. Conv Par.'!$C116*SUM(Input!$F$28:$F$32)/$D$8+(AC$21*HLOOKUP($AA$21,'GREET IO'!$A$77:$AZ$98,ROW(AA46)-ROW(AA$42)+1,FALSE)+AC$22*HLOOKUP($AA$22,'GREET IO'!$A$77:$AZ$98,ROW(AA46)-ROW(AA$42)+1,FALSE)+AC$23*HLOOKUP($AA$23,'GREET IO'!$A$77:$AZ$98,ROW(AA46)-ROW(AA$42)+1,FALSE)+AC$24*HLOOKUP($AA$24,'GREET IO'!$A$77:$AZ$98,ROW(AA46)-ROW(AA$42)+1,FALSE)+AC$25*HLOOKUP($AA$25,'GREET IO'!$A$77:$AZ$98,ROW(AA46)-ROW(AA$42)+1,FALSE)+AC$26*HLOOKUP($AA$26,'GREET IO'!$A$77:$AZ$98,ROW(AA46)-ROW(AA$42)+1,FALSE)+AC$27*HLOOKUP($AA$27,'GREET IO'!$A$77:$AZ$98,ROW(AA46)-ROW(AA$42)+1,FALSE))/$AI$32</f>
        <v>#DIV/0!</v>
      </c>
      <c r="AC46" s="237" t="e">
        <f>AE$21*'Mat. Conv Par.'!$AC28+AE$22*'Mat. Conv Par.'!$BB26+'Mat. Conv Par.'!$D116*SUM(Input!$F$28:$F$32)/$D$8+(AF$21*HLOOKUP($AA$21,'GREET IO'!$A$77:$AZ$98,ROW(AA46)-ROW(AA$42)+1,FALSE)+AF$22*HLOOKUP($AA$22,'GREET IO'!$A$77:$AZ$98,ROW(AA46)-ROW(AA$42)+1,FALSE)+AF$23*HLOOKUP($AA$23,'GREET IO'!$A$77:$AZ$98,ROW(AA46)-ROW(AA$42)+1,FALSE)+AF$24*HLOOKUP($AA$24,'GREET IO'!$A$77:$AZ$98,ROW(AA46)-ROW(AA$42)+1,FALSE)+AF$25*HLOOKUP($AA$25,'GREET IO'!$A$77:$AZ$98,ROW(AA46)-ROW(AA$42)+1,FALSE)+AF$26*HLOOKUP($AA$26,'GREET IO'!$A$77:$AZ$98,ROW(AA46)-ROW(AA$42)+1,FALSE)+AF$27*HLOOKUP($AA$27,'GREET IO'!$A$77:$AZ$98,ROW(AA46)-ROW(AA$42)+1,FALSE))/$AI$32</f>
        <v>#DIV/0!</v>
      </c>
      <c r="AD46" s="868" t="e">
        <f>AH$21*'Mat. Conv Par.'!$AC28+AH$22*'Mat. Conv Par.'!$BB26+'Mat. Conv Par.'!$F116*SUM(Input!$F$28:$F$32)/$D$8+(AI$21*HLOOKUP($AA$21,'GREET IO'!$A$77:$AZ$98,ROW(AA46)-ROW(AA$42)+1,FALSE)+AI$22*HLOOKUP($AA$22,'GREET IO'!$A$77:$AZ$98,ROW(AA46)-ROW(AA$42)+1,FALSE)+AI$23*HLOOKUP($AA$23,'GREET IO'!$A$77:$AZ$98,ROW(AA46)-ROW(AA$42)+1,FALSE)+AI$24*HLOOKUP($AA$24,'GREET IO'!$A$77:$AZ$98,ROW(AA46)-ROW(AA$42)+1,FALSE)+AI$25*HLOOKUP($AA$25,'GREET IO'!$A$77:$AZ$98,ROW(AA46)-ROW(AA$42)+1,FALSE)+AI$26*HLOOKUP($AA$26,'GREET IO'!$A$77:$AZ$98,ROW(AA46)-ROW(AA$42)+1,FALSE)+AI$27*HLOOKUP($AA$27,'GREET IO'!$A$77:$AZ$98,ROW(AA46)-ROW(AA$42)+1,FALSE))/$AI$32</f>
        <v>#DIV/0!</v>
      </c>
      <c r="AE46" s="868">
        <f>AB$32*$AI$31*('GREET IO'!$B24/1000000)+AB$33*$AI$31*IF($D$10=Input!$AD$35, 'Geographic Par.'!$E72, IF($D$10=Input!$AD$36, 'Geographic Par.'!$F72, IF($D$10=Input!$AD$37, 'Geographic Par.'!$H72, IF($D$10=Input!$AD$38,'Geographic Par.'!$G72,'Geographic Par.'!$K72))))/1000000</f>
        <v>4.3196008743011738E-5</v>
      </c>
      <c r="AF46" s="876"/>
      <c r="AG46" s="237" t="e">
        <f t="shared" si="60"/>
        <v>#DIV/0!</v>
      </c>
      <c r="AH46" s="178" t="e">
        <f t="shared" si="61"/>
        <v>#DIV/0!</v>
      </c>
      <c r="AI46" s="179" t="e">
        <f t="shared" si="62"/>
        <v>#DIV/0!</v>
      </c>
      <c r="BA46" s="147" t="s">
        <v>175</v>
      </c>
      <c r="BB46" s="237" t="e">
        <f>BB$21*'Mat. Conv Par.'!$AC28+BB$22*'Mat. Conv Par.'!$BB26+'Mat. Conv Par.'!$C116*SUM(Input!$F$28:$F$32)/$D$8+(BC$21*HLOOKUP($AA$21,'GREET IO'!$A$77:$AZ$98,ROW(BA46)-ROW(BA$42)+1,FALSE)+BC$22*HLOOKUP($AA$22,'GREET IO'!$A$77:$AZ$98,ROW(BA46)-ROW(BA$42)+1,FALSE)+BC$23*HLOOKUP($AA$23,'GREET IO'!$A$77:$AZ$98,ROW(BA46)-ROW(BA$42)+1,FALSE)+BC$24*HLOOKUP($AA$24,'GREET IO'!$A$77:$AZ$98,ROW(BA46)-ROW(BA$42)+1,FALSE)+BC$25*HLOOKUP($AA$25,'GREET IO'!$A$77:$AZ$98,ROW(BA46)-ROW(BA$42)+1,FALSE)+BC$26*HLOOKUP($AA$26,'GREET IO'!$A$77:$AZ$98,ROW(BA46)-ROW(BA$42)+1,FALSE)+BC$27*HLOOKUP($AA$27,'GREET IO'!$A$77:$AZ$98,ROW(BA46)-ROW(BA$42)+1,FALSE))/$AI$32</f>
        <v>#DIV/0!</v>
      </c>
      <c r="BC46" s="237" t="e">
        <f>BE$21*'Mat. Conv Par.'!$AC28+BE$22*'Mat. Conv Par.'!$BB26+'Mat. Conv Par.'!$D116*SUM(Input!$F$28:$F$32)/$D$8+(BF$21*HLOOKUP($AA$21,'GREET IO'!$A$77:$AZ$98,ROW(BA46)-ROW(BA$42)+1,FALSE)+BF$22*HLOOKUP($AA$22,'GREET IO'!$A$77:$AZ$98,ROW(BA46)-ROW(BA$42)+1,FALSE)+BF$23*HLOOKUP($AA$23,'GREET IO'!$A$77:$AZ$98,ROW(BA46)-ROW(BA$42)+1,FALSE)+BF$24*HLOOKUP($AA$24,'GREET IO'!$A$77:$AZ$98,ROW(BA46)-ROW(BA$42)+1,FALSE)+BF$25*HLOOKUP($AA$25,'GREET IO'!$A$77:$AZ$98,ROW(BA46)-ROW(BA$42)+1,FALSE)+BF$26*HLOOKUP($AA$26,'GREET IO'!$A$77:$AZ$98,ROW(BA46)-ROW(BA$42)+1,FALSE)+BF$27*HLOOKUP($AA$27,'GREET IO'!$A$77:$AZ$98,ROW(BA46)-ROW(BA$42)+1,FALSE))/$AI$32</f>
        <v>#DIV/0!</v>
      </c>
      <c r="BD46" s="868" t="e">
        <f>BH$21*'Mat. Conv Par.'!$AC28+BH$22*'Mat. Conv Par.'!$BB26+'Mat. Conv Par.'!$F116*SUM(Input!$F$28:$F$32)/$D$8+(BI$21*HLOOKUP($AA$21,'GREET IO'!$A$77:$AZ$98,ROW(BA46)-ROW(BA$42)+1,FALSE)+BI$22*HLOOKUP($AA$22,'GREET IO'!$A$77:$AZ$98,ROW(BA46)-ROW(BA$42)+1,FALSE)+BI$23*HLOOKUP($AA$23,'GREET IO'!$A$77:$AZ$98,ROW(BA46)-ROW(BA$42)+1,FALSE)+BI$24*HLOOKUP($AA$24,'GREET IO'!$A$77:$AZ$98,ROW(BA46)-ROW(BA$42)+1,FALSE)+BI$25*HLOOKUP($AA$25,'GREET IO'!$A$77:$AZ$98,ROW(BA46)-ROW(BA$42)+1,FALSE)+BI$26*HLOOKUP($AA$26,'GREET IO'!$A$77:$AZ$98,ROW(BA46)-ROW(BA$42)+1,FALSE)+BI$27*HLOOKUP($AA$27,'GREET IO'!$A$77:$AZ$98,ROW(BA46)-ROW(BA$42)+1,FALSE))/$AI$32</f>
        <v>#DIV/0!</v>
      </c>
      <c r="BE46" s="868">
        <f>BB$32*$AI$31*('GREET IO'!$B24/1000000)+BB$33*$AI$31*IF($D$10=Input!$AD$35, 'Geographic Par.'!$E72, IF($D$10=Input!$AD$36, 'Geographic Par.'!$F72, IF($D$10=Input!$AD$37, 'Geographic Par.'!$H72, IF($D$10=Input!$AD$38,'Geographic Par.'!$G72,'Geographic Par.'!$K72))))/1000000</f>
        <v>4.3198244965400905E-5</v>
      </c>
      <c r="BF46" s="876"/>
      <c r="BG46" s="237" t="e">
        <f t="shared" si="48"/>
        <v>#DIV/0!</v>
      </c>
      <c r="BH46" s="178" t="e">
        <f t="shared" si="49"/>
        <v>#DIV/0!</v>
      </c>
      <c r="BI46" s="179" t="e">
        <f t="shared" si="50"/>
        <v>#DIV/0!</v>
      </c>
      <c r="CA46" s="147" t="s">
        <v>175</v>
      </c>
      <c r="CB46" s="237" t="e">
        <f>CB$21*'Mat. Conv Par.'!$AC28+CB$22*'Mat. Conv Par.'!$BB26+'Mat. Conv Par.'!$C116*SUM(Input!$F$28:$F$32)/$D$8+(CC$21*HLOOKUP($AA$21,'GREET IO'!$A$77:$AZ$98,ROW(CA46)-ROW(CA$42)+1,FALSE)+CC$22*HLOOKUP($AA$22,'GREET IO'!$A$77:$AZ$98,ROW(CA46)-ROW(CA$42)+1,FALSE)+CC$23*HLOOKUP($AA$23,'GREET IO'!$A$77:$AZ$98,ROW(CA46)-ROW(CA$42)+1,FALSE)+CC$24*HLOOKUP($AA$24,'GREET IO'!$A$77:$AZ$98,ROW(CA46)-ROW(CA$42)+1,FALSE)+CC$25*HLOOKUP($AA$25,'GREET IO'!$A$77:$AZ$98,ROW(CA46)-ROW(CA$42)+1,FALSE)+CC$26*HLOOKUP($AA$26,'GREET IO'!$A$77:$AZ$98,ROW(CA46)-ROW(CA$42)+1,FALSE)+CC$27*HLOOKUP($AA$27,'GREET IO'!$A$77:$AZ$98,ROW(CA46)-ROW(CA$42)+1,FALSE))/$AI$32</f>
        <v>#DIV/0!</v>
      </c>
      <c r="CC46" s="237" t="e">
        <f>CE$21*'Mat. Conv Par.'!$AC28+CE$22*'Mat. Conv Par.'!$BB26+'Mat. Conv Par.'!$D116*SUM(Input!$F$28:$F$32)/$D$8+(CF$21*HLOOKUP($AA$21,'GREET IO'!$A$77:$AZ$98,ROW(CA46)-ROW(CA$42)+1,FALSE)+CF$22*HLOOKUP($AA$22,'GREET IO'!$A$77:$AZ$98,ROW(CA46)-ROW(CA$42)+1,FALSE)+CF$23*HLOOKUP($AA$23,'GREET IO'!$A$77:$AZ$98,ROW(CA46)-ROW(CA$42)+1,FALSE)+CF$24*HLOOKUP($AA$24,'GREET IO'!$A$77:$AZ$98,ROW(CA46)-ROW(CA$42)+1,FALSE)+CF$25*HLOOKUP($AA$25,'GREET IO'!$A$77:$AZ$98,ROW(CA46)-ROW(CA$42)+1,FALSE)+CF$26*HLOOKUP($AA$26,'GREET IO'!$A$77:$AZ$98,ROW(CA46)-ROW(CA$42)+1,FALSE)+CF$27*HLOOKUP($AA$27,'GREET IO'!$A$77:$AZ$98,ROW(CA46)-ROW(CA$42)+1,FALSE))/$AI$32</f>
        <v>#DIV/0!</v>
      </c>
      <c r="CD46" s="868" t="e">
        <f>CH$21*'Mat. Conv Par.'!$AC28+CH$22*'Mat. Conv Par.'!$BB26+'Mat. Conv Par.'!$F116*SUM(Input!$F$28:$F$32)/$D$8+(CI$21*HLOOKUP($AA$21,'GREET IO'!$A$77:$AZ$98,ROW(CA46)-ROW(CA$42)+1,FALSE)+CI$22*HLOOKUP($AA$22,'GREET IO'!$A$77:$AZ$98,ROW(CA46)-ROW(CA$42)+1,FALSE)+CI$23*HLOOKUP($AA$23,'GREET IO'!$A$77:$AZ$98,ROW(CA46)-ROW(CA$42)+1,FALSE)+CI$24*HLOOKUP($AA$24,'GREET IO'!$A$77:$AZ$98,ROW(CA46)-ROW(CA$42)+1,FALSE)+CI$25*HLOOKUP($AA$25,'GREET IO'!$A$77:$AZ$98,ROW(CA46)-ROW(CA$42)+1,FALSE)+CI$26*HLOOKUP($AA$26,'GREET IO'!$A$77:$AZ$98,ROW(CA46)-ROW(CA$42)+1,FALSE)+CI$27*HLOOKUP($AA$27,'GREET IO'!$A$77:$AZ$98,ROW(CA46)-ROW(CA$42)+1,FALSE))/$AI$32</f>
        <v>#DIV/0!</v>
      </c>
      <c r="CE46" s="868">
        <f>CB$32*$AI$31*('GREET IO'!$B24/1000000)+CB$33*$AI$31*IF($D$10=Input!$AD$35, 'Geographic Par.'!$E72, IF($D$10=Input!$AD$36, 'Geographic Par.'!$F72, IF($D$10=Input!$AD$37, 'Geographic Par.'!$H72, IF($D$10=Input!$AD$38,'Geographic Par.'!$G72,'Geographic Par.'!$K72))))/1000000</f>
        <v>4.3207218454022119E-5</v>
      </c>
      <c r="CF46" s="876"/>
      <c r="CG46" s="237" t="e">
        <f t="shared" si="51"/>
        <v>#DIV/0!</v>
      </c>
      <c r="CH46" s="178" t="e">
        <f t="shared" si="52"/>
        <v>#DIV/0!</v>
      </c>
      <c r="CI46" s="179" t="e">
        <f t="shared" si="63"/>
        <v>#DIV/0!</v>
      </c>
      <c r="DA46" s="147" t="s">
        <v>175</v>
      </c>
      <c r="DB46" s="237" t="e">
        <f>DB$21*'Mat. Conv Par.'!$AC28+DB$22*'Mat. Conv Par.'!$BB26+'Mat. Conv Par.'!$C116*SUM(Input!$F$28:$F$32)/$D$8+(DC$21*HLOOKUP($DA$21,'GREET IO'!$A$77:$AZ$98,ROW(DA46)-ROW(DA$42)+1,FALSE)+DC$22*HLOOKUP($DA$22,'GREET IO'!$A$77:$AZ$98,ROW(DA46)-ROW(DA$42)+1,FALSE)+DC$23*HLOOKUP($DA$23,'GREET IO'!$A$77:$AZ$98,ROW(DA46)-ROW(DA$42)+1,FALSE)+DC$24*HLOOKUP($DA$24,'GREET IO'!$A$77:$AZ$98,ROW(DA46)-ROW(DA$42)+1,FALSE)+DC$25*HLOOKUP($DA$25,'GREET IO'!$A$77:$AZ$98,ROW(DA46)-ROW(DA$42)+1,FALSE)+DC$26*HLOOKUP($DA$26,'GREET IO'!$A$77:$AZ$98,ROW(DA46)-ROW(DA$42)+1,FALSE)+DC$27*HLOOKUP($DA$27,'GREET IO'!$A$77:$AZ$98,ROW(DA46)-ROW(DA$42)+1,FALSE))/$AI$32</f>
        <v>#DIV/0!</v>
      </c>
      <c r="DC46" s="1205" t="e">
        <f>DE$21*'Mat. Conv Par.'!$AC28+DE$22*'Mat. Conv Par.'!$BB26+DE$23*'Mat. Conv Par.'!$CB26+'Mat. Conv Par.'!$D116*SUM(Input!$F$28:$F$32)/$D$8+(DF$21*HLOOKUP($DA$21,'GREET IO'!$A$77:$AZ$98,ROW(DA46)-ROW(DA$42)+1,FALSE)+DF$22*HLOOKUP($DA$22,'GREET IO'!$A$77:$AZ$98,ROW(DA46)-ROW(DA$42)+1,FALSE)+DF$23*HLOOKUP($DA$23,'GREET IO'!$A$77:$AZ$98,ROW(DA46)-ROW(DA$42)+1,FALSE)+DF$24*HLOOKUP($DA$24,'GREET IO'!$A$77:$AZ$98,ROW(DA46)-ROW(DA$42)+1,FALSE)+DF$25*HLOOKUP($DA$25,'GREET IO'!$A$77:$AZ$98,ROW(DA46)-ROW(DA$42)+1,FALSE)+DF$26*HLOOKUP($DA$26,'GREET IO'!$A$77:$AZ$98,ROW(DA46)-ROW(DA$42)+1,FALSE)+DF$27*HLOOKUP($DA$27,'GREET IO'!$A$77:$AZ$98,ROW(DA46)-ROW(DA$42)+1,FALSE))/$AI$32</f>
        <v>#DIV/0!</v>
      </c>
      <c r="DD46" s="1205" t="e">
        <f>DH$21*'Mat. Conv Par.'!$AC28+DH$22*'Mat. Conv Par.'!$BB26+DH$23*'Mat. Conv Par.'!$CB26+'Mat. Conv Par.'!$F116*SUM(Input!$F$28:$F$32)/$D$8+(DI$21*HLOOKUP($DA$21,'GREET IO'!$A$77:$AZ$98,ROW(DA46)-ROW(DA$42)+1,FALSE)+DI$22*HLOOKUP($DA$22,'GREET IO'!$A$77:$AZ$98,ROW(DA46)-ROW(DA$42)+1,FALSE)+DI$23*HLOOKUP($DA$23,'GREET IO'!$A$77:$AZ$98,ROW(DA46)-ROW(DA$42)+1,FALSE)+DI$24*HLOOKUP($DA$24,'GREET IO'!$A$77:$AZ$98,ROW(DA46)-ROW(DA$42)+1,FALSE)+DI$25*HLOOKUP($DA$25,'GREET IO'!$A$77:$AZ$98,ROW(DA46)-ROW(DA$42)+1,FALSE)+DI$26*HLOOKUP($DA$26,'GREET IO'!$A$77:$AZ$98,ROW(DA46)-ROW(DA$42)+1,FALSE)+DI$27*HLOOKUP($DA$27,'GREET IO'!$A$77:$AZ$98,ROW(DA46)-ROW(DA$42)+1,FALSE))/$AI$32</f>
        <v>#DIV/0!</v>
      </c>
      <c r="DE46" s="868">
        <f>DB$32*$AI$31*('GREET IO'!$B24/1000000)+DB$33*$AI$31*IF($D$10=Input!$AD$35, 'Geographic Par.'!$E72, IF($D$10=Input!$AD$36, 'Geographic Par.'!$F72, IF($D$10=Input!$AD$37, 'Geographic Par.'!$H72, IF($D$10=Input!$AD$38,'Geographic Par.'!$G72,'Geographic Par.'!$K72))))/1000000</f>
        <v>4.3194105159170665E-5</v>
      </c>
      <c r="DF46" s="876"/>
      <c r="DG46" s="237" t="e">
        <f t="shared" si="53"/>
        <v>#DIV/0!</v>
      </c>
      <c r="DH46" s="178" t="e">
        <f t="shared" si="54"/>
        <v>#DIV/0!</v>
      </c>
      <c r="DI46" s="179" t="e">
        <f t="shared" si="64"/>
        <v>#DIV/0!</v>
      </c>
      <c r="EA46" s="147" t="s">
        <v>175</v>
      </c>
      <c r="EB46" s="237" t="e">
        <f>EB$21*'Mat. Conv Par.'!$AC28+EB$22*'Mat. Conv Par.'!$BB26+EB$23*'Mat. Conv Par.'!$CB26+'Mat. Conv Par.'!$C116*SUM(Input!$F$28:$F$32)/$D$8+(EC$21*HLOOKUP($EA$21,'GREET IO'!$A$77:$AZ$98,ROW(EA46)-ROW(EA$42)+1,FALSE)+EC$22*HLOOKUP($EA$22,'GREET IO'!$A$77:$AZ$98,ROW(EA46)-ROW(EA$42)+1,FALSE)+EC$23*HLOOKUP($EA$23,'GREET IO'!$A$77:$AZ$98,ROW(EA46)-ROW(EA$42)+1,FALSE)+EC$24*HLOOKUP($EA$24,'GREET IO'!$A$77:$AZ$98,ROW(EA46)-ROW(EA$42)+1,FALSE)+EC$25*HLOOKUP($EA$25,'GREET IO'!$A$77:$AZ$98,ROW(EA46)-ROW(EA$42)+1,FALSE)+EC$26*HLOOKUP($EA$26,'GREET IO'!$A$77:$AZ$98,ROW(EA46)-ROW(EA$42)+1,FALSE)+EC$27*HLOOKUP($EA$27,'GREET IO'!$A$77:$AZ$98,ROW(EA46)-ROW(EA$42)+1,FALSE))/$AI$32</f>
        <v>#DIV/0!</v>
      </c>
      <c r="EC46" s="237" t="e">
        <f>EE$21*'Mat. Conv Par.'!$AC28+EE$22*'Mat. Conv Par.'!$BB26+EE$23*'Mat. Conv Par.'!$CB26+'Mat. Conv Par.'!$D116*SUM(Input!$F$28:$F$32)/$D$8+(EF$21*HLOOKUP($EA$21,'GREET IO'!$A$77:$AZ$98,ROW(EA46)-ROW(EA$42)+1,FALSE)+EF$22*HLOOKUP($EA$22,'GREET IO'!$A$77:$AZ$98,ROW(EA46)-ROW(EA$42)+1,FALSE)+EF$23*HLOOKUP($EA$23,'GREET IO'!$A$77:$AZ$98,ROW(EA46)-ROW(EA$42)+1,FALSE)+EF$24*HLOOKUP($EA$24,'GREET IO'!$A$77:$AZ$98,ROW(EA46)-ROW(EA$42)+1,FALSE)+EF$25*HLOOKUP($EA$25,'GREET IO'!$A$77:$AZ$98,ROW(EA46)-ROW(EA$42)+1,FALSE)+EF$26*HLOOKUP($EA$26,'GREET IO'!$A$77:$AZ$98,ROW(EA46)-ROW(EA$42)+1,FALSE)+EF$27*HLOOKUP($EA$27,'GREET IO'!$A$77:$AZ$98,ROW(EA46)-ROW(EA$42)+1,FALSE))/$AI$32</f>
        <v>#DIV/0!</v>
      </c>
      <c r="ED46" s="237" t="e">
        <f>EH$21*'Mat. Conv Par.'!$AC28+EH$22*'Mat. Conv Par.'!$BB26+EH$23*'Mat. Conv Par.'!$CB26+'Mat. Conv Par.'!$F116*SUM(Input!$F$28:$F$32)/$D$8+(EI$21*HLOOKUP($EA$21,'GREET IO'!$A$77:$AZ$98,ROW(EA46)-ROW(EA$42)+1,FALSE)+EI$22*HLOOKUP($EA$22,'GREET IO'!$A$77:$AZ$98,ROW(EA46)-ROW(EA$42)+1,FALSE)+EI$23*HLOOKUP($EA$23,'GREET IO'!$A$77:$AZ$98,ROW(EA46)-ROW(EA$42)+1,FALSE)+EI$24*HLOOKUP($EA$24,'GREET IO'!$A$77:$AZ$98,ROW(EA46)-ROW(EA$42)+1,FALSE)+EI$25*HLOOKUP($EA$25,'GREET IO'!$A$77:$AZ$98,ROW(EA46)-ROW(EA$42)+1,FALSE)+EI$26*HLOOKUP($EA$26,'GREET IO'!$A$77:$AZ$98,ROW(EA46)-ROW(EA$42)+1,FALSE)+EI$27*HLOOKUP($EA$27,'GREET IO'!$A$77:$AZ$98,ROW(EA46)-ROW(EA$42)+1,FALSE))/$AI$32</f>
        <v>#DIV/0!</v>
      </c>
      <c r="EE46" s="868">
        <f>EB$32*$AI$31*('GREET IO'!$B24/1000000)+EB$33*$AI$31*IF($D$10=Input!$AD$35, 'Geographic Par.'!$E72, IF($D$10=Input!$AD$36, 'Geographic Par.'!$F72, IF($D$10=Input!$AD$37, 'Geographic Par.'!$H72, IF($D$10=Input!$AD$38,'Geographic Par.'!$G72,'Geographic Par.'!$K72))))/1000000</f>
        <v>4.3241781223327119E-5</v>
      </c>
      <c r="EF46" s="876"/>
      <c r="EG46" s="237" t="e">
        <f t="shared" si="55"/>
        <v>#DIV/0!</v>
      </c>
      <c r="EH46" s="178" t="e">
        <f t="shared" si="56"/>
        <v>#DIV/0!</v>
      </c>
      <c r="EI46" s="179" t="e">
        <f t="shared" si="65"/>
        <v>#DIV/0!</v>
      </c>
      <c r="FA46" s="147" t="s">
        <v>175</v>
      </c>
      <c r="FB46" s="237" t="e">
        <f>FB$21*'Mat. Conv Par.'!$AB28+'Mat. Conv Par.'!$C116*SUM(Input!$F$28:$F$32)/$D$8+(FC$21*HLOOKUP($FA$21,'GREET IO'!$A$77:$AZ$98,ROW(FA46)-ROW(FA$42)+1,FALSE)+FC$22*HLOOKUP($FA$22,'GREET IO'!$A$77:$AZ$98,ROW(FA46)-ROW(FA$42)+1,FALSE))/$AI$32</f>
        <v>#DIV/0!</v>
      </c>
      <c r="FC46" s="237" t="e">
        <f>FE$21*'Mat. Conv Par.'!$AB28+'Mat. Conv Par.'!$D116*SUM(Input!$F$28:$F$32)/$D$8+(FF$21*HLOOKUP($FA$21,'GREET IO'!$A$77:$AZ$98,ROW(FA46)-ROW(FA$42)+1,FALSE)+FF$22*HLOOKUP($FA$22,'GREET IO'!$A$77:$AZ$98,ROW(FA46)-ROW(FA$42)+1,FALSE))/$AI$32</f>
        <v>#DIV/0!</v>
      </c>
      <c r="FD46" s="237" t="e">
        <f>FH$21*'Mat. Conv Par.'!$AB28+'Mat. Conv Par.'!$F116*SUM(Input!$F$28:$F$32)/$D$8+(FI$21*HLOOKUP($FA$21,'GREET IO'!$A$77:$AZ$98,ROW(FA46)-ROW(FA$42)+1,FALSE)+FI$22*HLOOKUP($FA$22,'GREET IO'!$A$77:$AZ$98,ROW(FA46)-ROW(FA$42)+1,FALSE))/$AI$32</f>
        <v>#DIV/0!</v>
      </c>
      <c r="FE46" s="868">
        <f>FB$32*$AI$31*('GREET IO'!$B24/1000000)+FB$33*$AI$31*IF($D$10=Input!$AD$35, 'Geographic Par.'!$E72, IF($D$10=Input!$AD$36, 'Geographic Par.'!$F72, IF($D$10=Input!$AD$37, 'Geographic Par.'!$H72, IF($D$10=Input!$AD$38,'Geographic Par.'!$G72,'Geographic Par.'!$K72))))/1000000</f>
        <v>0</v>
      </c>
      <c r="FF46" s="876"/>
      <c r="FG46" s="237" t="e">
        <f t="shared" si="57"/>
        <v>#DIV/0!</v>
      </c>
      <c r="FH46" s="178" t="e">
        <f t="shared" si="58"/>
        <v>#DIV/0!</v>
      </c>
      <c r="FI46" s="179" t="e">
        <f t="shared" si="59"/>
        <v>#DIV/0!</v>
      </c>
    </row>
    <row r="47" spans="2:165">
      <c r="B47" s="711" t="s">
        <v>1543</v>
      </c>
      <c r="C47" s="712"/>
      <c r="D47" s="712"/>
      <c r="E47" s="712"/>
      <c r="F47" s="712"/>
      <c r="G47" s="712"/>
      <c r="H47" s="712"/>
      <c r="I47" s="712"/>
      <c r="J47" s="713"/>
      <c r="AA47" s="147" t="s">
        <v>176</v>
      </c>
      <c r="AB47" s="237" t="e">
        <f>AB$21*'Mat. Conv Par.'!$AC29+AB$22*'Mat. Conv Par.'!$BB27+'Mat. Conv Par.'!$C117*SUM(Input!$F$28:$F$32)/$D$8+(AC$21*HLOOKUP($AA$21,'GREET IO'!$A$77:$AZ$98,ROW(AA47)-ROW(AA$42)+1,FALSE)+AC$22*HLOOKUP($AA$22,'GREET IO'!$A$77:$AZ$98,ROW(AA47)-ROW(AA$42)+1,FALSE)+AC$23*HLOOKUP($AA$23,'GREET IO'!$A$77:$AZ$98,ROW(AA47)-ROW(AA$42)+1,FALSE)+AC$24*HLOOKUP($AA$24,'GREET IO'!$A$77:$AZ$98,ROW(AA47)-ROW(AA$42)+1,FALSE)+AC$25*HLOOKUP($AA$25,'GREET IO'!$A$77:$AZ$98,ROW(AA47)-ROW(AA$42)+1,FALSE)+AC$26*HLOOKUP($AA$26,'GREET IO'!$A$77:$AZ$98,ROW(AA47)-ROW(AA$42)+1,FALSE)+AC$27*HLOOKUP($AA$27,'GREET IO'!$A$77:$AZ$98,ROW(AA47)-ROW(AA$42)+1,FALSE))/$AI$32</f>
        <v>#DIV/0!</v>
      </c>
      <c r="AC47" s="237" t="e">
        <f>AE$21*'Mat. Conv Par.'!$AC29+AE$22*'Mat. Conv Par.'!$BB27+'Mat. Conv Par.'!$D117*SUM(Input!$F$28:$F$32)/$D$8+(AF$21*HLOOKUP($AA$21,'GREET IO'!$A$77:$AZ$98,ROW(AA47)-ROW(AA$42)+1,FALSE)+AF$22*HLOOKUP($AA$22,'GREET IO'!$A$77:$AZ$98,ROW(AA47)-ROW(AA$42)+1,FALSE)+AF$23*HLOOKUP($AA$23,'GREET IO'!$A$77:$AZ$98,ROW(AA47)-ROW(AA$42)+1,FALSE)+AF$24*HLOOKUP($AA$24,'GREET IO'!$A$77:$AZ$98,ROW(AA47)-ROW(AA$42)+1,FALSE)+AF$25*HLOOKUP($AA$25,'GREET IO'!$A$77:$AZ$98,ROW(AA47)-ROW(AA$42)+1,FALSE)+AF$26*HLOOKUP($AA$26,'GREET IO'!$A$77:$AZ$98,ROW(AA47)-ROW(AA$42)+1,FALSE)+AF$27*HLOOKUP($AA$27,'GREET IO'!$A$77:$AZ$98,ROW(AA47)-ROW(AA$42)+1,FALSE))/$AI$32</f>
        <v>#DIV/0!</v>
      </c>
      <c r="AD47" s="868" t="e">
        <f>AH$21*'Mat. Conv Par.'!$AC29+AH$22*'Mat. Conv Par.'!$BB27+'Mat. Conv Par.'!$F117*SUM(Input!$F$28:$F$32)/$D$8+(AI$21*HLOOKUP($AA$21,'GREET IO'!$A$77:$AZ$98,ROW(AA47)-ROW(AA$42)+1,FALSE)+AI$22*HLOOKUP($AA$22,'GREET IO'!$A$77:$AZ$98,ROW(AA47)-ROW(AA$42)+1,FALSE)+AI$23*HLOOKUP($AA$23,'GREET IO'!$A$77:$AZ$98,ROW(AA47)-ROW(AA$42)+1,FALSE)+AI$24*HLOOKUP($AA$24,'GREET IO'!$A$77:$AZ$98,ROW(AA47)-ROW(AA$42)+1,FALSE)+AI$25*HLOOKUP($AA$25,'GREET IO'!$A$77:$AZ$98,ROW(AA47)-ROW(AA$42)+1,FALSE)+AI$26*HLOOKUP($AA$26,'GREET IO'!$A$77:$AZ$98,ROW(AA47)-ROW(AA$42)+1,FALSE)+AI$27*HLOOKUP($AA$27,'GREET IO'!$A$77:$AZ$98,ROW(AA47)-ROW(AA$42)+1,FALSE))/$AI$32</f>
        <v>#DIV/0!</v>
      </c>
      <c r="AE47" s="868">
        <f>AB$32*$AI$31*('GREET IO'!$B25/1000000+1)+AB$33*$AI$31*IF($D$10=Input!$AD$35,'Geographic Par.'!$E73, IF($D$10=Input!$AD$36, 'Geographic Par.'!$F73, IF($D$10=Input!$AD$37, 'Geographic Par.'!$H73, IF($D$10=Input!$AD$38,'Geographic Par.'!$G73,'Geographic Par.'!$K73))))/1000000</f>
        <v>4.4884486734993199E-2</v>
      </c>
      <c r="AF47" s="876"/>
      <c r="AG47" s="237" t="e">
        <f t="shared" si="60"/>
        <v>#DIV/0!</v>
      </c>
      <c r="AH47" s="178" t="e">
        <f t="shared" si="61"/>
        <v>#DIV/0!</v>
      </c>
      <c r="AI47" s="179" t="e">
        <f t="shared" si="62"/>
        <v>#DIV/0!</v>
      </c>
      <c r="BA47" s="147" t="s">
        <v>176</v>
      </c>
      <c r="BB47" s="237" t="e">
        <f>BB$21*'Mat. Conv Par.'!$AC29+BB$22*'Mat. Conv Par.'!$BB27+'Mat. Conv Par.'!$C117*SUM(Input!$F$28:$F$32)/$D$8+(BC$21*HLOOKUP($AA$21,'GREET IO'!$A$77:$AZ$98,ROW(BA47)-ROW(BA$42)+1,FALSE)+BC$22*HLOOKUP($AA$22,'GREET IO'!$A$77:$AZ$98,ROW(BA47)-ROW(BA$42)+1,FALSE)+BC$23*HLOOKUP($AA$23,'GREET IO'!$A$77:$AZ$98,ROW(BA47)-ROW(BA$42)+1,FALSE)+BC$24*HLOOKUP($AA$24,'GREET IO'!$A$77:$AZ$98,ROW(BA47)-ROW(BA$42)+1,FALSE)+BC$25*HLOOKUP($AA$25,'GREET IO'!$A$77:$AZ$98,ROW(BA47)-ROW(BA$42)+1,FALSE)+BC$26*HLOOKUP($AA$26,'GREET IO'!$A$77:$AZ$98,ROW(BA47)-ROW(BA$42)+1,FALSE)+BC$27*HLOOKUP($AA$27,'GREET IO'!$A$77:$AZ$98,ROW(BA47)-ROW(BA$42)+1,FALSE))/$AI$32</f>
        <v>#DIV/0!</v>
      </c>
      <c r="BC47" s="237" t="e">
        <f>BE$21*'Mat. Conv Par.'!$AC29+BE$22*'Mat. Conv Par.'!$BB27+'Mat. Conv Par.'!$D117*SUM(Input!$F$28:$F$32)/$D$8+(BF$21*HLOOKUP($AA$21,'GREET IO'!$A$77:$AZ$98,ROW(BA47)-ROW(BA$42)+1,FALSE)+BF$22*HLOOKUP($AA$22,'GREET IO'!$A$77:$AZ$98,ROW(BA47)-ROW(BA$42)+1,FALSE)+BF$23*HLOOKUP($AA$23,'GREET IO'!$A$77:$AZ$98,ROW(BA47)-ROW(BA$42)+1,FALSE)+BF$24*HLOOKUP($AA$24,'GREET IO'!$A$77:$AZ$98,ROW(BA47)-ROW(BA$42)+1,FALSE)+BF$25*HLOOKUP($AA$25,'GREET IO'!$A$77:$AZ$98,ROW(BA47)-ROW(BA$42)+1,FALSE)+BF$26*HLOOKUP($AA$26,'GREET IO'!$A$77:$AZ$98,ROW(BA47)-ROW(BA$42)+1,FALSE)+BF$27*HLOOKUP($AA$27,'GREET IO'!$A$77:$AZ$98,ROW(BA47)-ROW(BA$42)+1,FALSE))/$AI$32</f>
        <v>#DIV/0!</v>
      </c>
      <c r="BD47" s="868" t="e">
        <f>BH$21*'Mat. Conv Par.'!$AC29+BH$22*'Mat. Conv Par.'!$BB27+'Mat. Conv Par.'!$F117*SUM(Input!$F$28:$F$32)/$D$8+(BI$21*HLOOKUP($AA$21,'GREET IO'!$A$77:$AZ$98,ROW(BA47)-ROW(BA$42)+1,FALSE)+BI$22*HLOOKUP($AA$22,'GREET IO'!$A$77:$AZ$98,ROW(BA47)-ROW(BA$42)+1,FALSE)+BI$23*HLOOKUP($AA$23,'GREET IO'!$A$77:$AZ$98,ROW(BA47)-ROW(BA$42)+1,FALSE)+BI$24*HLOOKUP($AA$24,'GREET IO'!$A$77:$AZ$98,ROW(BA47)-ROW(BA$42)+1,FALSE)+BI$25*HLOOKUP($AA$25,'GREET IO'!$A$77:$AZ$98,ROW(BA47)-ROW(BA$42)+1,FALSE)+BI$26*HLOOKUP($AA$26,'GREET IO'!$A$77:$AZ$98,ROW(BA47)-ROW(BA$42)+1,FALSE)+BI$27*HLOOKUP($AA$27,'GREET IO'!$A$77:$AZ$98,ROW(BA47)-ROW(BA$42)+1,FALSE))/$AI$32</f>
        <v>#DIV/0!</v>
      </c>
      <c r="BE47" s="868">
        <f>BB$32*$AI$31*('GREET IO'!$B25/1000000+1)+BB$33*$AI$31*IF($D$10=Input!$AD$35,'Geographic Par.'!$E73, IF($D$10=Input!$AD$36, 'Geographic Par.'!$F73, IF($D$10=Input!$AD$37, 'Geographic Par.'!$H73, IF($D$10=Input!$AD$38,'Geographic Par.'!$G73,'Geographic Par.'!$K73))))/1000000</f>
        <v>4.4886810368520554E-2</v>
      </c>
      <c r="BF47" s="876"/>
      <c r="BG47" s="237" t="e">
        <f t="shared" si="48"/>
        <v>#DIV/0!</v>
      </c>
      <c r="BH47" s="178" t="e">
        <f t="shared" si="49"/>
        <v>#DIV/0!</v>
      </c>
      <c r="BI47" s="179" t="e">
        <f t="shared" si="50"/>
        <v>#DIV/0!</v>
      </c>
      <c r="CA47" s="147" t="s">
        <v>176</v>
      </c>
      <c r="CB47" s="237" t="e">
        <f>CB$21*'Mat. Conv Par.'!$AC29+CB$22*'Mat. Conv Par.'!$BB27+'Mat. Conv Par.'!$C117*SUM(Input!$F$28:$F$32)/$D$8+(CC$21*HLOOKUP($AA$21,'GREET IO'!$A$77:$AZ$98,ROW(CA47)-ROW(CA$42)+1,FALSE)+CC$22*HLOOKUP($AA$22,'GREET IO'!$A$77:$AZ$98,ROW(CA47)-ROW(CA$42)+1,FALSE)+CC$23*HLOOKUP($AA$23,'GREET IO'!$A$77:$AZ$98,ROW(CA47)-ROW(CA$42)+1,FALSE)+CC$24*HLOOKUP($AA$24,'GREET IO'!$A$77:$AZ$98,ROW(CA47)-ROW(CA$42)+1,FALSE)+CC$25*HLOOKUP($AA$25,'GREET IO'!$A$77:$AZ$98,ROW(CA47)-ROW(CA$42)+1,FALSE)+CC$26*HLOOKUP($AA$26,'GREET IO'!$A$77:$AZ$98,ROW(CA47)-ROW(CA$42)+1,FALSE)+CC$27*HLOOKUP($AA$27,'GREET IO'!$A$77:$AZ$98,ROW(CA47)-ROW(CA$42)+1,FALSE))/$AI$32</f>
        <v>#DIV/0!</v>
      </c>
      <c r="CC47" s="237" t="e">
        <f>CE$21*'Mat. Conv Par.'!$AC29+CE$22*'Mat. Conv Par.'!$BB27+'Mat. Conv Par.'!$D117*SUM(Input!$F$28:$F$32)/$D$8+(CF$21*HLOOKUP($AA$21,'GREET IO'!$A$77:$AZ$98,ROW(CA47)-ROW(CA$42)+1,FALSE)+CF$22*HLOOKUP($AA$22,'GREET IO'!$A$77:$AZ$98,ROW(CA47)-ROW(CA$42)+1,FALSE)+CF$23*HLOOKUP($AA$23,'GREET IO'!$A$77:$AZ$98,ROW(CA47)-ROW(CA$42)+1,FALSE)+CF$24*HLOOKUP($AA$24,'GREET IO'!$A$77:$AZ$98,ROW(CA47)-ROW(CA$42)+1,FALSE)+CF$25*HLOOKUP($AA$25,'GREET IO'!$A$77:$AZ$98,ROW(CA47)-ROW(CA$42)+1,FALSE)+CF$26*HLOOKUP($AA$26,'GREET IO'!$A$77:$AZ$98,ROW(CA47)-ROW(CA$42)+1,FALSE)+CF$27*HLOOKUP($AA$27,'GREET IO'!$A$77:$AZ$98,ROW(CA47)-ROW(CA$42)+1,FALSE))/$AI$32</f>
        <v>#DIV/0!</v>
      </c>
      <c r="CD47" s="868" t="e">
        <f>CH$21*'Mat. Conv Par.'!$AC29+CH$22*'Mat. Conv Par.'!$BB27+'Mat. Conv Par.'!$F117*SUM(Input!$F$28:$F$32)/$D$8+(CI$21*HLOOKUP($AA$21,'GREET IO'!$A$77:$AZ$98,ROW(CA47)-ROW(CA$42)+1,FALSE)+CI$22*HLOOKUP($AA$22,'GREET IO'!$A$77:$AZ$98,ROW(CA47)-ROW(CA$42)+1,FALSE)+CI$23*HLOOKUP($AA$23,'GREET IO'!$A$77:$AZ$98,ROW(CA47)-ROW(CA$42)+1,FALSE)+CI$24*HLOOKUP($AA$24,'GREET IO'!$A$77:$AZ$98,ROW(CA47)-ROW(CA$42)+1,FALSE)+CI$25*HLOOKUP($AA$25,'GREET IO'!$A$77:$AZ$98,ROW(CA47)-ROW(CA$42)+1,FALSE)+CI$26*HLOOKUP($AA$26,'GREET IO'!$A$77:$AZ$98,ROW(CA47)-ROW(CA$42)+1,FALSE)+CI$27*HLOOKUP($AA$27,'GREET IO'!$A$77:$AZ$98,ROW(CA47)-ROW(CA$42)+1,FALSE))/$AI$32</f>
        <v>#DIV/0!</v>
      </c>
      <c r="CE47" s="868">
        <f>CB$32*$AI$31*('GREET IO'!$B25/1000000+1)+CB$33*$AI$31*IF($D$10=Input!$AD$35,'Geographic Par.'!$E73, IF($D$10=Input!$AD$36, 'Geographic Par.'!$F73, IF($D$10=Input!$AD$37, 'Geographic Par.'!$H73, IF($D$10=Input!$AD$38,'Geographic Par.'!$G73,'Geographic Par.'!$K73))))/1000000</f>
        <v>4.4896134619596191E-2</v>
      </c>
      <c r="CF47" s="876"/>
      <c r="CG47" s="237" t="e">
        <f t="shared" si="51"/>
        <v>#DIV/0!</v>
      </c>
      <c r="CH47" s="178" t="e">
        <f t="shared" si="52"/>
        <v>#DIV/0!</v>
      </c>
      <c r="CI47" s="179" t="e">
        <f t="shared" si="63"/>
        <v>#DIV/0!</v>
      </c>
      <c r="DA47" s="147" t="s">
        <v>176</v>
      </c>
      <c r="DB47" s="237" t="e">
        <f>DB$21*'Mat. Conv Par.'!$AC29+DB$22*'Mat. Conv Par.'!$BB27+'Mat. Conv Par.'!$C117*SUM(Input!$F$28:$F$32)/$D$8+(DC$21*HLOOKUP($DA$21,'GREET IO'!$A$77:$AZ$98,ROW(DA47)-ROW(DA$42)+1,FALSE)+DC$22*HLOOKUP($DA$22,'GREET IO'!$A$77:$AZ$98,ROW(DA47)-ROW(DA$42)+1,FALSE)+DC$23*HLOOKUP($DA$23,'GREET IO'!$A$77:$AZ$98,ROW(DA47)-ROW(DA$42)+1,FALSE)+DC$24*HLOOKUP($DA$24,'GREET IO'!$A$77:$AZ$98,ROW(DA47)-ROW(DA$42)+1,FALSE)+DC$25*HLOOKUP($DA$25,'GREET IO'!$A$77:$AZ$98,ROW(DA47)-ROW(DA$42)+1,FALSE)+DC$26*HLOOKUP($DA$26,'GREET IO'!$A$77:$AZ$98,ROW(DA47)-ROW(DA$42)+1,FALSE)+DC$27*HLOOKUP($DA$27,'GREET IO'!$A$77:$AZ$98,ROW(DA47)-ROW(DA$42)+1,FALSE))/$AI$32</f>
        <v>#DIV/0!</v>
      </c>
      <c r="DC47" s="1205" t="e">
        <f>DE$21*'Mat. Conv Par.'!$AC29+DE$22*'Mat. Conv Par.'!$BB27+DE$23*'Mat. Conv Par.'!$CB27+'Mat. Conv Par.'!$D117*SUM(Input!$F$28:$F$32)/$D$8+(DF$21*HLOOKUP($DA$21,'GREET IO'!$A$77:$AZ$98,ROW(DA47)-ROW(DA$42)+1,FALSE)+DF$22*HLOOKUP($DA$22,'GREET IO'!$A$77:$AZ$98,ROW(DA47)-ROW(DA$42)+1,FALSE)+DF$23*HLOOKUP($DA$23,'GREET IO'!$A$77:$AZ$98,ROW(DA47)-ROW(DA$42)+1,FALSE)+DF$24*HLOOKUP($DA$24,'GREET IO'!$A$77:$AZ$98,ROW(DA47)-ROW(DA$42)+1,FALSE)+DF$25*HLOOKUP($DA$25,'GREET IO'!$A$77:$AZ$98,ROW(DA47)-ROW(DA$42)+1,FALSE)+DF$26*HLOOKUP($DA$26,'GREET IO'!$A$77:$AZ$98,ROW(DA47)-ROW(DA$42)+1,FALSE)+DF$27*HLOOKUP($DA$27,'GREET IO'!$A$77:$AZ$98,ROW(DA47)-ROW(DA$42)+1,FALSE))/$AI$32</f>
        <v>#DIV/0!</v>
      </c>
      <c r="DD47" s="1205" t="e">
        <f>DH$21*'Mat. Conv Par.'!$AC29+DH$22*'Mat. Conv Par.'!$BB27+DH$23*'Mat. Conv Par.'!$CB27+'Mat. Conv Par.'!$F117*SUM(Input!$F$28:$F$32)/$D$8+(DI$21*HLOOKUP($DA$21,'GREET IO'!$A$77:$AZ$98,ROW(DA47)-ROW(DA$42)+1,FALSE)+DI$22*HLOOKUP($DA$22,'GREET IO'!$A$77:$AZ$98,ROW(DA47)-ROW(DA$42)+1,FALSE)+DI$23*HLOOKUP($DA$23,'GREET IO'!$A$77:$AZ$98,ROW(DA47)-ROW(DA$42)+1,FALSE)+DI$24*HLOOKUP($DA$24,'GREET IO'!$A$77:$AZ$98,ROW(DA47)-ROW(DA$42)+1,FALSE)+DI$25*HLOOKUP($DA$25,'GREET IO'!$A$77:$AZ$98,ROW(DA47)-ROW(DA$42)+1,FALSE)+DI$26*HLOOKUP($DA$26,'GREET IO'!$A$77:$AZ$98,ROW(DA47)-ROW(DA$42)+1,FALSE)+DI$27*HLOOKUP($DA$27,'GREET IO'!$A$77:$AZ$98,ROW(DA47)-ROW(DA$42)+1,FALSE))/$AI$32</f>
        <v>#DIV/0!</v>
      </c>
      <c r="DE47" s="868">
        <f>DB$32*$AI$31*('GREET IO'!$B25/1000000+1)+DB$33*$AI$31*IF($D$10=Input!$AD$35,'Geographic Par.'!$E73, IF($D$10=Input!$AD$36, 'Geographic Par.'!$F73, IF($D$10=Input!$AD$37, 'Geographic Par.'!$H73, IF($D$10=Input!$AD$38,'Geographic Par.'!$G73,'Geographic Par.'!$K73))))/1000000</f>
        <v>4.4882508742439028E-2</v>
      </c>
      <c r="DF47" s="876"/>
      <c r="DG47" s="237" t="e">
        <f t="shared" si="53"/>
        <v>#DIV/0!</v>
      </c>
      <c r="DH47" s="178" t="e">
        <f t="shared" si="54"/>
        <v>#DIV/0!</v>
      </c>
      <c r="DI47" s="179" t="e">
        <f t="shared" si="64"/>
        <v>#DIV/0!</v>
      </c>
      <c r="EA47" s="147" t="s">
        <v>176</v>
      </c>
      <c r="EB47" s="237" t="e">
        <f>EB$21*'Mat. Conv Par.'!$AC29+EB$22*'Mat. Conv Par.'!$BB27+EB$23*'Mat. Conv Par.'!$CB27+'Mat. Conv Par.'!$C117*SUM(Input!$F$28:$F$32)/$D$8+(EC$21*HLOOKUP($EA$21,'GREET IO'!$A$77:$AZ$98,ROW(EA47)-ROW(EA$42)+1,FALSE)+EC$22*HLOOKUP($EA$22,'GREET IO'!$A$77:$AZ$98,ROW(EA47)-ROW(EA$42)+1,FALSE)+EC$23*HLOOKUP($EA$23,'GREET IO'!$A$77:$AZ$98,ROW(EA47)-ROW(EA$42)+1,FALSE)+EC$24*HLOOKUP($EA$24,'GREET IO'!$A$77:$AZ$98,ROW(EA47)-ROW(EA$42)+1,FALSE)+EC$25*HLOOKUP($EA$25,'GREET IO'!$A$77:$AZ$98,ROW(EA47)-ROW(EA$42)+1,FALSE)+EC$26*HLOOKUP($EA$26,'GREET IO'!$A$77:$AZ$98,ROW(EA47)-ROW(EA$42)+1,FALSE)+EC$27*HLOOKUP($EA$27,'GREET IO'!$A$77:$AZ$98,ROW(EA47)-ROW(EA$42)+1,FALSE))/$AI$32</f>
        <v>#DIV/0!</v>
      </c>
      <c r="EC47" s="237" t="e">
        <f>EE$21*'Mat. Conv Par.'!$AC29+EE$22*'Mat. Conv Par.'!$BB27+EE$23*'Mat. Conv Par.'!$CB27+'Mat. Conv Par.'!$D117*SUM(Input!$F$28:$F$32)/$D$8+(EF$21*HLOOKUP($EA$21,'GREET IO'!$A$77:$AZ$98,ROW(EA47)-ROW(EA$42)+1,FALSE)+EF$22*HLOOKUP($EA$22,'GREET IO'!$A$77:$AZ$98,ROW(EA47)-ROW(EA$42)+1,FALSE)+EF$23*HLOOKUP($EA$23,'GREET IO'!$A$77:$AZ$98,ROW(EA47)-ROW(EA$42)+1,FALSE)+EF$24*HLOOKUP($EA$24,'GREET IO'!$A$77:$AZ$98,ROW(EA47)-ROW(EA$42)+1,FALSE)+EF$25*HLOOKUP($EA$25,'GREET IO'!$A$77:$AZ$98,ROW(EA47)-ROW(EA$42)+1,FALSE)+EF$26*HLOOKUP($EA$26,'GREET IO'!$A$77:$AZ$98,ROW(EA47)-ROW(EA$42)+1,FALSE)+EF$27*HLOOKUP($EA$27,'GREET IO'!$A$77:$AZ$98,ROW(EA47)-ROW(EA$42)+1,FALSE))/$AI$32</f>
        <v>#DIV/0!</v>
      </c>
      <c r="ED47" s="237" t="e">
        <f>EH$21*'Mat. Conv Par.'!$AC29+EH$22*'Mat. Conv Par.'!$BB27+EH$23*'Mat. Conv Par.'!$CB27+'Mat. Conv Par.'!$F117*SUM(Input!$F$28:$F$32)/$D$8+(EI$21*HLOOKUP($EA$21,'GREET IO'!$A$77:$AZ$98,ROW(EA47)-ROW(EA$42)+1,FALSE)+EI$22*HLOOKUP($EA$22,'GREET IO'!$A$77:$AZ$98,ROW(EA47)-ROW(EA$42)+1,FALSE)+EI$23*HLOOKUP($EA$23,'GREET IO'!$A$77:$AZ$98,ROW(EA47)-ROW(EA$42)+1,FALSE)+EI$24*HLOOKUP($EA$24,'GREET IO'!$A$77:$AZ$98,ROW(EA47)-ROW(EA$42)+1,FALSE)+EI$25*HLOOKUP($EA$25,'GREET IO'!$A$77:$AZ$98,ROW(EA47)-ROW(EA$42)+1,FALSE)+EI$26*HLOOKUP($EA$26,'GREET IO'!$A$77:$AZ$98,ROW(EA47)-ROW(EA$42)+1,FALSE)+EI$27*HLOOKUP($EA$27,'GREET IO'!$A$77:$AZ$98,ROW(EA47)-ROW(EA$42)+1,FALSE))/$AI$32</f>
        <v>#DIV/0!</v>
      </c>
      <c r="EE47" s="868">
        <f>EB$32*$AI$31*('GREET IO'!$B25/1000000+1)+EB$33*$AI$31*IF($D$10=Input!$AD$35,'Geographic Par.'!$E73, IF($D$10=Input!$AD$36, 'Geographic Par.'!$F73, IF($D$10=Input!$AD$37, 'Geographic Par.'!$H73, IF($D$10=Input!$AD$38,'Geographic Par.'!$G73,'Geographic Par.'!$K73))))/1000000</f>
        <v>4.4932048404354046E-2</v>
      </c>
      <c r="EF47" s="876"/>
      <c r="EG47" s="237" t="e">
        <f t="shared" si="55"/>
        <v>#DIV/0!</v>
      </c>
      <c r="EH47" s="178" t="e">
        <f t="shared" si="56"/>
        <v>#DIV/0!</v>
      </c>
      <c r="EI47" s="179" t="e">
        <f t="shared" si="65"/>
        <v>#DIV/0!</v>
      </c>
      <c r="FA47" s="147" t="s">
        <v>176</v>
      </c>
      <c r="FB47" s="237" t="e">
        <f>FB$21*'Mat. Conv Par.'!$AB29+'Mat. Conv Par.'!$C117*SUM(Input!$F$28:$F$32)/$D$8+(FC$21*HLOOKUP($FA$21,'GREET IO'!$A$77:$AZ$98,ROW(FA47)-ROW(FA$42)+1,FALSE)+FC$22*HLOOKUP($FA$22,'GREET IO'!$A$77:$AZ$98,ROW(FA47)-ROW(FA$42)+1,FALSE))/$AI$32</f>
        <v>#DIV/0!</v>
      </c>
      <c r="FC47" s="237" t="e">
        <f>FE$21*'Mat. Conv Par.'!$AB29+'Mat. Conv Par.'!$D117*SUM(Input!$F$28:$F$32)/$D$8+(FF$21*HLOOKUP($FA$21,'GREET IO'!$A$77:$AZ$98,ROW(FA47)-ROW(FA$42)+1,FALSE)+FF$22*HLOOKUP($FA$22,'GREET IO'!$A$77:$AZ$98,ROW(FA47)-ROW(FA$42)+1,FALSE))/$AI$32</f>
        <v>#DIV/0!</v>
      </c>
      <c r="FD47" s="237" t="e">
        <f>FH$21*'Mat. Conv Par.'!$AB29+'Mat. Conv Par.'!$F117*SUM(Input!$F$28:$F$32)/$D$8+(FI$21*HLOOKUP($FA$21,'GREET IO'!$A$77:$AZ$98,ROW(FA47)-ROW(FA$42)+1,FALSE)+FI$22*HLOOKUP($FA$22,'GREET IO'!$A$77:$AZ$98,ROW(FA47)-ROW(FA$42)+1,FALSE))/$AI$32</f>
        <v>#DIV/0!</v>
      </c>
      <c r="FE47" s="868">
        <f>FB$32*$AI$31*('GREET IO'!$B25/1000000+1)+FB$33*$AI$31*IF($D$10=Input!$AD$35,'Geographic Par.'!$E73, IF($D$10=Input!$AD$36, 'Geographic Par.'!$F73, IF($D$10=Input!$AD$37, 'Geographic Par.'!$H73, IF($D$10=Input!$AD$38,'Geographic Par.'!$G73,'Geographic Par.'!$K73))))/1000000</f>
        <v>0</v>
      </c>
      <c r="FF47" s="876"/>
      <c r="FG47" s="237" t="e">
        <f t="shared" si="57"/>
        <v>#DIV/0!</v>
      </c>
      <c r="FH47" s="178" t="e">
        <f t="shared" si="58"/>
        <v>#DIV/0!</v>
      </c>
      <c r="FI47" s="179" t="e">
        <f t="shared" si="59"/>
        <v>#DIV/0!</v>
      </c>
    </row>
    <row r="48" spans="2:165">
      <c r="B48" s="1282" t="s">
        <v>17</v>
      </c>
      <c r="C48" s="1283">
        <f>203974.006334934/907.2</f>
        <v>224.83907223868385</v>
      </c>
      <c r="D48" s="1283">
        <f>206955.587808418/907.2</f>
        <v>228.12564793696868</v>
      </c>
      <c r="E48" s="1283">
        <f>206756.247863868/907.2</f>
        <v>227.90591695752644</v>
      </c>
      <c r="F48" s="1283">
        <f>205956.338725652/907.2</f>
        <v>227.02418289864636</v>
      </c>
      <c r="G48" s="1201"/>
      <c r="H48" s="1202"/>
      <c r="I48" s="628"/>
      <c r="J48" s="628"/>
      <c r="AA48" s="147" t="s">
        <v>177</v>
      </c>
      <c r="AB48" s="238" t="e">
        <f>AB$21*'Mat. Conv Par.'!$AC30+AB$22*'Mat. Conv Par.'!$BB28+'Mat. Conv Par.'!$C118*SUM(Input!$F$28:$F$32)/$D$8+(AC$21*HLOOKUP($AA$21,'GREET IO'!$A$77:$AZ$98,ROW(AA48)-ROW(AA$42)+1,FALSE)+AC$22*HLOOKUP($AA$22,'GREET IO'!$A$77:$AZ$98,ROW(AA48)-ROW(AA$42)+1,FALSE)+AC$23*HLOOKUP($AA$23,'GREET IO'!$A$77:$AZ$98,ROW(AA48)-ROW(AA$42)+1,FALSE)+AC$24*HLOOKUP($AA$24,'GREET IO'!$A$77:$AZ$98,ROW(AA48)-ROW(AA$42)+1,FALSE)+AC$25*HLOOKUP($AA$25,'GREET IO'!$A$77:$AZ$98,ROW(AA48)-ROW(AA$42)+1,FALSE)+AC$26*HLOOKUP($AA$26,'GREET IO'!$A$77:$AZ$98,ROW(AA48)-ROW(AA$42)+1,FALSE)+AC$27*HLOOKUP($AA$27,'GREET IO'!$A$77:$AZ$98,ROW(AA48)-ROW(AA$42)+1,FALSE))/$AI$32</f>
        <v>#DIV/0!</v>
      </c>
      <c r="AC48" s="238" t="e">
        <f>AE$21*'Mat. Conv Par.'!$AC30+AE$22*'Mat. Conv Par.'!$BB28+'Mat. Conv Par.'!$D118*SUM(Input!$F$28:$F$32)/$D$8+(AF$21*HLOOKUP($AA$21,'GREET IO'!$A$77:$AZ$98,ROW(AA48)-ROW(AA$42)+1,FALSE)+AF$22*HLOOKUP($AA$22,'GREET IO'!$A$77:$AZ$98,ROW(AA48)-ROW(AA$42)+1,FALSE)+AF$23*HLOOKUP($AA$23,'GREET IO'!$A$77:$AZ$98,ROW(AA48)-ROW(AA$42)+1,FALSE)+AF$24*HLOOKUP($AA$24,'GREET IO'!$A$77:$AZ$98,ROW(AA48)-ROW(AA$42)+1,FALSE)+AF$25*HLOOKUP($AA$25,'GREET IO'!$A$77:$AZ$98,ROW(AA48)-ROW(AA$42)+1,FALSE)+AF$26*HLOOKUP($AA$26,'GREET IO'!$A$77:$AZ$98,ROW(AA48)-ROW(AA$42)+1,FALSE)+AF$27*HLOOKUP($AA$27,'GREET IO'!$A$77:$AZ$98,ROW(AA48)-ROW(AA$42)+1,FALSE))/$AI$32</f>
        <v>#DIV/0!</v>
      </c>
      <c r="AD48" s="869" t="e">
        <f>AH$21*'Mat. Conv Par.'!$AC30+AH$22*'Mat. Conv Par.'!$BB28+'Mat. Conv Par.'!$F118*SUM(Input!$F$28:$F$32)/$D$8+(AI$21*HLOOKUP($AA$21,'GREET IO'!$A$77:$AZ$98,ROW(AA48)-ROW(AA$42)+1,FALSE)+AI$22*HLOOKUP($AA$22,'GREET IO'!$A$77:$AZ$98,ROW(AA48)-ROW(AA$42)+1,FALSE)+AI$23*HLOOKUP($AA$23,'GREET IO'!$A$77:$AZ$98,ROW(AA48)-ROW(AA$42)+1,FALSE)+AI$24*HLOOKUP($AA$24,'GREET IO'!$A$77:$AZ$98,ROW(AA48)-ROW(AA$42)+1,FALSE)+AI$25*HLOOKUP($AA$25,'GREET IO'!$A$77:$AZ$98,ROW(AA48)-ROW(AA$42)+1,FALSE)+AI$26*HLOOKUP($AA$26,'GREET IO'!$A$77:$AZ$98,ROW(AA48)-ROW(AA$42)+1,FALSE)+AI$27*HLOOKUP($AA$27,'GREET IO'!$A$77:$AZ$98,ROW(AA48)-ROW(AA$42)+1,FALSE))/$AI$32</f>
        <v>#DIV/0!</v>
      </c>
      <c r="AE48" s="869">
        <f>AB$32*$AI$31*('GREET IO'!$B26/1000000)+AB$33*$AI$31*IF($D$10=Input!$AD$35, 'Geographic Par.'!$E74, IF($D$10=Input!$AD$36, 'Geographic Par.'!$F74, IF($D$10=Input!$AD$37, 'Geographic Par.'!$H74, IF($D$10=Input!$AD$38,'Geographic Par.'!$G74,'Geographic Par.'!$K74))))/1000000</f>
        <v>1.8729327453287392E-5</v>
      </c>
      <c r="AF48" s="877"/>
      <c r="AG48" s="238" t="e">
        <f t="shared" si="60"/>
        <v>#DIV/0!</v>
      </c>
      <c r="AH48" s="177" t="e">
        <f t="shared" si="61"/>
        <v>#DIV/0!</v>
      </c>
      <c r="AI48" s="181" t="e">
        <f t="shared" si="62"/>
        <v>#DIV/0!</v>
      </c>
      <c r="BA48" s="147" t="s">
        <v>177</v>
      </c>
      <c r="BB48" s="238" t="e">
        <f>BB$21*'Mat. Conv Par.'!$AC30+BB$22*'Mat. Conv Par.'!$BB28+'Mat. Conv Par.'!$C118*SUM(Input!$F$28:$F$32)/$D$8+(BC$21*HLOOKUP($AA$21,'GREET IO'!$A$77:$AZ$98,ROW(BA48)-ROW(BA$42)+1,FALSE)+BC$22*HLOOKUP($AA$22,'GREET IO'!$A$77:$AZ$98,ROW(BA48)-ROW(BA$42)+1,FALSE)+BC$23*HLOOKUP($AA$23,'GREET IO'!$A$77:$AZ$98,ROW(BA48)-ROW(BA$42)+1,FALSE)+BC$24*HLOOKUP($AA$24,'GREET IO'!$A$77:$AZ$98,ROW(BA48)-ROW(BA$42)+1,FALSE)+BC$25*HLOOKUP($AA$25,'GREET IO'!$A$77:$AZ$98,ROW(BA48)-ROW(BA$42)+1,FALSE)+BC$26*HLOOKUP($AA$26,'GREET IO'!$A$77:$AZ$98,ROW(BA48)-ROW(BA$42)+1,FALSE)+BC$27*HLOOKUP($AA$27,'GREET IO'!$A$77:$AZ$98,ROW(BA48)-ROW(BA$42)+1,FALSE))/$AI$32</f>
        <v>#DIV/0!</v>
      </c>
      <c r="BC48" s="238" t="e">
        <f>BE$21*'Mat. Conv Par.'!$AC30+BE$22*'Mat. Conv Par.'!$BB28+'Mat. Conv Par.'!$D118*SUM(Input!$F$28:$F$32)/$D$8+(BF$21*HLOOKUP($AA$21,'GREET IO'!$A$77:$AZ$98,ROW(BA48)-ROW(BA$42)+1,FALSE)+BF$22*HLOOKUP($AA$22,'GREET IO'!$A$77:$AZ$98,ROW(BA48)-ROW(BA$42)+1,FALSE)+BF$23*HLOOKUP($AA$23,'GREET IO'!$A$77:$AZ$98,ROW(BA48)-ROW(BA$42)+1,FALSE)+BF$24*HLOOKUP($AA$24,'GREET IO'!$A$77:$AZ$98,ROW(BA48)-ROW(BA$42)+1,FALSE)+BF$25*HLOOKUP($AA$25,'GREET IO'!$A$77:$AZ$98,ROW(BA48)-ROW(BA$42)+1,FALSE)+BF$26*HLOOKUP($AA$26,'GREET IO'!$A$77:$AZ$98,ROW(BA48)-ROW(BA$42)+1,FALSE)+BF$27*HLOOKUP($AA$27,'GREET IO'!$A$77:$AZ$98,ROW(BA48)-ROW(BA$42)+1,FALSE))/$AI$32</f>
        <v>#DIV/0!</v>
      </c>
      <c r="BD48" s="869" t="e">
        <f>BH$21*'Mat. Conv Par.'!$AC30+BH$22*'Mat. Conv Par.'!$BB28+'Mat. Conv Par.'!$F118*SUM(Input!$F$28:$F$32)/$D$8+(BI$21*HLOOKUP($AA$21,'GREET IO'!$A$77:$AZ$98,ROW(BA48)-ROW(BA$42)+1,FALSE)+BI$22*HLOOKUP($AA$22,'GREET IO'!$A$77:$AZ$98,ROW(BA48)-ROW(BA$42)+1,FALSE)+BI$23*HLOOKUP($AA$23,'GREET IO'!$A$77:$AZ$98,ROW(BA48)-ROW(BA$42)+1,FALSE)+BI$24*HLOOKUP($AA$24,'GREET IO'!$A$77:$AZ$98,ROW(BA48)-ROW(BA$42)+1,FALSE)+BI$25*HLOOKUP($AA$25,'GREET IO'!$A$77:$AZ$98,ROW(BA48)-ROW(BA$42)+1,FALSE)+BI$26*HLOOKUP($AA$26,'GREET IO'!$A$77:$AZ$98,ROW(BA48)-ROW(BA$42)+1,FALSE)+BI$27*HLOOKUP($AA$27,'GREET IO'!$A$77:$AZ$98,ROW(BA48)-ROW(BA$42)+1,FALSE))/$AI$32</f>
        <v>#DIV/0!</v>
      </c>
      <c r="BE48" s="869">
        <f>BB$32*$AI$31*('GREET IO'!$B26/1000000)+BB$33*$AI$31*IF($D$10=Input!$AD$35, 'Geographic Par.'!$E74, IF($D$10=Input!$AD$36, 'Geographic Par.'!$F74, IF($D$10=Input!$AD$37, 'Geographic Par.'!$H74, IF($D$10=Input!$AD$38,'Geographic Par.'!$G74,'Geographic Par.'!$K74))))/1000000</f>
        <v>1.8730297055401197E-5</v>
      </c>
      <c r="BF48" s="877"/>
      <c r="BG48" s="238" t="e">
        <f t="shared" si="48"/>
        <v>#DIV/0!</v>
      </c>
      <c r="BH48" s="177" t="e">
        <f t="shared" si="49"/>
        <v>#DIV/0!</v>
      </c>
      <c r="BI48" s="181" t="e">
        <f t="shared" si="50"/>
        <v>#DIV/0!</v>
      </c>
      <c r="CA48" s="147" t="s">
        <v>177</v>
      </c>
      <c r="CB48" s="238" t="e">
        <f>CB$21*'Mat. Conv Par.'!$AC30+CB$22*'Mat. Conv Par.'!$BB28+'Mat. Conv Par.'!$C118*SUM(Input!$F$28:$F$32)/$D$8+(CC$21*HLOOKUP($AA$21,'GREET IO'!$A$77:$AZ$98,ROW(CA48)-ROW(CA$42)+1,FALSE)+CC$22*HLOOKUP($AA$22,'GREET IO'!$A$77:$AZ$98,ROW(CA48)-ROW(CA$42)+1,FALSE)+CC$23*HLOOKUP($AA$23,'GREET IO'!$A$77:$AZ$98,ROW(CA48)-ROW(CA$42)+1,FALSE)+CC$24*HLOOKUP($AA$24,'GREET IO'!$A$77:$AZ$98,ROW(CA48)-ROW(CA$42)+1,FALSE)+CC$25*HLOOKUP($AA$25,'GREET IO'!$A$77:$AZ$98,ROW(CA48)-ROW(CA$42)+1,FALSE)+CC$26*HLOOKUP($AA$26,'GREET IO'!$A$77:$AZ$98,ROW(CA48)-ROW(CA$42)+1,FALSE)+CC$27*HLOOKUP($AA$27,'GREET IO'!$A$77:$AZ$98,ROW(CA48)-ROW(CA$42)+1,FALSE))/$AI$32</f>
        <v>#DIV/0!</v>
      </c>
      <c r="CC48" s="238" t="e">
        <f>CE$21*'Mat. Conv Par.'!$AC30+CE$22*'Mat. Conv Par.'!$BB28+'Mat. Conv Par.'!$D118*SUM(Input!$F$28:$F$32)/$D$8+(CF$21*HLOOKUP($AA$21,'GREET IO'!$A$77:$AZ$98,ROW(CA48)-ROW(CA$42)+1,FALSE)+CF$22*HLOOKUP($AA$22,'GREET IO'!$A$77:$AZ$98,ROW(CA48)-ROW(CA$42)+1,FALSE)+CF$23*HLOOKUP($AA$23,'GREET IO'!$A$77:$AZ$98,ROW(CA48)-ROW(CA$42)+1,FALSE)+CF$24*HLOOKUP($AA$24,'GREET IO'!$A$77:$AZ$98,ROW(CA48)-ROW(CA$42)+1,FALSE)+CF$25*HLOOKUP($AA$25,'GREET IO'!$A$77:$AZ$98,ROW(CA48)-ROW(CA$42)+1,FALSE)+CF$26*HLOOKUP($AA$26,'GREET IO'!$A$77:$AZ$98,ROW(CA48)-ROW(CA$42)+1,FALSE)+CF$27*HLOOKUP($AA$27,'GREET IO'!$A$77:$AZ$98,ROW(CA48)-ROW(CA$42)+1,FALSE))/$AI$32</f>
        <v>#DIV/0!</v>
      </c>
      <c r="CD48" s="869" t="e">
        <f>CH$21*'Mat. Conv Par.'!$AC30+CH$22*'Mat. Conv Par.'!$BB28+'Mat. Conv Par.'!$F118*SUM(Input!$F$28:$F$32)/$D$8+(CI$21*HLOOKUP($AA$21,'GREET IO'!$A$77:$AZ$98,ROW(CA48)-ROW(CA$42)+1,FALSE)+CI$22*HLOOKUP($AA$22,'GREET IO'!$A$77:$AZ$98,ROW(CA48)-ROW(CA$42)+1,FALSE)+CI$23*HLOOKUP($AA$23,'GREET IO'!$A$77:$AZ$98,ROW(CA48)-ROW(CA$42)+1,FALSE)+CI$24*HLOOKUP($AA$24,'GREET IO'!$A$77:$AZ$98,ROW(CA48)-ROW(CA$42)+1,FALSE)+CI$25*HLOOKUP($AA$25,'GREET IO'!$A$77:$AZ$98,ROW(CA48)-ROW(CA$42)+1,FALSE)+CI$26*HLOOKUP($AA$26,'GREET IO'!$A$77:$AZ$98,ROW(CA48)-ROW(CA$42)+1,FALSE)+CI$27*HLOOKUP($AA$27,'GREET IO'!$A$77:$AZ$98,ROW(CA48)-ROW(CA$42)+1,FALSE))/$AI$32</f>
        <v>#DIV/0!</v>
      </c>
      <c r="CE48" s="869">
        <f>CB$32*$AI$31*('GREET IO'!$B26/1000000)+CB$33*$AI$31*IF($D$10=Input!$AD$35, 'Geographic Par.'!$E74, IF($D$10=Input!$AD$36, 'Geographic Par.'!$F74, IF($D$10=Input!$AD$37, 'Geographic Par.'!$H74, IF($D$10=Input!$AD$38,'Geographic Par.'!$G74,'Geographic Par.'!$K74))))/1000000</f>
        <v>1.8734187864104956E-5</v>
      </c>
      <c r="CF48" s="877"/>
      <c r="CG48" s="238" t="e">
        <f t="shared" si="51"/>
        <v>#DIV/0!</v>
      </c>
      <c r="CH48" s="177" t="e">
        <f t="shared" si="52"/>
        <v>#DIV/0!</v>
      </c>
      <c r="CI48" s="181" t="e">
        <f t="shared" si="63"/>
        <v>#DIV/0!</v>
      </c>
      <c r="DA48" s="147" t="s">
        <v>177</v>
      </c>
      <c r="DB48" s="238" t="e">
        <f>DB$21*'Mat. Conv Par.'!$AC30+DB$22*'Mat. Conv Par.'!$BB28+'Mat. Conv Par.'!$C118*SUM(Input!$F$28:$F$32)/$D$8+(DC$21*HLOOKUP($DA$21,'GREET IO'!$A$77:$AZ$98,ROW(DA48)-ROW(DA$42)+1,FALSE)+DC$22*HLOOKUP($DA$22,'GREET IO'!$A$77:$AZ$98,ROW(DA48)-ROW(DA$42)+1,FALSE)+DC$23*HLOOKUP($DA$23,'GREET IO'!$A$77:$AZ$98,ROW(DA48)-ROW(DA$42)+1,FALSE)+DC$24*HLOOKUP($DA$24,'GREET IO'!$A$77:$AZ$98,ROW(DA48)-ROW(DA$42)+1,FALSE)+DC$25*HLOOKUP($DA$25,'GREET IO'!$A$77:$AZ$98,ROW(DA48)-ROW(DA$42)+1,FALSE)+DC$26*HLOOKUP($DA$26,'GREET IO'!$A$77:$AZ$98,ROW(DA48)-ROW(DA$42)+1,FALSE)+DC$27*HLOOKUP($DA$27,'GREET IO'!$A$77:$AZ$98,ROW(DA48)-ROW(DA$42)+1,FALSE))/$AI$32</f>
        <v>#DIV/0!</v>
      </c>
      <c r="DC48" s="1205" t="e">
        <f>DE$21*'Mat. Conv Par.'!$AC30+DE$22*'Mat. Conv Par.'!$BB28+DE$23*'Mat. Conv Par.'!$CB28+'Mat. Conv Par.'!$D118*SUM(Input!$F$28:$F$32)/$D$8+(DF$21*HLOOKUP($DA$21,'GREET IO'!$A$77:$AZ$98,ROW(DA48)-ROW(DA$42)+1,FALSE)+DF$22*HLOOKUP($DA$22,'GREET IO'!$A$77:$AZ$98,ROW(DA48)-ROW(DA$42)+1,FALSE)+DF$23*HLOOKUP($DA$23,'GREET IO'!$A$77:$AZ$98,ROW(DA48)-ROW(DA$42)+1,FALSE)+DF$24*HLOOKUP($DA$24,'GREET IO'!$A$77:$AZ$98,ROW(DA48)-ROW(DA$42)+1,FALSE)+DF$25*HLOOKUP($DA$25,'GREET IO'!$A$77:$AZ$98,ROW(DA48)-ROW(DA$42)+1,FALSE)+DF$26*HLOOKUP($DA$26,'GREET IO'!$A$77:$AZ$98,ROW(DA48)-ROW(DA$42)+1,FALSE)+DF$27*HLOOKUP($DA$27,'GREET IO'!$A$77:$AZ$98,ROW(DA48)-ROW(DA$42)+1,FALSE))/$AI$32</f>
        <v>#DIV/0!</v>
      </c>
      <c r="DD48" s="1205" t="e">
        <f>DH$21*'Mat. Conv Par.'!$AC30+DH$22*'Mat. Conv Par.'!$BB28+DH$23*'Mat. Conv Par.'!$CB28+'Mat. Conv Par.'!$F118*SUM(Input!$F$28:$F$32)/$D$8+(DI$21*HLOOKUP($DA$21,'GREET IO'!$A$77:$AZ$98,ROW(DA48)-ROW(DA$42)+1,FALSE)+DI$22*HLOOKUP($DA$22,'GREET IO'!$A$77:$AZ$98,ROW(DA48)-ROW(DA$42)+1,FALSE)+DI$23*HLOOKUP($DA$23,'GREET IO'!$A$77:$AZ$98,ROW(DA48)-ROW(DA$42)+1,FALSE)+DI$24*HLOOKUP($DA$24,'GREET IO'!$A$77:$AZ$98,ROW(DA48)-ROW(DA$42)+1,FALSE)+DI$25*HLOOKUP($DA$25,'GREET IO'!$A$77:$AZ$98,ROW(DA48)-ROW(DA$42)+1,FALSE)+DI$26*HLOOKUP($DA$26,'GREET IO'!$A$77:$AZ$98,ROW(DA48)-ROW(DA$42)+1,FALSE)+DI$27*HLOOKUP($DA$27,'GREET IO'!$A$77:$AZ$98,ROW(DA48)-ROW(DA$42)+1,FALSE))/$AI$32</f>
        <v>#DIV/0!</v>
      </c>
      <c r="DE48" s="869">
        <f>DB$32*$AI$31*('GREET IO'!$B26/1000000)+DB$33*$AI$31*IF($D$10=Input!$AD$35, 'Geographic Par.'!$E74, IF($D$10=Input!$AD$36, 'Geographic Par.'!$F74, IF($D$10=Input!$AD$37, 'Geographic Par.'!$H74, IF($D$10=Input!$AD$38,'Geographic Par.'!$G74,'Geographic Par.'!$K74))))/1000000</f>
        <v>1.8728502079690809E-5</v>
      </c>
      <c r="DF48" s="877"/>
      <c r="DG48" s="238" t="e">
        <f t="shared" si="53"/>
        <v>#DIV/0!</v>
      </c>
      <c r="DH48" s="177" t="e">
        <f t="shared" si="54"/>
        <v>#DIV/0!</v>
      </c>
      <c r="DI48" s="181" t="e">
        <f t="shared" si="64"/>
        <v>#DIV/0!</v>
      </c>
      <c r="EA48" s="147" t="s">
        <v>177</v>
      </c>
      <c r="EB48" s="238" t="e">
        <f>EB$21*'Mat. Conv Par.'!$AC30+EB$22*'Mat. Conv Par.'!$BB28+EB$23*'Mat. Conv Par.'!$CB28+'Mat. Conv Par.'!$C118*SUM(Input!$F$28:$F$32)/$D$8+(EC$21*HLOOKUP($EA$21,'GREET IO'!$A$77:$AZ$98,ROW(EA48)-ROW(EA$42)+1,FALSE)+EC$22*HLOOKUP($EA$22,'GREET IO'!$A$77:$AZ$98,ROW(EA48)-ROW(EA$42)+1,FALSE)+EC$23*HLOOKUP($EA$23,'GREET IO'!$A$77:$AZ$98,ROW(EA48)-ROW(EA$42)+1,FALSE)+EC$24*HLOOKUP($EA$24,'GREET IO'!$A$77:$AZ$98,ROW(EA48)-ROW(EA$42)+1,FALSE)+EC$25*HLOOKUP($EA$25,'GREET IO'!$A$77:$AZ$98,ROW(EA48)-ROW(EA$42)+1,FALSE)+EC$26*HLOOKUP($EA$26,'GREET IO'!$A$77:$AZ$98,ROW(EA48)-ROW(EA$42)+1,FALSE)+EC$27*HLOOKUP($EA$27,'GREET IO'!$A$77:$AZ$98,ROW(EA48)-ROW(EA$42)+1,FALSE))/$AI$32</f>
        <v>#DIV/0!</v>
      </c>
      <c r="EC48" s="238" t="e">
        <f>EE$21*'Mat. Conv Par.'!$AC30+EE$22*'Mat. Conv Par.'!$BB28+EE$23*'Mat. Conv Par.'!$CB28+'Mat. Conv Par.'!$D118*SUM(Input!$F$28:$F$32)/$D$8+(EF$21*HLOOKUP($EA$21,'GREET IO'!$A$77:$AZ$98,ROW(EA48)-ROW(EA$42)+1,FALSE)+EF$22*HLOOKUP($EA$22,'GREET IO'!$A$77:$AZ$98,ROW(EA48)-ROW(EA$42)+1,FALSE)+EF$23*HLOOKUP($EA$23,'GREET IO'!$A$77:$AZ$98,ROW(EA48)-ROW(EA$42)+1,FALSE)+EF$24*HLOOKUP($EA$24,'GREET IO'!$A$77:$AZ$98,ROW(EA48)-ROW(EA$42)+1,FALSE)+EF$25*HLOOKUP($EA$25,'GREET IO'!$A$77:$AZ$98,ROW(EA48)-ROW(EA$42)+1,FALSE)+EF$26*HLOOKUP($EA$26,'GREET IO'!$A$77:$AZ$98,ROW(EA48)-ROW(EA$42)+1,FALSE)+EF$27*HLOOKUP($EA$27,'GREET IO'!$A$77:$AZ$98,ROW(EA48)-ROW(EA$42)+1,FALSE))/$AI$32</f>
        <v>#DIV/0!</v>
      </c>
      <c r="ED48" s="238" t="e">
        <f>EH$21*'Mat. Conv Par.'!$AC30+EH$22*'Mat. Conv Par.'!$BB28+EH$23*'Mat. Conv Par.'!$CB28+'Mat. Conv Par.'!$F118*SUM(Input!$F$28:$F$32)/$D$8+(EI$21*HLOOKUP($EA$21,'GREET IO'!$A$77:$AZ$98,ROW(EA48)-ROW(EA$42)+1,FALSE)+EI$22*HLOOKUP($EA$22,'GREET IO'!$A$77:$AZ$98,ROW(EA48)-ROW(EA$42)+1,FALSE)+EI$23*HLOOKUP($EA$23,'GREET IO'!$A$77:$AZ$98,ROW(EA48)-ROW(EA$42)+1,FALSE)+EI$24*HLOOKUP($EA$24,'GREET IO'!$A$77:$AZ$98,ROW(EA48)-ROW(EA$42)+1,FALSE)+EI$25*HLOOKUP($EA$25,'GREET IO'!$A$77:$AZ$98,ROW(EA48)-ROW(EA$42)+1,FALSE)+EI$26*HLOOKUP($EA$26,'GREET IO'!$A$77:$AZ$98,ROW(EA48)-ROW(EA$42)+1,FALSE)+EI$27*HLOOKUP($EA$27,'GREET IO'!$A$77:$AZ$98,ROW(EA48)-ROW(EA$42)+1,FALSE))/$AI$32</f>
        <v>#DIV/0!</v>
      </c>
      <c r="EE48" s="869">
        <f>EB$32*$AI$31*('GREET IO'!$B26/1000000)+EB$33*$AI$31*IF($D$10=Input!$AD$35, 'Geographic Par.'!$E74, IF($D$10=Input!$AD$36, 'Geographic Par.'!$F74, IF($D$10=Input!$AD$37, 'Geographic Par.'!$H74, IF($D$10=Input!$AD$38,'Geographic Par.'!$G74,'Geographic Par.'!$K74))))/1000000</f>
        <v>1.8749173911261697E-5</v>
      </c>
      <c r="EF48" s="877"/>
      <c r="EG48" s="238" t="e">
        <f t="shared" si="55"/>
        <v>#DIV/0!</v>
      </c>
      <c r="EH48" s="177" t="e">
        <f t="shared" si="56"/>
        <v>#DIV/0!</v>
      </c>
      <c r="EI48" s="181" t="e">
        <f t="shared" si="65"/>
        <v>#DIV/0!</v>
      </c>
      <c r="FA48" s="147" t="s">
        <v>177</v>
      </c>
      <c r="FB48" s="237" t="e">
        <f>FB$21*'Mat. Conv Par.'!$AB30+'Mat. Conv Par.'!$C118*SUM(Input!$F$28:$F$32)/$D$8+(FC$21*HLOOKUP($FA$21,'GREET IO'!$A$77:$AZ$98,ROW(FA48)-ROW(FA$42)+1,FALSE)+FC$22*HLOOKUP($FA$22,'GREET IO'!$A$77:$AZ$98,ROW(FA48)-ROW(FA$42)+1,FALSE))/$AI$32</f>
        <v>#DIV/0!</v>
      </c>
      <c r="FC48" s="237" t="e">
        <f>FE$21*'Mat. Conv Par.'!$AB30+'Mat. Conv Par.'!$D118*SUM(Input!$F$28:$F$32)/$D$8+(FF$21*HLOOKUP($FA$21,'GREET IO'!$A$77:$AZ$98,ROW(FA48)-ROW(FA$42)+1,FALSE)+FF$22*HLOOKUP($FA$22,'GREET IO'!$A$77:$AZ$98,ROW(FA48)-ROW(FA$42)+1,FALSE))/$AI$32</f>
        <v>#DIV/0!</v>
      </c>
      <c r="FD48" s="237" t="e">
        <f>FH$21*'Mat. Conv Par.'!$AB30+'Mat. Conv Par.'!$F118*SUM(Input!$F$28:$F$32)/$D$8+(FI$21*HLOOKUP($FA$21,'GREET IO'!$A$77:$AZ$98,ROW(FA48)-ROW(FA$42)+1,FALSE)+FI$22*HLOOKUP($FA$22,'GREET IO'!$A$77:$AZ$98,ROW(FA48)-ROW(FA$42)+1,FALSE))/$AI$32</f>
        <v>#DIV/0!</v>
      </c>
      <c r="FE48" s="869">
        <f>FB$32*$AI$31*('GREET IO'!$B26/1000000)+FB$33*$AI$31*IF($D$10=Input!$AD$35, 'Geographic Par.'!$E74, IF($D$10=Input!$AD$36, 'Geographic Par.'!$F74, IF($D$10=Input!$AD$37, 'Geographic Par.'!$H74, IF($D$10=Input!$AD$38,'Geographic Par.'!$G74,'Geographic Par.'!$K74))))/1000000</f>
        <v>0</v>
      </c>
      <c r="FF48" s="877"/>
      <c r="FG48" s="238" t="e">
        <f t="shared" si="57"/>
        <v>#DIV/0!</v>
      </c>
      <c r="FH48" s="177" t="e">
        <f t="shared" si="58"/>
        <v>#DIV/0!</v>
      </c>
      <c r="FI48" s="181" t="e">
        <f t="shared" si="59"/>
        <v>#DIV/0!</v>
      </c>
    </row>
    <row r="49" spans="2:168">
      <c r="AA49" s="143" t="s">
        <v>1047</v>
      </c>
      <c r="AB49" s="871" t="e">
        <f>AB$21*'Mat. Conv Par.'!$AC31+AB$22*'Mat. Conv Par.'!$BB29+'Mat. Conv Par.'!$C119*SUM(Input!$F$28:$F$32)/$D$8+(AC$21*HLOOKUP($AA$21,'GREET IO'!$A$77:$AZ$98,ROW(AA49)-ROW(AA$42)+1,FALSE)+AC$22*HLOOKUP($AA$22,'GREET IO'!$A$77:$AZ$98,ROW(AA49)-ROW(AA$42)+1,FALSE)+AC$23*HLOOKUP($AA$23,'GREET IO'!$A$77:$AZ$98,ROW(AA49)-ROW(AA$42)+1,FALSE)+AC$24*HLOOKUP($AA$24,'GREET IO'!$A$77:$AZ$98,ROW(AA49)-ROW(AA$42)+1,FALSE)+AC$25*HLOOKUP($AA$25,'GREET IO'!$A$77:$AZ$98,ROW(AA49)-ROW(AA$42)+1,FALSE)+AC$26*HLOOKUP($AA$26,'GREET IO'!$A$77:$AZ$98,ROW(AA49)-ROW(AA$42)+1,FALSE)+AC$27*HLOOKUP($AA$27,'GREET IO'!$A$77:$AZ$98,ROW(AA49)-ROW(AA$42)+1,FALSE))/$AI$32</f>
        <v>#DIV/0!</v>
      </c>
      <c r="AC49" s="871" t="e">
        <f>AE$21*'Mat. Conv Par.'!$AC31+AE$22*'Mat. Conv Par.'!$BB29+'Mat. Conv Par.'!$D119*SUM(Input!$F$28:$F$32)/$D$8+(AF$21*HLOOKUP($AA$21,'GREET IO'!$A$77:$AZ$98,ROW(AA49)-ROW(AA$42)+1,FALSE)+AF$22*HLOOKUP($AA$22,'GREET IO'!$A$77:$AZ$98,ROW(AA49)-ROW(AA$42)+1,FALSE)+AF$23*HLOOKUP($AA$23,'GREET IO'!$A$77:$AZ$98,ROW(AA49)-ROW(AA$42)+1,FALSE)+AF$24*HLOOKUP($AA$24,'GREET IO'!$A$77:$AZ$98,ROW(AA49)-ROW(AA$42)+1,FALSE)+AF$25*HLOOKUP($AA$25,'GREET IO'!$A$77:$AZ$98,ROW(AA49)-ROW(AA$42)+1,FALSE)+AF$26*HLOOKUP($AA$26,'GREET IO'!$A$77:$AZ$98,ROW(AA49)-ROW(AA$42)+1,FALSE)+AF$27*HLOOKUP($AA$27,'GREET IO'!$A$77:$AZ$98,ROW(AA49)-ROW(AA$42)+1,FALSE))/$AI$32</f>
        <v>#DIV/0!</v>
      </c>
      <c r="AD49" s="872" t="e">
        <f>AH$21*'Mat. Conv Par.'!$AC31+AH$22*'Mat. Conv Par.'!$BB29+'Mat. Conv Par.'!$F119*SUM(Input!$F$28:$F$32)/$D$8+(AI$21*HLOOKUP($AA$21,'GREET IO'!$A$77:$AZ$98,ROW(AA49)-ROW(AA$42)+1,FALSE)+AI$22*HLOOKUP($AA$22,'GREET IO'!$A$77:$AZ$98,ROW(AA49)-ROW(AA$42)+1,FALSE)+AI$23*HLOOKUP($AA$23,'GREET IO'!$A$77:$AZ$98,ROW(AA49)-ROW(AA$42)+1,FALSE)+AI$24*HLOOKUP($AA$24,'GREET IO'!$A$77:$AZ$98,ROW(AA49)-ROW(AA$42)+1,FALSE)+AI$25*HLOOKUP($AA$25,'GREET IO'!$A$77:$AZ$98,ROW(AA49)-ROW(AA$42)+1,FALSE)+AI$26*HLOOKUP($AA$26,'GREET IO'!$A$77:$AZ$98,ROW(AA49)-ROW(AA$42)+1,FALSE)+AI$27*HLOOKUP($AA$27,'GREET IO'!$A$77:$AZ$98,ROW(AA49)-ROW(AA$42)+1,FALSE))/$AI$32</f>
        <v>#DIV/0!</v>
      </c>
      <c r="AE49" s="872">
        <f>AB$32*$AI$31*'GREET IO'!$B27+AB$33*$AI$31*IF($D$10=Input!$AD$35, 'Geographic Par.'!$E75, IF($D$10=Input!$AD$36,'Geographic Par.'!$F75, IF($D$10=Input!$AD$37, 'Geographic Par.'!$H75, IF($D$10=Input!$AD$38,'Geographic Par.'!$G75,'Geographic Par.'!$K75))))</f>
        <v>0.13981981015734027</v>
      </c>
      <c r="AF49" s="872">
        <f>AB37</f>
        <v>0.17639152034759364</v>
      </c>
      <c r="AG49" s="871" t="e">
        <f t="shared" si="60"/>
        <v>#DIV/0!</v>
      </c>
      <c r="AH49" s="864" t="e">
        <f t="shared" si="61"/>
        <v>#DIV/0!</v>
      </c>
      <c r="AI49" s="878" t="e">
        <f t="shared" si="62"/>
        <v>#DIV/0!</v>
      </c>
      <c r="BA49" s="143" t="s">
        <v>1047</v>
      </c>
      <c r="BB49" s="871" t="e">
        <f>BB$21*'Mat. Conv Par.'!$AC31+BB$22*'Mat. Conv Par.'!$BB29+'Mat. Conv Par.'!$C119*SUM(Input!$F$28:$F$32)/$D$8+(BC$21*HLOOKUP($AA$21,'GREET IO'!$A$77:$AZ$98,ROW(BA49)-ROW(BA$42)+1,FALSE)+BC$22*HLOOKUP($AA$22,'GREET IO'!$A$77:$AZ$98,ROW(BA49)-ROW(BA$42)+1,FALSE)+BC$23*HLOOKUP($AA$23,'GREET IO'!$A$77:$AZ$98,ROW(BA49)-ROW(BA$42)+1,FALSE)+BC$24*HLOOKUP($AA$24,'GREET IO'!$A$77:$AZ$98,ROW(BA49)-ROW(BA$42)+1,FALSE)+BC$25*HLOOKUP($AA$25,'GREET IO'!$A$77:$AZ$98,ROW(BA49)-ROW(BA$42)+1,FALSE)+BC$26*HLOOKUP($AA$26,'GREET IO'!$A$77:$AZ$98,ROW(BA49)-ROW(BA$42)+1,FALSE)+BC$27*HLOOKUP($AA$27,'GREET IO'!$A$77:$AZ$98,ROW(BA49)-ROW(BA$42)+1,FALSE))/$AI$32</f>
        <v>#DIV/0!</v>
      </c>
      <c r="BC49" s="871" t="e">
        <f>BE$21*'Mat. Conv Par.'!$AC31+BE$22*'Mat. Conv Par.'!$BB29+'Mat. Conv Par.'!$D119*SUM(Input!$F$28:$F$32)/$D$8+(BF$21*HLOOKUP($AA$21,'GREET IO'!$A$77:$AZ$98,ROW(BA49)-ROW(BA$42)+1,FALSE)+BF$22*HLOOKUP($AA$22,'GREET IO'!$A$77:$AZ$98,ROW(BA49)-ROW(BA$42)+1,FALSE)+BF$23*HLOOKUP($AA$23,'GREET IO'!$A$77:$AZ$98,ROW(BA49)-ROW(BA$42)+1,FALSE)+BF$24*HLOOKUP($AA$24,'GREET IO'!$A$77:$AZ$98,ROW(BA49)-ROW(BA$42)+1,FALSE)+BF$25*HLOOKUP($AA$25,'GREET IO'!$A$77:$AZ$98,ROW(BA49)-ROW(BA$42)+1,FALSE)+BF$26*HLOOKUP($AA$26,'GREET IO'!$A$77:$AZ$98,ROW(BA49)-ROW(BA$42)+1,FALSE)+BF$27*HLOOKUP($AA$27,'GREET IO'!$A$77:$AZ$98,ROW(BA49)-ROW(BA$42)+1,FALSE))/$AI$32</f>
        <v>#DIV/0!</v>
      </c>
      <c r="BD49" s="872" t="e">
        <f>BH$21*'Mat. Conv Par.'!$AC31+BH$22*'Mat. Conv Par.'!$BB29+'Mat. Conv Par.'!$F119*SUM(Input!$F$28:$F$32)/$D$8+(BI$21*HLOOKUP($AA$21,'GREET IO'!$A$77:$AZ$98,ROW(BA49)-ROW(BA$42)+1,FALSE)+BI$22*HLOOKUP($AA$22,'GREET IO'!$A$77:$AZ$98,ROW(BA49)-ROW(BA$42)+1,FALSE)+BI$23*HLOOKUP($AA$23,'GREET IO'!$A$77:$AZ$98,ROW(BA49)-ROW(BA$42)+1,FALSE)+BI$24*HLOOKUP($AA$24,'GREET IO'!$A$77:$AZ$98,ROW(BA49)-ROW(BA$42)+1,FALSE)+BI$25*HLOOKUP($AA$25,'GREET IO'!$A$77:$AZ$98,ROW(BA49)-ROW(BA$42)+1,FALSE)+BI$26*HLOOKUP($AA$26,'GREET IO'!$A$77:$AZ$98,ROW(BA49)-ROW(BA$42)+1,FALSE)+BI$27*HLOOKUP($AA$27,'GREET IO'!$A$77:$AZ$98,ROW(BA49)-ROW(BA$42)+1,FALSE))/$AI$32</f>
        <v>#DIV/0!</v>
      </c>
      <c r="BE49" s="872">
        <f>BB$32*$AI$31*'GREET IO'!$B27+BB$33*$AI$31*IF($D$10=Input!$AD$35, 'Geographic Par.'!$E75, IF($D$10=Input!$AD$36,'Geographic Par.'!$F75, IF($D$10=Input!$AD$37, 'Geographic Par.'!$H75, IF($D$10=Input!$AD$38,'Geographic Par.'!$G75,'Geographic Par.'!$K75))))</f>
        <v>0.13982704851567526</v>
      </c>
      <c r="BF49" s="872">
        <f>BB37</f>
        <v>0.17640065199374652</v>
      </c>
      <c r="BG49" s="871" t="e">
        <f t="shared" si="48"/>
        <v>#DIV/0!</v>
      </c>
      <c r="BH49" s="864" t="e">
        <f t="shared" si="49"/>
        <v>#DIV/0!</v>
      </c>
      <c r="BI49" s="878" t="e">
        <f t="shared" si="50"/>
        <v>#DIV/0!</v>
      </c>
      <c r="CA49" s="143" t="s">
        <v>1047</v>
      </c>
      <c r="CB49" s="871" t="e">
        <f>CB$21*'Mat. Conv Par.'!$AC31+CB$22*'Mat. Conv Par.'!$BB29+'Mat. Conv Par.'!$C119*SUM(Input!$F$28:$F$32)/$D$8+(CC$21*HLOOKUP($AA$21,'GREET IO'!$A$77:$AZ$98,ROW(CA49)-ROW(CA$42)+1,FALSE)+CC$22*HLOOKUP($AA$22,'GREET IO'!$A$77:$AZ$98,ROW(CA49)-ROW(CA$42)+1,FALSE)+CC$23*HLOOKUP($AA$23,'GREET IO'!$A$77:$AZ$98,ROW(CA49)-ROW(CA$42)+1,FALSE)+CC$24*HLOOKUP($AA$24,'GREET IO'!$A$77:$AZ$98,ROW(CA49)-ROW(CA$42)+1,FALSE)+CC$25*HLOOKUP($AA$25,'GREET IO'!$A$77:$AZ$98,ROW(CA49)-ROW(CA$42)+1,FALSE)+CC$26*HLOOKUP($AA$26,'GREET IO'!$A$77:$AZ$98,ROW(CA49)-ROW(CA$42)+1,FALSE)+CC$27*HLOOKUP($AA$27,'GREET IO'!$A$77:$AZ$98,ROW(CA49)-ROW(CA$42)+1,FALSE))/$AI$32</f>
        <v>#DIV/0!</v>
      </c>
      <c r="CC49" s="871" t="e">
        <f>CE$21*'Mat. Conv Par.'!$AC31+CE$22*'Mat. Conv Par.'!$BB29+'Mat. Conv Par.'!$D119*SUM(Input!$F$28:$F$32)/$D$8+(CF$21*HLOOKUP($AA$21,'GREET IO'!$A$77:$AZ$98,ROW(CA49)-ROW(CA$42)+1,FALSE)+CF$22*HLOOKUP($AA$22,'GREET IO'!$A$77:$AZ$98,ROW(CA49)-ROW(CA$42)+1,FALSE)+CF$23*HLOOKUP($AA$23,'GREET IO'!$A$77:$AZ$98,ROW(CA49)-ROW(CA$42)+1,FALSE)+CF$24*HLOOKUP($AA$24,'GREET IO'!$A$77:$AZ$98,ROW(CA49)-ROW(CA$42)+1,FALSE)+CF$25*HLOOKUP($AA$25,'GREET IO'!$A$77:$AZ$98,ROW(CA49)-ROW(CA$42)+1,FALSE)+CF$26*HLOOKUP($AA$26,'GREET IO'!$A$77:$AZ$98,ROW(CA49)-ROW(CA$42)+1,FALSE)+CF$27*HLOOKUP($AA$27,'GREET IO'!$A$77:$AZ$98,ROW(CA49)-ROW(CA$42)+1,FALSE))/$AI$32</f>
        <v>#DIV/0!</v>
      </c>
      <c r="CD49" s="872" t="e">
        <f>CH$21*'Mat. Conv Par.'!$AC31+CH$22*'Mat. Conv Par.'!$BB29+'Mat. Conv Par.'!$F119*SUM(Input!$F$28:$F$32)/$D$8+(CI$21*HLOOKUP($AA$21,'GREET IO'!$A$77:$AZ$98,ROW(CA49)-ROW(CA$42)+1,FALSE)+CI$22*HLOOKUP($AA$22,'GREET IO'!$A$77:$AZ$98,ROW(CA49)-ROW(CA$42)+1,FALSE)+CI$23*HLOOKUP($AA$23,'GREET IO'!$A$77:$AZ$98,ROW(CA49)-ROW(CA$42)+1,FALSE)+CI$24*HLOOKUP($AA$24,'GREET IO'!$A$77:$AZ$98,ROW(CA49)-ROW(CA$42)+1,FALSE)+CI$25*HLOOKUP($AA$25,'GREET IO'!$A$77:$AZ$98,ROW(CA49)-ROW(CA$42)+1,FALSE)+CI$26*HLOOKUP($AA$26,'GREET IO'!$A$77:$AZ$98,ROW(CA49)-ROW(CA$42)+1,FALSE)+CI$27*HLOOKUP($AA$27,'GREET IO'!$A$77:$AZ$98,ROW(CA49)-ROW(CA$42)+1,FALSE))/$AI$32</f>
        <v>#DIV/0!</v>
      </c>
      <c r="CE49" s="872">
        <f>CB$32*$AI$31*'GREET IO'!$B27+CB$33*$AI$31*IF($D$10=Input!$AD$35, 'Geographic Par.'!$E75, IF($D$10=Input!$AD$36,'Geographic Par.'!$F75, IF($D$10=Input!$AD$37, 'Geographic Par.'!$H75, IF($D$10=Input!$AD$38,'Geographic Par.'!$G75,'Geographic Par.'!$K75))))</f>
        <v>0.13985609452043304</v>
      </c>
      <c r="CF49" s="872">
        <f>CB37</f>
        <v>0.17643729536304803</v>
      </c>
      <c r="CG49" s="871" t="e">
        <f t="shared" si="51"/>
        <v>#DIV/0!</v>
      </c>
      <c r="CH49" s="864" t="e">
        <f t="shared" si="52"/>
        <v>#DIV/0!</v>
      </c>
      <c r="CI49" s="878" t="e">
        <f t="shared" si="63"/>
        <v>#DIV/0!</v>
      </c>
      <c r="DA49" s="143" t="s">
        <v>1047</v>
      </c>
      <c r="DB49" s="871" t="e">
        <f>DB$21*'Mat. Conv Par.'!$AC31+DB$22*'Mat. Conv Par.'!$BB29+'Mat. Conv Par.'!$C119*SUM(Input!$F$28:$F$32)/$D$8+(DC$21*HLOOKUP($DA$21,'GREET IO'!$A$77:$AZ$98,ROW(DA49)-ROW(DA$42)+1,FALSE)+DC$22*HLOOKUP($DA$22,'GREET IO'!$A$77:$AZ$98,ROW(DA49)-ROW(DA$42)+1,FALSE)+DC$23*HLOOKUP($DA$23,'GREET IO'!$A$77:$AZ$98,ROW(DA49)-ROW(DA$42)+1,FALSE)+DC$24*HLOOKUP($DA$24,'GREET IO'!$A$77:$AZ$98,ROW(DA49)-ROW(DA$42)+1,FALSE)+DC$25*HLOOKUP($DA$25,'GREET IO'!$A$77:$AZ$98,ROW(DA49)-ROW(DA$42)+1,FALSE)+DC$26*HLOOKUP($DA$26,'GREET IO'!$A$77:$AZ$98,ROW(DA49)-ROW(DA$42)+1,FALSE)+DC$27*HLOOKUP($DA$27,'GREET IO'!$A$77:$AZ$98,ROW(DA49)-ROW(DA$42)+1,FALSE))/$AI$32</f>
        <v>#DIV/0!</v>
      </c>
      <c r="DC49" s="1205" t="e">
        <f>DE$21*'Mat. Conv Par.'!$AC31+DE$22*'Mat. Conv Par.'!$BB29+DE$23*'Mat. Conv Par.'!$CB29+'Mat. Conv Par.'!$D119*SUM(Input!$F$28:$F$32)/$D$8+(DF$21*HLOOKUP($DA$21,'GREET IO'!$A$77:$AZ$98,ROW(DA49)-ROW(DA$42)+1,FALSE)+DF$22*HLOOKUP($DA$22,'GREET IO'!$A$77:$AZ$98,ROW(DA49)-ROW(DA$42)+1,FALSE)+DF$23*HLOOKUP($DA$23,'GREET IO'!$A$77:$AZ$98,ROW(DA49)-ROW(DA$42)+1,FALSE)+DF$24*HLOOKUP($DA$24,'GREET IO'!$A$77:$AZ$98,ROW(DA49)-ROW(DA$42)+1,FALSE)+DF$25*HLOOKUP($DA$25,'GREET IO'!$A$77:$AZ$98,ROW(DA49)-ROW(DA$42)+1,FALSE)+DF$26*HLOOKUP($DA$26,'GREET IO'!$A$77:$AZ$98,ROW(DA49)-ROW(DA$42)+1,FALSE)+DF$27*HLOOKUP($DA$27,'GREET IO'!$A$77:$AZ$98,ROW(DA49)-ROW(DA$42)+1,FALSE))/$AI$32</f>
        <v>#DIV/0!</v>
      </c>
      <c r="DD49" s="1205" t="e">
        <f>DH$21*'Mat. Conv Par.'!$AC31+DH$22*'Mat. Conv Par.'!$BB29+DH$23*'Mat. Conv Par.'!$CB29+'Mat. Conv Par.'!$F119*SUM(Input!$F$28:$F$32)/$D$8+(DI$21*HLOOKUP($DA$21,'GREET IO'!$A$77:$AZ$98,ROW(DA49)-ROW(DA$42)+1,FALSE)+DI$22*HLOOKUP($DA$22,'GREET IO'!$A$77:$AZ$98,ROW(DA49)-ROW(DA$42)+1,FALSE)+DI$23*HLOOKUP($DA$23,'GREET IO'!$A$77:$AZ$98,ROW(DA49)-ROW(DA$42)+1,FALSE)+DI$24*HLOOKUP($DA$24,'GREET IO'!$A$77:$AZ$98,ROW(DA49)-ROW(DA$42)+1,FALSE)+DI$25*HLOOKUP($DA$25,'GREET IO'!$A$77:$AZ$98,ROW(DA49)-ROW(DA$42)+1,FALSE)+DI$26*HLOOKUP($DA$26,'GREET IO'!$A$77:$AZ$98,ROW(DA49)-ROW(DA$42)+1,FALSE)+DI$27*HLOOKUP($DA$27,'GREET IO'!$A$77:$AZ$98,ROW(DA49)-ROW(DA$42)+1,FALSE))/$AI$32</f>
        <v>#DIV/0!</v>
      </c>
      <c r="DE49" s="872">
        <f>DB$32*$AI$31*'GREET IO'!$B27+DB$33*$AI$31*IF($D$10=Input!$AD$35, 'Geographic Par.'!$E75, IF($D$10=Input!$AD$36,'Geographic Par.'!$F75, IF($D$10=Input!$AD$37, 'Geographic Par.'!$H75, IF($D$10=Input!$AD$38,'Geographic Par.'!$G75,'Geographic Par.'!$K75))))</f>
        <v>0.1398136485063215</v>
      </c>
      <c r="DF49" s="872">
        <f>DB37</f>
        <v>0.17647133758688921</v>
      </c>
      <c r="DG49" s="871" t="e">
        <f t="shared" si="53"/>
        <v>#DIV/0!</v>
      </c>
      <c r="DH49" s="864" t="e">
        <f t="shared" si="54"/>
        <v>#DIV/0!</v>
      </c>
      <c r="DI49" s="878" t="e">
        <f t="shared" si="64"/>
        <v>#DIV/0!</v>
      </c>
      <c r="EA49" s="143" t="s">
        <v>1047</v>
      </c>
      <c r="EB49" s="871" t="e">
        <f>EB$21*'Mat. Conv Par.'!$AC31+EB$22*'Mat. Conv Par.'!$BB29+EB$23*'Mat. Conv Par.'!$CB29+'Mat. Conv Par.'!$C119*SUM(Input!$F$28:$F$32)/$D$8+(EC$21*HLOOKUP($EA$21,'GREET IO'!$A$77:$AZ$98,ROW(EA49)-ROW(EA$42)+1,FALSE)+EC$22*HLOOKUP($EA$22,'GREET IO'!$A$77:$AZ$98,ROW(EA49)-ROW(EA$42)+1,FALSE)+EC$23*HLOOKUP($EA$23,'GREET IO'!$A$77:$AZ$98,ROW(EA49)-ROW(EA$42)+1,FALSE)+EC$24*HLOOKUP($EA$24,'GREET IO'!$A$77:$AZ$98,ROW(EA49)-ROW(EA$42)+1,FALSE)+EC$25*HLOOKUP($EA$25,'GREET IO'!$A$77:$AZ$98,ROW(EA49)-ROW(EA$42)+1,FALSE)+EC$26*HLOOKUP($EA$26,'GREET IO'!$A$77:$AZ$98,ROW(EA49)-ROW(EA$42)+1,FALSE)+EC$27*HLOOKUP($EA$27,'GREET IO'!$A$77:$AZ$98,ROW(EA49)-ROW(EA$42)+1,FALSE))/$AI$32</f>
        <v>#DIV/0!</v>
      </c>
      <c r="EC49" s="871" t="e">
        <f>EE$21*'Mat. Conv Par.'!$AC31+EE$22*'Mat. Conv Par.'!$BB29+EE$23*'Mat. Conv Par.'!$CB29+'Mat. Conv Par.'!$D119*SUM(Input!$F$28:$F$32)/$D$8+(EF$21*HLOOKUP($EA$21,'GREET IO'!$A$77:$AZ$98,ROW(EA49)-ROW(EA$42)+1,FALSE)+EF$22*HLOOKUP($EA$22,'GREET IO'!$A$77:$AZ$98,ROW(EA49)-ROW(EA$42)+1,FALSE)+EF$23*HLOOKUP($EA$23,'GREET IO'!$A$77:$AZ$98,ROW(EA49)-ROW(EA$42)+1,FALSE)+EF$24*HLOOKUP($EA$24,'GREET IO'!$A$77:$AZ$98,ROW(EA49)-ROW(EA$42)+1,FALSE)+EF$25*HLOOKUP($EA$25,'GREET IO'!$A$77:$AZ$98,ROW(EA49)-ROW(EA$42)+1,FALSE)+EF$26*HLOOKUP($EA$26,'GREET IO'!$A$77:$AZ$98,ROW(EA49)-ROW(EA$42)+1,FALSE)+EF$27*HLOOKUP($EA$27,'GREET IO'!$A$77:$AZ$98,ROW(EA49)-ROW(EA$42)+1,FALSE))/$AI$32</f>
        <v>#DIV/0!</v>
      </c>
      <c r="ED49" s="871" t="e">
        <f>EH$21*'Mat. Conv Par.'!$AC31+EH$22*'Mat. Conv Par.'!$BB29+EH$23*'Mat. Conv Par.'!$CB29+'Mat. Conv Par.'!$F119*SUM(Input!$F$28:$F$32)/$D$8+(EI$21*HLOOKUP($EA$21,'GREET IO'!$A$77:$AZ$98,ROW(EA49)-ROW(EA$42)+1,FALSE)+EI$22*HLOOKUP($EA$22,'GREET IO'!$A$77:$AZ$98,ROW(EA49)-ROW(EA$42)+1,FALSE)+EI$23*HLOOKUP($EA$23,'GREET IO'!$A$77:$AZ$98,ROW(EA49)-ROW(EA$42)+1,FALSE)+EI$24*HLOOKUP($EA$24,'GREET IO'!$A$77:$AZ$98,ROW(EA49)-ROW(EA$42)+1,FALSE)+EI$25*HLOOKUP($EA$25,'GREET IO'!$A$77:$AZ$98,ROW(EA49)-ROW(EA$42)+1,FALSE)+EI$26*HLOOKUP($EA$26,'GREET IO'!$A$77:$AZ$98,ROW(EA49)-ROW(EA$42)+1,FALSE)+EI$27*HLOOKUP($EA$27,'GREET IO'!$A$77:$AZ$98,ROW(EA49)-ROW(EA$42)+1,FALSE))/$AI$32</f>
        <v>#DIV/0!</v>
      </c>
      <c r="EE49" s="872">
        <f>EB$32*$AI$31*'GREET IO'!$B27+EB$33*$AI$31*IF($D$10=Input!$AD$35, 'Geographic Par.'!$E75, IF($D$10=Input!$AD$36,'Geographic Par.'!$F75, IF($D$10=Input!$AD$37, 'Geographic Par.'!$H75, IF($D$10=Input!$AD$38,'Geographic Par.'!$G75,'Geographic Par.'!$K75))))</f>
        <v>0.13996796966777564</v>
      </c>
      <c r="EF49" s="872">
        <f>EB37</f>
        <v>0.17657843292650677</v>
      </c>
      <c r="EG49" s="871" t="e">
        <f t="shared" si="55"/>
        <v>#DIV/0!</v>
      </c>
      <c r="EH49" s="864" t="e">
        <f t="shared" si="56"/>
        <v>#DIV/0!</v>
      </c>
      <c r="EI49" s="878" t="e">
        <f t="shared" si="65"/>
        <v>#DIV/0!</v>
      </c>
      <c r="FA49" s="143" t="s">
        <v>1047</v>
      </c>
      <c r="FB49" s="237" t="e">
        <f>FB$21*'Mat. Conv Par.'!$AB31+'Mat. Conv Par.'!$C119*SUM(Input!$F$28:$F$32)/$D$8+(FC$21*HLOOKUP($FA$21,'GREET IO'!$A$77:$AZ$98,ROW(FA49)-ROW(FA$42)+1,FALSE)+FC$22*HLOOKUP($FA$22,'GREET IO'!$A$77:$AZ$98,ROW(FA49)-ROW(FA$42)+1,FALSE))/$AI$32</f>
        <v>#DIV/0!</v>
      </c>
      <c r="FC49" s="237" t="e">
        <f>FE$21*'Mat. Conv Par.'!$AB31+'Mat. Conv Par.'!$D119*SUM(Input!$F$28:$F$32)/$D$8+(FF$21*HLOOKUP($FA$21,'GREET IO'!$A$77:$AZ$98,ROW(FA49)-ROW(FA$42)+1,FALSE)+FF$22*HLOOKUP($FA$22,'GREET IO'!$A$77:$AZ$98,ROW(FA49)-ROW(FA$42)+1,FALSE))/$AI$32</f>
        <v>#DIV/0!</v>
      </c>
      <c r="FD49" s="237" t="e">
        <f>FH$21*'Mat. Conv Par.'!$AB31+'Mat. Conv Par.'!$F119*SUM(Input!$F$28:$F$32)/$D$8+(FI$21*HLOOKUP($FA$21,'GREET IO'!$A$77:$AZ$98,ROW(FA49)-ROW(FA$42)+1,FALSE)+FI$22*HLOOKUP($FA$22,'GREET IO'!$A$77:$AZ$98,ROW(FA49)-ROW(FA$42)+1,FALSE))/$AI$32</f>
        <v>#DIV/0!</v>
      </c>
      <c r="FE49" s="872">
        <f>FB$32*$AI$31*'GREET IO'!$B27+FB$33*$AI$31*IF($D$10=Input!$AD$35, 'Geographic Par.'!$E75, IF($D$10=Input!$AD$36,'Geographic Par.'!$F75, IF($D$10=Input!$AD$37, 'Geographic Par.'!$H75, IF($D$10=Input!$AD$38,'Geographic Par.'!$G75,'Geographic Par.'!$K75))))</f>
        <v>0</v>
      </c>
      <c r="FF49" s="872">
        <f>FB37</f>
        <v>0</v>
      </c>
      <c r="FG49" s="871" t="e">
        <f t="shared" si="57"/>
        <v>#DIV/0!</v>
      </c>
      <c r="FH49" s="864" t="e">
        <f t="shared" si="58"/>
        <v>#DIV/0!</v>
      </c>
      <c r="FI49" s="878" t="e">
        <f t="shared" si="59"/>
        <v>#DIV/0!</v>
      </c>
    </row>
    <row r="50" spans="2:168">
      <c r="B50" s="133" t="s">
        <v>711</v>
      </c>
      <c r="C50" s="111"/>
      <c r="D50" s="1280" t="s">
        <v>1539</v>
      </c>
      <c r="E50" s="111"/>
      <c r="AA50" s="143" t="s">
        <v>345</v>
      </c>
      <c r="AE50" s="83"/>
      <c r="AF50" s="83"/>
      <c r="AG50" s="83"/>
      <c r="AI50" s="28"/>
      <c r="BA50" s="143" t="s">
        <v>345</v>
      </c>
      <c r="BE50" s="83"/>
      <c r="BF50" s="83"/>
      <c r="BG50" s="83"/>
      <c r="BI50" s="28"/>
      <c r="CA50" s="143" t="s">
        <v>345</v>
      </c>
      <c r="CE50" s="83"/>
      <c r="CF50" s="83"/>
      <c r="CG50" s="83"/>
      <c r="CI50" s="28"/>
      <c r="DA50" s="143" t="s">
        <v>345</v>
      </c>
      <c r="DE50" s="83"/>
      <c r="DF50" s="83"/>
      <c r="DG50" s="83"/>
      <c r="DI50" s="28"/>
      <c r="EA50" s="143" t="s">
        <v>345</v>
      </c>
      <c r="EE50" s="83"/>
      <c r="EF50" s="83"/>
      <c r="EG50" s="83"/>
      <c r="EI50" s="28"/>
      <c r="FA50" s="143" t="s">
        <v>345</v>
      </c>
      <c r="FB50" s="83"/>
      <c r="FC50" s="83"/>
      <c r="FD50" s="83"/>
      <c r="FE50" s="83"/>
      <c r="FF50" s="83"/>
      <c r="FG50" s="83"/>
      <c r="FI50" s="28"/>
    </row>
    <row r="51" spans="2:168">
      <c r="B51" s="247"/>
      <c r="C51" s="557" t="s">
        <v>51</v>
      </c>
      <c r="D51" s="557" t="s">
        <v>63</v>
      </c>
      <c r="E51" s="556" t="s">
        <v>52</v>
      </c>
      <c r="AA51" s="147" t="s">
        <v>180</v>
      </c>
      <c r="AB51" s="865" t="e">
        <f>AB$21*'Mat. Conv Par.'!$AC33+AB$22*'Mat. Conv Par.'!$BB31+'Mat. Conv Par.'!$C121*SUM(Input!$F$28:$F$32)/$D$8+(AC$21*HLOOKUP($AA$21,'GREET IO'!$A$77:$AZ$98,ROW(AA51)-ROW(AA$42)+1,FALSE)+AC$22*HLOOKUP($AA$22,'GREET IO'!$A$77:$AZ$98,ROW(AA51)-ROW(AA$42)+1,FALSE)+AC$23*HLOOKUP($AA$23,'GREET IO'!$A$77:$AZ$98,ROW(AA51)-ROW(AA$42)+1,FALSE)+AC$24*HLOOKUP($AA$24,'GREET IO'!$A$77:$AZ$98,ROW(AA51)-ROW(AA$42)+1,FALSE)+AC$25*HLOOKUP($AA$25,'GREET IO'!$A$77:$AZ$98,ROW(AA51)-ROW(AA$42)+1,FALSE)+AC$26*HLOOKUP($AA$26,'GREET IO'!$A$77:$AZ$98,ROW(AA51)-ROW(AA$42)+1,FALSE)+AC$27*HLOOKUP($AA$27,'GREET IO'!$A$77:$AZ$98,ROW(AA51)-ROW(AA$42)+1,FALSE))/$AI$32</f>
        <v>#DIV/0!</v>
      </c>
      <c r="AC51" s="865" t="e">
        <f>AE$21*'Mat. Conv Par.'!$AC33+AE$22*'Mat. Conv Par.'!$BB31+'Mat. Conv Par.'!$D121*SUM(Input!$F$28:$F$32)/$D$8+(AF$21*HLOOKUP($AA$21,'GREET IO'!$A$77:$AZ$98,ROW(AA51)-ROW(AA$42)+1,FALSE)+AF$22*HLOOKUP($AA$22,'GREET IO'!$A$77:$AZ$98,ROW(AA51)-ROW(AA$42)+1,FALSE)+AF$23*HLOOKUP($AA$23,'GREET IO'!$A$77:$AZ$98,ROW(AA51)-ROW(AA$42)+1,FALSE)+AF$24*HLOOKUP($AA$24,'GREET IO'!$A$77:$AZ$98,ROW(AA51)-ROW(AA$42)+1,FALSE)+AF$25*HLOOKUP($AA$25,'GREET IO'!$A$77:$AZ$98,ROW(AA51)-ROW(AA$42)+1,FALSE)+AF$26*HLOOKUP($AA$26,'GREET IO'!$A$77:$AZ$98,ROW(AA51)-ROW(AA$42)+1,FALSE)+AF$27*HLOOKUP($AA$27,'GREET IO'!$A$77:$AZ$98,ROW(AA51)-ROW(AA$42)+1,FALSE))/$AI$32</f>
        <v>#DIV/0!</v>
      </c>
      <c r="AD51" s="870" t="e">
        <f>AH$21*'Mat. Conv Par.'!$AC33+AH$22*'Mat. Conv Par.'!$BB31+'Mat. Conv Par.'!$F121*SUM(Input!$F$28:$F$32)/$D$8+(AI$21*HLOOKUP($AA$21,'GREET IO'!$A$77:$AZ$98,ROW(AA51)-ROW(AA$42)+1,FALSE)+AI$22*HLOOKUP($AA$22,'GREET IO'!$A$77:$AZ$98,ROW(AA51)-ROW(AA$42)+1,FALSE)+AI$23*HLOOKUP($AA$23,'GREET IO'!$A$77:$AZ$98,ROW(AA51)-ROW(AA$42)+1,FALSE)+AI$24*HLOOKUP($AA$24,'GREET IO'!$A$77:$AZ$98,ROW(AA51)-ROW(AA$42)+1,FALSE)+AI$25*HLOOKUP($AA$25,'GREET IO'!$A$77:$AZ$98,ROW(AA51)-ROW(AA$42)+1,FALSE)+AI$26*HLOOKUP($AA$26,'GREET IO'!$A$77:$AZ$98,ROW(AA51)-ROW(AA$42)+1,FALSE)+AI$27*HLOOKUP($AA$27,'GREET IO'!$A$77:$AZ$98,ROW(AA51)-ROW(AA$42)+1,FALSE))/$AI$32</f>
        <v>#DIV/0!</v>
      </c>
      <c r="AE51" s="873">
        <f>AB$32*$AI$31*('GREET IO'!$B28+'GREET IO'!$B4)+AB$33*$AI$31*IF($D$10=Input!$AD$35, 'Geographic Par.'!$E76, IF($D$10=Input!$AD$36, 'Geographic Par.'!$F76, IF($D$10=Input!$AD$37, 'Geographic Par.'!$H76, IF($D$10=Input!$AD$38,'Geographic Par.'!$G76,'Geographic Par.'!$K76))))</f>
        <v>0.55144823349292926</v>
      </c>
      <c r="AF51" s="870"/>
      <c r="AG51" s="865" t="e">
        <f t="shared" si="60"/>
        <v>#DIV/0!</v>
      </c>
      <c r="AH51" s="866" t="e">
        <f t="shared" si="61"/>
        <v>#DIV/0!</v>
      </c>
      <c r="AI51" s="879" t="e">
        <f t="shared" si="62"/>
        <v>#DIV/0!</v>
      </c>
      <c r="BA51" s="147" t="s">
        <v>180</v>
      </c>
      <c r="BB51" s="865" t="e">
        <f>BB$21*'Mat. Conv Par.'!$AC33+BB$22*'Mat. Conv Par.'!$BB31+'Mat. Conv Par.'!$C121*SUM(Input!$F$28:$F$32)/$D$8+(BC$21*HLOOKUP($AA$21,'GREET IO'!$A$77:$AZ$98,ROW(BA51)-ROW(BA$42)+1,FALSE)+BC$22*HLOOKUP($AA$22,'GREET IO'!$A$77:$AZ$98,ROW(BA51)-ROW(BA$42)+1,FALSE)+BC$23*HLOOKUP($AA$23,'GREET IO'!$A$77:$AZ$98,ROW(BA51)-ROW(BA$42)+1,FALSE)+BC$24*HLOOKUP($AA$24,'GREET IO'!$A$77:$AZ$98,ROW(BA51)-ROW(BA$42)+1,FALSE)+BC$25*HLOOKUP($AA$25,'GREET IO'!$A$77:$AZ$98,ROW(BA51)-ROW(BA$42)+1,FALSE)+BC$26*HLOOKUP($AA$26,'GREET IO'!$A$77:$AZ$98,ROW(BA51)-ROW(BA$42)+1,FALSE)+BC$27*HLOOKUP($AA$27,'GREET IO'!$A$77:$AZ$98,ROW(BA51)-ROW(BA$42)+1,FALSE))/$AI$32</f>
        <v>#DIV/0!</v>
      </c>
      <c r="BC51" s="865" t="e">
        <f>BE$21*'Mat. Conv Par.'!$AC33+BE$22*'Mat. Conv Par.'!$BB31+'Mat. Conv Par.'!$D121*SUM(Input!$F$28:$F$32)/$D$8+(BF$21*HLOOKUP($AA$21,'GREET IO'!$A$77:$AZ$98,ROW(BA51)-ROW(BA$42)+1,FALSE)+BF$22*HLOOKUP($AA$22,'GREET IO'!$A$77:$AZ$98,ROW(BA51)-ROW(BA$42)+1,FALSE)+BF$23*HLOOKUP($AA$23,'GREET IO'!$A$77:$AZ$98,ROW(BA51)-ROW(BA$42)+1,FALSE)+BF$24*HLOOKUP($AA$24,'GREET IO'!$A$77:$AZ$98,ROW(BA51)-ROW(BA$42)+1,FALSE)+BF$25*HLOOKUP($AA$25,'GREET IO'!$A$77:$AZ$98,ROW(BA51)-ROW(BA$42)+1,FALSE)+BF$26*HLOOKUP($AA$26,'GREET IO'!$A$77:$AZ$98,ROW(BA51)-ROW(BA$42)+1,FALSE)+BF$27*HLOOKUP($AA$27,'GREET IO'!$A$77:$AZ$98,ROW(BA51)-ROW(BA$42)+1,FALSE))/$AI$32</f>
        <v>#DIV/0!</v>
      </c>
      <c r="BD51" s="870" t="e">
        <f>BH$21*'Mat. Conv Par.'!$AC33+BH$22*'Mat. Conv Par.'!$BB31+'Mat. Conv Par.'!$F121*SUM(Input!$F$28:$F$32)/$D$8+(BI$21*HLOOKUP($AA$21,'GREET IO'!$A$77:$AZ$98,ROW(BA51)-ROW(BA$42)+1,FALSE)+BI$22*HLOOKUP($AA$22,'GREET IO'!$A$77:$AZ$98,ROW(BA51)-ROW(BA$42)+1,FALSE)+BI$23*HLOOKUP($AA$23,'GREET IO'!$A$77:$AZ$98,ROW(BA51)-ROW(BA$42)+1,FALSE)+BI$24*HLOOKUP($AA$24,'GREET IO'!$A$77:$AZ$98,ROW(BA51)-ROW(BA$42)+1,FALSE)+BI$25*HLOOKUP($AA$25,'GREET IO'!$A$77:$AZ$98,ROW(BA51)-ROW(BA$42)+1,FALSE)+BI$26*HLOOKUP($AA$26,'GREET IO'!$A$77:$AZ$98,ROW(BA51)-ROW(BA$42)+1,FALSE)+BI$27*HLOOKUP($AA$27,'GREET IO'!$A$77:$AZ$98,ROW(BA51)-ROW(BA$42)+1,FALSE))/$AI$32</f>
        <v>#DIV/0!</v>
      </c>
      <c r="BE51" s="873">
        <f>BB$32*$AI$31*('GREET IO'!$B28+'GREET IO'!$B4)+BB$33*$AI$31*IF($D$10=Input!$AD$35, 'Geographic Par.'!$E76, IF($D$10=Input!$AD$36, 'Geographic Par.'!$F76, IF($D$10=Input!$AD$37, 'Geographic Par.'!$H76, IF($D$10=Input!$AD$38,'Geographic Par.'!$G76,'Geographic Par.'!$K76))))</f>
        <v>0.55147678152137203</v>
      </c>
      <c r="BF51" s="870"/>
      <c r="BG51" s="865" t="e">
        <f t="shared" ref="BG51:BG63" si="66">BB51+BE51+BF51</f>
        <v>#DIV/0!</v>
      </c>
      <c r="BH51" s="866" t="e">
        <f t="shared" ref="BH51:BH63" si="67">BC51+BE51+BF51</f>
        <v>#DIV/0!</v>
      </c>
      <c r="BI51" s="879" t="e">
        <f t="shared" ref="BI51:BI63" si="68">SUM(BD51:BF51)</f>
        <v>#DIV/0!</v>
      </c>
      <c r="CA51" s="147" t="s">
        <v>180</v>
      </c>
      <c r="CB51" s="865" t="e">
        <f>CB$21*'Mat. Conv Par.'!$AC33+CB$22*'Mat. Conv Par.'!$BB31+'Mat. Conv Par.'!$C121*SUM(Input!$F$28:$F$32)/$D$8+(CC$21*HLOOKUP($AA$21,'GREET IO'!$A$77:$AZ$98,ROW(CA51)-ROW(CA$42)+1,FALSE)+CC$22*HLOOKUP($AA$22,'GREET IO'!$A$77:$AZ$98,ROW(CA51)-ROW(CA$42)+1,FALSE)+CC$23*HLOOKUP($AA$23,'GREET IO'!$A$77:$AZ$98,ROW(CA51)-ROW(CA$42)+1,FALSE)+CC$24*HLOOKUP($AA$24,'GREET IO'!$A$77:$AZ$98,ROW(CA51)-ROW(CA$42)+1,FALSE)+CC$25*HLOOKUP($AA$25,'GREET IO'!$A$77:$AZ$98,ROW(CA51)-ROW(CA$42)+1,FALSE)+CC$26*HLOOKUP($AA$26,'GREET IO'!$A$77:$AZ$98,ROW(CA51)-ROW(CA$42)+1,FALSE)+CC$27*HLOOKUP($AA$27,'GREET IO'!$A$77:$AZ$98,ROW(CA51)-ROW(CA$42)+1,FALSE))/$AI$32</f>
        <v>#DIV/0!</v>
      </c>
      <c r="CC51" s="865" t="e">
        <f>CE$21*'Mat. Conv Par.'!$AC33+CE$22*'Mat. Conv Par.'!$BB31+'Mat. Conv Par.'!$D121*SUM(Input!$F$28:$F$32)/$D$8+(CF$21*HLOOKUP($AA$21,'GREET IO'!$A$77:$AZ$98,ROW(CA51)-ROW(CA$42)+1,FALSE)+CF$22*HLOOKUP($AA$22,'GREET IO'!$A$77:$AZ$98,ROW(CA51)-ROW(CA$42)+1,FALSE)+CF$23*HLOOKUP($AA$23,'GREET IO'!$A$77:$AZ$98,ROW(CA51)-ROW(CA$42)+1,FALSE)+CF$24*HLOOKUP($AA$24,'GREET IO'!$A$77:$AZ$98,ROW(CA51)-ROW(CA$42)+1,FALSE)+CF$25*HLOOKUP($AA$25,'GREET IO'!$A$77:$AZ$98,ROW(CA51)-ROW(CA$42)+1,FALSE)+CF$26*HLOOKUP($AA$26,'GREET IO'!$A$77:$AZ$98,ROW(CA51)-ROW(CA$42)+1,FALSE)+CF$27*HLOOKUP($AA$27,'GREET IO'!$A$77:$AZ$98,ROW(CA51)-ROW(CA$42)+1,FALSE))/$AI$32</f>
        <v>#DIV/0!</v>
      </c>
      <c r="CD51" s="870" t="e">
        <f>CH$21*'Mat. Conv Par.'!$AC33+CH$22*'Mat. Conv Par.'!$BB31+'Mat. Conv Par.'!$F121*SUM(Input!$F$28:$F$32)/$D$8+(CI$21*HLOOKUP($AA$21,'GREET IO'!$A$77:$AZ$98,ROW(CA51)-ROW(CA$42)+1,FALSE)+CI$22*HLOOKUP($AA$22,'GREET IO'!$A$77:$AZ$98,ROW(CA51)-ROW(CA$42)+1,FALSE)+CI$23*HLOOKUP($AA$23,'GREET IO'!$A$77:$AZ$98,ROW(CA51)-ROW(CA$42)+1,FALSE)+CI$24*HLOOKUP($AA$24,'GREET IO'!$A$77:$AZ$98,ROW(CA51)-ROW(CA$42)+1,FALSE)+CI$25*HLOOKUP($AA$25,'GREET IO'!$A$77:$AZ$98,ROW(CA51)-ROW(CA$42)+1,FALSE)+CI$26*HLOOKUP($AA$26,'GREET IO'!$A$77:$AZ$98,ROW(CA51)-ROW(CA$42)+1,FALSE)+CI$27*HLOOKUP($AA$27,'GREET IO'!$A$77:$AZ$98,ROW(CA51)-ROW(CA$42)+1,FALSE))/$AI$32</f>
        <v>#DIV/0!</v>
      </c>
      <c r="CE51" s="873">
        <f>CB$32*$AI$31*('GREET IO'!$B28+'GREET IO'!$B4)+CB$33*$AI$31*IF($D$10=Input!$AD$35, 'Geographic Par.'!$E76, IF($D$10=Input!$AD$36, 'Geographic Par.'!$F76, IF($D$10=Input!$AD$37, 'Geographic Par.'!$H76, IF($D$10=Input!$AD$38,'Geographic Par.'!$G76,'Geographic Par.'!$K76))))</f>
        <v>0.55159133873608779</v>
      </c>
      <c r="CF51" s="870"/>
      <c r="CG51" s="865" t="e">
        <f t="shared" ref="CG51:CG63" si="69">CB51+CE51+CF51</f>
        <v>#DIV/0!</v>
      </c>
      <c r="CH51" s="866" t="e">
        <f t="shared" ref="CH51:CH63" si="70">CC51+CE51+CF51</f>
        <v>#DIV/0!</v>
      </c>
      <c r="CI51" s="879" t="e">
        <f t="shared" si="63"/>
        <v>#DIV/0!</v>
      </c>
      <c r="DA51" s="147" t="s">
        <v>180</v>
      </c>
      <c r="DB51" s="865" t="e">
        <f>DB$21*'Mat. Conv Par.'!$AC33+DB$22*'Mat. Conv Par.'!$BB31+'Mat. Conv Par.'!$C121*SUM(Input!$F$28:$F$32)/$D$8+(DC$21*HLOOKUP($DA$21,'GREET IO'!$A$77:$AZ$98,ROW(DA51)-ROW(DA$42)+1,FALSE)+DC$22*HLOOKUP($DA$22,'GREET IO'!$A$77:$AZ$98,ROW(DA51)-ROW(DA$42)+1,FALSE)+DC$23*HLOOKUP($DA$23,'GREET IO'!$A$77:$AZ$98,ROW(DA51)-ROW(DA$42)+1,FALSE)+DC$24*HLOOKUP($DA$24,'GREET IO'!$A$77:$AZ$98,ROW(DA51)-ROW(DA$42)+1,FALSE)+DC$25*HLOOKUP($DA$25,'GREET IO'!$A$77:$AZ$98,ROW(DA51)-ROW(DA$42)+1,FALSE)+DC$26*HLOOKUP($DA$26,'GREET IO'!$A$77:$AZ$98,ROW(DA51)-ROW(DA$42)+1,FALSE)+DC$27*HLOOKUP($DA$27,'GREET IO'!$A$77:$AZ$98,ROW(DA51)-ROW(DA$42)+1,FALSE))/$AI$32</f>
        <v>#DIV/0!</v>
      </c>
      <c r="DC51" s="1205" t="e">
        <f>DE$21*'Mat. Conv Par.'!$AC33+DE$22*'Mat. Conv Par.'!$BB31+DE$23*'Mat. Conv Par.'!$CB31+'Mat. Conv Par.'!$D121*SUM(Input!$F$28:$F$32)/$D$8+(DF$21*HLOOKUP($DA$21,'GREET IO'!$A$77:$AZ$98,ROW(DA51)-ROW(DA$42)+1,FALSE)+DF$22*HLOOKUP($DA$22,'GREET IO'!$A$77:$AZ$98,ROW(DA51)-ROW(DA$42)+1,FALSE)+DF$23*HLOOKUP($DA$23,'GREET IO'!$A$77:$AZ$98,ROW(DA51)-ROW(DA$42)+1,FALSE)+DF$24*HLOOKUP($DA$24,'GREET IO'!$A$77:$AZ$98,ROW(DA51)-ROW(DA$42)+1,FALSE)+DF$25*HLOOKUP($DA$25,'GREET IO'!$A$77:$AZ$98,ROW(DA51)-ROW(DA$42)+1,FALSE)+DF$26*HLOOKUP($DA$26,'GREET IO'!$A$77:$AZ$98,ROW(DA51)-ROW(DA$42)+1,FALSE)+DF$27*HLOOKUP($DA$27,'GREET IO'!$A$77:$AZ$98,ROW(DA51)-ROW(DA$42)+1,FALSE))/$AI$32</f>
        <v>#DIV/0!</v>
      </c>
      <c r="DD51" s="1205" t="e">
        <f>DH$21*'Mat. Conv Par.'!$AC33+DH$22*'Mat. Conv Par.'!$BB31+DH$23*'Mat. Conv Par.'!$CB31+'Mat. Conv Par.'!$F121*SUM(Input!$F$28:$F$32)/$D$8+(DI$21*HLOOKUP($DA$21,'GREET IO'!$A$77:$AZ$98,ROW(DA51)-ROW(DA$42)+1,FALSE)+DI$22*HLOOKUP($DA$22,'GREET IO'!$A$77:$AZ$98,ROW(DA51)-ROW(DA$42)+1,FALSE)+DI$23*HLOOKUP($DA$23,'GREET IO'!$A$77:$AZ$98,ROW(DA51)-ROW(DA$42)+1,FALSE)+DI$24*HLOOKUP($DA$24,'GREET IO'!$A$77:$AZ$98,ROW(DA51)-ROW(DA$42)+1,FALSE)+DI$25*HLOOKUP($DA$25,'GREET IO'!$A$77:$AZ$98,ROW(DA51)-ROW(DA$42)+1,FALSE)+DI$26*HLOOKUP($DA$26,'GREET IO'!$A$77:$AZ$98,ROW(DA51)-ROW(DA$42)+1,FALSE)+DI$27*HLOOKUP($DA$27,'GREET IO'!$A$77:$AZ$98,ROW(DA51)-ROW(DA$42)+1,FALSE))/$AI$32</f>
        <v>#DIV/0!</v>
      </c>
      <c r="DE51" s="873">
        <f>DB$32*$AI$31*('GREET IO'!$B28+'GREET IO'!$B4)+DB$33*$AI$31*IF($D$10=Input!$AD$35, 'Geographic Par.'!$E76, IF($D$10=Input!$AD$36, 'Geographic Par.'!$F76, IF($D$10=Input!$AD$37, 'Geographic Par.'!$H76, IF($D$10=Input!$AD$38,'Geographic Par.'!$G76,'Geographic Par.'!$K76))))</f>
        <v>0.55142393198968831</v>
      </c>
      <c r="DF51" s="870"/>
      <c r="DG51" s="865" t="e">
        <f t="shared" ref="DG51:DG63" si="71">DB51+DE51+DF51</f>
        <v>#DIV/0!</v>
      </c>
      <c r="DH51" s="866" t="e">
        <f t="shared" ref="DH51:DH63" si="72">DC51+DE51+DF51</f>
        <v>#DIV/0!</v>
      </c>
      <c r="DI51" s="879" t="e">
        <f t="shared" si="64"/>
        <v>#DIV/0!</v>
      </c>
      <c r="EA51" s="147" t="s">
        <v>180</v>
      </c>
      <c r="EB51" s="865" t="e">
        <f>EB$21*'Mat. Conv Par.'!$AC33+EB$22*'Mat. Conv Par.'!$BB31+EB$23*'Mat. Conv Par.'!$CB31+'Mat. Conv Par.'!$C121*SUM(Input!$F$28:$F$32)/$D$8+(EC$21*HLOOKUP($EA$21,'GREET IO'!$A$77:$AZ$98,ROW(EA51)-ROW(EA$42)+1,FALSE)+EC$22*HLOOKUP($EA$22,'GREET IO'!$A$77:$AZ$98,ROW(EA51)-ROW(EA$42)+1,FALSE)+EC$23*HLOOKUP($EA$23,'GREET IO'!$A$77:$AZ$98,ROW(EA51)-ROW(EA$42)+1,FALSE)+EC$24*HLOOKUP($EA$24,'GREET IO'!$A$77:$AZ$98,ROW(EA51)-ROW(EA$42)+1,FALSE)+EC$25*HLOOKUP($EA$25,'GREET IO'!$A$77:$AZ$98,ROW(EA51)-ROW(EA$42)+1,FALSE)+EC$26*HLOOKUP($EA$26,'GREET IO'!$A$77:$AZ$98,ROW(EA51)-ROW(EA$42)+1,FALSE)+EC$27*HLOOKUP($EA$27,'GREET IO'!$A$77:$AZ$98,ROW(EA51)-ROW(EA$42)+1,FALSE))/$AI$32</f>
        <v>#DIV/0!</v>
      </c>
      <c r="EC51" s="865" t="e">
        <f>EE$21*'Mat. Conv Par.'!$AC33+EE$22*'Mat. Conv Par.'!$BB31+EE$23*'Mat. Conv Par.'!$CB31+'Mat. Conv Par.'!$D121*SUM(Input!$F$28:$F$32)/$D$8+(EF$21*HLOOKUP($EA$21,'GREET IO'!$A$77:$AZ$98,ROW(EA51)-ROW(EA$42)+1,FALSE)+EF$22*HLOOKUP($EA$22,'GREET IO'!$A$77:$AZ$98,ROW(EA51)-ROW(EA$42)+1,FALSE)+EF$23*HLOOKUP($EA$23,'GREET IO'!$A$77:$AZ$98,ROW(EA51)-ROW(EA$42)+1,FALSE)+EF$24*HLOOKUP($EA$24,'GREET IO'!$A$77:$AZ$98,ROW(EA51)-ROW(EA$42)+1,FALSE)+EF$25*HLOOKUP($EA$25,'GREET IO'!$A$77:$AZ$98,ROW(EA51)-ROW(EA$42)+1,FALSE)+EF$26*HLOOKUP($EA$26,'GREET IO'!$A$77:$AZ$98,ROW(EA51)-ROW(EA$42)+1,FALSE)+EF$27*HLOOKUP($EA$27,'GREET IO'!$A$77:$AZ$98,ROW(EA51)-ROW(EA$42)+1,FALSE))/$AI$32</f>
        <v>#DIV/0!</v>
      </c>
      <c r="ED51" s="865" t="e">
        <f>EH$21*'Mat. Conv Par.'!$AC33+EH$22*'Mat. Conv Par.'!$BB31+EH$23*'Mat. Conv Par.'!$CB31+'Mat. Conv Par.'!$F121*SUM(Input!$F$28:$F$32)/$D$8+(EI$21*HLOOKUP($EA$21,'GREET IO'!$A$77:$AZ$98,ROW(EA51)-ROW(EA$42)+1,FALSE)+EI$22*HLOOKUP($EA$22,'GREET IO'!$A$77:$AZ$98,ROW(EA51)-ROW(EA$42)+1,FALSE)+EI$23*HLOOKUP($EA$23,'GREET IO'!$A$77:$AZ$98,ROW(EA51)-ROW(EA$42)+1,FALSE)+EI$24*HLOOKUP($EA$24,'GREET IO'!$A$77:$AZ$98,ROW(EA51)-ROW(EA$42)+1,FALSE)+EI$25*HLOOKUP($EA$25,'GREET IO'!$A$77:$AZ$98,ROW(EA51)-ROW(EA$42)+1,FALSE)+EI$26*HLOOKUP($EA$26,'GREET IO'!$A$77:$AZ$98,ROW(EA51)-ROW(EA$42)+1,FALSE)+EI$27*HLOOKUP($EA$27,'GREET IO'!$A$77:$AZ$98,ROW(EA51)-ROW(EA$42)+1,FALSE))/$AI$32</f>
        <v>#DIV/0!</v>
      </c>
      <c r="EE51" s="873">
        <f>EB$32*$AI$31*('GREET IO'!$B28+'GREET IO'!$B4)+EB$33*$AI$31*IF($D$10=Input!$AD$35, 'Geographic Par.'!$E76, IF($D$10=Input!$AD$36, 'Geographic Par.'!$F76, IF($D$10=Input!$AD$37, 'Geographic Par.'!$H76, IF($D$10=Input!$AD$38,'Geographic Par.'!$G76,'Geographic Par.'!$K76))))</f>
        <v>0.55203257343884138</v>
      </c>
      <c r="EF51" s="870"/>
      <c r="EG51" s="865" t="e">
        <f t="shared" ref="EG51:EG63" si="73">EB51+EE51+EF51</f>
        <v>#DIV/0!</v>
      </c>
      <c r="EH51" s="866" t="e">
        <f t="shared" ref="EH51:EH63" si="74">EC51+EE51+EF51</f>
        <v>#DIV/0!</v>
      </c>
      <c r="EI51" s="879" t="e">
        <f t="shared" si="65"/>
        <v>#DIV/0!</v>
      </c>
      <c r="FA51" s="147" t="s">
        <v>180</v>
      </c>
      <c r="FB51" s="237" t="e">
        <f>FB$21*'Mat. Conv Par.'!$AB33+'Mat. Conv Par.'!$C121*SUM(Input!$F$28:$F$32)/$D$8+(FC$21*HLOOKUP($FA$21,'GREET IO'!$A$77:$AZ$98,ROW(FA51)-ROW(FA$42)+1,FALSE)+FC$22*HLOOKUP($FA$22,'GREET IO'!$A$77:$AZ$98,ROW(FA51)-ROW(FA$42)+1,FALSE))/$AI$32</f>
        <v>#DIV/0!</v>
      </c>
      <c r="FC51" s="237" t="e">
        <f>FE$21*'Mat. Conv Par.'!$AB33+'Mat. Conv Par.'!$D121*SUM(Input!$F$28:$F$32)/$D$8+(FF$21*HLOOKUP($FA$21,'GREET IO'!$A$77:$AZ$98,ROW(FA51)-ROW(FA$42)+1,FALSE)+FF$22*HLOOKUP($FA$22,'GREET IO'!$A$77:$AZ$98,ROW(FA51)-ROW(FA$42)+1,FALSE))/$AI$32</f>
        <v>#DIV/0!</v>
      </c>
      <c r="FD51" s="237" t="e">
        <f>FH$21*'Mat. Conv Par.'!$AB33+'Mat. Conv Par.'!$F121*SUM(Input!$F$28:$F$32)/$D$8+(FI$21*HLOOKUP($FA$21,'GREET IO'!$A$77:$AZ$98,ROW(FA51)-ROW(FA$42)+1,FALSE)+FI$22*HLOOKUP($FA$22,'GREET IO'!$A$77:$AZ$98,ROW(FA51)-ROW(FA$42)+1,FALSE))/$AI$32</f>
        <v>#DIV/0!</v>
      </c>
      <c r="FE51" s="873">
        <f>FB$32*$AI$31*('GREET IO'!$B28+'GREET IO'!$B4)+FB$33*$AI$31*IF($D$10=Input!$AD$35, 'Geographic Par.'!$E76, IF($D$10=Input!$AD$36, 'Geographic Par.'!$F76, IF($D$10=Input!$AD$37, 'Geographic Par.'!$H76, IF($D$10=Input!$AD$38,'Geographic Par.'!$G76,'Geographic Par.'!$K76))))</f>
        <v>0</v>
      </c>
      <c r="FF51" s="870"/>
      <c r="FG51" s="865" t="e">
        <f t="shared" ref="FG51:FG63" si="75">FB51+FE51+FF51</f>
        <v>#DIV/0!</v>
      </c>
      <c r="FH51" s="866" t="e">
        <f t="shared" ref="FH51:FH63" si="76">FC51+FE51+FF51</f>
        <v>#DIV/0!</v>
      </c>
      <c r="FI51" s="879" t="e">
        <f t="shared" ref="FI51:FI63" si="77">SUM(FD51:FF51)</f>
        <v>#DIV/0!</v>
      </c>
    </row>
    <row r="52" spans="2:168">
      <c r="B52" s="147" t="s">
        <v>535</v>
      </c>
      <c r="C52" s="632">
        <f>IF(E52&gt;0,E52,D52)</f>
        <v>0.4</v>
      </c>
      <c r="D52" s="565">
        <v>0.4</v>
      </c>
      <c r="E52" s="901">
        <f>IF(ISBLANK(Materials!D60),0,Materials!D60)</f>
        <v>0</v>
      </c>
      <c r="AA52" s="147" t="s">
        <v>181</v>
      </c>
      <c r="AB52" s="237" t="e">
        <f>AB$21*'Mat. Conv Par.'!$AC34+AB$22*'Mat. Conv Par.'!$BB32+'Mat. Conv Par.'!$C122*SUM(Input!$F$28:$F$32)/$D$8+(AC$21*HLOOKUP($AA$21,'GREET IO'!$A$77:$AZ$98,ROW(AA52)-ROW(AA$42)+1,FALSE)+AC$22*HLOOKUP($AA$22,'GREET IO'!$A$77:$AZ$98,ROW(AA52)-ROW(AA$42)+1,FALSE)+AC$23*HLOOKUP($AA$23,'GREET IO'!$A$77:$AZ$98,ROW(AA52)-ROW(AA$42)+1,FALSE)+AC$24*HLOOKUP($AA$24,'GREET IO'!$A$77:$AZ$98,ROW(AA52)-ROW(AA$42)+1,FALSE)+AC$25*HLOOKUP($AA$25,'GREET IO'!$A$77:$AZ$98,ROW(AA52)-ROW(AA$42)+1,FALSE)+AC$26*HLOOKUP($AA$26,'GREET IO'!$A$77:$AZ$98,ROW(AA52)-ROW(AA$42)+1,FALSE)+AC$27*HLOOKUP($AA$27,'GREET IO'!$A$77:$AZ$98,ROW(AA52)-ROW(AA$42)+1,FALSE))/$AI$32</f>
        <v>#DIV/0!</v>
      </c>
      <c r="AC52" s="237" t="e">
        <f>AE$21*'Mat. Conv Par.'!$AC34+AE$22*'Mat. Conv Par.'!$BB32+'Mat. Conv Par.'!$D122*SUM(Input!$F$28:$F$32)/$D$8+(AF$21*HLOOKUP($AA$21,'GREET IO'!$A$77:$AZ$98,ROW(AA52)-ROW(AA$42)+1,FALSE)+AF$22*HLOOKUP($AA$22,'GREET IO'!$A$77:$AZ$98,ROW(AA52)-ROW(AA$42)+1,FALSE)+AF$23*HLOOKUP($AA$23,'GREET IO'!$A$77:$AZ$98,ROW(AA52)-ROW(AA$42)+1,FALSE)+AF$24*HLOOKUP($AA$24,'GREET IO'!$A$77:$AZ$98,ROW(AA52)-ROW(AA$42)+1,FALSE)+AF$25*HLOOKUP($AA$25,'GREET IO'!$A$77:$AZ$98,ROW(AA52)-ROW(AA$42)+1,FALSE)+AF$26*HLOOKUP($AA$26,'GREET IO'!$A$77:$AZ$98,ROW(AA52)-ROW(AA$42)+1,FALSE)+AF$27*HLOOKUP($AA$27,'GREET IO'!$A$77:$AZ$98,ROW(AA52)-ROW(AA$42)+1,FALSE))/$AI$32</f>
        <v>#DIV/0!</v>
      </c>
      <c r="AD52" s="868" t="e">
        <f>AH$21*'Mat. Conv Par.'!$AC34+AH$22*'Mat. Conv Par.'!$BB32+'Mat. Conv Par.'!$F122*SUM(Input!$F$28:$F$32)/$D$8+(AI$21*HLOOKUP($AA$21,'GREET IO'!$A$77:$AZ$98,ROW(AA52)-ROW(AA$42)+1,FALSE)+AI$22*HLOOKUP($AA$22,'GREET IO'!$A$77:$AZ$98,ROW(AA52)-ROW(AA$42)+1,FALSE)+AI$23*HLOOKUP($AA$23,'GREET IO'!$A$77:$AZ$98,ROW(AA52)-ROW(AA$42)+1,FALSE)+AI$24*HLOOKUP($AA$24,'GREET IO'!$A$77:$AZ$98,ROW(AA52)-ROW(AA$42)+1,FALSE)+AI$25*HLOOKUP($AA$25,'GREET IO'!$A$77:$AZ$98,ROW(AA52)-ROW(AA$42)+1,FALSE)+AI$26*HLOOKUP($AA$26,'GREET IO'!$A$77:$AZ$98,ROW(AA52)-ROW(AA$42)+1,FALSE)+AI$27*HLOOKUP($AA$27,'GREET IO'!$A$77:$AZ$98,ROW(AA52)-ROW(AA$42)+1,FALSE))/$AI$32</f>
        <v>#DIV/0!</v>
      </c>
      <c r="AE52" s="873">
        <f>AB$32*$AI$31*('GREET IO'!$B29+'GREET IO'!$B5)+AB$33*$AI$31*IF($D$10=Input!$AD$35, 'Geographic Par.'!$E77, IF($D$10=Input!$AD$36, 'Geographic Par.'!$F77, IF($D$10=Input!$AD$37, 'Geographic Par.'!$H77, IF($D$10=Input!$AD$38,'Geographic Par.'!$G77,'Geographic Par.'!$K77))))</f>
        <v>2.3121380309846162</v>
      </c>
      <c r="AF52" s="868"/>
      <c r="AG52" s="237" t="e">
        <f t="shared" si="60"/>
        <v>#DIV/0!</v>
      </c>
      <c r="AH52" s="178" t="e">
        <f t="shared" si="61"/>
        <v>#DIV/0!</v>
      </c>
      <c r="AI52" s="179" t="e">
        <f t="shared" si="62"/>
        <v>#DIV/0!</v>
      </c>
      <c r="BA52" s="147" t="s">
        <v>181</v>
      </c>
      <c r="BB52" s="237" t="e">
        <f>BB$21*'Mat. Conv Par.'!$AC34+BB$22*'Mat. Conv Par.'!$BB32+'Mat. Conv Par.'!$C122*SUM(Input!$F$28:$F$32)/$D$8+(BC$21*HLOOKUP($AA$21,'GREET IO'!$A$77:$AZ$98,ROW(BA52)-ROW(BA$42)+1,FALSE)+BC$22*HLOOKUP($AA$22,'GREET IO'!$A$77:$AZ$98,ROW(BA52)-ROW(BA$42)+1,FALSE)+BC$23*HLOOKUP($AA$23,'GREET IO'!$A$77:$AZ$98,ROW(BA52)-ROW(BA$42)+1,FALSE)+BC$24*HLOOKUP($AA$24,'GREET IO'!$A$77:$AZ$98,ROW(BA52)-ROW(BA$42)+1,FALSE)+BC$25*HLOOKUP($AA$25,'GREET IO'!$A$77:$AZ$98,ROW(BA52)-ROW(BA$42)+1,FALSE)+BC$26*HLOOKUP($AA$26,'GREET IO'!$A$77:$AZ$98,ROW(BA52)-ROW(BA$42)+1,FALSE)+BC$27*HLOOKUP($AA$27,'GREET IO'!$A$77:$AZ$98,ROW(BA52)-ROW(BA$42)+1,FALSE))/$AI$32</f>
        <v>#DIV/0!</v>
      </c>
      <c r="BC52" s="237" t="e">
        <f>BE$21*'Mat. Conv Par.'!$AC34+BE$22*'Mat. Conv Par.'!$BB32+'Mat. Conv Par.'!$D122*SUM(Input!$F$28:$F$32)/$D$8+(BF$21*HLOOKUP($AA$21,'GREET IO'!$A$77:$AZ$98,ROW(BA52)-ROW(BA$42)+1,FALSE)+BF$22*HLOOKUP($AA$22,'GREET IO'!$A$77:$AZ$98,ROW(BA52)-ROW(BA$42)+1,FALSE)+BF$23*HLOOKUP($AA$23,'GREET IO'!$A$77:$AZ$98,ROW(BA52)-ROW(BA$42)+1,FALSE)+BF$24*HLOOKUP($AA$24,'GREET IO'!$A$77:$AZ$98,ROW(BA52)-ROW(BA$42)+1,FALSE)+BF$25*HLOOKUP($AA$25,'GREET IO'!$A$77:$AZ$98,ROW(BA52)-ROW(BA$42)+1,FALSE)+BF$26*HLOOKUP($AA$26,'GREET IO'!$A$77:$AZ$98,ROW(BA52)-ROW(BA$42)+1,FALSE)+BF$27*HLOOKUP($AA$27,'GREET IO'!$A$77:$AZ$98,ROW(BA52)-ROW(BA$42)+1,FALSE))/$AI$32</f>
        <v>#DIV/0!</v>
      </c>
      <c r="BD52" s="868" t="e">
        <f>BH$21*'Mat. Conv Par.'!$AC34+BH$22*'Mat. Conv Par.'!$BB32+'Mat. Conv Par.'!$F122*SUM(Input!$F$28:$F$32)/$D$8+(BI$21*HLOOKUP($AA$21,'GREET IO'!$A$77:$AZ$98,ROW(BA52)-ROW(BA$42)+1,FALSE)+BI$22*HLOOKUP($AA$22,'GREET IO'!$A$77:$AZ$98,ROW(BA52)-ROW(BA$42)+1,FALSE)+BI$23*HLOOKUP($AA$23,'GREET IO'!$A$77:$AZ$98,ROW(BA52)-ROW(BA$42)+1,FALSE)+BI$24*HLOOKUP($AA$24,'GREET IO'!$A$77:$AZ$98,ROW(BA52)-ROW(BA$42)+1,FALSE)+BI$25*HLOOKUP($AA$25,'GREET IO'!$A$77:$AZ$98,ROW(BA52)-ROW(BA$42)+1,FALSE)+BI$26*HLOOKUP($AA$26,'GREET IO'!$A$77:$AZ$98,ROW(BA52)-ROW(BA$42)+1,FALSE)+BI$27*HLOOKUP($AA$27,'GREET IO'!$A$77:$AZ$98,ROW(BA52)-ROW(BA$42)+1,FALSE))/$AI$32</f>
        <v>#DIV/0!</v>
      </c>
      <c r="BE52" s="873">
        <f>BB$32*$AI$31*('GREET IO'!$B29+'GREET IO'!$B5)+BB$33*$AI$31*IF($D$10=Input!$AD$35, 'Geographic Par.'!$E77, IF($D$10=Input!$AD$36, 'Geographic Par.'!$F77, IF($D$10=Input!$AD$37, 'Geographic Par.'!$H77, IF($D$10=Input!$AD$38,'Geographic Par.'!$G77,'Geographic Par.'!$K77))))</f>
        <v>2.3122577284979329</v>
      </c>
      <c r="BF52" s="868"/>
      <c r="BG52" s="237" t="e">
        <f t="shared" si="66"/>
        <v>#DIV/0!</v>
      </c>
      <c r="BH52" s="178" t="e">
        <f t="shared" si="67"/>
        <v>#DIV/0!</v>
      </c>
      <c r="BI52" s="179" t="e">
        <f t="shared" si="68"/>
        <v>#DIV/0!</v>
      </c>
      <c r="CA52" s="147" t="s">
        <v>181</v>
      </c>
      <c r="CB52" s="237" t="e">
        <f>CB$21*'Mat. Conv Par.'!$AC34+CB$22*'Mat. Conv Par.'!$BB32+'Mat. Conv Par.'!$C122*SUM(Input!$F$28:$F$32)/$D$8+(CC$21*HLOOKUP($AA$21,'GREET IO'!$A$77:$AZ$98,ROW(CA52)-ROW(CA$42)+1,FALSE)+CC$22*HLOOKUP($AA$22,'GREET IO'!$A$77:$AZ$98,ROW(CA52)-ROW(CA$42)+1,FALSE)+CC$23*HLOOKUP($AA$23,'GREET IO'!$A$77:$AZ$98,ROW(CA52)-ROW(CA$42)+1,FALSE)+CC$24*HLOOKUP($AA$24,'GREET IO'!$A$77:$AZ$98,ROW(CA52)-ROW(CA$42)+1,FALSE)+CC$25*HLOOKUP($AA$25,'GREET IO'!$A$77:$AZ$98,ROW(CA52)-ROW(CA$42)+1,FALSE)+CC$26*HLOOKUP($AA$26,'GREET IO'!$A$77:$AZ$98,ROW(CA52)-ROW(CA$42)+1,FALSE)+CC$27*HLOOKUP($AA$27,'GREET IO'!$A$77:$AZ$98,ROW(CA52)-ROW(CA$42)+1,FALSE))/$AI$32</f>
        <v>#DIV/0!</v>
      </c>
      <c r="CC52" s="237" t="e">
        <f>CE$21*'Mat. Conv Par.'!$AC34+CE$22*'Mat. Conv Par.'!$BB32+'Mat. Conv Par.'!$D122*SUM(Input!$F$28:$F$32)/$D$8+(CF$21*HLOOKUP($AA$21,'GREET IO'!$A$77:$AZ$98,ROW(CA52)-ROW(CA$42)+1,FALSE)+CF$22*HLOOKUP($AA$22,'GREET IO'!$A$77:$AZ$98,ROW(CA52)-ROW(CA$42)+1,FALSE)+CF$23*HLOOKUP($AA$23,'GREET IO'!$A$77:$AZ$98,ROW(CA52)-ROW(CA$42)+1,FALSE)+CF$24*HLOOKUP($AA$24,'GREET IO'!$A$77:$AZ$98,ROW(CA52)-ROW(CA$42)+1,FALSE)+CF$25*HLOOKUP($AA$25,'GREET IO'!$A$77:$AZ$98,ROW(CA52)-ROW(CA$42)+1,FALSE)+CF$26*HLOOKUP($AA$26,'GREET IO'!$A$77:$AZ$98,ROW(CA52)-ROW(CA$42)+1,FALSE)+CF$27*HLOOKUP($AA$27,'GREET IO'!$A$77:$AZ$98,ROW(CA52)-ROW(CA$42)+1,FALSE))/$AI$32</f>
        <v>#DIV/0!</v>
      </c>
      <c r="CD52" s="868" t="e">
        <f>CH$21*'Mat. Conv Par.'!$AC34+CH$22*'Mat. Conv Par.'!$BB32+'Mat. Conv Par.'!$F122*SUM(Input!$F$28:$F$32)/$D$8+(CI$21*HLOOKUP($AA$21,'GREET IO'!$A$77:$AZ$98,ROW(CA52)-ROW(CA$42)+1,FALSE)+CI$22*HLOOKUP($AA$22,'GREET IO'!$A$77:$AZ$98,ROW(CA52)-ROW(CA$42)+1,FALSE)+CI$23*HLOOKUP($AA$23,'GREET IO'!$A$77:$AZ$98,ROW(CA52)-ROW(CA$42)+1,FALSE)+CI$24*HLOOKUP($AA$24,'GREET IO'!$A$77:$AZ$98,ROW(CA52)-ROW(CA$42)+1,FALSE)+CI$25*HLOOKUP($AA$25,'GREET IO'!$A$77:$AZ$98,ROW(CA52)-ROW(CA$42)+1,FALSE)+CI$26*HLOOKUP($AA$26,'GREET IO'!$A$77:$AZ$98,ROW(CA52)-ROW(CA$42)+1,FALSE)+CI$27*HLOOKUP($AA$27,'GREET IO'!$A$77:$AZ$98,ROW(CA52)-ROW(CA$42)+1,FALSE))/$AI$32</f>
        <v>#DIV/0!</v>
      </c>
      <c r="CE52" s="873">
        <f>CB$32*$AI$31*('GREET IO'!$B29+'GREET IO'!$B5)+CB$33*$AI$31*IF($D$10=Input!$AD$35, 'Geographic Par.'!$E77, IF($D$10=Input!$AD$36, 'Geographic Par.'!$F77, IF($D$10=Input!$AD$37, 'Geographic Par.'!$H77, IF($D$10=Input!$AD$38,'Geographic Par.'!$G77,'Geographic Par.'!$K77))))</f>
        <v>2.3127380493635745</v>
      </c>
      <c r="CF52" s="868"/>
      <c r="CG52" s="237" t="e">
        <f t="shared" si="69"/>
        <v>#DIV/0!</v>
      </c>
      <c r="CH52" s="178" t="e">
        <f t="shared" si="70"/>
        <v>#DIV/0!</v>
      </c>
      <c r="CI52" s="179" t="e">
        <f t="shared" si="63"/>
        <v>#DIV/0!</v>
      </c>
      <c r="DA52" s="147" t="s">
        <v>181</v>
      </c>
      <c r="DB52" s="237" t="e">
        <f>DB$21*'Mat. Conv Par.'!$AC34+DB$22*'Mat. Conv Par.'!$BB32+'Mat. Conv Par.'!$C122*SUM(Input!$F$28:$F$32)/$D$8+(DC$21*HLOOKUP($DA$21,'GREET IO'!$A$77:$AZ$98,ROW(DA52)-ROW(DA$42)+1,FALSE)+DC$22*HLOOKUP($DA$22,'GREET IO'!$A$77:$AZ$98,ROW(DA52)-ROW(DA$42)+1,FALSE)+DC$23*HLOOKUP($DA$23,'GREET IO'!$A$77:$AZ$98,ROW(DA52)-ROW(DA$42)+1,FALSE)+DC$24*HLOOKUP($DA$24,'GREET IO'!$A$77:$AZ$98,ROW(DA52)-ROW(DA$42)+1,FALSE)+DC$25*HLOOKUP($DA$25,'GREET IO'!$A$77:$AZ$98,ROW(DA52)-ROW(DA$42)+1,FALSE)+DC$26*HLOOKUP($DA$26,'GREET IO'!$A$77:$AZ$98,ROW(DA52)-ROW(DA$42)+1,FALSE)+DC$27*HLOOKUP($DA$27,'GREET IO'!$A$77:$AZ$98,ROW(DA52)-ROW(DA$42)+1,FALSE))/$AI$32</f>
        <v>#DIV/0!</v>
      </c>
      <c r="DC52" s="1205" t="e">
        <f>DE$21*'Mat. Conv Par.'!$AC34+DE$22*'Mat. Conv Par.'!$BB32+DE$23*'Mat. Conv Par.'!$CB32+'Mat. Conv Par.'!$D122*SUM(Input!$F$28:$F$32)/$D$8+(DF$21*HLOOKUP($DA$21,'GREET IO'!$A$77:$AZ$98,ROW(DA52)-ROW(DA$42)+1,FALSE)+DF$22*HLOOKUP($DA$22,'GREET IO'!$A$77:$AZ$98,ROW(DA52)-ROW(DA$42)+1,FALSE)+DF$23*HLOOKUP($DA$23,'GREET IO'!$A$77:$AZ$98,ROW(DA52)-ROW(DA$42)+1,FALSE)+DF$24*HLOOKUP($DA$24,'GREET IO'!$A$77:$AZ$98,ROW(DA52)-ROW(DA$42)+1,FALSE)+DF$25*HLOOKUP($DA$25,'GREET IO'!$A$77:$AZ$98,ROW(DA52)-ROW(DA$42)+1,FALSE)+DF$26*HLOOKUP($DA$26,'GREET IO'!$A$77:$AZ$98,ROW(DA52)-ROW(DA$42)+1,FALSE)+DF$27*HLOOKUP($DA$27,'GREET IO'!$A$77:$AZ$98,ROW(DA52)-ROW(DA$42)+1,FALSE))/$AI$32</f>
        <v>#DIV/0!</v>
      </c>
      <c r="DD52" s="1205" t="e">
        <f>DH$21*'Mat. Conv Par.'!$AC34+DH$22*'Mat. Conv Par.'!$BB32+DH$23*'Mat. Conv Par.'!$CB32+'Mat. Conv Par.'!$F122*SUM(Input!$F$28:$F$32)/$D$8+(DI$21*HLOOKUP($DA$21,'GREET IO'!$A$77:$AZ$98,ROW(DA52)-ROW(DA$42)+1,FALSE)+DI$22*HLOOKUP($DA$22,'GREET IO'!$A$77:$AZ$98,ROW(DA52)-ROW(DA$42)+1,FALSE)+DI$23*HLOOKUP($DA$23,'GREET IO'!$A$77:$AZ$98,ROW(DA52)-ROW(DA$42)+1,FALSE)+DI$24*HLOOKUP($DA$24,'GREET IO'!$A$77:$AZ$98,ROW(DA52)-ROW(DA$42)+1,FALSE)+DI$25*HLOOKUP($DA$25,'GREET IO'!$A$77:$AZ$98,ROW(DA52)-ROW(DA$42)+1,FALSE)+DI$26*HLOOKUP($DA$26,'GREET IO'!$A$77:$AZ$98,ROW(DA52)-ROW(DA$42)+1,FALSE)+DI$27*HLOOKUP($DA$27,'GREET IO'!$A$77:$AZ$98,ROW(DA52)-ROW(DA$42)+1,FALSE))/$AI$32</f>
        <v>#DIV/0!</v>
      </c>
      <c r="DE52" s="873">
        <f>DB$32*$AI$31*('GREET IO'!$B29+'GREET IO'!$B5)+DB$33*$AI$31*IF($D$10=Input!$AD$35, 'Geographic Par.'!$E77, IF($D$10=Input!$AD$36, 'Geographic Par.'!$F77, IF($D$10=Input!$AD$37, 'Geographic Par.'!$H77, IF($D$10=Input!$AD$38,'Geographic Par.'!$G77,'Geographic Par.'!$K77))))</f>
        <v>2.3120361385014405</v>
      </c>
      <c r="DF52" s="868"/>
      <c r="DG52" s="237" t="e">
        <f t="shared" si="71"/>
        <v>#DIV/0!</v>
      </c>
      <c r="DH52" s="178" t="e">
        <f t="shared" si="72"/>
        <v>#DIV/0!</v>
      </c>
      <c r="DI52" s="179" t="e">
        <f t="shared" si="64"/>
        <v>#DIV/0!</v>
      </c>
      <c r="EA52" s="147" t="s">
        <v>181</v>
      </c>
      <c r="EB52" s="237" t="e">
        <f>EB$21*'Mat. Conv Par.'!$AC34+EB$22*'Mat. Conv Par.'!$BB32+EB$23*'Mat. Conv Par.'!$CB32+'Mat. Conv Par.'!$C122*SUM(Input!$F$28:$F$32)/$D$8+(EC$21*HLOOKUP($EA$21,'GREET IO'!$A$77:$AZ$98,ROW(EA52)-ROW(EA$42)+1,FALSE)+EC$22*HLOOKUP($EA$22,'GREET IO'!$A$77:$AZ$98,ROW(EA52)-ROW(EA$42)+1,FALSE)+EC$23*HLOOKUP($EA$23,'GREET IO'!$A$77:$AZ$98,ROW(EA52)-ROW(EA$42)+1,FALSE)+EC$24*HLOOKUP($EA$24,'GREET IO'!$A$77:$AZ$98,ROW(EA52)-ROW(EA$42)+1,FALSE)+EC$25*HLOOKUP($EA$25,'GREET IO'!$A$77:$AZ$98,ROW(EA52)-ROW(EA$42)+1,FALSE)+EC$26*HLOOKUP($EA$26,'GREET IO'!$A$77:$AZ$98,ROW(EA52)-ROW(EA$42)+1,FALSE)+EC$27*HLOOKUP($EA$27,'GREET IO'!$A$77:$AZ$98,ROW(EA52)-ROW(EA$42)+1,FALSE))/$AI$32</f>
        <v>#DIV/0!</v>
      </c>
      <c r="EC52" s="237" t="e">
        <f>EE$21*'Mat. Conv Par.'!$AC34+EE$22*'Mat. Conv Par.'!$BB32+EE$23*'Mat. Conv Par.'!$CB32+'Mat. Conv Par.'!$D122*SUM(Input!$F$28:$F$32)/$D$8+(EF$21*HLOOKUP($EA$21,'GREET IO'!$A$77:$AZ$98,ROW(EA52)-ROW(EA$42)+1,FALSE)+EF$22*HLOOKUP($EA$22,'GREET IO'!$A$77:$AZ$98,ROW(EA52)-ROW(EA$42)+1,FALSE)+EF$23*HLOOKUP($EA$23,'GREET IO'!$A$77:$AZ$98,ROW(EA52)-ROW(EA$42)+1,FALSE)+EF$24*HLOOKUP($EA$24,'GREET IO'!$A$77:$AZ$98,ROW(EA52)-ROW(EA$42)+1,FALSE)+EF$25*HLOOKUP($EA$25,'GREET IO'!$A$77:$AZ$98,ROW(EA52)-ROW(EA$42)+1,FALSE)+EF$26*HLOOKUP($EA$26,'GREET IO'!$A$77:$AZ$98,ROW(EA52)-ROW(EA$42)+1,FALSE)+EF$27*HLOOKUP($EA$27,'GREET IO'!$A$77:$AZ$98,ROW(EA52)-ROW(EA$42)+1,FALSE))/$AI$32</f>
        <v>#DIV/0!</v>
      </c>
      <c r="ED52" s="237" t="e">
        <f>EH$21*'Mat. Conv Par.'!$AC34+EH$22*'Mat. Conv Par.'!$BB32+EH$23*'Mat. Conv Par.'!$CB32+'Mat. Conv Par.'!$F122*SUM(Input!$F$28:$F$32)/$D$8+(EI$21*HLOOKUP($EA$21,'GREET IO'!$A$77:$AZ$98,ROW(EA52)-ROW(EA$42)+1,FALSE)+EI$22*HLOOKUP($EA$22,'GREET IO'!$A$77:$AZ$98,ROW(EA52)-ROW(EA$42)+1,FALSE)+EI$23*HLOOKUP($EA$23,'GREET IO'!$A$77:$AZ$98,ROW(EA52)-ROW(EA$42)+1,FALSE)+EI$24*HLOOKUP($EA$24,'GREET IO'!$A$77:$AZ$98,ROW(EA52)-ROW(EA$42)+1,FALSE)+EI$25*HLOOKUP($EA$25,'GREET IO'!$A$77:$AZ$98,ROW(EA52)-ROW(EA$42)+1,FALSE)+EI$26*HLOOKUP($EA$26,'GREET IO'!$A$77:$AZ$98,ROW(EA52)-ROW(EA$42)+1,FALSE)+EI$27*HLOOKUP($EA$27,'GREET IO'!$A$77:$AZ$98,ROW(EA52)-ROW(EA$42)+1,FALSE))/$AI$32</f>
        <v>#DIV/0!</v>
      </c>
      <c r="EE52" s="873">
        <f>EB$32*$AI$31*('GREET IO'!$B29+'GREET IO'!$B5)+EB$33*$AI$31*IF($D$10=Input!$AD$35, 'Geographic Par.'!$E77, IF($D$10=Input!$AD$36, 'Geographic Par.'!$F77, IF($D$10=Input!$AD$37, 'Geographic Par.'!$H77, IF($D$10=Input!$AD$38,'Geographic Par.'!$G77,'Geographic Par.'!$K77))))</f>
        <v>2.3145880789309281</v>
      </c>
      <c r="EF52" s="868"/>
      <c r="EG52" s="237" t="e">
        <f t="shared" si="73"/>
        <v>#DIV/0!</v>
      </c>
      <c r="EH52" s="178" t="e">
        <f t="shared" si="74"/>
        <v>#DIV/0!</v>
      </c>
      <c r="EI52" s="179" t="e">
        <f t="shared" si="65"/>
        <v>#DIV/0!</v>
      </c>
      <c r="FA52" s="147" t="s">
        <v>181</v>
      </c>
      <c r="FB52" s="237" t="e">
        <f>FB$21*'Mat. Conv Par.'!$AB34+'Mat. Conv Par.'!$C122*SUM(Input!$F$28:$F$32)/$D$8+(FC$21*HLOOKUP($FA$21,'GREET IO'!$A$77:$AZ$98,ROW(FA52)-ROW(FA$42)+1,FALSE)+FC$22*HLOOKUP($FA$22,'GREET IO'!$A$77:$AZ$98,ROW(FA52)-ROW(FA$42)+1,FALSE))/$AI$32</f>
        <v>#DIV/0!</v>
      </c>
      <c r="FC52" s="237" t="e">
        <f>FE$21*'Mat. Conv Par.'!$AB34+'Mat. Conv Par.'!$D122*SUM(Input!$F$28:$F$32)/$D$8+(FF$21*HLOOKUP($FA$21,'GREET IO'!$A$77:$AZ$98,ROW(FA52)-ROW(FA$42)+1,FALSE)+FF$22*HLOOKUP($FA$22,'GREET IO'!$A$77:$AZ$98,ROW(FA52)-ROW(FA$42)+1,FALSE))/$AI$32</f>
        <v>#DIV/0!</v>
      </c>
      <c r="FD52" s="237" t="e">
        <f>FH$21*'Mat. Conv Par.'!$AB34+'Mat. Conv Par.'!$F122*SUM(Input!$F$28:$F$32)/$D$8+(FI$21*HLOOKUP($FA$21,'GREET IO'!$A$77:$AZ$98,ROW(FA52)-ROW(FA$42)+1,FALSE)+FI$22*HLOOKUP($FA$22,'GREET IO'!$A$77:$AZ$98,ROW(FA52)-ROW(FA$42)+1,FALSE))/$AI$32</f>
        <v>#DIV/0!</v>
      </c>
      <c r="FE52" s="873">
        <f>FB$32*$AI$31*('GREET IO'!$B29+'GREET IO'!$B5)+FB$33*$AI$31*IF($D$10=Input!$AD$35, 'Geographic Par.'!$E77, IF($D$10=Input!$AD$36, 'Geographic Par.'!$F77, IF($D$10=Input!$AD$37, 'Geographic Par.'!$H77, IF($D$10=Input!$AD$38,'Geographic Par.'!$G77,'Geographic Par.'!$K77))))</f>
        <v>0</v>
      </c>
      <c r="FF52" s="868"/>
      <c r="FG52" s="237" t="e">
        <f t="shared" si="75"/>
        <v>#DIV/0!</v>
      </c>
      <c r="FH52" s="178" t="e">
        <f t="shared" si="76"/>
        <v>#DIV/0!</v>
      </c>
      <c r="FI52" s="179" t="e">
        <f t="shared" si="77"/>
        <v>#DIV/0!</v>
      </c>
    </row>
    <row r="53" spans="2:168">
      <c r="B53" s="147" t="s">
        <v>534</v>
      </c>
      <c r="C53" s="632">
        <f t="shared" ref="C53:C69" si="78">IF(E53&gt;0,E53,D53)</f>
        <v>0.52999404748781942</v>
      </c>
      <c r="D53" s="275">
        <v>0.52999404748781942</v>
      </c>
      <c r="E53" s="901">
        <f>IF(ISBLANK(Materials!D61),0,Materials!D61)</f>
        <v>0</v>
      </c>
      <c r="AA53" s="147" t="s">
        <v>182</v>
      </c>
      <c r="AB53" s="237" t="e">
        <f>AB$21*'Mat. Conv Par.'!$AC35+AB$22*'Mat. Conv Par.'!$BB33+'Mat. Conv Par.'!$C123*SUM(Input!$F$28:$F$32)/$D$8+(AC$21*HLOOKUP($AA$21,'GREET IO'!$A$77:$AZ$98,ROW(AA53)-ROW(AA$42)+1,FALSE)+AC$22*HLOOKUP($AA$22,'GREET IO'!$A$77:$AZ$98,ROW(AA53)-ROW(AA$42)+1,FALSE)+AC$23*HLOOKUP($AA$23,'GREET IO'!$A$77:$AZ$98,ROW(AA53)-ROW(AA$42)+1,FALSE)+AC$24*HLOOKUP($AA$24,'GREET IO'!$A$77:$AZ$98,ROW(AA53)-ROW(AA$42)+1,FALSE)+AC$25*HLOOKUP($AA$25,'GREET IO'!$A$77:$AZ$98,ROW(AA53)-ROW(AA$42)+1,FALSE)+AC$26*HLOOKUP($AA$26,'GREET IO'!$A$77:$AZ$98,ROW(AA53)-ROW(AA$42)+1,FALSE)+AC$27*HLOOKUP($AA$27,'GREET IO'!$A$77:$AZ$98,ROW(AA53)-ROW(AA$42)+1,FALSE))/$AI$32</f>
        <v>#DIV/0!</v>
      </c>
      <c r="AC53" s="237" t="e">
        <f>AE$21*'Mat. Conv Par.'!$AC35+AE$22*'Mat. Conv Par.'!$BB33+'Mat. Conv Par.'!$D123*SUM(Input!$F$28:$F$32)/$D$8+(AF$21*HLOOKUP($AA$21,'GREET IO'!$A$77:$AZ$98,ROW(AA53)-ROW(AA$42)+1,FALSE)+AF$22*HLOOKUP($AA$22,'GREET IO'!$A$77:$AZ$98,ROW(AA53)-ROW(AA$42)+1,FALSE)+AF$23*HLOOKUP($AA$23,'GREET IO'!$A$77:$AZ$98,ROW(AA53)-ROW(AA$42)+1,FALSE)+AF$24*HLOOKUP($AA$24,'GREET IO'!$A$77:$AZ$98,ROW(AA53)-ROW(AA$42)+1,FALSE)+AF$25*HLOOKUP($AA$25,'GREET IO'!$A$77:$AZ$98,ROW(AA53)-ROW(AA$42)+1,FALSE)+AF$26*HLOOKUP($AA$26,'GREET IO'!$A$77:$AZ$98,ROW(AA53)-ROW(AA$42)+1,FALSE)+AF$27*HLOOKUP($AA$27,'GREET IO'!$A$77:$AZ$98,ROW(AA53)-ROW(AA$42)+1,FALSE))/$AI$32</f>
        <v>#DIV/0!</v>
      </c>
      <c r="AD53" s="868" t="e">
        <f>AH$21*'Mat. Conv Par.'!$AC35+AH$22*'Mat. Conv Par.'!$BB33+'Mat. Conv Par.'!$F123*SUM(Input!$F$28:$F$32)/$D$8+(AI$21*HLOOKUP($AA$21,'GREET IO'!$A$77:$AZ$98,ROW(AA53)-ROW(AA$42)+1,FALSE)+AI$22*HLOOKUP($AA$22,'GREET IO'!$A$77:$AZ$98,ROW(AA53)-ROW(AA$42)+1,FALSE)+AI$23*HLOOKUP($AA$23,'GREET IO'!$A$77:$AZ$98,ROW(AA53)-ROW(AA$42)+1,FALSE)+AI$24*HLOOKUP($AA$24,'GREET IO'!$A$77:$AZ$98,ROW(AA53)-ROW(AA$42)+1,FALSE)+AI$25*HLOOKUP($AA$25,'GREET IO'!$A$77:$AZ$98,ROW(AA53)-ROW(AA$42)+1,FALSE)+AI$26*HLOOKUP($AA$26,'GREET IO'!$A$77:$AZ$98,ROW(AA53)-ROW(AA$42)+1,FALSE)+AI$27*HLOOKUP($AA$27,'GREET IO'!$A$77:$AZ$98,ROW(AA53)-ROW(AA$42)+1,FALSE))/$AI$32</f>
        <v>#DIV/0!</v>
      </c>
      <c r="AE53" s="873">
        <f>AB$32*$AI$31*('GREET IO'!$B30+'GREET IO'!$B6)+AB$33*$AI$31*IF($D$10=Input!$AD$35, 'Geographic Par.'!$E78, IF($D$10=Input!$AD$36, 'Geographic Par.'!$F78, IF($D$10=Input!$AD$37, 'Geographic Par.'!$H78, IF($D$10=Input!$AD$38,'Geographic Par.'!$G78,'Geographic Par.'!$K78))))</f>
        <v>3.1359266374032551</v>
      </c>
      <c r="AF53" s="868"/>
      <c r="AG53" s="237" t="e">
        <f t="shared" si="60"/>
        <v>#DIV/0!</v>
      </c>
      <c r="AH53" s="178" t="e">
        <f t="shared" si="61"/>
        <v>#DIV/0!</v>
      </c>
      <c r="AI53" s="179" t="e">
        <f t="shared" si="62"/>
        <v>#DIV/0!</v>
      </c>
      <c r="BA53" s="147" t="s">
        <v>182</v>
      </c>
      <c r="BB53" s="237" t="e">
        <f>BB$21*'Mat. Conv Par.'!$AC35+BB$22*'Mat. Conv Par.'!$BB33+'Mat. Conv Par.'!$C123*SUM(Input!$F$28:$F$32)/$D$8+(BC$21*HLOOKUP($AA$21,'GREET IO'!$A$77:$AZ$98,ROW(BA53)-ROW(BA$42)+1,FALSE)+BC$22*HLOOKUP($AA$22,'GREET IO'!$A$77:$AZ$98,ROW(BA53)-ROW(BA$42)+1,FALSE)+BC$23*HLOOKUP($AA$23,'GREET IO'!$A$77:$AZ$98,ROW(BA53)-ROW(BA$42)+1,FALSE)+BC$24*HLOOKUP($AA$24,'GREET IO'!$A$77:$AZ$98,ROW(BA53)-ROW(BA$42)+1,FALSE)+BC$25*HLOOKUP($AA$25,'GREET IO'!$A$77:$AZ$98,ROW(BA53)-ROW(BA$42)+1,FALSE)+BC$26*HLOOKUP($AA$26,'GREET IO'!$A$77:$AZ$98,ROW(BA53)-ROW(BA$42)+1,FALSE)+BC$27*HLOOKUP($AA$27,'GREET IO'!$A$77:$AZ$98,ROW(BA53)-ROW(BA$42)+1,FALSE))/$AI$32</f>
        <v>#DIV/0!</v>
      </c>
      <c r="BC53" s="237" t="e">
        <f>BE$21*'Mat. Conv Par.'!$AC35+BE$22*'Mat. Conv Par.'!$BB33+'Mat. Conv Par.'!$D123*SUM(Input!$F$28:$F$32)/$D$8+(BF$21*HLOOKUP($AA$21,'GREET IO'!$A$77:$AZ$98,ROW(BA53)-ROW(BA$42)+1,FALSE)+BF$22*HLOOKUP($AA$22,'GREET IO'!$A$77:$AZ$98,ROW(BA53)-ROW(BA$42)+1,FALSE)+BF$23*HLOOKUP($AA$23,'GREET IO'!$A$77:$AZ$98,ROW(BA53)-ROW(BA$42)+1,FALSE)+BF$24*HLOOKUP($AA$24,'GREET IO'!$A$77:$AZ$98,ROW(BA53)-ROW(BA$42)+1,FALSE)+BF$25*HLOOKUP($AA$25,'GREET IO'!$A$77:$AZ$98,ROW(BA53)-ROW(BA$42)+1,FALSE)+BF$26*HLOOKUP($AA$26,'GREET IO'!$A$77:$AZ$98,ROW(BA53)-ROW(BA$42)+1,FALSE)+BF$27*HLOOKUP($AA$27,'GREET IO'!$A$77:$AZ$98,ROW(BA53)-ROW(BA$42)+1,FALSE))/$AI$32</f>
        <v>#DIV/0!</v>
      </c>
      <c r="BD53" s="868" t="e">
        <f>BH$21*'Mat. Conv Par.'!$AC35+BH$22*'Mat. Conv Par.'!$BB33+'Mat. Conv Par.'!$F123*SUM(Input!$F$28:$F$32)/$D$8+(BI$21*HLOOKUP($AA$21,'GREET IO'!$A$77:$AZ$98,ROW(BA53)-ROW(BA$42)+1,FALSE)+BI$22*HLOOKUP($AA$22,'GREET IO'!$A$77:$AZ$98,ROW(BA53)-ROW(BA$42)+1,FALSE)+BI$23*HLOOKUP($AA$23,'GREET IO'!$A$77:$AZ$98,ROW(BA53)-ROW(BA$42)+1,FALSE)+BI$24*HLOOKUP($AA$24,'GREET IO'!$A$77:$AZ$98,ROW(BA53)-ROW(BA$42)+1,FALSE)+BI$25*HLOOKUP($AA$25,'GREET IO'!$A$77:$AZ$98,ROW(BA53)-ROW(BA$42)+1,FALSE)+BI$26*HLOOKUP($AA$26,'GREET IO'!$A$77:$AZ$98,ROW(BA53)-ROW(BA$42)+1,FALSE)+BI$27*HLOOKUP($AA$27,'GREET IO'!$A$77:$AZ$98,ROW(BA53)-ROW(BA$42)+1,FALSE))/$AI$32</f>
        <v>#DIV/0!</v>
      </c>
      <c r="BE53" s="873">
        <f>BB$32*$AI$31*('GREET IO'!$B30+'GREET IO'!$B6)+BB$33*$AI$31*IF($D$10=Input!$AD$35, 'Geographic Par.'!$E78, IF($D$10=Input!$AD$36, 'Geographic Par.'!$F78, IF($D$10=Input!$AD$37, 'Geographic Par.'!$H78, IF($D$10=Input!$AD$38,'Geographic Par.'!$G78,'Geographic Par.'!$K78))))</f>
        <v>3.1360889817855586</v>
      </c>
      <c r="BF53" s="868"/>
      <c r="BG53" s="237" t="e">
        <f t="shared" si="66"/>
        <v>#DIV/0!</v>
      </c>
      <c r="BH53" s="178" t="e">
        <f t="shared" si="67"/>
        <v>#DIV/0!</v>
      </c>
      <c r="BI53" s="179" t="e">
        <f t="shared" si="68"/>
        <v>#DIV/0!</v>
      </c>
      <c r="CA53" s="147" t="s">
        <v>182</v>
      </c>
      <c r="CB53" s="237" t="e">
        <f>CB$21*'Mat. Conv Par.'!$AC35+CB$22*'Mat. Conv Par.'!$BB33+'Mat. Conv Par.'!$C123*SUM(Input!$F$28:$F$32)/$D$8+(CC$21*HLOOKUP($AA$21,'GREET IO'!$A$77:$AZ$98,ROW(CA53)-ROW(CA$42)+1,FALSE)+CC$22*HLOOKUP($AA$22,'GREET IO'!$A$77:$AZ$98,ROW(CA53)-ROW(CA$42)+1,FALSE)+CC$23*HLOOKUP($AA$23,'GREET IO'!$A$77:$AZ$98,ROW(CA53)-ROW(CA$42)+1,FALSE)+CC$24*HLOOKUP($AA$24,'GREET IO'!$A$77:$AZ$98,ROW(CA53)-ROW(CA$42)+1,FALSE)+CC$25*HLOOKUP($AA$25,'GREET IO'!$A$77:$AZ$98,ROW(CA53)-ROW(CA$42)+1,FALSE)+CC$26*HLOOKUP($AA$26,'GREET IO'!$A$77:$AZ$98,ROW(CA53)-ROW(CA$42)+1,FALSE)+CC$27*HLOOKUP($AA$27,'GREET IO'!$A$77:$AZ$98,ROW(CA53)-ROW(CA$42)+1,FALSE))/$AI$32</f>
        <v>#DIV/0!</v>
      </c>
      <c r="CC53" s="237" t="e">
        <f>CE$21*'Mat. Conv Par.'!$AC35+CE$22*'Mat. Conv Par.'!$BB33+'Mat. Conv Par.'!$D123*SUM(Input!$F$28:$F$32)/$D$8+(CF$21*HLOOKUP($AA$21,'GREET IO'!$A$77:$AZ$98,ROW(CA53)-ROW(CA$42)+1,FALSE)+CF$22*HLOOKUP($AA$22,'GREET IO'!$A$77:$AZ$98,ROW(CA53)-ROW(CA$42)+1,FALSE)+CF$23*HLOOKUP($AA$23,'GREET IO'!$A$77:$AZ$98,ROW(CA53)-ROW(CA$42)+1,FALSE)+CF$24*HLOOKUP($AA$24,'GREET IO'!$A$77:$AZ$98,ROW(CA53)-ROW(CA$42)+1,FALSE)+CF$25*HLOOKUP($AA$25,'GREET IO'!$A$77:$AZ$98,ROW(CA53)-ROW(CA$42)+1,FALSE)+CF$26*HLOOKUP($AA$26,'GREET IO'!$A$77:$AZ$98,ROW(CA53)-ROW(CA$42)+1,FALSE)+CF$27*HLOOKUP($AA$27,'GREET IO'!$A$77:$AZ$98,ROW(CA53)-ROW(CA$42)+1,FALSE))/$AI$32</f>
        <v>#DIV/0!</v>
      </c>
      <c r="CD53" s="868" t="e">
        <f>CH$21*'Mat. Conv Par.'!$AC35+CH$22*'Mat. Conv Par.'!$BB33+'Mat. Conv Par.'!$F123*SUM(Input!$F$28:$F$32)/$D$8+(CI$21*HLOOKUP($AA$21,'GREET IO'!$A$77:$AZ$98,ROW(CA53)-ROW(CA$42)+1,FALSE)+CI$22*HLOOKUP($AA$22,'GREET IO'!$A$77:$AZ$98,ROW(CA53)-ROW(CA$42)+1,FALSE)+CI$23*HLOOKUP($AA$23,'GREET IO'!$A$77:$AZ$98,ROW(CA53)-ROW(CA$42)+1,FALSE)+CI$24*HLOOKUP($AA$24,'GREET IO'!$A$77:$AZ$98,ROW(CA53)-ROW(CA$42)+1,FALSE)+CI$25*HLOOKUP($AA$25,'GREET IO'!$A$77:$AZ$98,ROW(CA53)-ROW(CA$42)+1,FALSE)+CI$26*HLOOKUP($AA$26,'GREET IO'!$A$77:$AZ$98,ROW(CA53)-ROW(CA$42)+1,FALSE)+CI$27*HLOOKUP($AA$27,'GREET IO'!$A$77:$AZ$98,ROW(CA53)-ROW(CA$42)+1,FALSE))/$AI$32</f>
        <v>#DIV/0!</v>
      </c>
      <c r="CE53" s="873">
        <f>CB$32*$AI$31*('GREET IO'!$B30+'GREET IO'!$B6)+CB$33*$AI$31*IF($D$10=Input!$AD$35, 'Geographic Par.'!$E78, IF($D$10=Input!$AD$36, 'Geographic Par.'!$F78, IF($D$10=Input!$AD$37, 'Geographic Par.'!$H78, IF($D$10=Input!$AD$38,'Geographic Par.'!$G78,'Geographic Par.'!$K78))))</f>
        <v>3.1367404355382678</v>
      </c>
      <c r="CF53" s="868"/>
      <c r="CG53" s="237" t="e">
        <f t="shared" si="69"/>
        <v>#DIV/0!</v>
      </c>
      <c r="CH53" s="178" t="e">
        <f t="shared" si="70"/>
        <v>#DIV/0!</v>
      </c>
      <c r="CI53" s="179" t="e">
        <f t="shared" si="63"/>
        <v>#DIV/0!</v>
      </c>
      <c r="DA53" s="147" t="s">
        <v>182</v>
      </c>
      <c r="DB53" s="237" t="e">
        <f>DB$21*'Mat. Conv Par.'!$AC35+DB$22*'Mat. Conv Par.'!$BB33+'Mat. Conv Par.'!$C123*SUM(Input!$F$28:$F$32)/$D$8+(DC$21*HLOOKUP($DA$21,'GREET IO'!$A$77:$AZ$98,ROW(DA53)-ROW(DA$42)+1,FALSE)+DC$22*HLOOKUP($DA$22,'GREET IO'!$A$77:$AZ$98,ROW(DA53)-ROW(DA$42)+1,FALSE)+DC$23*HLOOKUP($DA$23,'GREET IO'!$A$77:$AZ$98,ROW(DA53)-ROW(DA$42)+1,FALSE)+DC$24*HLOOKUP($DA$24,'GREET IO'!$A$77:$AZ$98,ROW(DA53)-ROW(DA$42)+1,FALSE)+DC$25*HLOOKUP($DA$25,'GREET IO'!$A$77:$AZ$98,ROW(DA53)-ROW(DA$42)+1,FALSE)+DC$26*HLOOKUP($DA$26,'GREET IO'!$A$77:$AZ$98,ROW(DA53)-ROW(DA$42)+1,FALSE)+DC$27*HLOOKUP($DA$27,'GREET IO'!$A$77:$AZ$98,ROW(DA53)-ROW(DA$42)+1,FALSE))/$AI$32</f>
        <v>#DIV/0!</v>
      </c>
      <c r="DC53" s="1205" t="e">
        <f>DE$21*'Mat. Conv Par.'!$AC35+DE$22*'Mat. Conv Par.'!$BB33+DE$23*'Mat. Conv Par.'!$CB33+'Mat. Conv Par.'!$D123*SUM(Input!$F$28:$F$32)/$D$8+(DF$21*HLOOKUP($DA$21,'GREET IO'!$A$77:$AZ$98,ROW(DA53)-ROW(DA$42)+1,FALSE)+DF$22*HLOOKUP($DA$22,'GREET IO'!$A$77:$AZ$98,ROW(DA53)-ROW(DA$42)+1,FALSE)+DF$23*HLOOKUP($DA$23,'GREET IO'!$A$77:$AZ$98,ROW(DA53)-ROW(DA$42)+1,FALSE)+DF$24*HLOOKUP($DA$24,'GREET IO'!$A$77:$AZ$98,ROW(DA53)-ROW(DA$42)+1,FALSE)+DF$25*HLOOKUP($DA$25,'GREET IO'!$A$77:$AZ$98,ROW(DA53)-ROW(DA$42)+1,FALSE)+DF$26*HLOOKUP($DA$26,'GREET IO'!$A$77:$AZ$98,ROW(DA53)-ROW(DA$42)+1,FALSE)+DF$27*HLOOKUP($DA$27,'GREET IO'!$A$77:$AZ$98,ROW(DA53)-ROW(DA$42)+1,FALSE))/$AI$32</f>
        <v>#DIV/0!</v>
      </c>
      <c r="DD53" s="1205" t="e">
        <f>DH$21*'Mat. Conv Par.'!$AC35+DH$22*'Mat. Conv Par.'!$BB33+DH$23*'Mat. Conv Par.'!$CB33+'Mat. Conv Par.'!$F123*SUM(Input!$F$28:$F$32)/$D$8+(DI$21*HLOOKUP($DA$21,'GREET IO'!$A$77:$AZ$98,ROW(DA53)-ROW(DA$42)+1,FALSE)+DI$22*HLOOKUP($DA$22,'GREET IO'!$A$77:$AZ$98,ROW(DA53)-ROW(DA$42)+1,FALSE)+DI$23*HLOOKUP($DA$23,'GREET IO'!$A$77:$AZ$98,ROW(DA53)-ROW(DA$42)+1,FALSE)+DI$24*HLOOKUP($DA$24,'GREET IO'!$A$77:$AZ$98,ROW(DA53)-ROW(DA$42)+1,FALSE)+DI$25*HLOOKUP($DA$25,'GREET IO'!$A$77:$AZ$98,ROW(DA53)-ROW(DA$42)+1,FALSE)+DI$26*HLOOKUP($DA$26,'GREET IO'!$A$77:$AZ$98,ROW(DA53)-ROW(DA$42)+1,FALSE)+DI$27*HLOOKUP($DA$27,'GREET IO'!$A$77:$AZ$98,ROW(DA53)-ROW(DA$42)+1,FALSE))/$AI$32</f>
        <v>#DIV/0!</v>
      </c>
      <c r="DE53" s="873">
        <f>DB$32*$AI$31*('GREET IO'!$B30+'GREET IO'!$B6)+DB$33*$AI$31*IF($D$10=Input!$AD$35, 'Geographic Par.'!$E78, IF($D$10=Input!$AD$36, 'Geographic Par.'!$F78, IF($D$10=Input!$AD$37, 'Geographic Par.'!$H78, IF($D$10=Input!$AD$38,'Geographic Par.'!$G78,'Geographic Par.'!$K78))))</f>
        <v>3.1357884417817741</v>
      </c>
      <c r="DF53" s="868"/>
      <c r="DG53" s="237" t="e">
        <f t="shared" si="71"/>
        <v>#DIV/0!</v>
      </c>
      <c r="DH53" s="178" t="e">
        <f t="shared" si="72"/>
        <v>#DIV/0!</v>
      </c>
      <c r="DI53" s="179" t="e">
        <f t="shared" si="64"/>
        <v>#DIV/0!</v>
      </c>
      <c r="EA53" s="147" t="s">
        <v>182</v>
      </c>
      <c r="EB53" s="237" t="e">
        <f>EB$21*'Mat. Conv Par.'!$AC35+EB$22*'Mat. Conv Par.'!$BB33+EB$23*'Mat. Conv Par.'!$CB33+'Mat. Conv Par.'!$C123*SUM(Input!$F$28:$F$32)/$D$8+(EC$21*HLOOKUP($EA$21,'GREET IO'!$A$77:$AZ$98,ROW(EA53)-ROW(EA$42)+1,FALSE)+EC$22*HLOOKUP($EA$22,'GREET IO'!$A$77:$AZ$98,ROW(EA53)-ROW(EA$42)+1,FALSE)+EC$23*HLOOKUP($EA$23,'GREET IO'!$A$77:$AZ$98,ROW(EA53)-ROW(EA$42)+1,FALSE)+EC$24*HLOOKUP($EA$24,'GREET IO'!$A$77:$AZ$98,ROW(EA53)-ROW(EA$42)+1,FALSE)+EC$25*HLOOKUP($EA$25,'GREET IO'!$A$77:$AZ$98,ROW(EA53)-ROW(EA$42)+1,FALSE)+EC$26*HLOOKUP($EA$26,'GREET IO'!$A$77:$AZ$98,ROW(EA53)-ROW(EA$42)+1,FALSE)+EC$27*HLOOKUP($EA$27,'GREET IO'!$A$77:$AZ$98,ROW(EA53)-ROW(EA$42)+1,FALSE))/$AI$32</f>
        <v>#DIV/0!</v>
      </c>
      <c r="EC53" s="237" t="e">
        <f>EE$21*'Mat. Conv Par.'!$AC35+EE$22*'Mat. Conv Par.'!$BB33+EE$23*'Mat. Conv Par.'!$CB33+'Mat. Conv Par.'!$D123*SUM(Input!$F$28:$F$32)/$D$8+(EF$21*HLOOKUP($EA$21,'GREET IO'!$A$77:$AZ$98,ROW(EA53)-ROW(EA$42)+1,FALSE)+EF$22*HLOOKUP($EA$22,'GREET IO'!$A$77:$AZ$98,ROW(EA53)-ROW(EA$42)+1,FALSE)+EF$23*HLOOKUP($EA$23,'GREET IO'!$A$77:$AZ$98,ROW(EA53)-ROW(EA$42)+1,FALSE)+EF$24*HLOOKUP($EA$24,'GREET IO'!$A$77:$AZ$98,ROW(EA53)-ROW(EA$42)+1,FALSE)+EF$25*HLOOKUP($EA$25,'GREET IO'!$A$77:$AZ$98,ROW(EA53)-ROW(EA$42)+1,FALSE)+EF$26*HLOOKUP($EA$26,'GREET IO'!$A$77:$AZ$98,ROW(EA53)-ROW(EA$42)+1,FALSE)+EF$27*HLOOKUP($EA$27,'GREET IO'!$A$77:$AZ$98,ROW(EA53)-ROW(EA$42)+1,FALSE))/$AI$32</f>
        <v>#DIV/0!</v>
      </c>
      <c r="ED53" s="237" t="e">
        <f>EH$21*'Mat. Conv Par.'!$AC35+EH$22*'Mat. Conv Par.'!$BB33+EH$23*'Mat. Conv Par.'!$CB33+'Mat. Conv Par.'!$F123*SUM(Input!$F$28:$F$32)/$D$8+(EI$21*HLOOKUP($EA$21,'GREET IO'!$A$77:$AZ$98,ROW(EA53)-ROW(EA$42)+1,FALSE)+EI$22*HLOOKUP($EA$22,'GREET IO'!$A$77:$AZ$98,ROW(EA53)-ROW(EA$42)+1,FALSE)+EI$23*HLOOKUP($EA$23,'GREET IO'!$A$77:$AZ$98,ROW(EA53)-ROW(EA$42)+1,FALSE)+EI$24*HLOOKUP($EA$24,'GREET IO'!$A$77:$AZ$98,ROW(EA53)-ROW(EA$42)+1,FALSE)+EI$25*HLOOKUP($EA$25,'GREET IO'!$A$77:$AZ$98,ROW(EA53)-ROW(EA$42)+1,FALSE)+EI$26*HLOOKUP($EA$26,'GREET IO'!$A$77:$AZ$98,ROW(EA53)-ROW(EA$42)+1,FALSE)+EI$27*HLOOKUP($EA$27,'GREET IO'!$A$77:$AZ$98,ROW(EA53)-ROW(EA$42)+1,FALSE))/$AI$32</f>
        <v>#DIV/0!</v>
      </c>
      <c r="EE53" s="873">
        <f>EB$32*$AI$31*('GREET IO'!$B30+'GREET IO'!$B6)+EB$33*$AI$31*IF($D$10=Input!$AD$35, 'Geographic Par.'!$E78, IF($D$10=Input!$AD$36, 'Geographic Par.'!$F78, IF($D$10=Input!$AD$37, 'Geographic Par.'!$H78, IF($D$10=Input!$AD$38,'Geographic Par.'!$G78,'Geographic Par.'!$K78))))</f>
        <v>3.1392496096976399</v>
      </c>
      <c r="EF53" s="868"/>
      <c r="EG53" s="237" t="e">
        <f t="shared" si="73"/>
        <v>#DIV/0!</v>
      </c>
      <c r="EH53" s="178" t="e">
        <f t="shared" si="74"/>
        <v>#DIV/0!</v>
      </c>
      <c r="EI53" s="179" t="e">
        <f t="shared" si="65"/>
        <v>#DIV/0!</v>
      </c>
      <c r="FA53" s="147" t="s">
        <v>182</v>
      </c>
      <c r="FB53" s="237" t="e">
        <f>FB$21*'Mat. Conv Par.'!$AB35+'Mat. Conv Par.'!$C123*SUM(Input!$F$28:$F$32)/$D$8+(FC$21*HLOOKUP($FA$21,'GREET IO'!$A$77:$AZ$98,ROW(FA53)-ROW(FA$42)+1,FALSE)+FC$22*HLOOKUP($FA$22,'GREET IO'!$A$77:$AZ$98,ROW(FA53)-ROW(FA$42)+1,FALSE))/$AI$32</f>
        <v>#DIV/0!</v>
      </c>
      <c r="FC53" s="237" t="e">
        <f>FE$21*'Mat. Conv Par.'!$AB35+'Mat. Conv Par.'!$D123*SUM(Input!$F$28:$F$32)/$D$8+(FF$21*HLOOKUP($FA$21,'GREET IO'!$A$77:$AZ$98,ROW(FA53)-ROW(FA$42)+1,FALSE)+FF$22*HLOOKUP($FA$22,'GREET IO'!$A$77:$AZ$98,ROW(FA53)-ROW(FA$42)+1,FALSE))/$AI$32</f>
        <v>#DIV/0!</v>
      </c>
      <c r="FD53" s="237" t="e">
        <f>FH$21*'Mat. Conv Par.'!$AB35+'Mat. Conv Par.'!$F123*SUM(Input!$F$28:$F$32)/$D$8+(FI$21*HLOOKUP($FA$21,'GREET IO'!$A$77:$AZ$98,ROW(FA53)-ROW(FA$42)+1,FALSE)+FI$22*HLOOKUP($FA$22,'GREET IO'!$A$77:$AZ$98,ROW(FA53)-ROW(FA$42)+1,FALSE))/$AI$32</f>
        <v>#DIV/0!</v>
      </c>
      <c r="FE53" s="873">
        <f>FB$32*$AI$31*('GREET IO'!$B30+'GREET IO'!$B6)+FB$33*$AI$31*IF($D$10=Input!$AD$35, 'Geographic Par.'!$E78, IF($D$10=Input!$AD$36, 'Geographic Par.'!$F78, IF($D$10=Input!$AD$37, 'Geographic Par.'!$H78, IF($D$10=Input!$AD$38,'Geographic Par.'!$G78,'Geographic Par.'!$K78))))</f>
        <v>0</v>
      </c>
      <c r="FF53" s="868"/>
      <c r="FG53" s="237" t="e">
        <f t="shared" si="75"/>
        <v>#DIV/0!</v>
      </c>
      <c r="FH53" s="178" t="e">
        <f t="shared" si="76"/>
        <v>#DIV/0!</v>
      </c>
      <c r="FI53" s="179" t="e">
        <f t="shared" si="77"/>
        <v>#DIV/0!</v>
      </c>
    </row>
    <row r="54" spans="2:168">
      <c r="B54" s="147" t="s">
        <v>540</v>
      </c>
      <c r="C54" s="632">
        <f t="shared" si="78"/>
        <v>0.52999404748781942</v>
      </c>
      <c r="D54" s="275">
        <f>D53</f>
        <v>0.52999404748781942</v>
      </c>
      <c r="E54" s="901">
        <f>IF(ISBLANK(Materials!D62),0,Materials!D62)</f>
        <v>0</v>
      </c>
      <c r="AA54" s="147" t="s">
        <v>183</v>
      </c>
      <c r="AB54" s="237" t="e">
        <f>AB$21*'Mat. Conv Par.'!$AC36+AB$22*'Mat. Conv Par.'!$BB34+'Mat. Conv Par.'!$C124*SUM(Input!$F$28:$F$32)/$D$8+(AC$21*HLOOKUP($AA$21,'GREET IO'!$A$77:$AZ$98,ROW(AA54)-ROW(AA$42)+1,FALSE)+AC$22*HLOOKUP($AA$22,'GREET IO'!$A$77:$AZ$98,ROW(AA54)-ROW(AA$42)+1,FALSE)+AC$23*HLOOKUP($AA$23,'GREET IO'!$A$77:$AZ$98,ROW(AA54)-ROW(AA$42)+1,FALSE)+AC$24*HLOOKUP($AA$24,'GREET IO'!$A$77:$AZ$98,ROW(AA54)-ROW(AA$42)+1,FALSE)+AC$25*HLOOKUP($AA$25,'GREET IO'!$A$77:$AZ$98,ROW(AA54)-ROW(AA$42)+1,FALSE)+AC$26*HLOOKUP($AA$26,'GREET IO'!$A$77:$AZ$98,ROW(AA54)-ROW(AA$42)+1,FALSE)+AC$27*HLOOKUP($AA$27,'GREET IO'!$A$77:$AZ$98,ROW(AA54)-ROW(AA$42)+1,FALSE))/$AI$32</f>
        <v>#DIV/0!</v>
      </c>
      <c r="AC54" s="237" t="e">
        <f>AE$21*'Mat. Conv Par.'!$AC36+AE$22*'Mat. Conv Par.'!$BB34+'Mat. Conv Par.'!$D124*SUM(Input!$F$28:$F$32)/$D$8+(AF$21*HLOOKUP($AA$21,'GREET IO'!$A$77:$AZ$98,ROW(AA54)-ROW(AA$42)+1,FALSE)+AF$22*HLOOKUP($AA$22,'GREET IO'!$A$77:$AZ$98,ROW(AA54)-ROW(AA$42)+1,FALSE)+AF$23*HLOOKUP($AA$23,'GREET IO'!$A$77:$AZ$98,ROW(AA54)-ROW(AA$42)+1,FALSE)+AF$24*HLOOKUP($AA$24,'GREET IO'!$A$77:$AZ$98,ROW(AA54)-ROW(AA$42)+1,FALSE)+AF$25*HLOOKUP($AA$25,'GREET IO'!$A$77:$AZ$98,ROW(AA54)-ROW(AA$42)+1,FALSE)+AF$26*HLOOKUP($AA$26,'GREET IO'!$A$77:$AZ$98,ROW(AA54)-ROW(AA$42)+1,FALSE)+AF$27*HLOOKUP($AA$27,'GREET IO'!$A$77:$AZ$98,ROW(AA54)-ROW(AA$42)+1,FALSE))/$AI$32</f>
        <v>#DIV/0!</v>
      </c>
      <c r="AD54" s="868" t="e">
        <f>AH$21*'Mat. Conv Par.'!$AC36+AH$22*'Mat. Conv Par.'!$BB34+'Mat. Conv Par.'!$F124*SUM(Input!$F$28:$F$32)/$D$8+(AI$21*HLOOKUP($AA$21,'GREET IO'!$A$77:$AZ$98,ROW(AA54)-ROW(AA$42)+1,FALSE)+AI$22*HLOOKUP($AA$22,'GREET IO'!$A$77:$AZ$98,ROW(AA54)-ROW(AA$42)+1,FALSE)+AI$23*HLOOKUP($AA$23,'GREET IO'!$A$77:$AZ$98,ROW(AA54)-ROW(AA$42)+1,FALSE)+AI$24*HLOOKUP($AA$24,'GREET IO'!$A$77:$AZ$98,ROW(AA54)-ROW(AA$42)+1,FALSE)+AI$25*HLOOKUP($AA$25,'GREET IO'!$A$77:$AZ$98,ROW(AA54)-ROW(AA$42)+1,FALSE)+AI$26*HLOOKUP($AA$26,'GREET IO'!$A$77:$AZ$98,ROW(AA54)-ROW(AA$42)+1,FALSE)+AI$27*HLOOKUP($AA$27,'GREET IO'!$A$77:$AZ$98,ROW(AA54)-ROW(AA$42)+1,FALSE))/$AI$32</f>
        <v>#DIV/0!</v>
      </c>
      <c r="AE54" s="873">
        <f>AB$32*$AI$31*('GREET IO'!$B31+'GREET IO'!$B7)+AB$33*$AI$31*IF($D$10=Input!$AD$35, 'Geographic Par.'!$E79, IF($D$10=Input!$AD$36, 'Geographic Par.'!$F79, IF($D$10=Input!$AD$37, 'Geographic Par.'!$H79, IF($D$10=Input!$AD$38,'Geographic Par.'!$G79,'Geographic Par.'!$K79))))</f>
        <v>0.15824628668956059</v>
      </c>
      <c r="AF54" s="868"/>
      <c r="AG54" s="237" t="e">
        <f t="shared" si="60"/>
        <v>#DIV/0!</v>
      </c>
      <c r="AH54" s="178" t="e">
        <f t="shared" si="61"/>
        <v>#DIV/0!</v>
      </c>
      <c r="AI54" s="179" t="e">
        <f t="shared" si="62"/>
        <v>#DIV/0!</v>
      </c>
      <c r="BA54" s="147" t="s">
        <v>183</v>
      </c>
      <c r="BB54" s="237" t="e">
        <f>BB$21*'Mat. Conv Par.'!$AC36+BB$22*'Mat. Conv Par.'!$BB34+'Mat. Conv Par.'!$C124*SUM(Input!$F$28:$F$32)/$D$8+(BC$21*HLOOKUP($AA$21,'GREET IO'!$A$77:$AZ$98,ROW(BA54)-ROW(BA$42)+1,FALSE)+BC$22*HLOOKUP($AA$22,'GREET IO'!$A$77:$AZ$98,ROW(BA54)-ROW(BA$42)+1,FALSE)+BC$23*HLOOKUP($AA$23,'GREET IO'!$A$77:$AZ$98,ROW(BA54)-ROW(BA$42)+1,FALSE)+BC$24*HLOOKUP($AA$24,'GREET IO'!$A$77:$AZ$98,ROW(BA54)-ROW(BA$42)+1,FALSE)+BC$25*HLOOKUP($AA$25,'GREET IO'!$A$77:$AZ$98,ROW(BA54)-ROW(BA$42)+1,FALSE)+BC$26*HLOOKUP($AA$26,'GREET IO'!$A$77:$AZ$98,ROW(BA54)-ROW(BA$42)+1,FALSE)+BC$27*HLOOKUP($AA$27,'GREET IO'!$A$77:$AZ$98,ROW(BA54)-ROW(BA$42)+1,FALSE))/$AI$32</f>
        <v>#DIV/0!</v>
      </c>
      <c r="BC54" s="237" t="e">
        <f>BE$21*'Mat. Conv Par.'!$AC36+BE$22*'Mat. Conv Par.'!$BB34+'Mat. Conv Par.'!$D124*SUM(Input!$F$28:$F$32)/$D$8+(BF$21*HLOOKUP($AA$21,'GREET IO'!$A$77:$AZ$98,ROW(BA54)-ROW(BA$42)+1,FALSE)+BF$22*HLOOKUP($AA$22,'GREET IO'!$A$77:$AZ$98,ROW(BA54)-ROW(BA$42)+1,FALSE)+BF$23*HLOOKUP($AA$23,'GREET IO'!$A$77:$AZ$98,ROW(BA54)-ROW(BA$42)+1,FALSE)+BF$24*HLOOKUP($AA$24,'GREET IO'!$A$77:$AZ$98,ROW(BA54)-ROW(BA$42)+1,FALSE)+BF$25*HLOOKUP($AA$25,'GREET IO'!$A$77:$AZ$98,ROW(BA54)-ROW(BA$42)+1,FALSE)+BF$26*HLOOKUP($AA$26,'GREET IO'!$A$77:$AZ$98,ROW(BA54)-ROW(BA$42)+1,FALSE)+BF$27*HLOOKUP($AA$27,'GREET IO'!$A$77:$AZ$98,ROW(BA54)-ROW(BA$42)+1,FALSE))/$AI$32</f>
        <v>#DIV/0!</v>
      </c>
      <c r="BD54" s="868" t="e">
        <f>BH$21*'Mat. Conv Par.'!$AC36+BH$22*'Mat. Conv Par.'!$BB34+'Mat. Conv Par.'!$F124*SUM(Input!$F$28:$F$32)/$D$8+(BI$21*HLOOKUP($AA$21,'GREET IO'!$A$77:$AZ$98,ROW(BA54)-ROW(BA$42)+1,FALSE)+BI$22*HLOOKUP($AA$22,'GREET IO'!$A$77:$AZ$98,ROW(BA54)-ROW(BA$42)+1,FALSE)+BI$23*HLOOKUP($AA$23,'GREET IO'!$A$77:$AZ$98,ROW(BA54)-ROW(BA$42)+1,FALSE)+BI$24*HLOOKUP($AA$24,'GREET IO'!$A$77:$AZ$98,ROW(BA54)-ROW(BA$42)+1,FALSE)+BI$25*HLOOKUP($AA$25,'GREET IO'!$A$77:$AZ$98,ROW(BA54)-ROW(BA$42)+1,FALSE)+BI$26*HLOOKUP($AA$26,'GREET IO'!$A$77:$AZ$98,ROW(BA54)-ROW(BA$42)+1,FALSE)+BI$27*HLOOKUP($AA$27,'GREET IO'!$A$77:$AZ$98,ROW(BA54)-ROW(BA$42)+1,FALSE))/$AI$32</f>
        <v>#DIV/0!</v>
      </c>
      <c r="BE54" s="873">
        <f>BB$32*$AI$31*('GREET IO'!$B31+'GREET IO'!$B7)+BB$33*$AI$31*IF($D$10=Input!$AD$35, 'Geographic Par.'!$E79, IF($D$10=Input!$AD$36, 'Geographic Par.'!$F79, IF($D$10=Input!$AD$37, 'Geographic Par.'!$H79, IF($D$10=Input!$AD$38,'Geographic Par.'!$G79,'Geographic Par.'!$K79))))</f>
        <v>0.15825447897166248</v>
      </c>
      <c r="BF54" s="868"/>
      <c r="BG54" s="237" t="e">
        <f t="shared" si="66"/>
        <v>#DIV/0!</v>
      </c>
      <c r="BH54" s="178" t="e">
        <f t="shared" si="67"/>
        <v>#DIV/0!</v>
      </c>
      <c r="BI54" s="179" t="e">
        <f t="shared" si="68"/>
        <v>#DIV/0!</v>
      </c>
      <c r="CA54" s="147" t="s">
        <v>183</v>
      </c>
      <c r="CB54" s="237" t="e">
        <f>CB$21*'Mat. Conv Par.'!$AC36+CB$22*'Mat. Conv Par.'!$BB34+'Mat. Conv Par.'!$C124*SUM(Input!$F$28:$F$32)/$D$8+(CC$21*HLOOKUP($AA$21,'GREET IO'!$A$77:$AZ$98,ROW(CA54)-ROW(CA$42)+1,FALSE)+CC$22*HLOOKUP($AA$22,'GREET IO'!$A$77:$AZ$98,ROW(CA54)-ROW(CA$42)+1,FALSE)+CC$23*HLOOKUP($AA$23,'GREET IO'!$A$77:$AZ$98,ROW(CA54)-ROW(CA$42)+1,FALSE)+CC$24*HLOOKUP($AA$24,'GREET IO'!$A$77:$AZ$98,ROW(CA54)-ROW(CA$42)+1,FALSE)+CC$25*HLOOKUP($AA$25,'GREET IO'!$A$77:$AZ$98,ROW(CA54)-ROW(CA$42)+1,FALSE)+CC$26*HLOOKUP($AA$26,'GREET IO'!$A$77:$AZ$98,ROW(CA54)-ROW(CA$42)+1,FALSE)+CC$27*HLOOKUP($AA$27,'GREET IO'!$A$77:$AZ$98,ROW(CA54)-ROW(CA$42)+1,FALSE))/$AI$32</f>
        <v>#DIV/0!</v>
      </c>
      <c r="CC54" s="237" t="e">
        <f>CE$21*'Mat. Conv Par.'!$AC36+CE$22*'Mat. Conv Par.'!$BB34+'Mat. Conv Par.'!$D124*SUM(Input!$F$28:$F$32)/$D$8+(CF$21*HLOOKUP($AA$21,'GREET IO'!$A$77:$AZ$98,ROW(CA54)-ROW(CA$42)+1,FALSE)+CF$22*HLOOKUP($AA$22,'GREET IO'!$A$77:$AZ$98,ROW(CA54)-ROW(CA$42)+1,FALSE)+CF$23*HLOOKUP($AA$23,'GREET IO'!$A$77:$AZ$98,ROW(CA54)-ROW(CA$42)+1,FALSE)+CF$24*HLOOKUP($AA$24,'GREET IO'!$A$77:$AZ$98,ROW(CA54)-ROW(CA$42)+1,FALSE)+CF$25*HLOOKUP($AA$25,'GREET IO'!$A$77:$AZ$98,ROW(CA54)-ROW(CA$42)+1,FALSE)+CF$26*HLOOKUP($AA$26,'GREET IO'!$A$77:$AZ$98,ROW(CA54)-ROW(CA$42)+1,FALSE)+CF$27*HLOOKUP($AA$27,'GREET IO'!$A$77:$AZ$98,ROW(CA54)-ROW(CA$42)+1,FALSE))/$AI$32</f>
        <v>#DIV/0!</v>
      </c>
      <c r="CD54" s="868" t="e">
        <f>CH$21*'Mat. Conv Par.'!$AC36+CH$22*'Mat. Conv Par.'!$BB34+'Mat. Conv Par.'!$F124*SUM(Input!$F$28:$F$32)/$D$8+(CI$21*HLOOKUP($AA$21,'GREET IO'!$A$77:$AZ$98,ROW(CA54)-ROW(CA$42)+1,FALSE)+CI$22*HLOOKUP($AA$22,'GREET IO'!$A$77:$AZ$98,ROW(CA54)-ROW(CA$42)+1,FALSE)+CI$23*HLOOKUP($AA$23,'GREET IO'!$A$77:$AZ$98,ROW(CA54)-ROW(CA$42)+1,FALSE)+CI$24*HLOOKUP($AA$24,'GREET IO'!$A$77:$AZ$98,ROW(CA54)-ROW(CA$42)+1,FALSE)+CI$25*HLOOKUP($AA$25,'GREET IO'!$A$77:$AZ$98,ROW(CA54)-ROW(CA$42)+1,FALSE)+CI$26*HLOOKUP($AA$26,'GREET IO'!$A$77:$AZ$98,ROW(CA54)-ROW(CA$42)+1,FALSE)+CI$27*HLOOKUP($AA$27,'GREET IO'!$A$77:$AZ$98,ROW(CA54)-ROW(CA$42)+1,FALSE))/$AI$32</f>
        <v>#DIV/0!</v>
      </c>
      <c r="CE54" s="873">
        <f>CB$32*$AI$31*('GREET IO'!$B31+'GREET IO'!$B7)+CB$33*$AI$31*IF($D$10=Input!$AD$35, 'Geographic Par.'!$E79, IF($D$10=Input!$AD$36, 'Geographic Par.'!$F79, IF($D$10=Input!$AD$37, 'Geographic Par.'!$H79, IF($D$10=Input!$AD$38,'Geographic Par.'!$G79,'Geographic Par.'!$K79))))</f>
        <v>0.15828735287122589</v>
      </c>
      <c r="CF54" s="868"/>
      <c r="CG54" s="237" t="e">
        <f t="shared" si="69"/>
        <v>#DIV/0!</v>
      </c>
      <c r="CH54" s="178" t="e">
        <f t="shared" si="70"/>
        <v>#DIV/0!</v>
      </c>
      <c r="CI54" s="179" t="e">
        <f t="shared" si="63"/>
        <v>#DIV/0!</v>
      </c>
      <c r="DA54" s="147" t="s">
        <v>183</v>
      </c>
      <c r="DB54" s="237" t="e">
        <f>DB$21*'Mat. Conv Par.'!$AC36+DB$22*'Mat. Conv Par.'!$BB34+'Mat. Conv Par.'!$C124*SUM(Input!$F$28:$F$32)/$D$8+(DC$21*HLOOKUP($DA$21,'GREET IO'!$A$77:$AZ$98,ROW(DA54)-ROW(DA$42)+1,FALSE)+DC$22*HLOOKUP($DA$22,'GREET IO'!$A$77:$AZ$98,ROW(DA54)-ROW(DA$42)+1,FALSE)+DC$23*HLOOKUP($DA$23,'GREET IO'!$A$77:$AZ$98,ROW(DA54)-ROW(DA$42)+1,FALSE)+DC$24*HLOOKUP($DA$24,'GREET IO'!$A$77:$AZ$98,ROW(DA54)-ROW(DA$42)+1,FALSE)+DC$25*HLOOKUP($DA$25,'GREET IO'!$A$77:$AZ$98,ROW(DA54)-ROW(DA$42)+1,FALSE)+DC$26*HLOOKUP($DA$26,'GREET IO'!$A$77:$AZ$98,ROW(DA54)-ROW(DA$42)+1,FALSE)+DC$27*HLOOKUP($DA$27,'GREET IO'!$A$77:$AZ$98,ROW(DA54)-ROW(DA$42)+1,FALSE))/$AI$32</f>
        <v>#DIV/0!</v>
      </c>
      <c r="DC54" s="1205" t="e">
        <f>DE$21*'Mat. Conv Par.'!$AC36+DE$22*'Mat. Conv Par.'!$BB34+DE$23*'Mat. Conv Par.'!$CB34+'Mat. Conv Par.'!$D124*SUM(Input!$F$28:$F$32)/$D$8+(DF$21*HLOOKUP($DA$21,'GREET IO'!$A$77:$AZ$98,ROW(DA54)-ROW(DA$42)+1,FALSE)+DF$22*HLOOKUP($DA$22,'GREET IO'!$A$77:$AZ$98,ROW(DA54)-ROW(DA$42)+1,FALSE)+DF$23*HLOOKUP($DA$23,'GREET IO'!$A$77:$AZ$98,ROW(DA54)-ROW(DA$42)+1,FALSE)+DF$24*HLOOKUP($DA$24,'GREET IO'!$A$77:$AZ$98,ROW(DA54)-ROW(DA$42)+1,FALSE)+DF$25*HLOOKUP($DA$25,'GREET IO'!$A$77:$AZ$98,ROW(DA54)-ROW(DA$42)+1,FALSE)+DF$26*HLOOKUP($DA$26,'GREET IO'!$A$77:$AZ$98,ROW(DA54)-ROW(DA$42)+1,FALSE)+DF$27*HLOOKUP($DA$27,'GREET IO'!$A$77:$AZ$98,ROW(DA54)-ROW(DA$42)+1,FALSE))/$AI$32</f>
        <v>#DIV/0!</v>
      </c>
      <c r="DD54" s="1205" t="e">
        <f>DH$21*'Mat. Conv Par.'!$AC36+DH$22*'Mat. Conv Par.'!$BB34+DH$23*'Mat. Conv Par.'!$CB34+'Mat. Conv Par.'!$F124*SUM(Input!$F$28:$F$32)/$D$8+(DI$21*HLOOKUP($DA$21,'GREET IO'!$A$77:$AZ$98,ROW(DA54)-ROW(DA$42)+1,FALSE)+DI$22*HLOOKUP($DA$22,'GREET IO'!$A$77:$AZ$98,ROW(DA54)-ROW(DA$42)+1,FALSE)+DI$23*HLOOKUP($DA$23,'GREET IO'!$A$77:$AZ$98,ROW(DA54)-ROW(DA$42)+1,FALSE)+DI$24*HLOOKUP($DA$24,'GREET IO'!$A$77:$AZ$98,ROW(DA54)-ROW(DA$42)+1,FALSE)+DI$25*HLOOKUP($DA$25,'GREET IO'!$A$77:$AZ$98,ROW(DA54)-ROW(DA$42)+1,FALSE)+DI$26*HLOOKUP($DA$26,'GREET IO'!$A$77:$AZ$98,ROW(DA54)-ROW(DA$42)+1,FALSE)+DI$27*HLOOKUP($DA$27,'GREET IO'!$A$77:$AZ$98,ROW(DA54)-ROW(DA$42)+1,FALSE))/$AI$32</f>
        <v>#DIV/0!</v>
      </c>
      <c r="DE54" s="873">
        <f>DB$32*$AI$31*('GREET IO'!$B31+'GREET IO'!$B7)+DB$33*$AI$31*IF($D$10=Input!$AD$35, 'Geographic Par.'!$E79, IF($D$10=Input!$AD$36, 'Geographic Par.'!$F79, IF($D$10=Input!$AD$37, 'Geographic Par.'!$H79, IF($D$10=Input!$AD$38,'Geographic Par.'!$G79,'Geographic Par.'!$K79))))</f>
        <v>0.15823931301113481</v>
      </c>
      <c r="DF54" s="868"/>
      <c r="DG54" s="237" t="e">
        <f t="shared" si="71"/>
        <v>#DIV/0!</v>
      </c>
      <c r="DH54" s="178" t="e">
        <f t="shared" si="72"/>
        <v>#DIV/0!</v>
      </c>
      <c r="DI54" s="179" t="e">
        <f t="shared" si="64"/>
        <v>#DIV/0!</v>
      </c>
      <c r="EA54" s="147" t="s">
        <v>183</v>
      </c>
      <c r="EB54" s="237" t="e">
        <f>EB$21*'Mat. Conv Par.'!$AC36+EB$22*'Mat. Conv Par.'!$BB34+EB$23*'Mat. Conv Par.'!$CB34+'Mat. Conv Par.'!$C124*SUM(Input!$F$28:$F$32)/$D$8+(EC$21*HLOOKUP($EA$21,'GREET IO'!$A$77:$AZ$98,ROW(EA54)-ROW(EA$42)+1,FALSE)+EC$22*HLOOKUP($EA$22,'GREET IO'!$A$77:$AZ$98,ROW(EA54)-ROW(EA$42)+1,FALSE)+EC$23*HLOOKUP($EA$23,'GREET IO'!$A$77:$AZ$98,ROW(EA54)-ROW(EA$42)+1,FALSE)+EC$24*HLOOKUP($EA$24,'GREET IO'!$A$77:$AZ$98,ROW(EA54)-ROW(EA$42)+1,FALSE)+EC$25*HLOOKUP($EA$25,'GREET IO'!$A$77:$AZ$98,ROW(EA54)-ROW(EA$42)+1,FALSE)+EC$26*HLOOKUP($EA$26,'GREET IO'!$A$77:$AZ$98,ROW(EA54)-ROW(EA$42)+1,FALSE)+EC$27*HLOOKUP($EA$27,'GREET IO'!$A$77:$AZ$98,ROW(EA54)-ROW(EA$42)+1,FALSE))/$AI$32</f>
        <v>#DIV/0!</v>
      </c>
      <c r="EC54" s="237" t="e">
        <f>EE$21*'Mat. Conv Par.'!$AC36+EE$22*'Mat. Conv Par.'!$BB34+EE$23*'Mat. Conv Par.'!$CB34+'Mat. Conv Par.'!$D124*SUM(Input!$F$28:$F$32)/$D$8+(EF$21*HLOOKUP($EA$21,'GREET IO'!$A$77:$AZ$98,ROW(EA54)-ROW(EA$42)+1,FALSE)+EF$22*HLOOKUP($EA$22,'GREET IO'!$A$77:$AZ$98,ROW(EA54)-ROW(EA$42)+1,FALSE)+EF$23*HLOOKUP($EA$23,'GREET IO'!$A$77:$AZ$98,ROW(EA54)-ROW(EA$42)+1,FALSE)+EF$24*HLOOKUP($EA$24,'GREET IO'!$A$77:$AZ$98,ROW(EA54)-ROW(EA$42)+1,FALSE)+EF$25*HLOOKUP($EA$25,'GREET IO'!$A$77:$AZ$98,ROW(EA54)-ROW(EA$42)+1,FALSE)+EF$26*HLOOKUP($EA$26,'GREET IO'!$A$77:$AZ$98,ROW(EA54)-ROW(EA$42)+1,FALSE)+EF$27*HLOOKUP($EA$27,'GREET IO'!$A$77:$AZ$98,ROW(EA54)-ROW(EA$42)+1,FALSE))/$AI$32</f>
        <v>#DIV/0!</v>
      </c>
      <c r="ED54" s="237" t="e">
        <f>EH$21*'Mat. Conv Par.'!$AC36+EH$22*'Mat. Conv Par.'!$BB34+EH$23*'Mat. Conv Par.'!$CB34+'Mat. Conv Par.'!$F124*SUM(Input!$F$28:$F$32)/$D$8+(EI$21*HLOOKUP($EA$21,'GREET IO'!$A$77:$AZ$98,ROW(EA54)-ROW(EA$42)+1,FALSE)+EI$22*HLOOKUP($EA$22,'GREET IO'!$A$77:$AZ$98,ROW(EA54)-ROW(EA$42)+1,FALSE)+EI$23*HLOOKUP($EA$23,'GREET IO'!$A$77:$AZ$98,ROW(EA54)-ROW(EA$42)+1,FALSE)+EI$24*HLOOKUP($EA$24,'GREET IO'!$A$77:$AZ$98,ROW(EA54)-ROW(EA$42)+1,FALSE)+EI$25*HLOOKUP($EA$25,'GREET IO'!$A$77:$AZ$98,ROW(EA54)-ROW(EA$42)+1,FALSE)+EI$26*HLOOKUP($EA$26,'GREET IO'!$A$77:$AZ$98,ROW(EA54)-ROW(EA$42)+1,FALSE)+EI$27*HLOOKUP($EA$27,'GREET IO'!$A$77:$AZ$98,ROW(EA54)-ROW(EA$42)+1,FALSE))/$AI$32</f>
        <v>#DIV/0!</v>
      </c>
      <c r="EE54" s="873">
        <f>EB$32*$AI$31*('GREET IO'!$B31+'GREET IO'!$B7)+EB$33*$AI$31*IF($D$10=Input!$AD$35, 'Geographic Par.'!$E79, IF($D$10=Input!$AD$36, 'Geographic Par.'!$F79, IF($D$10=Input!$AD$37, 'Geographic Par.'!$H79, IF($D$10=Input!$AD$38,'Geographic Par.'!$G79,'Geographic Par.'!$K79))))</f>
        <v>0.15841397174318611</v>
      </c>
      <c r="EF54" s="868"/>
      <c r="EG54" s="237" t="e">
        <f t="shared" si="73"/>
        <v>#DIV/0!</v>
      </c>
      <c r="EH54" s="178" t="e">
        <f t="shared" si="74"/>
        <v>#DIV/0!</v>
      </c>
      <c r="EI54" s="179" t="e">
        <f t="shared" si="65"/>
        <v>#DIV/0!</v>
      </c>
      <c r="FA54" s="147" t="s">
        <v>183</v>
      </c>
      <c r="FB54" s="237" t="e">
        <f>FB$21*'Mat. Conv Par.'!$AB36+'Mat. Conv Par.'!$C124*SUM(Input!$F$28:$F$32)/$D$8+(FC$21*HLOOKUP($FA$21,'GREET IO'!$A$77:$AZ$98,ROW(FA54)-ROW(FA$42)+1,FALSE)+FC$22*HLOOKUP($FA$22,'GREET IO'!$A$77:$AZ$98,ROW(FA54)-ROW(FA$42)+1,FALSE))/$AI$32</f>
        <v>#DIV/0!</v>
      </c>
      <c r="FC54" s="237" t="e">
        <f>FE$21*'Mat. Conv Par.'!$AB36+'Mat. Conv Par.'!$D124*SUM(Input!$F$28:$F$32)/$D$8+(FF$21*HLOOKUP($FA$21,'GREET IO'!$A$77:$AZ$98,ROW(FA54)-ROW(FA$42)+1,FALSE)+FF$22*HLOOKUP($FA$22,'GREET IO'!$A$77:$AZ$98,ROW(FA54)-ROW(FA$42)+1,FALSE))/$AI$32</f>
        <v>#DIV/0!</v>
      </c>
      <c r="FD54" s="237" t="e">
        <f>FH$21*'Mat. Conv Par.'!$AB36+'Mat. Conv Par.'!$F124*SUM(Input!$F$28:$F$32)/$D$8+(FI$21*HLOOKUP($FA$21,'GREET IO'!$A$77:$AZ$98,ROW(FA54)-ROW(FA$42)+1,FALSE)+FI$22*HLOOKUP($FA$22,'GREET IO'!$A$77:$AZ$98,ROW(FA54)-ROW(FA$42)+1,FALSE))/$AI$32</f>
        <v>#DIV/0!</v>
      </c>
      <c r="FE54" s="873">
        <f>FB$32*$AI$31*('GREET IO'!$B31+'GREET IO'!$B7)+FB$33*$AI$31*IF($D$10=Input!$AD$35, 'Geographic Par.'!$E79, IF($D$10=Input!$AD$36, 'Geographic Par.'!$F79, IF($D$10=Input!$AD$37, 'Geographic Par.'!$H79, IF($D$10=Input!$AD$38,'Geographic Par.'!$G79,'Geographic Par.'!$K79))))</f>
        <v>0</v>
      </c>
      <c r="FF54" s="868"/>
      <c r="FG54" s="237" t="e">
        <f t="shared" si="75"/>
        <v>#DIV/0!</v>
      </c>
      <c r="FH54" s="178" t="e">
        <f t="shared" si="76"/>
        <v>#DIV/0!</v>
      </c>
      <c r="FI54" s="179" t="e">
        <f t="shared" si="77"/>
        <v>#DIV/0!</v>
      </c>
    </row>
    <row r="55" spans="2:168">
      <c r="B55" s="147" t="s">
        <v>705</v>
      </c>
      <c r="C55" s="632">
        <f t="shared" si="78"/>
        <v>36.964965207145823</v>
      </c>
      <c r="D55" s="275">
        <f>'BatPaC IO'!$D$8*'Mat. Conv Par.'!$H$43/'Mat. Conv Par.'!$L$43</f>
        <v>36.964965207145823</v>
      </c>
      <c r="E55" s="901">
        <f>IF(ISBLANK(Materials!D63),0,Materials!D63)</f>
        <v>0</v>
      </c>
      <c r="AA55" s="147" t="s">
        <v>184</v>
      </c>
      <c r="AB55" s="237" t="e">
        <f>AB$21*'Mat. Conv Par.'!$AC37+AB$22*'Mat. Conv Par.'!$BB35+'Mat. Conv Par.'!$C125*SUM(Input!$F$28:$F$32)/$D$8+(AC$21*HLOOKUP($AA$21,'GREET IO'!$A$77:$AZ$98,ROW(AA55)-ROW(AA$42)+1,FALSE)+AC$22*HLOOKUP($AA$22,'GREET IO'!$A$77:$AZ$98,ROW(AA55)-ROW(AA$42)+1,FALSE)+AC$23*HLOOKUP($AA$23,'GREET IO'!$A$77:$AZ$98,ROW(AA55)-ROW(AA$42)+1,FALSE)+AC$24*HLOOKUP($AA$24,'GREET IO'!$A$77:$AZ$98,ROW(AA55)-ROW(AA$42)+1,FALSE)+AC$25*HLOOKUP($AA$25,'GREET IO'!$A$77:$AZ$98,ROW(AA55)-ROW(AA$42)+1,FALSE)+AC$26*HLOOKUP($AA$26,'GREET IO'!$A$77:$AZ$98,ROW(AA55)-ROW(AA$42)+1,FALSE)+AC$27*HLOOKUP($AA$27,'GREET IO'!$A$77:$AZ$98,ROW(AA55)-ROW(AA$42)+1,FALSE))/$AI$32</f>
        <v>#DIV/0!</v>
      </c>
      <c r="AC55" s="237" t="e">
        <f>AE$21*'Mat. Conv Par.'!$AC37+AE$22*'Mat. Conv Par.'!$BB35+'Mat. Conv Par.'!$D125*SUM(Input!$F$28:$F$32)/$D$8+(AF$21*HLOOKUP($AA$21,'GREET IO'!$A$77:$AZ$98,ROW(AA55)-ROW(AA$42)+1,FALSE)+AF$22*HLOOKUP($AA$22,'GREET IO'!$A$77:$AZ$98,ROW(AA55)-ROW(AA$42)+1,FALSE)+AF$23*HLOOKUP($AA$23,'GREET IO'!$A$77:$AZ$98,ROW(AA55)-ROW(AA$42)+1,FALSE)+AF$24*HLOOKUP($AA$24,'GREET IO'!$A$77:$AZ$98,ROW(AA55)-ROW(AA$42)+1,FALSE)+AF$25*HLOOKUP($AA$25,'GREET IO'!$A$77:$AZ$98,ROW(AA55)-ROW(AA$42)+1,FALSE)+AF$26*HLOOKUP($AA$26,'GREET IO'!$A$77:$AZ$98,ROW(AA55)-ROW(AA$42)+1,FALSE)+AF$27*HLOOKUP($AA$27,'GREET IO'!$A$77:$AZ$98,ROW(AA55)-ROW(AA$42)+1,FALSE))/$AI$32</f>
        <v>#DIV/0!</v>
      </c>
      <c r="AD55" s="868" t="e">
        <f>AH$21*'Mat. Conv Par.'!$AC37+AH$22*'Mat. Conv Par.'!$BB35+'Mat. Conv Par.'!$F125*SUM(Input!$F$28:$F$32)/$D$8+(AI$21*HLOOKUP($AA$21,'GREET IO'!$A$77:$AZ$98,ROW(AA55)-ROW(AA$42)+1,FALSE)+AI$22*HLOOKUP($AA$22,'GREET IO'!$A$77:$AZ$98,ROW(AA55)-ROW(AA$42)+1,FALSE)+AI$23*HLOOKUP($AA$23,'GREET IO'!$A$77:$AZ$98,ROW(AA55)-ROW(AA$42)+1,FALSE)+AI$24*HLOOKUP($AA$24,'GREET IO'!$A$77:$AZ$98,ROW(AA55)-ROW(AA$42)+1,FALSE)+AI$25*HLOOKUP($AA$25,'GREET IO'!$A$77:$AZ$98,ROW(AA55)-ROW(AA$42)+1,FALSE)+AI$26*HLOOKUP($AA$26,'GREET IO'!$A$77:$AZ$98,ROW(AA55)-ROW(AA$42)+1,FALSE)+AI$27*HLOOKUP($AA$27,'GREET IO'!$A$77:$AZ$98,ROW(AA55)-ROW(AA$42)+1,FALSE))/$AI$32</f>
        <v>#DIV/0!</v>
      </c>
      <c r="AE55" s="873">
        <f>AB$32*$AI$31*('GREET IO'!$B32+'GREET IO'!$B8)+AB$33*$AI$31*IF($D$10=Input!$AD$35, 'Geographic Par.'!$E80, IF($D$10=Input!$AD$36, 'Geographic Par.'!$F80, IF($D$10=Input!$AD$37, 'Geographic Par.'!$H80, IF($D$10=Input!$AD$38,'Geographic Par.'!$G80,'Geographic Par.'!$K80))))</f>
        <v>0.15729711396404161</v>
      </c>
      <c r="AF55" s="868"/>
      <c r="AG55" s="237" t="e">
        <f t="shared" si="60"/>
        <v>#DIV/0!</v>
      </c>
      <c r="AH55" s="178" t="e">
        <f t="shared" si="61"/>
        <v>#DIV/0!</v>
      </c>
      <c r="AI55" s="179" t="e">
        <f t="shared" si="62"/>
        <v>#DIV/0!</v>
      </c>
      <c r="BA55" s="147" t="s">
        <v>184</v>
      </c>
      <c r="BB55" s="237" t="e">
        <f>BB$21*'Mat. Conv Par.'!$AC37+BB$22*'Mat. Conv Par.'!$BB35+'Mat. Conv Par.'!$C125*SUM(Input!$F$28:$F$32)/$D$8+(BC$21*HLOOKUP($AA$21,'GREET IO'!$A$77:$AZ$98,ROW(BA55)-ROW(BA$42)+1,FALSE)+BC$22*HLOOKUP($AA$22,'GREET IO'!$A$77:$AZ$98,ROW(BA55)-ROW(BA$42)+1,FALSE)+BC$23*HLOOKUP($AA$23,'GREET IO'!$A$77:$AZ$98,ROW(BA55)-ROW(BA$42)+1,FALSE)+BC$24*HLOOKUP($AA$24,'GREET IO'!$A$77:$AZ$98,ROW(BA55)-ROW(BA$42)+1,FALSE)+BC$25*HLOOKUP($AA$25,'GREET IO'!$A$77:$AZ$98,ROW(BA55)-ROW(BA$42)+1,FALSE)+BC$26*HLOOKUP($AA$26,'GREET IO'!$A$77:$AZ$98,ROW(BA55)-ROW(BA$42)+1,FALSE)+BC$27*HLOOKUP($AA$27,'GREET IO'!$A$77:$AZ$98,ROW(BA55)-ROW(BA$42)+1,FALSE))/$AI$32</f>
        <v>#DIV/0!</v>
      </c>
      <c r="BC55" s="237" t="e">
        <f>BE$21*'Mat. Conv Par.'!$AC37+BE$22*'Mat. Conv Par.'!$BB35+'Mat. Conv Par.'!$D125*SUM(Input!$F$28:$F$32)/$D$8+(BF$21*HLOOKUP($AA$21,'GREET IO'!$A$77:$AZ$98,ROW(BA55)-ROW(BA$42)+1,FALSE)+BF$22*HLOOKUP($AA$22,'GREET IO'!$A$77:$AZ$98,ROW(BA55)-ROW(BA$42)+1,FALSE)+BF$23*HLOOKUP($AA$23,'GREET IO'!$A$77:$AZ$98,ROW(BA55)-ROW(BA$42)+1,FALSE)+BF$24*HLOOKUP($AA$24,'GREET IO'!$A$77:$AZ$98,ROW(BA55)-ROW(BA$42)+1,FALSE)+BF$25*HLOOKUP($AA$25,'GREET IO'!$A$77:$AZ$98,ROW(BA55)-ROW(BA$42)+1,FALSE)+BF$26*HLOOKUP($AA$26,'GREET IO'!$A$77:$AZ$98,ROW(BA55)-ROW(BA$42)+1,FALSE)+BF$27*HLOOKUP($AA$27,'GREET IO'!$A$77:$AZ$98,ROW(BA55)-ROW(BA$42)+1,FALSE))/$AI$32</f>
        <v>#DIV/0!</v>
      </c>
      <c r="BD55" s="868" t="e">
        <f>BH$21*'Mat. Conv Par.'!$AC37+BH$22*'Mat. Conv Par.'!$BB35+'Mat. Conv Par.'!$F125*SUM(Input!$F$28:$F$32)/$D$8+(BI$21*HLOOKUP($AA$21,'GREET IO'!$A$77:$AZ$98,ROW(BA55)-ROW(BA$42)+1,FALSE)+BI$22*HLOOKUP($AA$22,'GREET IO'!$A$77:$AZ$98,ROW(BA55)-ROW(BA$42)+1,FALSE)+BI$23*HLOOKUP($AA$23,'GREET IO'!$A$77:$AZ$98,ROW(BA55)-ROW(BA$42)+1,FALSE)+BI$24*HLOOKUP($AA$24,'GREET IO'!$A$77:$AZ$98,ROW(BA55)-ROW(BA$42)+1,FALSE)+BI$25*HLOOKUP($AA$25,'GREET IO'!$A$77:$AZ$98,ROW(BA55)-ROW(BA$42)+1,FALSE)+BI$26*HLOOKUP($AA$26,'GREET IO'!$A$77:$AZ$98,ROW(BA55)-ROW(BA$42)+1,FALSE)+BI$27*HLOOKUP($AA$27,'GREET IO'!$A$77:$AZ$98,ROW(BA55)-ROW(BA$42)+1,FALSE))/$AI$32</f>
        <v>#DIV/0!</v>
      </c>
      <c r="BE55" s="873">
        <f>BB$32*$AI$31*('GREET IO'!$B32+'GREET IO'!$B8)+BB$33*$AI$31*IF($D$10=Input!$AD$35, 'Geographic Par.'!$E80, IF($D$10=Input!$AD$36, 'Geographic Par.'!$F80, IF($D$10=Input!$AD$37, 'Geographic Par.'!$H80, IF($D$10=Input!$AD$38,'Geographic Par.'!$G80,'Geographic Par.'!$K80))))</f>
        <v>0.15730525710824023</v>
      </c>
      <c r="BF55" s="868"/>
      <c r="BG55" s="237" t="e">
        <f t="shared" si="66"/>
        <v>#DIV/0!</v>
      </c>
      <c r="BH55" s="178" t="e">
        <f t="shared" si="67"/>
        <v>#DIV/0!</v>
      </c>
      <c r="BI55" s="179" t="e">
        <f t="shared" si="68"/>
        <v>#DIV/0!</v>
      </c>
      <c r="CA55" s="147" t="s">
        <v>184</v>
      </c>
      <c r="CB55" s="237" t="e">
        <f>CB$21*'Mat. Conv Par.'!$AC37+CB$22*'Mat. Conv Par.'!$BB35+'Mat. Conv Par.'!$C125*SUM(Input!$F$28:$F$32)/$D$8+(CC$21*HLOOKUP($AA$21,'GREET IO'!$A$77:$AZ$98,ROW(CA55)-ROW(CA$42)+1,FALSE)+CC$22*HLOOKUP($AA$22,'GREET IO'!$A$77:$AZ$98,ROW(CA55)-ROW(CA$42)+1,FALSE)+CC$23*HLOOKUP($AA$23,'GREET IO'!$A$77:$AZ$98,ROW(CA55)-ROW(CA$42)+1,FALSE)+CC$24*HLOOKUP($AA$24,'GREET IO'!$A$77:$AZ$98,ROW(CA55)-ROW(CA$42)+1,FALSE)+CC$25*HLOOKUP($AA$25,'GREET IO'!$A$77:$AZ$98,ROW(CA55)-ROW(CA$42)+1,FALSE)+CC$26*HLOOKUP($AA$26,'GREET IO'!$A$77:$AZ$98,ROW(CA55)-ROW(CA$42)+1,FALSE)+CC$27*HLOOKUP($AA$27,'GREET IO'!$A$77:$AZ$98,ROW(CA55)-ROW(CA$42)+1,FALSE))/$AI$32</f>
        <v>#DIV/0!</v>
      </c>
      <c r="CC55" s="237" t="e">
        <f>CE$21*'Mat. Conv Par.'!$AC37+CE$22*'Mat. Conv Par.'!$BB35+'Mat. Conv Par.'!$D125*SUM(Input!$F$28:$F$32)/$D$8+(CF$21*HLOOKUP($AA$21,'GREET IO'!$A$77:$AZ$98,ROW(CA55)-ROW(CA$42)+1,FALSE)+CF$22*HLOOKUP($AA$22,'GREET IO'!$A$77:$AZ$98,ROW(CA55)-ROW(CA$42)+1,FALSE)+CF$23*HLOOKUP($AA$23,'GREET IO'!$A$77:$AZ$98,ROW(CA55)-ROW(CA$42)+1,FALSE)+CF$24*HLOOKUP($AA$24,'GREET IO'!$A$77:$AZ$98,ROW(CA55)-ROW(CA$42)+1,FALSE)+CF$25*HLOOKUP($AA$25,'GREET IO'!$A$77:$AZ$98,ROW(CA55)-ROW(CA$42)+1,FALSE)+CF$26*HLOOKUP($AA$26,'GREET IO'!$A$77:$AZ$98,ROW(CA55)-ROW(CA$42)+1,FALSE)+CF$27*HLOOKUP($AA$27,'GREET IO'!$A$77:$AZ$98,ROW(CA55)-ROW(CA$42)+1,FALSE))/$AI$32</f>
        <v>#DIV/0!</v>
      </c>
      <c r="CD55" s="868" t="e">
        <f>CH$21*'Mat. Conv Par.'!$AC37+CH$22*'Mat. Conv Par.'!$BB35+'Mat. Conv Par.'!$F125*SUM(Input!$F$28:$F$32)/$D$8+(CI$21*HLOOKUP($AA$21,'GREET IO'!$A$77:$AZ$98,ROW(CA55)-ROW(CA$42)+1,FALSE)+CI$22*HLOOKUP($AA$22,'GREET IO'!$A$77:$AZ$98,ROW(CA55)-ROW(CA$42)+1,FALSE)+CI$23*HLOOKUP($AA$23,'GREET IO'!$A$77:$AZ$98,ROW(CA55)-ROW(CA$42)+1,FALSE)+CI$24*HLOOKUP($AA$24,'GREET IO'!$A$77:$AZ$98,ROW(CA55)-ROW(CA$42)+1,FALSE)+CI$25*HLOOKUP($AA$25,'GREET IO'!$A$77:$AZ$98,ROW(CA55)-ROW(CA$42)+1,FALSE)+CI$26*HLOOKUP($AA$26,'GREET IO'!$A$77:$AZ$98,ROW(CA55)-ROW(CA$42)+1,FALSE)+CI$27*HLOOKUP($AA$27,'GREET IO'!$A$77:$AZ$98,ROW(CA55)-ROW(CA$42)+1,FALSE))/$AI$32</f>
        <v>#DIV/0!</v>
      </c>
      <c r="CE55" s="873">
        <f>CB$32*$AI$31*('GREET IO'!$B32+'GREET IO'!$B8)+CB$33*$AI$31*IF($D$10=Input!$AD$35, 'Geographic Par.'!$E80, IF($D$10=Input!$AD$36, 'Geographic Par.'!$F80, IF($D$10=Input!$AD$37, 'Geographic Par.'!$H80, IF($D$10=Input!$AD$38,'Geographic Par.'!$G80,'Geographic Par.'!$K80))))</f>
        <v>0.15733793382776548</v>
      </c>
      <c r="CF55" s="868"/>
      <c r="CG55" s="237" t="e">
        <f t="shared" si="69"/>
        <v>#DIV/0!</v>
      </c>
      <c r="CH55" s="178" t="e">
        <f t="shared" si="70"/>
        <v>#DIV/0!</v>
      </c>
      <c r="CI55" s="179" t="e">
        <f t="shared" si="63"/>
        <v>#DIV/0!</v>
      </c>
      <c r="DA55" s="147" t="s">
        <v>184</v>
      </c>
      <c r="DB55" s="237" t="e">
        <f>DB$21*'Mat. Conv Par.'!$AC37+DB$22*'Mat. Conv Par.'!$BB35+'Mat. Conv Par.'!$C125*SUM(Input!$F$28:$F$32)/$D$8+(DC$21*HLOOKUP($DA$21,'GREET IO'!$A$77:$AZ$98,ROW(DA55)-ROW(DA$42)+1,FALSE)+DC$22*HLOOKUP($DA$22,'GREET IO'!$A$77:$AZ$98,ROW(DA55)-ROW(DA$42)+1,FALSE)+DC$23*HLOOKUP($DA$23,'GREET IO'!$A$77:$AZ$98,ROW(DA55)-ROW(DA$42)+1,FALSE)+DC$24*HLOOKUP($DA$24,'GREET IO'!$A$77:$AZ$98,ROW(DA55)-ROW(DA$42)+1,FALSE)+DC$25*HLOOKUP($DA$25,'GREET IO'!$A$77:$AZ$98,ROW(DA55)-ROW(DA$42)+1,FALSE)+DC$26*HLOOKUP($DA$26,'GREET IO'!$A$77:$AZ$98,ROW(DA55)-ROW(DA$42)+1,FALSE)+DC$27*HLOOKUP($DA$27,'GREET IO'!$A$77:$AZ$98,ROW(DA55)-ROW(DA$42)+1,FALSE))/$AI$32</f>
        <v>#DIV/0!</v>
      </c>
      <c r="DC55" s="1205" t="e">
        <f>DE$21*'Mat. Conv Par.'!$AC37+DE$22*'Mat. Conv Par.'!$BB35+DE$23*'Mat. Conv Par.'!$CB35+'Mat. Conv Par.'!$D125*SUM(Input!$F$28:$F$32)/$D$8+(DF$21*HLOOKUP($DA$21,'GREET IO'!$A$77:$AZ$98,ROW(DA55)-ROW(DA$42)+1,FALSE)+DF$22*HLOOKUP($DA$22,'GREET IO'!$A$77:$AZ$98,ROW(DA55)-ROW(DA$42)+1,FALSE)+DF$23*HLOOKUP($DA$23,'GREET IO'!$A$77:$AZ$98,ROW(DA55)-ROW(DA$42)+1,FALSE)+DF$24*HLOOKUP($DA$24,'GREET IO'!$A$77:$AZ$98,ROW(DA55)-ROW(DA$42)+1,FALSE)+DF$25*HLOOKUP($DA$25,'GREET IO'!$A$77:$AZ$98,ROW(DA55)-ROW(DA$42)+1,FALSE)+DF$26*HLOOKUP($DA$26,'GREET IO'!$A$77:$AZ$98,ROW(DA55)-ROW(DA$42)+1,FALSE)+DF$27*HLOOKUP($DA$27,'GREET IO'!$A$77:$AZ$98,ROW(DA55)-ROW(DA$42)+1,FALSE))/$AI$32</f>
        <v>#DIV/0!</v>
      </c>
      <c r="DD55" s="1205" t="e">
        <f>DH$21*'Mat. Conv Par.'!$AC37+DH$22*'Mat. Conv Par.'!$BB35+DH$23*'Mat. Conv Par.'!$CB35+'Mat. Conv Par.'!$F125*SUM(Input!$F$28:$F$32)/$D$8+(DI$21*HLOOKUP($DA$21,'GREET IO'!$A$77:$AZ$98,ROW(DA55)-ROW(DA$42)+1,FALSE)+DI$22*HLOOKUP($DA$22,'GREET IO'!$A$77:$AZ$98,ROW(DA55)-ROW(DA$42)+1,FALSE)+DI$23*HLOOKUP($DA$23,'GREET IO'!$A$77:$AZ$98,ROW(DA55)-ROW(DA$42)+1,FALSE)+DI$24*HLOOKUP($DA$24,'GREET IO'!$A$77:$AZ$98,ROW(DA55)-ROW(DA$42)+1,FALSE)+DI$25*HLOOKUP($DA$25,'GREET IO'!$A$77:$AZ$98,ROW(DA55)-ROW(DA$42)+1,FALSE)+DI$26*HLOOKUP($DA$26,'GREET IO'!$A$77:$AZ$98,ROW(DA55)-ROW(DA$42)+1,FALSE)+DI$27*HLOOKUP($DA$27,'GREET IO'!$A$77:$AZ$98,ROW(DA55)-ROW(DA$42)+1,FALSE))/$AI$32</f>
        <v>#DIV/0!</v>
      </c>
      <c r="DE55" s="873">
        <f>DB$32*$AI$31*('GREET IO'!$B32+'GREET IO'!$B8)+DB$33*$AI$31*IF($D$10=Input!$AD$35, 'Geographic Par.'!$E80, IF($D$10=Input!$AD$36, 'Geographic Par.'!$F80, IF($D$10=Input!$AD$37, 'Geographic Par.'!$H80, IF($D$10=Input!$AD$38,'Geographic Par.'!$G80,'Geographic Par.'!$K80))))</f>
        <v>0.15729018211424572</v>
      </c>
      <c r="DF55" s="868"/>
      <c r="DG55" s="237" t="e">
        <f t="shared" si="71"/>
        <v>#DIV/0!</v>
      </c>
      <c r="DH55" s="178" t="e">
        <f t="shared" si="72"/>
        <v>#DIV/0!</v>
      </c>
      <c r="DI55" s="179" t="e">
        <f t="shared" si="64"/>
        <v>#DIV/0!</v>
      </c>
      <c r="EA55" s="147" t="s">
        <v>184</v>
      </c>
      <c r="EB55" s="237" t="e">
        <f>EB$21*'Mat. Conv Par.'!$AC37+EB$22*'Mat. Conv Par.'!$BB35+EB$23*'Mat. Conv Par.'!$CB35+'Mat. Conv Par.'!$C125*SUM(Input!$F$28:$F$32)/$D$8+(EC$21*HLOOKUP($EA$21,'GREET IO'!$A$77:$AZ$98,ROW(EA55)-ROW(EA$42)+1,FALSE)+EC$22*HLOOKUP($EA$22,'GREET IO'!$A$77:$AZ$98,ROW(EA55)-ROW(EA$42)+1,FALSE)+EC$23*HLOOKUP($EA$23,'GREET IO'!$A$77:$AZ$98,ROW(EA55)-ROW(EA$42)+1,FALSE)+EC$24*HLOOKUP($EA$24,'GREET IO'!$A$77:$AZ$98,ROW(EA55)-ROW(EA$42)+1,FALSE)+EC$25*HLOOKUP($EA$25,'GREET IO'!$A$77:$AZ$98,ROW(EA55)-ROW(EA$42)+1,FALSE)+EC$26*HLOOKUP($EA$26,'GREET IO'!$A$77:$AZ$98,ROW(EA55)-ROW(EA$42)+1,FALSE)+EC$27*HLOOKUP($EA$27,'GREET IO'!$A$77:$AZ$98,ROW(EA55)-ROW(EA$42)+1,FALSE))/$AI$32</f>
        <v>#DIV/0!</v>
      </c>
      <c r="EC55" s="237" t="e">
        <f>EE$21*'Mat. Conv Par.'!$AC37+EE$22*'Mat. Conv Par.'!$BB35+EE$23*'Mat. Conv Par.'!$CB35+'Mat. Conv Par.'!$D125*SUM(Input!$F$28:$F$32)/$D$8+(EF$21*HLOOKUP($EA$21,'GREET IO'!$A$77:$AZ$98,ROW(EA55)-ROW(EA$42)+1,FALSE)+EF$22*HLOOKUP($EA$22,'GREET IO'!$A$77:$AZ$98,ROW(EA55)-ROW(EA$42)+1,FALSE)+EF$23*HLOOKUP($EA$23,'GREET IO'!$A$77:$AZ$98,ROW(EA55)-ROW(EA$42)+1,FALSE)+EF$24*HLOOKUP($EA$24,'GREET IO'!$A$77:$AZ$98,ROW(EA55)-ROW(EA$42)+1,FALSE)+EF$25*HLOOKUP($EA$25,'GREET IO'!$A$77:$AZ$98,ROW(EA55)-ROW(EA$42)+1,FALSE)+EF$26*HLOOKUP($EA$26,'GREET IO'!$A$77:$AZ$98,ROW(EA55)-ROW(EA$42)+1,FALSE)+EF$27*HLOOKUP($EA$27,'GREET IO'!$A$77:$AZ$98,ROW(EA55)-ROW(EA$42)+1,FALSE))/$AI$32</f>
        <v>#DIV/0!</v>
      </c>
      <c r="ED55" s="237" t="e">
        <f>EH$21*'Mat. Conv Par.'!$AC37+EH$22*'Mat. Conv Par.'!$BB35+EH$23*'Mat. Conv Par.'!$CB35+'Mat. Conv Par.'!$F125*SUM(Input!$F$28:$F$32)/$D$8+(EI$21*HLOOKUP($EA$21,'GREET IO'!$A$77:$AZ$98,ROW(EA55)-ROW(EA$42)+1,FALSE)+EI$22*HLOOKUP($EA$22,'GREET IO'!$A$77:$AZ$98,ROW(EA55)-ROW(EA$42)+1,FALSE)+EI$23*HLOOKUP($EA$23,'GREET IO'!$A$77:$AZ$98,ROW(EA55)-ROW(EA$42)+1,FALSE)+EI$24*HLOOKUP($EA$24,'GREET IO'!$A$77:$AZ$98,ROW(EA55)-ROW(EA$42)+1,FALSE)+EI$25*HLOOKUP($EA$25,'GREET IO'!$A$77:$AZ$98,ROW(EA55)-ROW(EA$42)+1,FALSE)+EI$26*HLOOKUP($EA$26,'GREET IO'!$A$77:$AZ$98,ROW(EA55)-ROW(EA$42)+1,FALSE)+EI$27*HLOOKUP($EA$27,'GREET IO'!$A$77:$AZ$98,ROW(EA55)-ROW(EA$42)+1,FALSE))/$AI$32</f>
        <v>#DIV/0!</v>
      </c>
      <c r="EE55" s="873">
        <f>EB$32*$AI$31*('GREET IO'!$B32+'GREET IO'!$B8)+EB$33*$AI$31*IF($D$10=Input!$AD$35, 'Geographic Par.'!$E80, IF($D$10=Input!$AD$36, 'Geographic Par.'!$F80, IF($D$10=Input!$AD$37, 'Geographic Par.'!$H80, IF($D$10=Input!$AD$38,'Geographic Par.'!$G80,'Geographic Par.'!$K80))))</f>
        <v>0.15746379323053172</v>
      </c>
      <c r="EF55" s="868"/>
      <c r="EG55" s="237" t="e">
        <f t="shared" si="73"/>
        <v>#DIV/0!</v>
      </c>
      <c r="EH55" s="178" t="e">
        <f t="shared" si="74"/>
        <v>#DIV/0!</v>
      </c>
      <c r="EI55" s="179" t="e">
        <f t="shared" si="65"/>
        <v>#DIV/0!</v>
      </c>
      <c r="FA55" s="147" t="s">
        <v>184</v>
      </c>
      <c r="FB55" s="237" t="e">
        <f>FB$21*'Mat. Conv Par.'!$AB37+'Mat. Conv Par.'!$C125*SUM(Input!$F$28:$F$32)/$D$8+(FC$21*HLOOKUP($FA$21,'GREET IO'!$A$77:$AZ$98,ROW(FA55)-ROW(FA$42)+1,FALSE)+FC$22*HLOOKUP($FA$22,'GREET IO'!$A$77:$AZ$98,ROW(FA55)-ROW(FA$42)+1,FALSE))/$AI$32</f>
        <v>#DIV/0!</v>
      </c>
      <c r="FC55" s="237" t="e">
        <f>FE$21*'Mat. Conv Par.'!$AB37+'Mat. Conv Par.'!$D125*SUM(Input!$F$28:$F$32)/$D$8+(FF$21*HLOOKUP($FA$21,'GREET IO'!$A$77:$AZ$98,ROW(FA55)-ROW(FA$42)+1,FALSE)+FF$22*HLOOKUP($FA$22,'GREET IO'!$A$77:$AZ$98,ROW(FA55)-ROW(FA$42)+1,FALSE))/$AI$32</f>
        <v>#DIV/0!</v>
      </c>
      <c r="FD55" s="237" t="e">
        <f>FH$21*'Mat. Conv Par.'!$AB37+'Mat. Conv Par.'!$F125*SUM(Input!$F$28:$F$32)/$D$8+(FI$21*HLOOKUP($FA$21,'GREET IO'!$A$77:$AZ$98,ROW(FA55)-ROW(FA$42)+1,FALSE)+FI$22*HLOOKUP($FA$22,'GREET IO'!$A$77:$AZ$98,ROW(FA55)-ROW(FA$42)+1,FALSE))/$AI$32</f>
        <v>#DIV/0!</v>
      </c>
      <c r="FE55" s="873">
        <f>FB$32*$AI$31*('GREET IO'!$B32+'GREET IO'!$B8)+FB$33*$AI$31*IF($D$10=Input!$AD$35, 'Geographic Par.'!$E80, IF($D$10=Input!$AD$36, 'Geographic Par.'!$F80, IF($D$10=Input!$AD$37, 'Geographic Par.'!$H80, IF($D$10=Input!$AD$38,'Geographic Par.'!$G80,'Geographic Par.'!$K80))))</f>
        <v>0</v>
      </c>
      <c r="FF55" s="868"/>
      <c r="FG55" s="237" t="e">
        <f t="shared" si="75"/>
        <v>#DIV/0!</v>
      </c>
      <c r="FH55" s="178" t="e">
        <f t="shared" si="76"/>
        <v>#DIV/0!</v>
      </c>
      <c r="FI55" s="179" t="e">
        <f t="shared" si="77"/>
        <v>#DIV/0!</v>
      </c>
    </row>
    <row r="56" spans="2:168">
      <c r="B56" s="147" t="s">
        <v>542</v>
      </c>
      <c r="C56" s="632">
        <f t="shared" si="78"/>
        <v>19.146690607617817</v>
      </c>
      <c r="D56" s="275">
        <f>'BatPaC IO'!$D$8*'Mat. Conv Par.'!$H$43/'Mat. Conv Par.'!$J$43</f>
        <v>19.146690607617817</v>
      </c>
      <c r="E56" s="901">
        <f>IF(ISBLANK(Materials!D64),0,Materials!D64)</f>
        <v>0</v>
      </c>
      <c r="AA56" s="147" t="s">
        <v>185</v>
      </c>
      <c r="AB56" s="237" t="e">
        <f>AB$21*'Mat. Conv Par.'!$AC38+AB$22*'Mat. Conv Par.'!$BB36+'Mat. Conv Par.'!$C126*SUM(Input!$F$28:$F$32)/$D$8+(AC$21*HLOOKUP($AA$21,'GREET IO'!$A$77:$AZ$98,ROW(AA56)-ROW(AA$42)+1,FALSE)+AC$22*HLOOKUP($AA$22,'GREET IO'!$A$77:$AZ$98,ROW(AA56)-ROW(AA$42)+1,FALSE)+AC$23*HLOOKUP($AA$23,'GREET IO'!$A$77:$AZ$98,ROW(AA56)-ROW(AA$42)+1,FALSE)+AC$24*HLOOKUP($AA$24,'GREET IO'!$A$77:$AZ$98,ROW(AA56)-ROW(AA$42)+1,FALSE)+AC$25*HLOOKUP($AA$25,'GREET IO'!$A$77:$AZ$98,ROW(AA56)-ROW(AA$42)+1,FALSE)+AC$26*HLOOKUP($AA$26,'GREET IO'!$A$77:$AZ$98,ROW(AA56)-ROW(AA$42)+1,FALSE)+AC$27*HLOOKUP($AA$27,'GREET IO'!$A$77:$AZ$98,ROW(AA56)-ROW(AA$42)+1,FALSE))/$AI$32</f>
        <v>#DIV/0!</v>
      </c>
      <c r="AC56" s="237" t="e">
        <f>AE$21*'Mat. Conv Par.'!$AC38+AE$22*'Mat. Conv Par.'!$BB36+'Mat. Conv Par.'!$D126*SUM(Input!$F$28:$F$32)/$D$8+(AF$21*HLOOKUP($AA$21,'GREET IO'!$A$77:$AZ$98,ROW(AA56)-ROW(AA$42)+1,FALSE)+AF$22*HLOOKUP($AA$22,'GREET IO'!$A$77:$AZ$98,ROW(AA56)-ROW(AA$42)+1,FALSE)+AF$23*HLOOKUP($AA$23,'GREET IO'!$A$77:$AZ$98,ROW(AA56)-ROW(AA$42)+1,FALSE)+AF$24*HLOOKUP($AA$24,'GREET IO'!$A$77:$AZ$98,ROW(AA56)-ROW(AA$42)+1,FALSE)+AF$25*HLOOKUP($AA$25,'GREET IO'!$A$77:$AZ$98,ROW(AA56)-ROW(AA$42)+1,FALSE)+AF$26*HLOOKUP($AA$26,'GREET IO'!$A$77:$AZ$98,ROW(AA56)-ROW(AA$42)+1,FALSE)+AF$27*HLOOKUP($AA$27,'GREET IO'!$A$77:$AZ$98,ROW(AA56)-ROW(AA$42)+1,FALSE))/$AI$32</f>
        <v>#DIV/0!</v>
      </c>
      <c r="AD56" s="868" t="e">
        <f>AH$21*'Mat. Conv Par.'!$AC38+AH$22*'Mat. Conv Par.'!$BB36+'Mat. Conv Par.'!$F126*SUM(Input!$F$28:$F$32)/$D$8+(AI$21*HLOOKUP($AA$21,'GREET IO'!$A$77:$AZ$98,ROW(AA56)-ROW(AA$42)+1,FALSE)+AI$22*HLOOKUP($AA$22,'GREET IO'!$A$77:$AZ$98,ROW(AA56)-ROW(AA$42)+1,FALSE)+AI$23*HLOOKUP($AA$23,'GREET IO'!$A$77:$AZ$98,ROW(AA56)-ROW(AA$42)+1,FALSE)+AI$24*HLOOKUP($AA$24,'GREET IO'!$A$77:$AZ$98,ROW(AA56)-ROW(AA$42)+1,FALSE)+AI$25*HLOOKUP($AA$25,'GREET IO'!$A$77:$AZ$98,ROW(AA56)-ROW(AA$42)+1,FALSE)+AI$26*HLOOKUP($AA$26,'GREET IO'!$A$77:$AZ$98,ROW(AA56)-ROW(AA$42)+1,FALSE)+AI$27*HLOOKUP($AA$27,'GREET IO'!$A$77:$AZ$98,ROW(AA56)-ROW(AA$42)+1,FALSE))/$AI$32</f>
        <v>#DIV/0!</v>
      </c>
      <c r="AE56" s="873">
        <f>AB$32*$AI$31*('GREET IO'!$B33+'GREET IO'!$B9)+AB$33*$AI$31*IF($D$10=Input!$AD$35, 'Geographic Par.'!$E81, IF($D$10=Input!$AD$36, 'Geographic Par.'!$F81, IF($D$10=Input!$AD$37, 'Geographic Par.'!$H81, IF($D$10=Input!$AD$38,'Geographic Par.'!$G81,'Geographic Par.'!$K81))))</f>
        <v>0.46439976209536571</v>
      </c>
      <c r="AF56" s="868"/>
      <c r="AG56" s="237" t="e">
        <f t="shared" si="60"/>
        <v>#DIV/0!</v>
      </c>
      <c r="AH56" s="178" t="e">
        <f t="shared" si="61"/>
        <v>#DIV/0!</v>
      </c>
      <c r="AI56" s="179" t="e">
        <f t="shared" si="62"/>
        <v>#DIV/0!</v>
      </c>
      <c r="BA56" s="147" t="s">
        <v>185</v>
      </c>
      <c r="BB56" s="237" t="e">
        <f>BB$21*'Mat. Conv Par.'!$AC38+BB$22*'Mat. Conv Par.'!$BB36+'Mat. Conv Par.'!$C126*SUM(Input!$F$28:$F$32)/$D$8+(BC$21*HLOOKUP($AA$21,'GREET IO'!$A$77:$AZ$98,ROW(BA56)-ROW(BA$42)+1,FALSE)+BC$22*HLOOKUP($AA$22,'GREET IO'!$A$77:$AZ$98,ROW(BA56)-ROW(BA$42)+1,FALSE)+BC$23*HLOOKUP($AA$23,'GREET IO'!$A$77:$AZ$98,ROW(BA56)-ROW(BA$42)+1,FALSE)+BC$24*HLOOKUP($AA$24,'GREET IO'!$A$77:$AZ$98,ROW(BA56)-ROW(BA$42)+1,FALSE)+BC$25*HLOOKUP($AA$25,'GREET IO'!$A$77:$AZ$98,ROW(BA56)-ROW(BA$42)+1,FALSE)+BC$26*HLOOKUP($AA$26,'GREET IO'!$A$77:$AZ$98,ROW(BA56)-ROW(BA$42)+1,FALSE)+BC$27*HLOOKUP($AA$27,'GREET IO'!$A$77:$AZ$98,ROW(BA56)-ROW(BA$42)+1,FALSE))/$AI$32</f>
        <v>#DIV/0!</v>
      </c>
      <c r="BC56" s="237" t="e">
        <f>BE$21*'Mat. Conv Par.'!$AC38+BE$22*'Mat. Conv Par.'!$BB36+'Mat. Conv Par.'!$D126*SUM(Input!$F$28:$F$32)/$D$8+(BF$21*HLOOKUP($AA$21,'GREET IO'!$A$77:$AZ$98,ROW(BA56)-ROW(BA$42)+1,FALSE)+BF$22*HLOOKUP($AA$22,'GREET IO'!$A$77:$AZ$98,ROW(BA56)-ROW(BA$42)+1,FALSE)+BF$23*HLOOKUP($AA$23,'GREET IO'!$A$77:$AZ$98,ROW(BA56)-ROW(BA$42)+1,FALSE)+BF$24*HLOOKUP($AA$24,'GREET IO'!$A$77:$AZ$98,ROW(BA56)-ROW(BA$42)+1,FALSE)+BF$25*HLOOKUP($AA$25,'GREET IO'!$A$77:$AZ$98,ROW(BA56)-ROW(BA$42)+1,FALSE)+BF$26*HLOOKUP($AA$26,'GREET IO'!$A$77:$AZ$98,ROW(BA56)-ROW(BA$42)+1,FALSE)+BF$27*HLOOKUP($AA$27,'GREET IO'!$A$77:$AZ$98,ROW(BA56)-ROW(BA$42)+1,FALSE))/$AI$32</f>
        <v>#DIV/0!</v>
      </c>
      <c r="BD56" s="868" t="e">
        <f>BH$21*'Mat. Conv Par.'!$AC38+BH$22*'Mat. Conv Par.'!$BB36+'Mat. Conv Par.'!$F126*SUM(Input!$F$28:$F$32)/$D$8+(BI$21*HLOOKUP($AA$21,'GREET IO'!$A$77:$AZ$98,ROW(BA56)-ROW(BA$42)+1,FALSE)+BI$22*HLOOKUP($AA$22,'GREET IO'!$A$77:$AZ$98,ROW(BA56)-ROW(BA$42)+1,FALSE)+BI$23*HLOOKUP($AA$23,'GREET IO'!$A$77:$AZ$98,ROW(BA56)-ROW(BA$42)+1,FALSE)+BI$24*HLOOKUP($AA$24,'GREET IO'!$A$77:$AZ$98,ROW(BA56)-ROW(BA$42)+1,FALSE)+BI$25*HLOOKUP($AA$25,'GREET IO'!$A$77:$AZ$98,ROW(BA56)-ROW(BA$42)+1,FALSE)+BI$26*HLOOKUP($AA$26,'GREET IO'!$A$77:$AZ$98,ROW(BA56)-ROW(BA$42)+1,FALSE)+BI$27*HLOOKUP($AA$27,'GREET IO'!$A$77:$AZ$98,ROW(BA56)-ROW(BA$42)+1,FALSE))/$AI$32</f>
        <v>#DIV/0!</v>
      </c>
      <c r="BE56" s="873">
        <f>BB$32*$AI$31*('GREET IO'!$B33+'GREET IO'!$B9)+BB$33*$AI$31*IF($D$10=Input!$AD$35, 'Geographic Par.'!$E81, IF($D$10=Input!$AD$36, 'Geographic Par.'!$F81, IF($D$10=Input!$AD$37, 'Geographic Par.'!$H81, IF($D$10=Input!$AD$38,'Geographic Par.'!$G81,'Geographic Par.'!$K81))))</f>
        <v>0.46442380369494268</v>
      </c>
      <c r="BF56" s="868"/>
      <c r="BG56" s="237" t="e">
        <f t="shared" si="66"/>
        <v>#DIV/0!</v>
      </c>
      <c r="BH56" s="178" t="e">
        <f t="shared" si="67"/>
        <v>#DIV/0!</v>
      </c>
      <c r="BI56" s="179" t="e">
        <f t="shared" si="68"/>
        <v>#DIV/0!</v>
      </c>
      <c r="CA56" s="147" t="s">
        <v>185</v>
      </c>
      <c r="CB56" s="237" t="e">
        <f>CB$21*'Mat. Conv Par.'!$AC38+CB$22*'Mat. Conv Par.'!$BB36+'Mat. Conv Par.'!$C126*SUM(Input!$F$28:$F$32)/$D$8+(CC$21*HLOOKUP($AA$21,'GREET IO'!$A$77:$AZ$98,ROW(CA56)-ROW(CA$42)+1,FALSE)+CC$22*HLOOKUP($AA$22,'GREET IO'!$A$77:$AZ$98,ROW(CA56)-ROW(CA$42)+1,FALSE)+CC$23*HLOOKUP($AA$23,'GREET IO'!$A$77:$AZ$98,ROW(CA56)-ROW(CA$42)+1,FALSE)+CC$24*HLOOKUP($AA$24,'GREET IO'!$A$77:$AZ$98,ROW(CA56)-ROW(CA$42)+1,FALSE)+CC$25*HLOOKUP($AA$25,'GREET IO'!$A$77:$AZ$98,ROW(CA56)-ROW(CA$42)+1,FALSE)+CC$26*HLOOKUP($AA$26,'GREET IO'!$A$77:$AZ$98,ROW(CA56)-ROW(CA$42)+1,FALSE)+CC$27*HLOOKUP($AA$27,'GREET IO'!$A$77:$AZ$98,ROW(CA56)-ROW(CA$42)+1,FALSE))/$AI$32</f>
        <v>#DIV/0!</v>
      </c>
      <c r="CC56" s="237" t="e">
        <f>CE$21*'Mat. Conv Par.'!$AC38+CE$22*'Mat. Conv Par.'!$BB36+'Mat. Conv Par.'!$D126*SUM(Input!$F$28:$F$32)/$D$8+(CF$21*HLOOKUP($AA$21,'GREET IO'!$A$77:$AZ$98,ROW(CA56)-ROW(CA$42)+1,FALSE)+CF$22*HLOOKUP($AA$22,'GREET IO'!$A$77:$AZ$98,ROW(CA56)-ROW(CA$42)+1,FALSE)+CF$23*HLOOKUP($AA$23,'GREET IO'!$A$77:$AZ$98,ROW(CA56)-ROW(CA$42)+1,FALSE)+CF$24*HLOOKUP($AA$24,'GREET IO'!$A$77:$AZ$98,ROW(CA56)-ROW(CA$42)+1,FALSE)+CF$25*HLOOKUP($AA$25,'GREET IO'!$A$77:$AZ$98,ROW(CA56)-ROW(CA$42)+1,FALSE)+CF$26*HLOOKUP($AA$26,'GREET IO'!$A$77:$AZ$98,ROW(CA56)-ROW(CA$42)+1,FALSE)+CF$27*HLOOKUP($AA$27,'GREET IO'!$A$77:$AZ$98,ROW(CA56)-ROW(CA$42)+1,FALSE))/$AI$32</f>
        <v>#DIV/0!</v>
      </c>
      <c r="CD56" s="868" t="e">
        <f>CH$21*'Mat. Conv Par.'!$AC38+CH$22*'Mat. Conv Par.'!$BB36+'Mat. Conv Par.'!$F126*SUM(Input!$F$28:$F$32)/$D$8+(CI$21*HLOOKUP($AA$21,'GREET IO'!$A$77:$AZ$98,ROW(CA56)-ROW(CA$42)+1,FALSE)+CI$22*HLOOKUP($AA$22,'GREET IO'!$A$77:$AZ$98,ROW(CA56)-ROW(CA$42)+1,FALSE)+CI$23*HLOOKUP($AA$23,'GREET IO'!$A$77:$AZ$98,ROW(CA56)-ROW(CA$42)+1,FALSE)+CI$24*HLOOKUP($AA$24,'GREET IO'!$A$77:$AZ$98,ROW(CA56)-ROW(CA$42)+1,FALSE)+CI$25*HLOOKUP($AA$25,'GREET IO'!$A$77:$AZ$98,ROW(CA56)-ROW(CA$42)+1,FALSE)+CI$26*HLOOKUP($AA$26,'GREET IO'!$A$77:$AZ$98,ROW(CA56)-ROW(CA$42)+1,FALSE)+CI$27*HLOOKUP($AA$27,'GREET IO'!$A$77:$AZ$98,ROW(CA56)-ROW(CA$42)+1,FALSE))/$AI$32</f>
        <v>#DIV/0!</v>
      </c>
      <c r="CE56" s="873">
        <f>CB$32*$AI$31*('GREET IO'!$B33+'GREET IO'!$B9)+CB$33*$AI$31*IF($D$10=Input!$AD$35, 'Geographic Par.'!$E81, IF($D$10=Input!$AD$36, 'Geographic Par.'!$F81, IF($D$10=Input!$AD$37, 'Geographic Par.'!$H81, IF($D$10=Input!$AD$38,'Geographic Par.'!$G81,'Geographic Par.'!$K81))))</f>
        <v>0.46452027756144382</v>
      </c>
      <c r="CF56" s="868"/>
      <c r="CG56" s="237" t="e">
        <f t="shared" si="69"/>
        <v>#DIV/0!</v>
      </c>
      <c r="CH56" s="178" t="e">
        <f t="shared" si="70"/>
        <v>#DIV/0!</v>
      </c>
      <c r="CI56" s="179" t="e">
        <f t="shared" si="63"/>
        <v>#DIV/0!</v>
      </c>
      <c r="DA56" s="147" t="s">
        <v>185</v>
      </c>
      <c r="DB56" s="237" t="e">
        <f>DB$21*'Mat. Conv Par.'!$AC38+DB$22*'Mat. Conv Par.'!$BB36+'Mat. Conv Par.'!$C126*SUM(Input!$F$28:$F$32)/$D$8+(DC$21*HLOOKUP($DA$21,'GREET IO'!$A$77:$AZ$98,ROW(DA56)-ROW(DA$42)+1,FALSE)+DC$22*HLOOKUP($DA$22,'GREET IO'!$A$77:$AZ$98,ROW(DA56)-ROW(DA$42)+1,FALSE)+DC$23*HLOOKUP($DA$23,'GREET IO'!$A$77:$AZ$98,ROW(DA56)-ROW(DA$42)+1,FALSE)+DC$24*HLOOKUP($DA$24,'GREET IO'!$A$77:$AZ$98,ROW(DA56)-ROW(DA$42)+1,FALSE)+DC$25*HLOOKUP($DA$25,'GREET IO'!$A$77:$AZ$98,ROW(DA56)-ROW(DA$42)+1,FALSE)+DC$26*HLOOKUP($DA$26,'GREET IO'!$A$77:$AZ$98,ROW(DA56)-ROW(DA$42)+1,FALSE)+DC$27*HLOOKUP($DA$27,'GREET IO'!$A$77:$AZ$98,ROW(DA56)-ROW(DA$42)+1,FALSE))/$AI$32</f>
        <v>#DIV/0!</v>
      </c>
      <c r="DC56" s="1205" t="e">
        <f>DE$21*'Mat. Conv Par.'!$AC38+DE$22*'Mat. Conv Par.'!$BB36+DE$23*'Mat. Conv Par.'!$CB36+'Mat. Conv Par.'!$D126*SUM(Input!$F$28:$F$32)/$D$8+(DF$21*HLOOKUP($DA$21,'GREET IO'!$A$77:$AZ$98,ROW(DA56)-ROW(DA$42)+1,FALSE)+DF$22*HLOOKUP($DA$22,'GREET IO'!$A$77:$AZ$98,ROW(DA56)-ROW(DA$42)+1,FALSE)+DF$23*HLOOKUP($DA$23,'GREET IO'!$A$77:$AZ$98,ROW(DA56)-ROW(DA$42)+1,FALSE)+DF$24*HLOOKUP($DA$24,'GREET IO'!$A$77:$AZ$98,ROW(DA56)-ROW(DA$42)+1,FALSE)+DF$25*HLOOKUP($DA$25,'GREET IO'!$A$77:$AZ$98,ROW(DA56)-ROW(DA$42)+1,FALSE)+DF$26*HLOOKUP($DA$26,'GREET IO'!$A$77:$AZ$98,ROW(DA56)-ROW(DA$42)+1,FALSE)+DF$27*HLOOKUP($DA$27,'GREET IO'!$A$77:$AZ$98,ROW(DA56)-ROW(DA$42)+1,FALSE))/$AI$32</f>
        <v>#DIV/0!</v>
      </c>
      <c r="DD56" s="1205" t="e">
        <f>DH$21*'Mat. Conv Par.'!$AC38+DH$22*'Mat. Conv Par.'!$BB36+DH$23*'Mat. Conv Par.'!$CB36+'Mat. Conv Par.'!$F126*SUM(Input!$F$28:$F$32)/$D$8+(DI$21*HLOOKUP($DA$21,'GREET IO'!$A$77:$AZ$98,ROW(DA56)-ROW(DA$42)+1,FALSE)+DI$22*HLOOKUP($DA$22,'GREET IO'!$A$77:$AZ$98,ROW(DA56)-ROW(DA$42)+1,FALSE)+DI$23*HLOOKUP($DA$23,'GREET IO'!$A$77:$AZ$98,ROW(DA56)-ROW(DA$42)+1,FALSE)+DI$24*HLOOKUP($DA$24,'GREET IO'!$A$77:$AZ$98,ROW(DA56)-ROW(DA$42)+1,FALSE)+DI$25*HLOOKUP($DA$25,'GREET IO'!$A$77:$AZ$98,ROW(DA56)-ROW(DA$42)+1,FALSE)+DI$26*HLOOKUP($DA$26,'GREET IO'!$A$77:$AZ$98,ROW(DA56)-ROW(DA$42)+1,FALSE)+DI$27*HLOOKUP($DA$27,'GREET IO'!$A$77:$AZ$98,ROW(DA56)-ROW(DA$42)+1,FALSE))/$AI$32</f>
        <v>#DIV/0!</v>
      </c>
      <c r="DE56" s="873">
        <f>DB$32*$AI$31*('GREET IO'!$B33+'GREET IO'!$B9)+DB$33*$AI$31*IF($D$10=Input!$AD$35, 'Geographic Par.'!$E81, IF($D$10=Input!$AD$36, 'Geographic Par.'!$F81, IF($D$10=Input!$AD$37, 'Geographic Par.'!$H81, IF($D$10=Input!$AD$38,'Geographic Par.'!$G81,'Geographic Par.'!$K81))))</f>
        <v>0.46437929668875411</v>
      </c>
      <c r="DF56" s="868"/>
      <c r="DG56" s="237" t="e">
        <f t="shared" si="71"/>
        <v>#DIV/0!</v>
      </c>
      <c r="DH56" s="178" t="e">
        <f t="shared" si="72"/>
        <v>#DIV/0!</v>
      </c>
      <c r="DI56" s="179" t="e">
        <f t="shared" si="64"/>
        <v>#DIV/0!</v>
      </c>
      <c r="EA56" s="147" t="s">
        <v>185</v>
      </c>
      <c r="EB56" s="237" t="e">
        <f>EB$21*'Mat. Conv Par.'!$AC38+EB$22*'Mat. Conv Par.'!$BB36+EB$23*'Mat. Conv Par.'!$CB36+'Mat. Conv Par.'!$C126*SUM(Input!$F$28:$F$32)/$D$8+(EC$21*HLOOKUP($EA$21,'GREET IO'!$A$77:$AZ$98,ROW(EA56)-ROW(EA$42)+1,FALSE)+EC$22*HLOOKUP($EA$22,'GREET IO'!$A$77:$AZ$98,ROW(EA56)-ROW(EA$42)+1,FALSE)+EC$23*HLOOKUP($EA$23,'GREET IO'!$A$77:$AZ$98,ROW(EA56)-ROW(EA$42)+1,FALSE)+EC$24*HLOOKUP($EA$24,'GREET IO'!$A$77:$AZ$98,ROW(EA56)-ROW(EA$42)+1,FALSE)+EC$25*HLOOKUP($EA$25,'GREET IO'!$A$77:$AZ$98,ROW(EA56)-ROW(EA$42)+1,FALSE)+EC$26*HLOOKUP($EA$26,'GREET IO'!$A$77:$AZ$98,ROW(EA56)-ROW(EA$42)+1,FALSE)+EC$27*HLOOKUP($EA$27,'GREET IO'!$A$77:$AZ$98,ROW(EA56)-ROW(EA$42)+1,FALSE))/$AI$32</f>
        <v>#DIV/0!</v>
      </c>
      <c r="EC56" s="237" t="e">
        <f>EE$21*'Mat. Conv Par.'!$AC38+EE$22*'Mat. Conv Par.'!$BB36+EE$23*'Mat. Conv Par.'!$CB36+'Mat. Conv Par.'!$D126*SUM(Input!$F$28:$F$32)/$D$8+(EF$21*HLOOKUP($EA$21,'GREET IO'!$A$77:$AZ$98,ROW(EA56)-ROW(EA$42)+1,FALSE)+EF$22*HLOOKUP($EA$22,'GREET IO'!$A$77:$AZ$98,ROW(EA56)-ROW(EA$42)+1,FALSE)+EF$23*HLOOKUP($EA$23,'GREET IO'!$A$77:$AZ$98,ROW(EA56)-ROW(EA$42)+1,FALSE)+EF$24*HLOOKUP($EA$24,'GREET IO'!$A$77:$AZ$98,ROW(EA56)-ROW(EA$42)+1,FALSE)+EF$25*HLOOKUP($EA$25,'GREET IO'!$A$77:$AZ$98,ROW(EA56)-ROW(EA$42)+1,FALSE)+EF$26*HLOOKUP($EA$26,'GREET IO'!$A$77:$AZ$98,ROW(EA56)-ROW(EA$42)+1,FALSE)+EF$27*HLOOKUP($EA$27,'GREET IO'!$A$77:$AZ$98,ROW(EA56)-ROW(EA$42)+1,FALSE))/$AI$32</f>
        <v>#DIV/0!</v>
      </c>
      <c r="ED56" s="237" t="e">
        <f>EH$21*'Mat. Conv Par.'!$AC38+EH$22*'Mat. Conv Par.'!$BB36+EH$23*'Mat. Conv Par.'!$CB36+'Mat. Conv Par.'!$F126*SUM(Input!$F$28:$F$32)/$D$8+(EI$21*HLOOKUP($EA$21,'GREET IO'!$A$77:$AZ$98,ROW(EA56)-ROW(EA$42)+1,FALSE)+EI$22*HLOOKUP($EA$22,'GREET IO'!$A$77:$AZ$98,ROW(EA56)-ROW(EA$42)+1,FALSE)+EI$23*HLOOKUP($EA$23,'GREET IO'!$A$77:$AZ$98,ROW(EA56)-ROW(EA$42)+1,FALSE)+EI$24*HLOOKUP($EA$24,'GREET IO'!$A$77:$AZ$98,ROW(EA56)-ROW(EA$42)+1,FALSE)+EI$25*HLOOKUP($EA$25,'GREET IO'!$A$77:$AZ$98,ROW(EA56)-ROW(EA$42)+1,FALSE)+EI$26*HLOOKUP($EA$26,'GREET IO'!$A$77:$AZ$98,ROW(EA56)-ROW(EA$42)+1,FALSE)+EI$27*HLOOKUP($EA$27,'GREET IO'!$A$77:$AZ$98,ROW(EA56)-ROW(EA$42)+1,FALSE))/$AI$32</f>
        <v>#DIV/0!</v>
      </c>
      <c r="EE56" s="873">
        <f>EB$32*$AI$31*('GREET IO'!$B33+'GREET IO'!$B9)+EB$33*$AI$31*IF($D$10=Input!$AD$35, 'Geographic Par.'!$E81, IF($D$10=Input!$AD$36, 'Geographic Par.'!$F81, IF($D$10=Input!$AD$37, 'Geographic Par.'!$H81, IF($D$10=Input!$AD$38,'Geographic Par.'!$G81,'Geographic Par.'!$K81))))</f>
        <v>0.46489186147184841</v>
      </c>
      <c r="EF56" s="868"/>
      <c r="EG56" s="237" t="e">
        <f t="shared" si="73"/>
        <v>#DIV/0!</v>
      </c>
      <c r="EH56" s="178" t="e">
        <f t="shared" si="74"/>
        <v>#DIV/0!</v>
      </c>
      <c r="EI56" s="179" t="e">
        <f t="shared" si="65"/>
        <v>#DIV/0!</v>
      </c>
      <c r="FA56" s="147" t="s">
        <v>185</v>
      </c>
      <c r="FB56" s="237" t="e">
        <f>FB$21*'Mat. Conv Par.'!$AB38+'Mat. Conv Par.'!$C126*SUM(Input!$F$28:$F$32)/$D$8+(FC$21*HLOOKUP($FA$21,'GREET IO'!$A$77:$AZ$98,ROW(FA56)-ROW(FA$42)+1,FALSE)+FC$22*HLOOKUP($FA$22,'GREET IO'!$A$77:$AZ$98,ROW(FA56)-ROW(FA$42)+1,FALSE))/$AI$32</f>
        <v>#DIV/0!</v>
      </c>
      <c r="FC56" s="237" t="e">
        <f>FE$21*'Mat. Conv Par.'!$AB38+'Mat. Conv Par.'!$D126*SUM(Input!$F$28:$F$32)/$D$8+(FF$21*HLOOKUP($FA$21,'GREET IO'!$A$77:$AZ$98,ROW(FA56)-ROW(FA$42)+1,FALSE)+FF$22*HLOOKUP($FA$22,'GREET IO'!$A$77:$AZ$98,ROW(FA56)-ROW(FA$42)+1,FALSE))/$AI$32</f>
        <v>#DIV/0!</v>
      </c>
      <c r="FD56" s="237" t="e">
        <f>FH$21*'Mat. Conv Par.'!$AB38+'Mat. Conv Par.'!$F126*SUM(Input!$F$28:$F$32)/$D$8+(FI$21*HLOOKUP($FA$21,'GREET IO'!$A$77:$AZ$98,ROW(FA56)-ROW(FA$42)+1,FALSE)+FI$22*HLOOKUP($FA$22,'GREET IO'!$A$77:$AZ$98,ROW(FA56)-ROW(FA$42)+1,FALSE))/$AI$32</f>
        <v>#DIV/0!</v>
      </c>
      <c r="FE56" s="873">
        <f>FB$32*$AI$31*('GREET IO'!$B33+'GREET IO'!$B9)+FB$33*$AI$31*IF($D$10=Input!$AD$35, 'Geographic Par.'!$E81, IF($D$10=Input!$AD$36, 'Geographic Par.'!$F81, IF($D$10=Input!$AD$37, 'Geographic Par.'!$H81, IF($D$10=Input!$AD$38,'Geographic Par.'!$G81,'Geographic Par.'!$K81))))</f>
        <v>0</v>
      </c>
      <c r="FF56" s="868"/>
      <c r="FG56" s="237" t="e">
        <f t="shared" si="75"/>
        <v>#DIV/0!</v>
      </c>
      <c r="FH56" s="178" t="e">
        <f t="shared" si="76"/>
        <v>#DIV/0!</v>
      </c>
      <c r="FI56" s="179" t="e">
        <f t="shared" si="77"/>
        <v>#DIV/0!</v>
      </c>
    </row>
    <row r="57" spans="2:168">
      <c r="B57" s="147" t="s">
        <v>395</v>
      </c>
      <c r="C57" s="632">
        <f t="shared" si="78"/>
        <v>0.56550992912642917</v>
      </c>
      <c r="D57" s="275">
        <v>0.56550992912642917</v>
      </c>
      <c r="E57" s="901">
        <f>IF(ISBLANK(Materials!D65),0,Materials!D65)</f>
        <v>0</v>
      </c>
      <c r="AA57" s="147" t="s">
        <v>186</v>
      </c>
      <c r="AB57" s="237" t="e">
        <f>AB$21*'Mat. Conv Par.'!$AC39+AB$22*'Mat. Conv Par.'!$BB37+'Mat. Conv Par.'!$C127*SUM(Input!$F$28:$F$32)/$D$8+(AC$21*HLOOKUP($AA$21,'GREET IO'!$A$77:$AZ$98,ROW(AA57)-ROW(AA$42)+1,FALSE)+AC$22*HLOOKUP($AA$22,'GREET IO'!$A$77:$AZ$98,ROW(AA57)-ROW(AA$42)+1,FALSE)+AC$23*HLOOKUP($AA$23,'GREET IO'!$A$77:$AZ$98,ROW(AA57)-ROW(AA$42)+1,FALSE)+AC$24*HLOOKUP($AA$24,'GREET IO'!$A$77:$AZ$98,ROW(AA57)-ROW(AA$42)+1,FALSE)+AC$25*HLOOKUP($AA$25,'GREET IO'!$A$77:$AZ$98,ROW(AA57)-ROW(AA$42)+1,FALSE)+AC$26*HLOOKUP($AA$26,'GREET IO'!$A$77:$AZ$98,ROW(AA57)-ROW(AA$42)+1,FALSE)+AC$27*HLOOKUP($AA$27,'GREET IO'!$A$77:$AZ$98,ROW(AA57)-ROW(AA$42)+1,FALSE))/$AI$32</f>
        <v>#DIV/0!</v>
      </c>
      <c r="AC57" s="237" t="e">
        <f>AE$21*'Mat. Conv Par.'!$AC39+AE$22*'Mat. Conv Par.'!$BB37+'Mat. Conv Par.'!$D127*SUM(Input!$F$28:$F$32)/$D$8+(AF$21*HLOOKUP($AA$21,'GREET IO'!$A$77:$AZ$98,ROW(AA57)-ROW(AA$42)+1,FALSE)+AF$22*HLOOKUP($AA$22,'GREET IO'!$A$77:$AZ$98,ROW(AA57)-ROW(AA$42)+1,FALSE)+AF$23*HLOOKUP($AA$23,'GREET IO'!$A$77:$AZ$98,ROW(AA57)-ROW(AA$42)+1,FALSE)+AF$24*HLOOKUP($AA$24,'GREET IO'!$A$77:$AZ$98,ROW(AA57)-ROW(AA$42)+1,FALSE)+AF$25*HLOOKUP($AA$25,'GREET IO'!$A$77:$AZ$98,ROW(AA57)-ROW(AA$42)+1,FALSE)+AF$26*HLOOKUP($AA$26,'GREET IO'!$A$77:$AZ$98,ROW(AA57)-ROW(AA$42)+1,FALSE)+AF$27*HLOOKUP($AA$27,'GREET IO'!$A$77:$AZ$98,ROW(AA57)-ROW(AA$42)+1,FALSE))/$AI$32</f>
        <v>#DIV/0!</v>
      </c>
      <c r="AD57" s="868" t="e">
        <f>AH$21*'Mat. Conv Par.'!$AC39+AH$22*'Mat. Conv Par.'!$BB37+'Mat. Conv Par.'!$F127*SUM(Input!$F$28:$F$32)/$D$8+(AI$21*HLOOKUP($AA$21,'GREET IO'!$A$77:$AZ$98,ROW(AA57)-ROW(AA$42)+1,FALSE)+AI$22*HLOOKUP($AA$22,'GREET IO'!$A$77:$AZ$98,ROW(AA57)-ROW(AA$42)+1,FALSE)+AI$23*HLOOKUP($AA$23,'GREET IO'!$A$77:$AZ$98,ROW(AA57)-ROW(AA$42)+1,FALSE)+AI$24*HLOOKUP($AA$24,'GREET IO'!$A$77:$AZ$98,ROW(AA57)-ROW(AA$42)+1,FALSE)+AI$25*HLOOKUP($AA$25,'GREET IO'!$A$77:$AZ$98,ROW(AA57)-ROW(AA$42)+1,FALSE)+AI$26*HLOOKUP($AA$26,'GREET IO'!$A$77:$AZ$98,ROW(AA57)-ROW(AA$42)+1,FALSE)+AI$27*HLOOKUP($AA$27,'GREET IO'!$A$77:$AZ$98,ROW(AA57)-ROW(AA$42)+1,FALSE))/$AI$32</f>
        <v>#DIV/0!</v>
      </c>
      <c r="AE57" s="873">
        <f>AB$32*$AI$31*('GREET IO'!$B34+'GREET IO'!$B10)+AB$33*$AI$31*IF($D$10=Input!$AD$35, 'Geographic Par.'!$E82, IF($D$10=Input!$AD$36, 'Geographic Par.'!$F82, IF($D$10=Input!$AD$37, 'Geographic Par.'!$H82, IF($D$10=Input!$AD$38,'Geographic Par.'!$G82,'Geographic Par.'!$K82))))</f>
        <v>2.6569927723608659E-2</v>
      </c>
      <c r="AF57" s="868"/>
      <c r="AG57" s="237" t="e">
        <f t="shared" si="60"/>
        <v>#DIV/0!</v>
      </c>
      <c r="AH57" s="178" t="e">
        <f t="shared" si="61"/>
        <v>#DIV/0!</v>
      </c>
      <c r="AI57" s="179" t="e">
        <f t="shared" si="62"/>
        <v>#DIV/0!</v>
      </c>
      <c r="BA57" s="147" t="s">
        <v>186</v>
      </c>
      <c r="BB57" s="237" t="e">
        <f>BB$21*'Mat. Conv Par.'!$AC39+BB$22*'Mat. Conv Par.'!$BB37+'Mat. Conv Par.'!$C127*SUM(Input!$F$28:$F$32)/$D$8+(BC$21*HLOOKUP($AA$21,'GREET IO'!$A$77:$AZ$98,ROW(BA57)-ROW(BA$42)+1,FALSE)+BC$22*HLOOKUP($AA$22,'GREET IO'!$A$77:$AZ$98,ROW(BA57)-ROW(BA$42)+1,FALSE)+BC$23*HLOOKUP($AA$23,'GREET IO'!$A$77:$AZ$98,ROW(BA57)-ROW(BA$42)+1,FALSE)+BC$24*HLOOKUP($AA$24,'GREET IO'!$A$77:$AZ$98,ROW(BA57)-ROW(BA$42)+1,FALSE)+BC$25*HLOOKUP($AA$25,'GREET IO'!$A$77:$AZ$98,ROW(BA57)-ROW(BA$42)+1,FALSE)+BC$26*HLOOKUP($AA$26,'GREET IO'!$A$77:$AZ$98,ROW(BA57)-ROW(BA$42)+1,FALSE)+BC$27*HLOOKUP($AA$27,'GREET IO'!$A$77:$AZ$98,ROW(BA57)-ROW(BA$42)+1,FALSE))/$AI$32</f>
        <v>#DIV/0!</v>
      </c>
      <c r="BC57" s="237" t="e">
        <f>BE$21*'Mat. Conv Par.'!$AC39+BE$22*'Mat. Conv Par.'!$BB37+'Mat. Conv Par.'!$D127*SUM(Input!$F$28:$F$32)/$D$8+(BF$21*HLOOKUP($AA$21,'GREET IO'!$A$77:$AZ$98,ROW(BA57)-ROW(BA$42)+1,FALSE)+BF$22*HLOOKUP($AA$22,'GREET IO'!$A$77:$AZ$98,ROW(BA57)-ROW(BA$42)+1,FALSE)+BF$23*HLOOKUP($AA$23,'GREET IO'!$A$77:$AZ$98,ROW(BA57)-ROW(BA$42)+1,FALSE)+BF$24*HLOOKUP($AA$24,'GREET IO'!$A$77:$AZ$98,ROW(BA57)-ROW(BA$42)+1,FALSE)+BF$25*HLOOKUP($AA$25,'GREET IO'!$A$77:$AZ$98,ROW(BA57)-ROW(BA$42)+1,FALSE)+BF$26*HLOOKUP($AA$26,'GREET IO'!$A$77:$AZ$98,ROW(BA57)-ROW(BA$42)+1,FALSE)+BF$27*HLOOKUP($AA$27,'GREET IO'!$A$77:$AZ$98,ROW(BA57)-ROW(BA$42)+1,FALSE))/$AI$32</f>
        <v>#DIV/0!</v>
      </c>
      <c r="BD57" s="868" t="e">
        <f>BH$21*'Mat. Conv Par.'!$AC39+BH$22*'Mat. Conv Par.'!$BB37+'Mat. Conv Par.'!$F127*SUM(Input!$F$28:$F$32)/$D$8+(BI$21*HLOOKUP($AA$21,'GREET IO'!$A$77:$AZ$98,ROW(BA57)-ROW(BA$42)+1,FALSE)+BI$22*HLOOKUP($AA$22,'GREET IO'!$A$77:$AZ$98,ROW(BA57)-ROW(BA$42)+1,FALSE)+BI$23*HLOOKUP($AA$23,'GREET IO'!$A$77:$AZ$98,ROW(BA57)-ROW(BA$42)+1,FALSE)+BI$24*HLOOKUP($AA$24,'GREET IO'!$A$77:$AZ$98,ROW(BA57)-ROW(BA$42)+1,FALSE)+BI$25*HLOOKUP($AA$25,'GREET IO'!$A$77:$AZ$98,ROW(BA57)-ROW(BA$42)+1,FALSE)+BI$26*HLOOKUP($AA$26,'GREET IO'!$A$77:$AZ$98,ROW(BA57)-ROW(BA$42)+1,FALSE)+BI$27*HLOOKUP($AA$27,'GREET IO'!$A$77:$AZ$98,ROW(BA57)-ROW(BA$42)+1,FALSE))/$AI$32</f>
        <v>#DIV/0!</v>
      </c>
      <c r="BE57" s="873">
        <f>BB$32*$AI$31*('GREET IO'!$B34+'GREET IO'!$B10)+BB$33*$AI$31*IF($D$10=Input!$AD$35, 'Geographic Par.'!$E82, IF($D$10=Input!$AD$36, 'Geographic Par.'!$F82, IF($D$10=Input!$AD$37, 'Geographic Par.'!$H82, IF($D$10=Input!$AD$38,'Geographic Par.'!$G82,'Geographic Par.'!$K82))))</f>
        <v>2.6571303227248537E-2</v>
      </c>
      <c r="BF57" s="868"/>
      <c r="BG57" s="237" t="e">
        <f t="shared" si="66"/>
        <v>#DIV/0!</v>
      </c>
      <c r="BH57" s="178" t="e">
        <f t="shared" si="67"/>
        <v>#DIV/0!</v>
      </c>
      <c r="BI57" s="179" t="e">
        <f t="shared" si="68"/>
        <v>#DIV/0!</v>
      </c>
      <c r="CA57" s="147" t="s">
        <v>186</v>
      </c>
      <c r="CB57" s="237" t="e">
        <f>CB$21*'Mat. Conv Par.'!$AC39+CB$22*'Mat. Conv Par.'!$BB37+'Mat. Conv Par.'!$C127*SUM(Input!$F$28:$F$32)/$D$8+(CC$21*HLOOKUP($AA$21,'GREET IO'!$A$77:$AZ$98,ROW(CA57)-ROW(CA$42)+1,FALSE)+CC$22*HLOOKUP($AA$22,'GREET IO'!$A$77:$AZ$98,ROW(CA57)-ROW(CA$42)+1,FALSE)+CC$23*HLOOKUP($AA$23,'GREET IO'!$A$77:$AZ$98,ROW(CA57)-ROW(CA$42)+1,FALSE)+CC$24*HLOOKUP($AA$24,'GREET IO'!$A$77:$AZ$98,ROW(CA57)-ROW(CA$42)+1,FALSE)+CC$25*HLOOKUP($AA$25,'GREET IO'!$A$77:$AZ$98,ROW(CA57)-ROW(CA$42)+1,FALSE)+CC$26*HLOOKUP($AA$26,'GREET IO'!$A$77:$AZ$98,ROW(CA57)-ROW(CA$42)+1,FALSE)+CC$27*HLOOKUP($AA$27,'GREET IO'!$A$77:$AZ$98,ROW(CA57)-ROW(CA$42)+1,FALSE))/$AI$32</f>
        <v>#DIV/0!</v>
      </c>
      <c r="CC57" s="237" t="e">
        <f>CE$21*'Mat. Conv Par.'!$AC39+CE$22*'Mat. Conv Par.'!$BB37+'Mat. Conv Par.'!$D127*SUM(Input!$F$28:$F$32)/$D$8+(CF$21*HLOOKUP($AA$21,'GREET IO'!$A$77:$AZ$98,ROW(CA57)-ROW(CA$42)+1,FALSE)+CF$22*HLOOKUP($AA$22,'GREET IO'!$A$77:$AZ$98,ROW(CA57)-ROW(CA$42)+1,FALSE)+CF$23*HLOOKUP($AA$23,'GREET IO'!$A$77:$AZ$98,ROW(CA57)-ROW(CA$42)+1,FALSE)+CF$24*HLOOKUP($AA$24,'GREET IO'!$A$77:$AZ$98,ROW(CA57)-ROW(CA$42)+1,FALSE)+CF$25*HLOOKUP($AA$25,'GREET IO'!$A$77:$AZ$98,ROW(CA57)-ROW(CA$42)+1,FALSE)+CF$26*HLOOKUP($AA$26,'GREET IO'!$A$77:$AZ$98,ROW(CA57)-ROW(CA$42)+1,FALSE)+CF$27*HLOOKUP($AA$27,'GREET IO'!$A$77:$AZ$98,ROW(CA57)-ROW(CA$42)+1,FALSE))/$AI$32</f>
        <v>#DIV/0!</v>
      </c>
      <c r="CD57" s="868" t="e">
        <f>CH$21*'Mat. Conv Par.'!$AC39+CH$22*'Mat. Conv Par.'!$BB37+'Mat. Conv Par.'!$F127*SUM(Input!$F$28:$F$32)/$D$8+(CI$21*HLOOKUP($AA$21,'GREET IO'!$A$77:$AZ$98,ROW(CA57)-ROW(CA$42)+1,FALSE)+CI$22*HLOOKUP($AA$22,'GREET IO'!$A$77:$AZ$98,ROW(CA57)-ROW(CA$42)+1,FALSE)+CI$23*HLOOKUP($AA$23,'GREET IO'!$A$77:$AZ$98,ROW(CA57)-ROW(CA$42)+1,FALSE)+CI$24*HLOOKUP($AA$24,'GREET IO'!$A$77:$AZ$98,ROW(CA57)-ROW(CA$42)+1,FALSE)+CI$25*HLOOKUP($AA$25,'GREET IO'!$A$77:$AZ$98,ROW(CA57)-ROW(CA$42)+1,FALSE)+CI$26*HLOOKUP($AA$26,'GREET IO'!$A$77:$AZ$98,ROW(CA57)-ROW(CA$42)+1,FALSE)+CI$27*HLOOKUP($AA$27,'GREET IO'!$A$77:$AZ$98,ROW(CA57)-ROW(CA$42)+1,FALSE))/$AI$32</f>
        <v>#DIV/0!</v>
      </c>
      <c r="CE57" s="873">
        <f>CB$32*$AI$31*('GREET IO'!$B34+'GREET IO'!$B10)+CB$33*$AI$31*IF($D$10=Input!$AD$35, 'Geographic Par.'!$E82, IF($D$10=Input!$AD$36, 'Geographic Par.'!$F82, IF($D$10=Input!$AD$37, 'Geographic Par.'!$H82, IF($D$10=Input!$AD$38,'Geographic Par.'!$G82,'Geographic Par.'!$K82))))</f>
        <v>2.657682283313418E-2</v>
      </c>
      <c r="CF57" s="868"/>
      <c r="CG57" s="237" t="e">
        <f t="shared" si="69"/>
        <v>#DIV/0!</v>
      </c>
      <c r="CH57" s="178" t="e">
        <f t="shared" si="70"/>
        <v>#DIV/0!</v>
      </c>
      <c r="CI57" s="179" t="e">
        <f t="shared" si="63"/>
        <v>#DIV/0!</v>
      </c>
      <c r="DA57" s="147" t="s">
        <v>186</v>
      </c>
      <c r="DB57" s="237" t="e">
        <f>DB$21*'Mat. Conv Par.'!$AC39+DB$22*'Mat. Conv Par.'!$BB37+'Mat. Conv Par.'!$C127*SUM(Input!$F$28:$F$32)/$D$8+(DC$21*HLOOKUP($DA$21,'GREET IO'!$A$77:$AZ$98,ROW(DA57)-ROW(DA$42)+1,FALSE)+DC$22*HLOOKUP($DA$22,'GREET IO'!$A$77:$AZ$98,ROW(DA57)-ROW(DA$42)+1,FALSE)+DC$23*HLOOKUP($DA$23,'GREET IO'!$A$77:$AZ$98,ROW(DA57)-ROW(DA$42)+1,FALSE)+DC$24*HLOOKUP($DA$24,'GREET IO'!$A$77:$AZ$98,ROW(DA57)-ROW(DA$42)+1,FALSE)+DC$25*HLOOKUP($DA$25,'GREET IO'!$A$77:$AZ$98,ROW(DA57)-ROW(DA$42)+1,FALSE)+DC$26*HLOOKUP($DA$26,'GREET IO'!$A$77:$AZ$98,ROW(DA57)-ROW(DA$42)+1,FALSE)+DC$27*HLOOKUP($DA$27,'GREET IO'!$A$77:$AZ$98,ROW(DA57)-ROW(DA$42)+1,FALSE))/$AI$32</f>
        <v>#DIV/0!</v>
      </c>
      <c r="DC57" s="1205" t="e">
        <f>DE$21*'Mat. Conv Par.'!$AC39+DE$22*'Mat. Conv Par.'!$BB37+DE$23*'Mat. Conv Par.'!$CB37+'Mat. Conv Par.'!$D127*SUM(Input!$F$28:$F$32)/$D$8+(DF$21*HLOOKUP($DA$21,'GREET IO'!$A$77:$AZ$98,ROW(DA57)-ROW(DA$42)+1,FALSE)+DF$22*HLOOKUP($DA$22,'GREET IO'!$A$77:$AZ$98,ROW(DA57)-ROW(DA$42)+1,FALSE)+DF$23*HLOOKUP($DA$23,'GREET IO'!$A$77:$AZ$98,ROW(DA57)-ROW(DA$42)+1,FALSE)+DF$24*HLOOKUP($DA$24,'GREET IO'!$A$77:$AZ$98,ROW(DA57)-ROW(DA$42)+1,FALSE)+DF$25*HLOOKUP($DA$25,'GREET IO'!$A$77:$AZ$98,ROW(DA57)-ROW(DA$42)+1,FALSE)+DF$26*HLOOKUP($DA$26,'GREET IO'!$A$77:$AZ$98,ROW(DA57)-ROW(DA$42)+1,FALSE)+DF$27*HLOOKUP($DA$27,'GREET IO'!$A$77:$AZ$98,ROW(DA57)-ROW(DA$42)+1,FALSE))/$AI$32</f>
        <v>#DIV/0!</v>
      </c>
      <c r="DD57" s="1205" t="e">
        <f>DH$21*'Mat. Conv Par.'!$AC39+DH$22*'Mat. Conv Par.'!$BB37+DH$23*'Mat. Conv Par.'!$CB37+'Mat. Conv Par.'!$F127*SUM(Input!$F$28:$F$32)/$D$8+(DI$21*HLOOKUP($DA$21,'GREET IO'!$A$77:$AZ$98,ROW(DA57)-ROW(DA$42)+1,FALSE)+DI$22*HLOOKUP($DA$22,'GREET IO'!$A$77:$AZ$98,ROW(DA57)-ROW(DA$42)+1,FALSE)+DI$23*HLOOKUP($DA$23,'GREET IO'!$A$77:$AZ$98,ROW(DA57)-ROW(DA$42)+1,FALSE)+DI$24*HLOOKUP($DA$24,'GREET IO'!$A$77:$AZ$98,ROW(DA57)-ROW(DA$42)+1,FALSE)+DI$25*HLOOKUP($DA$25,'GREET IO'!$A$77:$AZ$98,ROW(DA57)-ROW(DA$42)+1,FALSE)+DI$26*HLOOKUP($DA$26,'GREET IO'!$A$77:$AZ$98,ROW(DA57)-ROW(DA$42)+1,FALSE)+DI$27*HLOOKUP($DA$27,'GREET IO'!$A$77:$AZ$98,ROW(DA57)-ROW(DA$42)+1,FALSE))/$AI$32</f>
        <v>#DIV/0!</v>
      </c>
      <c r="DE57" s="873">
        <f>DB$32*$AI$31*('GREET IO'!$B34+'GREET IO'!$B10)+DB$33*$AI$31*IF($D$10=Input!$AD$35, 'Geographic Par.'!$E82, IF($D$10=Input!$AD$36, 'Geographic Par.'!$F82, IF($D$10=Input!$AD$37, 'Geographic Par.'!$H82, IF($D$10=Input!$AD$38,'Geographic Par.'!$G82,'Geographic Par.'!$K82))))</f>
        <v>2.6568756826422901E-2</v>
      </c>
      <c r="DF57" s="868"/>
      <c r="DG57" s="237" t="e">
        <f t="shared" si="71"/>
        <v>#DIV/0!</v>
      </c>
      <c r="DH57" s="178" t="e">
        <f t="shared" si="72"/>
        <v>#DIV/0!</v>
      </c>
      <c r="DI57" s="179" t="e">
        <f t="shared" si="64"/>
        <v>#DIV/0!</v>
      </c>
      <c r="EA57" s="147" t="s">
        <v>186</v>
      </c>
      <c r="EB57" s="237" t="e">
        <f>EB$21*'Mat. Conv Par.'!$AC39+EB$22*'Mat. Conv Par.'!$BB37+EB$23*'Mat. Conv Par.'!$CB37+'Mat. Conv Par.'!$C127*SUM(Input!$F$28:$F$32)/$D$8+(EC$21*HLOOKUP($EA$21,'GREET IO'!$A$77:$AZ$98,ROW(EA57)-ROW(EA$42)+1,FALSE)+EC$22*HLOOKUP($EA$22,'GREET IO'!$A$77:$AZ$98,ROW(EA57)-ROW(EA$42)+1,FALSE)+EC$23*HLOOKUP($EA$23,'GREET IO'!$A$77:$AZ$98,ROW(EA57)-ROW(EA$42)+1,FALSE)+EC$24*HLOOKUP($EA$24,'GREET IO'!$A$77:$AZ$98,ROW(EA57)-ROW(EA$42)+1,FALSE)+EC$25*HLOOKUP($EA$25,'GREET IO'!$A$77:$AZ$98,ROW(EA57)-ROW(EA$42)+1,FALSE)+EC$26*HLOOKUP($EA$26,'GREET IO'!$A$77:$AZ$98,ROW(EA57)-ROW(EA$42)+1,FALSE)+EC$27*HLOOKUP($EA$27,'GREET IO'!$A$77:$AZ$98,ROW(EA57)-ROW(EA$42)+1,FALSE))/$AI$32</f>
        <v>#DIV/0!</v>
      </c>
      <c r="EC57" s="237" t="e">
        <f>EE$21*'Mat. Conv Par.'!$AC39+EE$22*'Mat. Conv Par.'!$BB37+EE$23*'Mat. Conv Par.'!$CB37+'Mat. Conv Par.'!$D127*SUM(Input!$F$28:$F$32)/$D$8+(EF$21*HLOOKUP($EA$21,'GREET IO'!$A$77:$AZ$98,ROW(EA57)-ROW(EA$42)+1,FALSE)+EF$22*HLOOKUP($EA$22,'GREET IO'!$A$77:$AZ$98,ROW(EA57)-ROW(EA$42)+1,FALSE)+EF$23*HLOOKUP($EA$23,'GREET IO'!$A$77:$AZ$98,ROW(EA57)-ROW(EA$42)+1,FALSE)+EF$24*HLOOKUP($EA$24,'GREET IO'!$A$77:$AZ$98,ROW(EA57)-ROW(EA$42)+1,FALSE)+EF$25*HLOOKUP($EA$25,'GREET IO'!$A$77:$AZ$98,ROW(EA57)-ROW(EA$42)+1,FALSE)+EF$26*HLOOKUP($EA$26,'GREET IO'!$A$77:$AZ$98,ROW(EA57)-ROW(EA$42)+1,FALSE)+EF$27*HLOOKUP($EA$27,'GREET IO'!$A$77:$AZ$98,ROW(EA57)-ROW(EA$42)+1,FALSE))/$AI$32</f>
        <v>#DIV/0!</v>
      </c>
      <c r="ED57" s="237" t="e">
        <f>EH$21*'Mat. Conv Par.'!$AC39+EH$22*'Mat. Conv Par.'!$BB37+EH$23*'Mat. Conv Par.'!$CB37+'Mat. Conv Par.'!$F127*SUM(Input!$F$28:$F$32)/$D$8+(EI$21*HLOOKUP($EA$21,'GREET IO'!$A$77:$AZ$98,ROW(EA57)-ROW(EA$42)+1,FALSE)+EI$22*HLOOKUP($EA$22,'GREET IO'!$A$77:$AZ$98,ROW(EA57)-ROW(EA$42)+1,FALSE)+EI$23*HLOOKUP($EA$23,'GREET IO'!$A$77:$AZ$98,ROW(EA57)-ROW(EA$42)+1,FALSE)+EI$24*HLOOKUP($EA$24,'GREET IO'!$A$77:$AZ$98,ROW(EA57)-ROW(EA$42)+1,FALSE)+EI$25*HLOOKUP($EA$25,'GREET IO'!$A$77:$AZ$98,ROW(EA57)-ROW(EA$42)+1,FALSE)+EI$26*HLOOKUP($EA$26,'GREET IO'!$A$77:$AZ$98,ROW(EA57)-ROW(EA$42)+1,FALSE)+EI$27*HLOOKUP($EA$27,'GREET IO'!$A$77:$AZ$98,ROW(EA57)-ROW(EA$42)+1,FALSE))/$AI$32</f>
        <v>#DIV/0!</v>
      </c>
      <c r="EE57" s="873">
        <f>EB$32*$AI$31*('GREET IO'!$B34+'GREET IO'!$B10)+EB$33*$AI$31*IF($D$10=Input!$AD$35, 'Geographic Par.'!$E82, IF($D$10=Input!$AD$36, 'Geographic Par.'!$F82, IF($D$10=Input!$AD$37, 'Geographic Par.'!$H82, IF($D$10=Input!$AD$38,'Geographic Par.'!$G82,'Geographic Par.'!$K82))))</f>
        <v>2.6598082442738973E-2</v>
      </c>
      <c r="EF57" s="868"/>
      <c r="EG57" s="237" t="e">
        <f t="shared" si="73"/>
        <v>#DIV/0!</v>
      </c>
      <c r="EH57" s="178" t="e">
        <f t="shared" si="74"/>
        <v>#DIV/0!</v>
      </c>
      <c r="EI57" s="179" t="e">
        <f t="shared" si="65"/>
        <v>#DIV/0!</v>
      </c>
      <c r="FA57" s="147" t="s">
        <v>186</v>
      </c>
      <c r="FB57" s="237" t="e">
        <f>FB$21*'Mat. Conv Par.'!$AB39+'Mat. Conv Par.'!$C127*SUM(Input!$F$28:$F$32)/$D$8+(FC$21*HLOOKUP($FA$21,'GREET IO'!$A$77:$AZ$98,ROW(FA57)-ROW(FA$42)+1,FALSE)+FC$22*HLOOKUP($FA$22,'GREET IO'!$A$77:$AZ$98,ROW(FA57)-ROW(FA$42)+1,FALSE))/$AI$32</f>
        <v>#DIV/0!</v>
      </c>
      <c r="FC57" s="237" t="e">
        <f>FE$21*'Mat. Conv Par.'!$AB39+'Mat. Conv Par.'!$D127*SUM(Input!$F$28:$F$32)/$D$8+(FF$21*HLOOKUP($FA$21,'GREET IO'!$A$77:$AZ$98,ROW(FA57)-ROW(FA$42)+1,FALSE)+FF$22*HLOOKUP($FA$22,'GREET IO'!$A$77:$AZ$98,ROW(FA57)-ROW(FA$42)+1,FALSE))/$AI$32</f>
        <v>#DIV/0!</v>
      </c>
      <c r="FD57" s="237" t="e">
        <f>FH$21*'Mat. Conv Par.'!$AB39+'Mat. Conv Par.'!$F127*SUM(Input!$F$28:$F$32)/$D$8+(FI$21*HLOOKUP($FA$21,'GREET IO'!$A$77:$AZ$98,ROW(FA57)-ROW(FA$42)+1,FALSE)+FI$22*HLOOKUP($FA$22,'GREET IO'!$A$77:$AZ$98,ROW(FA57)-ROW(FA$42)+1,FALSE))/$AI$32</f>
        <v>#DIV/0!</v>
      </c>
      <c r="FE57" s="873">
        <f>FB$32*$AI$31*('GREET IO'!$B34+'GREET IO'!$B10)+FB$33*$AI$31*IF($D$10=Input!$AD$35, 'Geographic Par.'!$E82, IF($D$10=Input!$AD$36, 'Geographic Par.'!$F82, IF($D$10=Input!$AD$37, 'Geographic Par.'!$H82, IF($D$10=Input!$AD$38,'Geographic Par.'!$G82,'Geographic Par.'!$K82))))</f>
        <v>0</v>
      </c>
      <c r="FF57" s="868"/>
      <c r="FG57" s="237" t="e">
        <f t="shared" si="75"/>
        <v>#DIV/0!</v>
      </c>
      <c r="FH57" s="178" t="e">
        <f t="shared" si="76"/>
        <v>#DIV/0!</v>
      </c>
      <c r="FI57" s="179" t="e">
        <f t="shared" si="77"/>
        <v>#DIV/0!</v>
      </c>
    </row>
    <row r="58" spans="2:168">
      <c r="B58" s="147" t="s">
        <v>259</v>
      </c>
      <c r="C58" s="632">
        <f t="shared" si="78"/>
        <v>1.4594</v>
      </c>
      <c r="D58" s="275">
        <v>1.4594</v>
      </c>
      <c r="E58" s="901">
        <f>IF(ISBLANK(Materials!D66),0,Materials!D66)</f>
        <v>0</v>
      </c>
      <c r="AA58" s="147" t="s">
        <v>187</v>
      </c>
      <c r="AB58" s="237" t="e">
        <f>AB$21*'Mat. Conv Par.'!$AC40+AB$22*'Mat. Conv Par.'!$BB38+'Mat. Conv Par.'!$C128*SUM(Input!$F$28:$F$32)/$D$8+(AC$21*HLOOKUP($AA$21,'GREET IO'!$A$77:$AZ$98,ROW(AA58)-ROW(AA$42)+1,FALSE)+AC$22*HLOOKUP($AA$22,'GREET IO'!$A$77:$AZ$98,ROW(AA58)-ROW(AA$42)+1,FALSE)+AC$23*HLOOKUP($AA$23,'GREET IO'!$A$77:$AZ$98,ROW(AA58)-ROW(AA$42)+1,FALSE)+AC$24*HLOOKUP($AA$24,'GREET IO'!$A$77:$AZ$98,ROW(AA58)-ROW(AA$42)+1,FALSE)+AC$25*HLOOKUP($AA$25,'GREET IO'!$A$77:$AZ$98,ROW(AA58)-ROW(AA$42)+1,FALSE)+AC$26*HLOOKUP($AA$26,'GREET IO'!$A$77:$AZ$98,ROW(AA58)-ROW(AA$42)+1,FALSE)+AC$27*HLOOKUP($AA$27,'GREET IO'!$A$77:$AZ$98,ROW(AA58)-ROW(AA$42)+1,FALSE))/$AI$32</f>
        <v>#DIV/0!</v>
      </c>
      <c r="AC58" s="237" t="e">
        <f>AE$21*'Mat. Conv Par.'!$AC40+AE$22*'Mat. Conv Par.'!$BB38+'Mat. Conv Par.'!$D128*SUM(Input!$F$28:$F$32)/$D$8+(AF$21*HLOOKUP($AA$21,'GREET IO'!$A$77:$AZ$98,ROW(AA58)-ROW(AA$42)+1,FALSE)+AF$22*HLOOKUP($AA$22,'GREET IO'!$A$77:$AZ$98,ROW(AA58)-ROW(AA$42)+1,FALSE)+AF$23*HLOOKUP($AA$23,'GREET IO'!$A$77:$AZ$98,ROW(AA58)-ROW(AA$42)+1,FALSE)+AF$24*HLOOKUP($AA$24,'GREET IO'!$A$77:$AZ$98,ROW(AA58)-ROW(AA$42)+1,FALSE)+AF$25*HLOOKUP($AA$25,'GREET IO'!$A$77:$AZ$98,ROW(AA58)-ROW(AA$42)+1,FALSE)+AF$26*HLOOKUP($AA$26,'GREET IO'!$A$77:$AZ$98,ROW(AA58)-ROW(AA$42)+1,FALSE)+AF$27*HLOOKUP($AA$27,'GREET IO'!$A$77:$AZ$98,ROW(AA58)-ROW(AA$42)+1,FALSE))/$AI$32</f>
        <v>#DIV/0!</v>
      </c>
      <c r="AD58" s="868" t="e">
        <f>AH$21*'Mat. Conv Par.'!$AC40+AH$22*'Mat. Conv Par.'!$BB38+'Mat. Conv Par.'!$F128*SUM(Input!$F$28:$F$32)/$D$8+(AI$21*HLOOKUP($AA$21,'GREET IO'!$A$77:$AZ$98,ROW(AA58)-ROW(AA$42)+1,FALSE)+AI$22*HLOOKUP($AA$22,'GREET IO'!$A$77:$AZ$98,ROW(AA58)-ROW(AA$42)+1,FALSE)+AI$23*HLOOKUP($AA$23,'GREET IO'!$A$77:$AZ$98,ROW(AA58)-ROW(AA$42)+1,FALSE)+AI$24*HLOOKUP($AA$24,'GREET IO'!$A$77:$AZ$98,ROW(AA58)-ROW(AA$42)+1,FALSE)+AI$25*HLOOKUP($AA$25,'GREET IO'!$A$77:$AZ$98,ROW(AA58)-ROW(AA$42)+1,FALSE)+AI$26*HLOOKUP($AA$26,'GREET IO'!$A$77:$AZ$98,ROW(AA58)-ROW(AA$42)+1,FALSE)+AI$27*HLOOKUP($AA$27,'GREET IO'!$A$77:$AZ$98,ROW(AA58)-ROW(AA$42)+1,FALSE))/$AI$32</f>
        <v>#DIV/0!</v>
      </c>
      <c r="AE58" s="873">
        <f>AB$32*$AI$31*('GREET IO'!$B35+'GREET IO'!$B11)+AB$33*$AI$31*IF($D$10=Input!$AD$35, 'Geographic Par.'!$E83, IF($D$10=Input!$AD$36, 'Geographic Par.'!$F83, IF($D$10=Input!$AD$37, 'Geographic Par.'!$H83, IF($D$10=Input!$AD$38,'Geographic Par.'!$G83,'Geographic Par.'!$K83))))</f>
        <v>6.7184426381676265E-2</v>
      </c>
      <c r="AF58" s="868"/>
      <c r="AG58" s="237" t="e">
        <f t="shared" si="60"/>
        <v>#DIV/0!</v>
      </c>
      <c r="AH58" s="178" t="e">
        <f t="shared" si="61"/>
        <v>#DIV/0!</v>
      </c>
      <c r="AI58" s="179" t="e">
        <f t="shared" si="62"/>
        <v>#DIV/0!</v>
      </c>
      <c r="BA58" s="147" t="s">
        <v>187</v>
      </c>
      <c r="BB58" s="237" t="e">
        <f>BB$21*'Mat. Conv Par.'!$AC40+BB$22*'Mat. Conv Par.'!$BB38+'Mat. Conv Par.'!$C128*SUM(Input!$F$28:$F$32)/$D$8+(BC$21*HLOOKUP($AA$21,'GREET IO'!$A$77:$AZ$98,ROW(BA58)-ROW(BA$42)+1,FALSE)+BC$22*HLOOKUP($AA$22,'GREET IO'!$A$77:$AZ$98,ROW(BA58)-ROW(BA$42)+1,FALSE)+BC$23*HLOOKUP($AA$23,'GREET IO'!$A$77:$AZ$98,ROW(BA58)-ROW(BA$42)+1,FALSE)+BC$24*HLOOKUP($AA$24,'GREET IO'!$A$77:$AZ$98,ROW(BA58)-ROW(BA$42)+1,FALSE)+BC$25*HLOOKUP($AA$25,'GREET IO'!$A$77:$AZ$98,ROW(BA58)-ROW(BA$42)+1,FALSE)+BC$26*HLOOKUP($AA$26,'GREET IO'!$A$77:$AZ$98,ROW(BA58)-ROW(BA$42)+1,FALSE)+BC$27*HLOOKUP($AA$27,'GREET IO'!$A$77:$AZ$98,ROW(BA58)-ROW(BA$42)+1,FALSE))/$AI$32</f>
        <v>#DIV/0!</v>
      </c>
      <c r="BC58" s="237" t="e">
        <f>BE$21*'Mat. Conv Par.'!$AC40+BE$22*'Mat. Conv Par.'!$BB38+'Mat. Conv Par.'!$D128*SUM(Input!$F$28:$F$32)/$D$8+(BF$21*HLOOKUP($AA$21,'GREET IO'!$A$77:$AZ$98,ROW(BA58)-ROW(BA$42)+1,FALSE)+BF$22*HLOOKUP($AA$22,'GREET IO'!$A$77:$AZ$98,ROW(BA58)-ROW(BA$42)+1,FALSE)+BF$23*HLOOKUP($AA$23,'GREET IO'!$A$77:$AZ$98,ROW(BA58)-ROW(BA$42)+1,FALSE)+BF$24*HLOOKUP($AA$24,'GREET IO'!$A$77:$AZ$98,ROW(BA58)-ROW(BA$42)+1,FALSE)+BF$25*HLOOKUP($AA$25,'GREET IO'!$A$77:$AZ$98,ROW(BA58)-ROW(BA$42)+1,FALSE)+BF$26*HLOOKUP($AA$26,'GREET IO'!$A$77:$AZ$98,ROW(BA58)-ROW(BA$42)+1,FALSE)+BF$27*HLOOKUP($AA$27,'GREET IO'!$A$77:$AZ$98,ROW(BA58)-ROW(BA$42)+1,FALSE))/$AI$32</f>
        <v>#DIV/0!</v>
      </c>
      <c r="BD58" s="868" t="e">
        <f>BH$21*'Mat. Conv Par.'!$AC40+BH$22*'Mat. Conv Par.'!$BB38+'Mat. Conv Par.'!$F128*SUM(Input!$F$28:$F$32)/$D$8+(BI$21*HLOOKUP($AA$21,'GREET IO'!$A$77:$AZ$98,ROW(BA58)-ROW(BA$42)+1,FALSE)+BI$22*HLOOKUP($AA$22,'GREET IO'!$A$77:$AZ$98,ROW(BA58)-ROW(BA$42)+1,FALSE)+BI$23*HLOOKUP($AA$23,'GREET IO'!$A$77:$AZ$98,ROW(BA58)-ROW(BA$42)+1,FALSE)+BI$24*HLOOKUP($AA$24,'GREET IO'!$A$77:$AZ$98,ROW(BA58)-ROW(BA$42)+1,FALSE)+BI$25*HLOOKUP($AA$25,'GREET IO'!$A$77:$AZ$98,ROW(BA58)-ROW(BA$42)+1,FALSE)+BI$26*HLOOKUP($AA$26,'GREET IO'!$A$77:$AZ$98,ROW(BA58)-ROW(BA$42)+1,FALSE)+BI$27*HLOOKUP($AA$27,'GREET IO'!$A$77:$AZ$98,ROW(BA58)-ROW(BA$42)+1,FALSE))/$AI$32</f>
        <v>#DIV/0!</v>
      </c>
      <c r="BE58" s="873">
        <f>BB$32*$AI$31*('GREET IO'!$B35+'GREET IO'!$B11)+BB$33*$AI$31*IF($D$10=Input!$AD$35, 'Geographic Par.'!$E83, IF($D$10=Input!$AD$36, 'Geographic Par.'!$F83, IF($D$10=Input!$AD$37, 'Geographic Par.'!$H83, IF($D$10=Input!$AD$38,'Geographic Par.'!$G83,'Geographic Par.'!$K83))))</f>
        <v>6.7187904465018933E-2</v>
      </c>
      <c r="BF58" s="868"/>
      <c r="BG58" s="237" t="e">
        <f t="shared" si="66"/>
        <v>#DIV/0!</v>
      </c>
      <c r="BH58" s="178" t="e">
        <f t="shared" si="67"/>
        <v>#DIV/0!</v>
      </c>
      <c r="BI58" s="179" t="e">
        <f t="shared" si="68"/>
        <v>#DIV/0!</v>
      </c>
      <c r="CA58" s="147" t="s">
        <v>187</v>
      </c>
      <c r="CB58" s="237" t="e">
        <f>CB$21*'Mat. Conv Par.'!$AC40+CB$22*'Mat. Conv Par.'!$BB38+'Mat. Conv Par.'!$C128*SUM(Input!$F$28:$F$32)/$D$8+(CC$21*HLOOKUP($AA$21,'GREET IO'!$A$77:$AZ$98,ROW(CA58)-ROW(CA$42)+1,FALSE)+CC$22*HLOOKUP($AA$22,'GREET IO'!$A$77:$AZ$98,ROW(CA58)-ROW(CA$42)+1,FALSE)+CC$23*HLOOKUP($AA$23,'GREET IO'!$A$77:$AZ$98,ROW(CA58)-ROW(CA$42)+1,FALSE)+CC$24*HLOOKUP($AA$24,'GREET IO'!$A$77:$AZ$98,ROW(CA58)-ROW(CA$42)+1,FALSE)+CC$25*HLOOKUP($AA$25,'GREET IO'!$A$77:$AZ$98,ROW(CA58)-ROW(CA$42)+1,FALSE)+CC$26*HLOOKUP($AA$26,'GREET IO'!$A$77:$AZ$98,ROW(CA58)-ROW(CA$42)+1,FALSE)+CC$27*HLOOKUP($AA$27,'GREET IO'!$A$77:$AZ$98,ROW(CA58)-ROW(CA$42)+1,FALSE))/$AI$32</f>
        <v>#DIV/0!</v>
      </c>
      <c r="CC58" s="237" t="e">
        <f>CE$21*'Mat. Conv Par.'!$AC40+CE$22*'Mat. Conv Par.'!$BB38+'Mat. Conv Par.'!$D128*SUM(Input!$F$28:$F$32)/$D$8+(CF$21*HLOOKUP($AA$21,'GREET IO'!$A$77:$AZ$98,ROW(CA58)-ROW(CA$42)+1,FALSE)+CF$22*HLOOKUP($AA$22,'GREET IO'!$A$77:$AZ$98,ROW(CA58)-ROW(CA$42)+1,FALSE)+CF$23*HLOOKUP($AA$23,'GREET IO'!$A$77:$AZ$98,ROW(CA58)-ROW(CA$42)+1,FALSE)+CF$24*HLOOKUP($AA$24,'GREET IO'!$A$77:$AZ$98,ROW(CA58)-ROW(CA$42)+1,FALSE)+CF$25*HLOOKUP($AA$25,'GREET IO'!$A$77:$AZ$98,ROW(CA58)-ROW(CA$42)+1,FALSE)+CF$26*HLOOKUP($AA$26,'GREET IO'!$A$77:$AZ$98,ROW(CA58)-ROW(CA$42)+1,FALSE)+CF$27*HLOOKUP($AA$27,'GREET IO'!$A$77:$AZ$98,ROW(CA58)-ROW(CA$42)+1,FALSE))/$AI$32</f>
        <v>#DIV/0!</v>
      </c>
      <c r="CD58" s="868" t="e">
        <f>CH$21*'Mat. Conv Par.'!$AC40+CH$22*'Mat. Conv Par.'!$BB38+'Mat. Conv Par.'!$F128*SUM(Input!$F$28:$F$32)/$D$8+(CI$21*HLOOKUP($AA$21,'GREET IO'!$A$77:$AZ$98,ROW(CA58)-ROW(CA$42)+1,FALSE)+CI$22*HLOOKUP($AA$22,'GREET IO'!$A$77:$AZ$98,ROW(CA58)-ROW(CA$42)+1,FALSE)+CI$23*HLOOKUP($AA$23,'GREET IO'!$A$77:$AZ$98,ROW(CA58)-ROW(CA$42)+1,FALSE)+CI$24*HLOOKUP($AA$24,'GREET IO'!$A$77:$AZ$98,ROW(CA58)-ROW(CA$42)+1,FALSE)+CI$25*HLOOKUP($AA$25,'GREET IO'!$A$77:$AZ$98,ROW(CA58)-ROW(CA$42)+1,FALSE)+CI$26*HLOOKUP($AA$26,'GREET IO'!$A$77:$AZ$98,ROW(CA58)-ROW(CA$42)+1,FALSE)+CI$27*HLOOKUP($AA$27,'GREET IO'!$A$77:$AZ$98,ROW(CA58)-ROW(CA$42)+1,FALSE))/$AI$32</f>
        <v>#DIV/0!</v>
      </c>
      <c r="CE58" s="873">
        <f>CB$32*$AI$31*('GREET IO'!$B35+'GREET IO'!$B11)+CB$33*$AI$31*IF($D$10=Input!$AD$35, 'Geographic Par.'!$E83, IF($D$10=Input!$AD$36, 'Geographic Par.'!$F83, IF($D$10=Input!$AD$37, 'Geographic Par.'!$H83, IF($D$10=Input!$AD$38,'Geographic Par.'!$G83,'Geographic Par.'!$K83))))</f>
        <v>6.7201861279622924E-2</v>
      </c>
      <c r="CF58" s="868"/>
      <c r="CG58" s="237" t="e">
        <f t="shared" si="69"/>
        <v>#DIV/0!</v>
      </c>
      <c r="CH58" s="178" t="e">
        <f t="shared" si="70"/>
        <v>#DIV/0!</v>
      </c>
      <c r="CI58" s="179" t="e">
        <f t="shared" si="63"/>
        <v>#DIV/0!</v>
      </c>
      <c r="DA58" s="147" t="s">
        <v>187</v>
      </c>
      <c r="DB58" s="237" t="e">
        <f>DB$21*'Mat. Conv Par.'!$AC40+DB$22*'Mat. Conv Par.'!$BB38+'Mat. Conv Par.'!$C128*SUM(Input!$F$28:$F$32)/$D$8+(DC$21*HLOOKUP($DA$21,'GREET IO'!$A$77:$AZ$98,ROW(DA58)-ROW(DA$42)+1,FALSE)+DC$22*HLOOKUP($DA$22,'GREET IO'!$A$77:$AZ$98,ROW(DA58)-ROW(DA$42)+1,FALSE)+DC$23*HLOOKUP($DA$23,'GREET IO'!$A$77:$AZ$98,ROW(DA58)-ROW(DA$42)+1,FALSE)+DC$24*HLOOKUP($DA$24,'GREET IO'!$A$77:$AZ$98,ROW(DA58)-ROW(DA$42)+1,FALSE)+DC$25*HLOOKUP($DA$25,'GREET IO'!$A$77:$AZ$98,ROW(DA58)-ROW(DA$42)+1,FALSE)+DC$26*HLOOKUP($DA$26,'GREET IO'!$A$77:$AZ$98,ROW(DA58)-ROW(DA$42)+1,FALSE)+DC$27*HLOOKUP($DA$27,'GREET IO'!$A$77:$AZ$98,ROW(DA58)-ROW(DA$42)+1,FALSE))/$AI$32</f>
        <v>#DIV/0!</v>
      </c>
      <c r="DC58" s="1205" t="e">
        <f>DE$21*'Mat. Conv Par.'!$AC40+DE$22*'Mat. Conv Par.'!$BB38+DE$23*'Mat. Conv Par.'!$CB38+'Mat. Conv Par.'!$D128*SUM(Input!$F$28:$F$32)/$D$8+(DF$21*HLOOKUP($DA$21,'GREET IO'!$A$77:$AZ$98,ROW(DA58)-ROW(DA$42)+1,FALSE)+DF$22*HLOOKUP($DA$22,'GREET IO'!$A$77:$AZ$98,ROW(DA58)-ROW(DA$42)+1,FALSE)+DF$23*HLOOKUP($DA$23,'GREET IO'!$A$77:$AZ$98,ROW(DA58)-ROW(DA$42)+1,FALSE)+DF$24*HLOOKUP($DA$24,'GREET IO'!$A$77:$AZ$98,ROW(DA58)-ROW(DA$42)+1,FALSE)+DF$25*HLOOKUP($DA$25,'GREET IO'!$A$77:$AZ$98,ROW(DA58)-ROW(DA$42)+1,FALSE)+DF$26*HLOOKUP($DA$26,'GREET IO'!$A$77:$AZ$98,ROW(DA58)-ROW(DA$42)+1,FALSE)+DF$27*HLOOKUP($DA$27,'GREET IO'!$A$77:$AZ$98,ROW(DA58)-ROW(DA$42)+1,FALSE))/$AI$32</f>
        <v>#DIV/0!</v>
      </c>
      <c r="DD58" s="1205" t="e">
        <f>DH$21*'Mat. Conv Par.'!$AC40+DH$22*'Mat. Conv Par.'!$BB38+DH$23*'Mat. Conv Par.'!$CB38+'Mat. Conv Par.'!$F128*SUM(Input!$F$28:$F$32)/$D$8+(DI$21*HLOOKUP($DA$21,'GREET IO'!$A$77:$AZ$98,ROW(DA58)-ROW(DA$42)+1,FALSE)+DI$22*HLOOKUP($DA$22,'GREET IO'!$A$77:$AZ$98,ROW(DA58)-ROW(DA$42)+1,FALSE)+DI$23*HLOOKUP($DA$23,'GREET IO'!$A$77:$AZ$98,ROW(DA58)-ROW(DA$42)+1,FALSE)+DI$24*HLOOKUP($DA$24,'GREET IO'!$A$77:$AZ$98,ROW(DA58)-ROW(DA$42)+1,FALSE)+DI$25*HLOOKUP($DA$25,'GREET IO'!$A$77:$AZ$98,ROW(DA58)-ROW(DA$42)+1,FALSE)+DI$26*HLOOKUP($DA$26,'GREET IO'!$A$77:$AZ$98,ROW(DA58)-ROW(DA$42)+1,FALSE)+DI$27*HLOOKUP($DA$27,'GREET IO'!$A$77:$AZ$98,ROW(DA58)-ROW(DA$42)+1,FALSE))/$AI$32</f>
        <v>#DIV/0!</v>
      </c>
      <c r="DE58" s="873">
        <f>DB$32*$AI$31*('GREET IO'!$B35+'GREET IO'!$B11)+DB$33*$AI$31*IF($D$10=Input!$AD$35, 'Geographic Par.'!$E83, IF($D$10=Input!$AD$36, 'Geographic Par.'!$F83, IF($D$10=Input!$AD$37, 'Geographic Par.'!$H83, IF($D$10=Input!$AD$38,'Geographic Par.'!$G83,'Geographic Par.'!$K83))))</f>
        <v>6.7181465663958287E-2</v>
      </c>
      <c r="DF58" s="868"/>
      <c r="DG58" s="237" t="e">
        <f t="shared" si="71"/>
        <v>#DIV/0!</v>
      </c>
      <c r="DH58" s="178" t="e">
        <f t="shared" si="72"/>
        <v>#DIV/0!</v>
      </c>
      <c r="DI58" s="179" t="e">
        <f t="shared" si="64"/>
        <v>#DIV/0!</v>
      </c>
      <c r="EA58" s="147" t="s">
        <v>187</v>
      </c>
      <c r="EB58" s="237" t="e">
        <f>EB$21*'Mat. Conv Par.'!$AC40+EB$22*'Mat. Conv Par.'!$BB38+EB$23*'Mat. Conv Par.'!$CB38+'Mat. Conv Par.'!$C128*SUM(Input!$F$28:$F$32)/$D$8+(EC$21*HLOOKUP($EA$21,'GREET IO'!$A$77:$AZ$98,ROW(EA58)-ROW(EA$42)+1,FALSE)+EC$22*HLOOKUP($EA$22,'GREET IO'!$A$77:$AZ$98,ROW(EA58)-ROW(EA$42)+1,FALSE)+EC$23*HLOOKUP($EA$23,'GREET IO'!$A$77:$AZ$98,ROW(EA58)-ROW(EA$42)+1,FALSE)+EC$24*HLOOKUP($EA$24,'GREET IO'!$A$77:$AZ$98,ROW(EA58)-ROW(EA$42)+1,FALSE)+EC$25*HLOOKUP($EA$25,'GREET IO'!$A$77:$AZ$98,ROW(EA58)-ROW(EA$42)+1,FALSE)+EC$26*HLOOKUP($EA$26,'GREET IO'!$A$77:$AZ$98,ROW(EA58)-ROW(EA$42)+1,FALSE)+EC$27*HLOOKUP($EA$27,'GREET IO'!$A$77:$AZ$98,ROW(EA58)-ROW(EA$42)+1,FALSE))/$AI$32</f>
        <v>#DIV/0!</v>
      </c>
      <c r="EC58" s="237" t="e">
        <f>EE$21*'Mat. Conv Par.'!$AC40+EE$22*'Mat. Conv Par.'!$BB38+EE$23*'Mat. Conv Par.'!$CB38+'Mat. Conv Par.'!$D128*SUM(Input!$F$28:$F$32)/$D$8+(EF$21*HLOOKUP($EA$21,'GREET IO'!$A$77:$AZ$98,ROW(EA58)-ROW(EA$42)+1,FALSE)+EF$22*HLOOKUP($EA$22,'GREET IO'!$A$77:$AZ$98,ROW(EA58)-ROW(EA$42)+1,FALSE)+EF$23*HLOOKUP($EA$23,'GREET IO'!$A$77:$AZ$98,ROW(EA58)-ROW(EA$42)+1,FALSE)+EF$24*HLOOKUP($EA$24,'GREET IO'!$A$77:$AZ$98,ROW(EA58)-ROW(EA$42)+1,FALSE)+EF$25*HLOOKUP($EA$25,'GREET IO'!$A$77:$AZ$98,ROW(EA58)-ROW(EA$42)+1,FALSE)+EF$26*HLOOKUP($EA$26,'GREET IO'!$A$77:$AZ$98,ROW(EA58)-ROW(EA$42)+1,FALSE)+EF$27*HLOOKUP($EA$27,'GREET IO'!$A$77:$AZ$98,ROW(EA58)-ROW(EA$42)+1,FALSE))/$AI$32</f>
        <v>#DIV/0!</v>
      </c>
      <c r="ED58" s="237" t="e">
        <f>EH$21*'Mat. Conv Par.'!$AC40+EH$22*'Mat. Conv Par.'!$BB38+EH$23*'Mat. Conv Par.'!$CB38+'Mat. Conv Par.'!$F128*SUM(Input!$F$28:$F$32)/$D$8+(EI$21*HLOOKUP($EA$21,'GREET IO'!$A$77:$AZ$98,ROW(EA58)-ROW(EA$42)+1,FALSE)+EI$22*HLOOKUP($EA$22,'GREET IO'!$A$77:$AZ$98,ROW(EA58)-ROW(EA$42)+1,FALSE)+EI$23*HLOOKUP($EA$23,'GREET IO'!$A$77:$AZ$98,ROW(EA58)-ROW(EA$42)+1,FALSE)+EI$24*HLOOKUP($EA$24,'GREET IO'!$A$77:$AZ$98,ROW(EA58)-ROW(EA$42)+1,FALSE)+EI$25*HLOOKUP($EA$25,'GREET IO'!$A$77:$AZ$98,ROW(EA58)-ROW(EA$42)+1,FALSE)+EI$26*HLOOKUP($EA$26,'GREET IO'!$A$77:$AZ$98,ROW(EA58)-ROW(EA$42)+1,FALSE)+EI$27*HLOOKUP($EA$27,'GREET IO'!$A$77:$AZ$98,ROW(EA58)-ROW(EA$42)+1,FALSE))/$AI$32</f>
        <v>#DIV/0!</v>
      </c>
      <c r="EE58" s="873">
        <f>EB$32*$AI$31*('GREET IO'!$B35+'GREET IO'!$B11)+EB$33*$AI$31*IF($D$10=Input!$AD$35, 'Geographic Par.'!$E83, IF($D$10=Input!$AD$36, 'Geographic Par.'!$F83, IF($D$10=Input!$AD$37, 'Geographic Par.'!$H83, IF($D$10=Input!$AD$38,'Geographic Par.'!$G83,'Geographic Par.'!$K83))))</f>
        <v>6.7255618094140976E-2</v>
      </c>
      <c r="EF58" s="868"/>
      <c r="EG58" s="237" t="e">
        <f t="shared" si="73"/>
        <v>#DIV/0!</v>
      </c>
      <c r="EH58" s="178" t="e">
        <f t="shared" si="74"/>
        <v>#DIV/0!</v>
      </c>
      <c r="EI58" s="179" t="e">
        <f t="shared" si="65"/>
        <v>#DIV/0!</v>
      </c>
      <c r="FA58" s="147" t="s">
        <v>187</v>
      </c>
      <c r="FB58" s="237" t="e">
        <f>FB$21*'Mat. Conv Par.'!$AB40+'Mat. Conv Par.'!$C128*SUM(Input!$F$28:$F$32)/$D$8+(FC$21*HLOOKUP($FA$21,'GREET IO'!$A$77:$AZ$98,ROW(FA58)-ROW(FA$42)+1,FALSE)+FC$22*HLOOKUP($FA$22,'GREET IO'!$A$77:$AZ$98,ROW(FA58)-ROW(FA$42)+1,FALSE))/$AI$32</f>
        <v>#DIV/0!</v>
      </c>
      <c r="FC58" s="237" t="e">
        <f>FE$21*'Mat. Conv Par.'!$AB40+'Mat. Conv Par.'!$D128*SUM(Input!$F$28:$F$32)/$D$8+(FF$21*HLOOKUP($FA$21,'GREET IO'!$A$77:$AZ$98,ROW(FA58)-ROW(FA$42)+1,FALSE)+FF$22*HLOOKUP($FA$22,'GREET IO'!$A$77:$AZ$98,ROW(FA58)-ROW(FA$42)+1,FALSE))/$AI$32</f>
        <v>#DIV/0!</v>
      </c>
      <c r="FD58" s="237" t="e">
        <f>FH$21*'Mat. Conv Par.'!$AB40+'Mat. Conv Par.'!$F128*SUM(Input!$F$28:$F$32)/$D$8+(FI$21*HLOOKUP($FA$21,'GREET IO'!$A$77:$AZ$98,ROW(FA58)-ROW(FA$42)+1,FALSE)+FI$22*HLOOKUP($FA$22,'GREET IO'!$A$77:$AZ$98,ROW(FA58)-ROW(FA$42)+1,FALSE))/$AI$32</f>
        <v>#DIV/0!</v>
      </c>
      <c r="FE58" s="873">
        <f>FB$32*$AI$31*('GREET IO'!$B35+'GREET IO'!$B11)+FB$33*$AI$31*IF($D$10=Input!$AD$35, 'Geographic Par.'!$E83, IF($D$10=Input!$AD$36, 'Geographic Par.'!$F83, IF($D$10=Input!$AD$37, 'Geographic Par.'!$H83, IF($D$10=Input!$AD$38,'Geographic Par.'!$G83,'Geographic Par.'!$K83))))</f>
        <v>0</v>
      </c>
      <c r="FF58" s="868"/>
      <c r="FG58" s="237" t="e">
        <f t="shared" si="75"/>
        <v>#DIV/0!</v>
      </c>
      <c r="FH58" s="178" t="e">
        <f t="shared" si="76"/>
        <v>#DIV/0!</v>
      </c>
      <c r="FI58" s="179" t="e">
        <f t="shared" si="77"/>
        <v>#DIV/0!</v>
      </c>
    </row>
    <row r="59" spans="2:168">
      <c r="B59" s="147" t="s">
        <v>536</v>
      </c>
      <c r="C59" s="632">
        <f t="shared" si="78"/>
        <v>0.64575421009730638</v>
      </c>
      <c r="D59" s="1241">
        <f>2.2/3.78541/1.5/0.6</f>
        <v>0.64575421009730638</v>
      </c>
      <c r="E59" s="901">
        <f>IF(ISBLANK(Materials!D67),0,Materials!D67)</f>
        <v>0</v>
      </c>
      <c r="AA59" s="147" t="s">
        <v>188</v>
      </c>
      <c r="AB59" s="237" t="e">
        <f>AB$21*'Mat. Conv Par.'!$AC41+AB$22*'Mat. Conv Par.'!$BB39+'Mat. Conv Par.'!$C129*SUM(Input!$F$28:$F$32)/$D$8+(AC$21*HLOOKUP($AA$21,'GREET IO'!$A$77:$AZ$98,ROW(AA59)-ROW(AA$42)+1,FALSE)+AC$22*HLOOKUP($AA$22,'GREET IO'!$A$77:$AZ$98,ROW(AA59)-ROW(AA$42)+1,FALSE)+AC$23*HLOOKUP($AA$23,'GREET IO'!$A$77:$AZ$98,ROW(AA59)-ROW(AA$42)+1,FALSE)+AC$24*HLOOKUP($AA$24,'GREET IO'!$A$77:$AZ$98,ROW(AA59)-ROW(AA$42)+1,FALSE)+AC$25*HLOOKUP($AA$25,'GREET IO'!$A$77:$AZ$98,ROW(AA59)-ROW(AA$42)+1,FALSE)+AC$26*HLOOKUP($AA$26,'GREET IO'!$A$77:$AZ$98,ROW(AA59)-ROW(AA$42)+1,FALSE)+AC$27*HLOOKUP($AA$27,'GREET IO'!$A$77:$AZ$98,ROW(AA59)-ROW(AA$42)+1,FALSE))/$AI$32</f>
        <v>#DIV/0!</v>
      </c>
      <c r="AC59" s="237" t="e">
        <f>AE$21*'Mat. Conv Par.'!$AC41+AE$22*'Mat. Conv Par.'!$BB39+'Mat. Conv Par.'!$D129*SUM(Input!$F$28:$F$32)/$D$8+(AF$21*HLOOKUP($AA$21,'GREET IO'!$A$77:$AZ$98,ROW(AA59)-ROW(AA$42)+1,FALSE)+AF$22*HLOOKUP($AA$22,'GREET IO'!$A$77:$AZ$98,ROW(AA59)-ROW(AA$42)+1,FALSE)+AF$23*HLOOKUP($AA$23,'GREET IO'!$A$77:$AZ$98,ROW(AA59)-ROW(AA$42)+1,FALSE)+AF$24*HLOOKUP($AA$24,'GREET IO'!$A$77:$AZ$98,ROW(AA59)-ROW(AA$42)+1,FALSE)+AF$25*HLOOKUP($AA$25,'GREET IO'!$A$77:$AZ$98,ROW(AA59)-ROW(AA$42)+1,FALSE)+AF$26*HLOOKUP($AA$26,'GREET IO'!$A$77:$AZ$98,ROW(AA59)-ROW(AA$42)+1,FALSE)+AF$27*HLOOKUP($AA$27,'GREET IO'!$A$77:$AZ$98,ROW(AA59)-ROW(AA$42)+1,FALSE))/$AI$32</f>
        <v>#DIV/0!</v>
      </c>
      <c r="AD59" s="868" t="e">
        <f>AH$21*'Mat. Conv Par.'!$AC41+AH$22*'Mat. Conv Par.'!$BB39+'Mat. Conv Par.'!$F129*SUM(Input!$F$28:$F$32)/$D$8+(AI$21*HLOOKUP($AA$21,'GREET IO'!$A$77:$AZ$98,ROW(AA59)-ROW(AA$42)+1,FALSE)+AI$22*HLOOKUP($AA$22,'GREET IO'!$A$77:$AZ$98,ROW(AA59)-ROW(AA$42)+1,FALSE)+AI$23*HLOOKUP($AA$23,'GREET IO'!$A$77:$AZ$98,ROW(AA59)-ROW(AA$42)+1,FALSE)+AI$24*HLOOKUP($AA$24,'GREET IO'!$A$77:$AZ$98,ROW(AA59)-ROW(AA$42)+1,FALSE)+AI$25*HLOOKUP($AA$25,'GREET IO'!$A$77:$AZ$98,ROW(AA59)-ROW(AA$42)+1,FALSE)+AI$26*HLOOKUP($AA$26,'GREET IO'!$A$77:$AZ$98,ROW(AA59)-ROW(AA$42)+1,FALSE)+AI$27*HLOOKUP($AA$27,'GREET IO'!$A$77:$AZ$98,ROW(AA59)-ROW(AA$42)+1,FALSE))/$AI$32</f>
        <v>#DIV/0!</v>
      </c>
      <c r="AE59" s="873">
        <f>AB$32*$AI$31*('GREET IO'!$B36+'GREET IO'!$B12)+AB$33*$AI$31*IF($D$10=Input!$AD$35, 'Geographic Par.'!$E84, IF($D$10=Input!$AD$36, 'Geographic Par.'!$F84, IF($D$10=Input!$AD$37, 'Geographic Par.'!$H84, IF($D$10=Input!$AD$38,'Geographic Par.'!$G84,'Geographic Par.'!$K84))))</f>
        <v>9.0589480094447197</v>
      </c>
      <c r="AF59" s="868"/>
      <c r="AG59" s="237" t="e">
        <f t="shared" si="60"/>
        <v>#DIV/0!</v>
      </c>
      <c r="AH59" s="178" t="e">
        <f t="shared" si="61"/>
        <v>#DIV/0!</v>
      </c>
      <c r="AI59" s="179" t="e">
        <f t="shared" si="62"/>
        <v>#DIV/0!</v>
      </c>
      <c r="BA59" s="147" t="s">
        <v>188</v>
      </c>
      <c r="BB59" s="237" t="e">
        <f>BB$21*'Mat. Conv Par.'!$AC41+BB$22*'Mat. Conv Par.'!$BB39+'Mat. Conv Par.'!$C129*SUM(Input!$F$28:$F$32)/$D$8+(BC$21*HLOOKUP($AA$21,'GREET IO'!$A$77:$AZ$98,ROW(BA59)-ROW(BA$42)+1,FALSE)+BC$22*HLOOKUP($AA$22,'GREET IO'!$A$77:$AZ$98,ROW(BA59)-ROW(BA$42)+1,FALSE)+BC$23*HLOOKUP($AA$23,'GREET IO'!$A$77:$AZ$98,ROW(BA59)-ROW(BA$42)+1,FALSE)+BC$24*HLOOKUP($AA$24,'GREET IO'!$A$77:$AZ$98,ROW(BA59)-ROW(BA$42)+1,FALSE)+BC$25*HLOOKUP($AA$25,'GREET IO'!$A$77:$AZ$98,ROW(BA59)-ROW(BA$42)+1,FALSE)+BC$26*HLOOKUP($AA$26,'GREET IO'!$A$77:$AZ$98,ROW(BA59)-ROW(BA$42)+1,FALSE)+BC$27*HLOOKUP($AA$27,'GREET IO'!$A$77:$AZ$98,ROW(BA59)-ROW(BA$42)+1,FALSE))/$AI$32</f>
        <v>#DIV/0!</v>
      </c>
      <c r="BC59" s="237" t="e">
        <f>BE$21*'Mat. Conv Par.'!$AC41+BE$22*'Mat. Conv Par.'!$BB39+'Mat. Conv Par.'!$D129*SUM(Input!$F$28:$F$32)/$D$8+(BF$21*HLOOKUP($AA$21,'GREET IO'!$A$77:$AZ$98,ROW(BA59)-ROW(BA$42)+1,FALSE)+BF$22*HLOOKUP($AA$22,'GREET IO'!$A$77:$AZ$98,ROW(BA59)-ROW(BA$42)+1,FALSE)+BF$23*HLOOKUP($AA$23,'GREET IO'!$A$77:$AZ$98,ROW(BA59)-ROW(BA$42)+1,FALSE)+BF$24*HLOOKUP($AA$24,'GREET IO'!$A$77:$AZ$98,ROW(BA59)-ROW(BA$42)+1,FALSE)+BF$25*HLOOKUP($AA$25,'GREET IO'!$A$77:$AZ$98,ROW(BA59)-ROW(BA$42)+1,FALSE)+BF$26*HLOOKUP($AA$26,'GREET IO'!$A$77:$AZ$98,ROW(BA59)-ROW(BA$42)+1,FALSE)+BF$27*HLOOKUP($AA$27,'GREET IO'!$A$77:$AZ$98,ROW(BA59)-ROW(BA$42)+1,FALSE))/$AI$32</f>
        <v>#DIV/0!</v>
      </c>
      <c r="BD59" s="868" t="e">
        <f>BH$21*'Mat. Conv Par.'!$AC41+BH$22*'Mat. Conv Par.'!$BB39+'Mat. Conv Par.'!$F129*SUM(Input!$F$28:$F$32)/$D$8+(BI$21*HLOOKUP($AA$21,'GREET IO'!$A$77:$AZ$98,ROW(BA59)-ROW(BA$42)+1,FALSE)+BI$22*HLOOKUP($AA$22,'GREET IO'!$A$77:$AZ$98,ROW(BA59)-ROW(BA$42)+1,FALSE)+BI$23*HLOOKUP($AA$23,'GREET IO'!$A$77:$AZ$98,ROW(BA59)-ROW(BA$42)+1,FALSE)+BI$24*HLOOKUP($AA$24,'GREET IO'!$A$77:$AZ$98,ROW(BA59)-ROW(BA$42)+1,FALSE)+BI$25*HLOOKUP($AA$25,'GREET IO'!$A$77:$AZ$98,ROW(BA59)-ROW(BA$42)+1,FALSE)+BI$26*HLOOKUP($AA$26,'GREET IO'!$A$77:$AZ$98,ROW(BA59)-ROW(BA$42)+1,FALSE)+BI$27*HLOOKUP($AA$27,'GREET IO'!$A$77:$AZ$98,ROW(BA59)-ROW(BA$42)+1,FALSE))/$AI$32</f>
        <v>#DIV/0!</v>
      </c>
      <c r="BE59" s="873">
        <f>BB$32*$AI$31*('GREET IO'!$B36+'GREET IO'!$B12)+BB$33*$AI$31*IF($D$10=Input!$AD$35, 'Geographic Par.'!$E84, IF($D$10=Input!$AD$36, 'Geographic Par.'!$F84, IF($D$10=Input!$AD$37, 'Geographic Par.'!$H84, IF($D$10=Input!$AD$38,'Geographic Par.'!$G84,'Geographic Par.'!$K84))))</f>
        <v>9.0594169838465337</v>
      </c>
      <c r="BF59" s="868"/>
      <c r="BG59" s="237" t="e">
        <f t="shared" si="66"/>
        <v>#DIV/0!</v>
      </c>
      <c r="BH59" s="178" t="e">
        <f t="shared" si="67"/>
        <v>#DIV/0!</v>
      </c>
      <c r="BI59" s="179" t="e">
        <f t="shared" si="68"/>
        <v>#DIV/0!</v>
      </c>
      <c r="CA59" s="147" t="s">
        <v>188</v>
      </c>
      <c r="CB59" s="237" t="e">
        <f>CB$21*'Mat. Conv Par.'!$AC41+CB$22*'Mat. Conv Par.'!$BB39+'Mat. Conv Par.'!$C129*SUM(Input!$F$28:$F$32)/$D$8+(CC$21*HLOOKUP($AA$21,'GREET IO'!$A$77:$AZ$98,ROW(CA59)-ROW(CA$42)+1,FALSE)+CC$22*HLOOKUP($AA$22,'GREET IO'!$A$77:$AZ$98,ROW(CA59)-ROW(CA$42)+1,FALSE)+CC$23*HLOOKUP($AA$23,'GREET IO'!$A$77:$AZ$98,ROW(CA59)-ROW(CA$42)+1,FALSE)+CC$24*HLOOKUP($AA$24,'GREET IO'!$A$77:$AZ$98,ROW(CA59)-ROW(CA$42)+1,FALSE)+CC$25*HLOOKUP($AA$25,'GREET IO'!$A$77:$AZ$98,ROW(CA59)-ROW(CA$42)+1,FALSE)+CC$26*HLOOKUP($AA$26,'GREET IO'!$A$77:$AZ$98,ROW(CA59)-ROW(CA$42)+1,FALSE)+CC$27*HLOOKUP($AA$27,'GREET IO'!$A$77:$AZ$98,ROW(CA59)-ROW(CA$42)+1,FALSE))/$AI$32</f>
        <v>#DIV/0!</v>
      </c>
      <c r="CC59" s="237" t="e">
        <f>CE$21*'Mat. Conv Par.'!$AC41+CE$22*'Mat. Conv Par.'!$BB39+'Mat. Conv Par.'!$D129*SUM(Input!$F$28:$F$32)/$D$8+(CF$21*HLOOKUP($AA$21,'GREET IO'!$A$77:$AZ$98,ROW(CA59)-ROW(CA$42)+1,FALSE)+CF$22*HLOOKUP($AA$22,'GREET IO'!$A$77:$AZ$98,ROW(CA59)-ROW(CA$42)+1,FALSE)+CF$23*HLOOKUP($AA$23,'GREET IO'!$A$77:$AZ$98,ROW(CA59)-ROW(CA$42)+1,FALSE)+CF$24*HLOOKUP($AA$24,'GREET IO'!$A$77:$AZ$98,ROW(CA59)-ROW(CA$42)+1,FALSE)+CF$25*HLOOKUP($AA$25,'GREET IO'!$A$77:$AZ$98,ROW(CA59)-ROW(CA$42)+1,FALSE)+CF$26*HLOOKUP($AA$26,'GREET IO'!$A$77:$AZ$98,ROW(CA59)-ROW(CA$42)+1,FALSE)+CF$27*HLOOKUP($AA$27,'GREET IO'!$A$77:$AZ$98,ROW(CA59)-ROW(CA$42)+1,FALSE))/$AI$32</f>
        <v>#DIV/0!</v>
      </c>
      <c r="CD59" s="868" t="e">
        <f>CH$21*'Mat. Conv Par.'!$AC41+CH$22*'Mat. Conv Par.'!$BB39+'Mat. Conv Par.'!$F129*SUM(Input!$F$28:$F$32)/$D$8+(CI$21*HLOOKUP($AA$21,'GREET IO'!$A$77:$AZ$98,ROW(CA59)-ROW(CA$42)+1,FALSE)+CI$22*HLOOKUP($AA$22,'GREET IO'!$A$77:$AZ$98,ROW(CA59)-ROW(CA$42)+1,FALSE)+CI$23*HLOOKUP($AA$23,'GREET IO'!$A$77:$AZ$98,ROW(CA59)-ROW(CA$42)+1,FALSE)+CI$24*HLOOKUP($AA$24,'GREET IO'!$A$77:$AZ$98,ROW(CA59)-ROW(CA$42)+1,FALSE)+CI$25*HLOOKUP($AA$25,'GREET IO'!$A$77:$AZ$98,ROW(CA59)-ROW(CA$42)+1,FALSE)+CI$26*HLOOKUP($AA$26,'GREET IO'!$A$77:$AZ$98,ROW(CA59)-ROW(CA$42)+1,FALSE)+CI$27*HLOOKUP($AA$27,'GREET IO'!$A$77:$AZ$98,ROW(CA59)-ROW(CA$42)+1,FALSE))/$AI$32</f>
        <v>#DIV/0!</v>
      </c>
      <c r="CE59" s="873">
        <f>CB$32*$AI$31*('GREET IO'!$B36+'GREET IO'!$B12)+CB$33*$AI$31*IF($D$10=Input!$AD$35, 'Geographic Par.'!$E84, IF($D$10=Input!$AD$36, 'Geographic Par.'!$F84, IF($D$10=Input!$AD$37, 'Geographic Par.'!$H84, IF($D$10=Input!$AD$38,'Geographic Par.'!$G84,'Geographic Par.'!$K84))))</f>
        <v>9.0612988791708577</v>
      </c>
      <c r="CF59" s="868"/>
      <c r="CG59" s="237" t="e">
        <f t="shared" si="69"/>
        <v>#DIV/0!</v>
      </c>
      <c r="CH59" s="178" t="e">
        <f t="shared" si="70"/>
        <v>#DIV/0!</v>
      </c>
      <c r="CI59" s="179" t="e">
        <f t="shared" si="63"/>
        <v>#DIV/0!</v>
      </c>
      <c r="DA59" s="147" t="s">
        <v>188</v>
      </c>
      <c r="DB59" s="237" t="e">
        <f>DB$21*'Mat. Conv Par.'!$AC41+DB$22*'Mat. Conv Par.'!$BB39+'Mat. Conv Par.'!$C129*SUM(Input!$F$28:$F$32)/$D$8+(DC$21*HLOOKUP($DA$21,'GREET IO'!$A$77:$AZ$98,ROW(DA59)-ROW(DA$42)+1,FALSE)+DC$22*HLOOKUP($DA$22,'GREET IO'!$A$77:$AZ$98,ROW(DA59)-ROW(DA$42)+1,FALSE)+DC$23*HLOOKUP($DA$23,'GREET IO'!$A$77:$AZ$98,ROW(DA59)-ROW(DA$42)+1,FALSE)+DC$24*HLOOKUP($DA$24,'GREET IO'!$A$77:$AZ$98,ROW(DA59)-ROW(DA$42)+1,FALSE)+DC$25*HLOOKUP($DA$25,'GREET IO'!$A$77:$AZ$98,ROW(DA59)-ROW(DA$42)+1,FALSE)+DC$26*HLOOKUP($DA$26,'GREET IO'!$A$77:$AZ$98,ROW(DA59)-ROW(DA$42)+1,FALSE)+DC$27*HLOOKUP($DA$27,'GREET IO'!$A$77:$AZ$98,ROW(DA59)-ROW(DA$42)+1,FALSE))/$AI$32</f>
        <v>#DIV/0!</v>
      </c>
      <c r="DC59" s="1205" t="e">
        <f>DE$21*'Mat. Conv Par.'!$AC41+DE$22*'Mat. Conv Par.'!$BB39+DE$23*'Mat. Conv Par.'!$CB39+'Mat. Conv Par.'!$D129*SUM(Input!$F$28:$F$32)/$D$8+(DF$21*HLOOKUP($DA$21,'GREET IO'!$A$77:$AZ$98,ROW(DA59)-ROW(DA$42)+1,FALSE)+DF$22*HLOOKUP($DA$22,'GREET IO'!$A$77:$AZ$98,ROW(DA59)-ROW(DA$42)+1,FALSE)+DF$23*HLOOKUP($DA$23,'GREET IO'!$A$77:$AZ$98,ROW(DA59)-ROW(DA$42)+1,FALSE)+DF$24*HLOOKUP($DA$24,'GREET IO'!$A$77:$AZ$98,ROW(DA59)-ROW(DA$42)+1,FALSE)+DF$25*HLOOKUP($DA$25,'GREET IO'!$A$77:$AZ$98,ROW(DA59)-ROW(DA$42)+1,FALSE)+DF$26*HLOOKUP($DA$26,'GREET IO'!$A$77:$AZ$98,ROW(DA59)-ROW(DA$42)+1,FALSE)+DF$27*HLOOKUP($DA$27,'GREET IO'!$A$77:$AZ$98,ROW(DA59)-ROW(DA$42)+1,FALSE))/$AI$32</f>
        <v>#DIV/0!</v>
      </c>
      <c r="DD59" s="1205" t="e">
        <f>DH$21*'Mat. Conv Par.'!$AC41+DH$22*'Mat. Conv Par.'!$BB39+DH$23*'Mat. Conv Par.'!$CB39+'Mat. Conv Par.'!$F129*SUM(Input!$F$28:$F$32)/$D$8+(DI$21*HLOOKUP($DA$21,'GREET IO'!$A$77:$AZ$98,ROW(DA59)-ROW(DA$42)+1,FALSE)+DI$22*HLOOKUP($DA$22,'GREET IO'!$A$77:$AZ$98,ROW(DA59)-ROW(DA$42)+1,FALSE)+DI$23*HLOOKUP($DA$23,'GREET IO'!$A$77:$AZ$98,ROW(DA59)-ROW(DA$42)+1,FALSE)+DI$24*HLOOKUP($DA$24,'GREET IO'!$A$77:$AZ$98,ROW(DA59)-ROW(DA$42)+1,FALSE)+DI$25*HLOOKUP($DA$25,'GREET IO'!$A$77:$AZ$98,ROW(DA59)-ROW(DA$42)+1,FALSE)+DI$26*HLOOKUP($DA$26,'GREET IO'!$A$77:$AZ$98,ROW(DA59)-ROW(DA$42)+1,FALSE)+DI$27*HLOOKUP($DA$27,'GREET IO'!$A$77:$AZ$98,ROW(DA59)-ROW(DA$42)+1,FALSE))/$AI$32</f>
        <v>#DIV/0!</v>
      </c>
      <c r="DE59" s="873">
        <f>DB$32*$AI$31*('GREET IO'!$B36+'GREET IO'!$B12)+DB$33*$AI$31*IF($D$10=Input!$AD$35, 'Geographic Par.'!$E84, IF($D$10=Input!$AD$36, 'Geographic Par.'!$F84, IF($D$10=Input!$AD$37, 'Geographic Par.'!$H84, IF($D$10=Input!$AD$38,'Geographic Par.'!$G84,'Geographic Par.'!$K84))))</f>
        <v>9.0585487950832615</v>
      </c>
      <c r="DF59" s="868"/>
      <c r="DG59" s="237" t="e">
        <f t="shared" si="71"/>
        <v>#DIV/0!</v>
      </c>
      <c r="DH59" s="178" t="e">
        <f t="shared" si="72"/>
        <v>#DIV/0!</v>
      </c>
      <c r="DI59" s="179" t="e">
        <f t="shared" si="64"/>
        <v>#DIV/0!</v>
      </c>
      <c r="EA59" s="147" t="s">
        <v>188</v>
      </c>
      <c r="EB59" s="237" t="e">
        <f>EB$21*'Mat. Conv Par.'!$AC41+EB$22*'Mat. Conv Par.'!$BB39+EB$23*'Mat. Conv Par.'!$CB39+'Mat. Conv Par.'!$C129*SUM(Input!$F$28:$F$32)/$D$8+(EC$21*HLOOKUP($EA$21,'GREET IO'!$A$77:$AZ$98,ROW(EA59)-ROW(EA$42)+1,FALSE)+EC$22*HLOOKUP($EA$22,'GREET IO'!$A$77:$AZ$98,ROW(EA59)-ROW(EA$42)+1,FALSE)+EC$23*HLOOKUP($EA$23,'GREET IO'!$A$77:$AZ$98,ROW(EA59)-ROW(EA$42)+1,FALSE)+EC$24*HLOOKUP($EA$24,'GREET IO'!$A$77:$AZ$98,ROW(EA59)-ROW(EA$42)+1,FALSE)+EC$25*HLOOKUP($EA$25,'GREET IO'!$A$77:$AZ$98,ROW(EA59)-ROW(EA$42)+1,FALSE)+EC$26*HLOOKUP($EA$26,'GREET IO'!$A$77:$AZ$98,ROW(EA59)-ROW(EA$42)+1,FALSE)+EC$27*HLOOKUP($EA$27,'GREET IO'!$A$77:$AZ$98,ROW(EA59)-ROW(EA$42)+1,FALSE))/$AI$32</f>
        <v>#DIV/0!</v>
      </c>
      <c r="EC59" s="237" t="e">
        <f>EE$21*'Mat. Conv Par.'!$AC41+EE$22*'Mat. Conv Par.'!$BB39+EE$23*'Mat. Conv Par.'!$CB39+'Mat. Conv Par.'!$D129*SUM(Input!$F$28:$F$32)/$D$8+(EF$21*HLOOKUP($EA$21,'GREET IO'!$A$77:$AZ$98,ROW(EA59)-ROW(EA$42)+1,FALSE)+EF$22*HLOOKUP($EA$22,'GREET IO'!$A$77:$AZ$98,ROW(EA59)-ROW(EA$42)+1,FALSE)+EF$23*HLOOKUP($EA$23,'GREET IO'!$A$77:$AZ$98,ROW(EA59)-ROW(EA$42)+1,FALSE)+EF$24*HLOOKUP($EA$24,'GREET IO'!$A$77:$AZ$98,ROW(EA59)-ROW(EA$42)+1,FALSE)+EF$25*HLOOKUP($EA$25,'GREET IO'!$A$77:$AZ$98,ROW(EA59)-ROW(EA$42)+1,FALSE)+EF$26*HLOOKUP($EA$26,'GREET IO'!$A$77:$AZ$98,ROW(EA59)-ROW(EA$42)+1,FALSE)+EF$27*HLOOKUP($EA$27,'GREET IO'!$A$77:$AZ$98,ROW(EA59)-ROW(EA$42)+1,FALSE))/$AI$32</f>
        <v>#DIV/0!</v>
      </c>
      <c r="ED59" s="237" t="e">
        <f>EH$21*'Mat. Conv Par.'!$AC41+EH$22*'Mat. Conv Par.'!$BB39+EH$23*'Mat. Conv Par.'!$CB39+'Mat. Conv Par.'!$F129*SUM(Input!$F$28:$F$32)/$D$8+(EI$21*HLOOKUP($EA$21,'GREET IO'!$A$77:$AZ$98,ROW(EA59)-ROW(EA$42)+1,FALSE)+EI$22*HLOOKUP($EA$22,'GREET IO'!$A$77:$AZ$98,ROW(EA59)-ROW(EA$42)+1,FALSE)+EI$23*HLOOKUP($EA$23,'GREET IO'!$A$77:$AZ$98,ROW(EA59)-ROW(EA$42)+1,FALSE)+EI$24*HLOOKUP($EA$24,'GREET IO'!$A$77:$AZ$98,ROW(EA59)-ROW(EA$42)+1,FALSE)+EI$25*HLOOKUP($EA$25,'GREET IO'!$A$77:$AZ$98,ROW(EA59)-ROW(EA$42)+1,FALSE)+EI$26*HLOOKUP($EA$26,'GREET IO'!$A$77:$AZ$98,ROW(EA59)-ROW(EA$42)+1,FALSE)+EI$27*HLOOKUP($EA$27,'GREET IO'!$A$77:$AZ$98,ROW(EA59)-ROW(EA$42)+1,FALSE))/$AI$32</f>
        <v>#DIV/0!</v>
      </c>
      <c r="EE59" s="873">
        <f>EB$32*$AI$31*('GREET IO'!$B36+'GREET IO'!$B12)+EB$33*$AI$31*IF($D$10=Input!$AD$35, 'Geographic Par.'!$E84, IF($D$10=Input!$AD$36, 'Geographic Par.'!$F84, IF($D$10=Input!$AD$37, 'Geographic Par.'!$H84, IF($D$10=Input!$AD$38,'Geographic Par.'!$G84,'Geographic Par.'!$K84))))</f>
        <v>9.068547287977772</v>
      </c>
      <c r="EF59" s="868"/>
      <c r="EG59" s="237" t="e">
        <f t="shared" si="73"/>
        <v>#DIV/0!</v>
      </c>
      <c r="EH59" s="178" t="e">
        <f t="shared" si="74"/>
        <v>#DIV/0!</v>
      </c>
      <c r="EI59" s="179" t="e">
        <f t="shared" si="65"/>
        <v>#DIV/0!</v>
      </c>
      <c r="FA59" s="147" t="s">
        <v>188</v>
      </c>
      <c r="FB59" s="237" t="e">
        <f>FB$21*'Mat. Conv Par.'!$AB41+'Mat. Conv Par.'!$C129*SUM(Input!$F$28:$F$32)/$D$8+(FC$21*HLOOKUP($FA$21,'GREET IO'!$A$77:$AZ$98,ROW(FA59)-ROW(FA$42)+1,FALSE)+FC$22*HLOOKUP($FA$22,'GREET IO'!$A$77:$AZ$98,ROW(FA59)-ROW(FA$42)+1,FALSE))/$AI$32</f>
        <v>#DIV/0!</v>
      </c>
      <c r="FC59" s="237" t="e">
        <f>FE$21*'Mat. Conv Par.'!$AB41+'Mat. Conv Par.'!$D129*SUM(Input!$F$28:$F$32)/$D$8+(FF$21*HLOOKUP($FA$21,'GREET IO'!$A$77:$AZ$98,ROW(FA59)-ROW(FA$42)+1,FALSE)+FF$22*HLOOKUP($FA$22,'GREET IO'!$A$77:$AZ$98,ROW(FA59)-ROW(FA$42)+1,FALSE))/$AI$32</f>
        <v>#DIV/0!</v>
      </c>
      <c r="FD59" s="237" t="e">
        <f>FH$21*'Mat. Conv Par.'!$AB41+'Mat. Conv Par.'!$F129*SUM(Input!$F$28:$F$32)/$D$8+(FI$21*HLOOKUP($FA$21,'GREET IO'!$A$77:$AZ$98,ROW(FA59)-ROW(FA$42)+1,FALSE)+FI$22*HLOOKUP($FA$22,'GREET IO'!$A$77:$AZ$98,ROW(FA59)-ROW(FA$42)+1,FALSE))/$AI$32</f>
        <v>#DIV/0!</v>
      </c>
      <c r="FE59" s="873">
        <f>FB$32*$AI$31*('GREET IO'!$B36+'GREET IO'!$B12)+FB$33*$AI$31*IF($D$10=Input!$AD$35, 'Geographic Par.'!$E84, IF($D$10=Input!$AD$36, 'Geographic Par.'!$F84, IF($D$10=Input!$AD$37, 'Geographic Par.'!$H84, IF($D$10=Input!$AD$38,'Geographic Par.'!$G84,'Geographic Par.'!$K84))))</f>
        <v>0</v>
      </c>
      <c r="FF59" s="868"/>
      <c r="FG59" s="237" t="e">
        <f t="shared" si="75"/>
        <v>#DIV/0!</v>
      </c>
      <c r="FH59" s="178" t="e">
        <f t="shared" si="76"/>
        <v>#DIV/0!</v>
      </c>
      <c r="FI59" s="179" t="e">
        <f t="shared" si="77"/>
        <v>#DIV/0!</v>
      </c>
    </row>
    <row r="60" spans="2:168">
      <c r="B60" s="147" t="s">
        <v>400</v>
      </c>
      <c r="C60" s="632">
        <f t="shared" si="78"/>
        <v>0.13166</v>
      </c>
      <c r="D60" s="275">
        <v>0.13166</v>
      </c>
      <c r="E60" s="901">
        <f>IF(ISBLANK(Materials!D68),0,Materials!D68)</f>
        <v>0</v>
      </c>
      <c r="AA60" s="147" t="s">
        <v>189</v>
      </c>
      <c r="AB60" s="237" t="e">
        <f>AB$21*'Mat. Conv Par.'!$AC42+AB$22*'Mat. Conv Par.'!$BB40+'Mat. Conv Par.'!$C130*SUM(Input!$F$28:$F$32)/$D$8+(AC$21*HLOOKUP($AA$21,'GREET IO'!$A$77:$AZ$98,ROW(AA60)-ROW(AA$42)+1,FALSE)+AC$22*HLOOKUP($AA$22,'GREET IO'!$A$77:$AZ$98,ROW(AA60)-ROW(AA$42)+1,FALSE)+AC$23*HLOOKUP($AA$23,'GREET IO'!$A$77:$AZ$98,ROW(AA60)-ROW(AA$42)+1,FALSE)+AC$24*HLOOKUP($AA$24,'GREET IO'!$A$77:$AZ$98,ROW(AA60)-ROW(AA$42)+1,FALSE)+AC$25*HLOOKUP($AA$25,'GREET IO'!$A$77:$AZ$98,ROW(AA60)-ROW(AA$42)+1,FALSE)+AC$26*HLOOKUP($AA$26,'GREET IO'!$A$77:$AZ$98,ROW(AA60)-ROW(AA$42)+1,FALSE)+AC$27*HLOOKUP($AA$27,'GREET IO'!$A$77:$AZ$98,ROW(AA60)-ROW(AA$42)+1,FALSE))/$AI$32</f>
        <v>#DIV/0!</v>
      </c>
      <c r="AC60" s="237" t="e">
        <f>AE$21*'Mat. Conv Par.'!$AC42+AE$22*'Mat. Conv Par.'!$BB40+'Mat. Conv Par.'!$D130*SUM(Input!$F$28:$F$32)/$D$8+(AF$21*HLOOKUP($AA$21,'GREET IO'!$A$77:$AZ$98,ROW(AA60)-ROW(AA$42)+1,FALSE)+AF$22*HLOOKUP($AA$22,'GREET IO'!$A$77:$AZ$98,ROW(AA60)-ROW(AA$42)+1,FALSE)+AF$23*HLOOKUP($AA$23,'GREET IO'!$A$77:$AZ$98,ROW(AA60)-ROW(AA$42)+1,FALSE)+AF$24*HLOOKUP($AA$24,'GREET IO'!$A$77:$AZ$98,ROW(AA60)-ROW(AA$42)+1,FALSE)+AF$25*HLOOKUP($AA$25,'GREET IO'!$A$77:$AZ$98,ROW(AA60)-ROW(AA$42)+1,FALSE)+AF$26*HLOOKUP($AA$26,'GREET IO'!$A$77:$AZ$98,ROW(AA60)-ROW(AA$42)+1,FALSE)+AF$27*HLOOKUP($AA$27,'GREET IO'!$A$77:$AZ$98,ROW(AA60)-ROW(AA$42)+1,FALSE))/$AI$32</f>
        <v>#DIV/0!</v>
      </c>
      <c r="AD60" s="868" t="e">
        <f>AH$21*'Mat. Conv Par.'!$AC42+AH$22*'Mat. Conv Par.'!$BB40+'Mat. Conv Par.'!$F130*SUM(Input!$F$28:$F$32)/$D$8+(AI$21*HLOOKUP($AA$21,'GREET IO'!$A$77:$AZ$98,ROW(AA60)-ROW(AA$42)+1,FALSE)+AI$22*HLOOKUP($AA$22,'GREET IO'!$A$77:$AZ$98,ROW(AA60)-ROW(AA$42)+1,FALSE)+AI$23*HLOOKUP($AA$23,'GREET IO'!$A$77:$AZ$98,ROW(AA60)-ROW(AA$42)+1,FALSE)+AI$24*HLOOKUP($AA$24,'GREET IO'!$A$77:$AZ$98,ROW(AA60)-ROW(AA$42)+1,FALSE)+AI$25*HLOOKUP($AA$25,'GREET IO'!$A$77:$AZ$98,ROW(AA60)-ROW(AA$42)+1,FALSE)+AI$26*HLOOKUP($AA$26,'GREET IO'!$A$77:$AZ$98,ROW(AA60)-ROW(AA$42)+1,FALSE)+AI$27*HLOOKUP($AA$27,'GREET IO'!$A$77:$AZ$98,ROW(AA60)-ROW(AA$42)+1,FALSE))/$AI$32</f>
        <v>#DIV/0!</v>
      </c>
      <c r="AE60" s="873">
        <f>AB$32*$AI$31*('GREET IO'!$B37+'GREET IO'!$B13)+AB$33*$AI$31*IF($D$10=Input!$AD$35, 'Geographic Par.'!$E85, IF($D$10=Input!$AD$36, 'Geographic Par.'!$F85, IF($D$10=Input!$AD$37, 'Geographic Par.'!$H85, IF($D$10=Input!$AD$38,'Geographic Par.'!$G85,'Geographic Par.'!$K85))))</f>
        <v>8.7571998761430778E-2</v>
      </c>
      <c r="AF60" s="868"/>
      <c r="AG60" s="237" t="e">
        <f t="shared" si="60"/>
        <v>#DIV/0!</v>
      </c>
      <c r="AH60" s="178" t="e">
        <f t="shared" si="61"/>
        <v>#DIV/0!</v>
      </c>
      <c r="AI60" s="179" t="e">
        <f t="shared" si="62"/>
        <v>#DIV/0!</v>
      </c>
      <c r="BA60" s="147" t="s">
        <v>189</v>
      </c>
      <c r="BB60" s="237" t="e">
        <f>BB$21*'Mat. Conv Par.'!$AC42+BB$22*'Mat. Conv Par.'!$BB40+'Mat. Conv Par.'!$C130*SUM(Input!$F$28:$F$32)/$D$8+(BC$21*HLOOKUP($AA$21,'GREET IO'!$A$77:$AZ$98,ROW(BA60)-ROW(BA$42)+1,FALSE)+BC$22*HLOOKUP($AA$22,'GREET IO'!$A$77:$AZ$98,ROW(BA60)-ROW(BA$42)+1,FALSE)+BC$23*HLOOKUP($AA$23,'GREET IO'!$A$77:$AZ$98,ROW(BA60)-ROW(BA$42)+1,FALSE)+BC$24*HLOOKUP($AA$24,'GREET IO'!$A$77:$AZ$98,ROW(BA60)-ROW(BA$42)+1,FALSE)+BC$25*HLOOKUP($AA$25,'GREET IO'!$A$77:$AZ$98,ROW(BA60)-ROW(BA$42)+1,FALSE)+BC$26*HLOOKUP($AA$26,'GREET IO'!$A$77:$AZ$98,ROW(BA60)-ROW(BA$42)+1,FALSE)+BC$27*HLOOKUP($AA$27,'GREET IO'!$A$77:$AZ$98,ROW(BA60)-ROW(BA$42)+1,FALSE))/$AI$32</f>
        <v>#DIV/0!</v>
      </c>
      <c r="BC60" s="237" t="e">
        <f>BE$21*'Mat. Conv Par.'!$AC42+BE$22*'Mat. Conv Par.'!$BB40+'Mat. Conv Par.'!$D130*SUM(Input!$F$28:$F$32)/$D$8+(BF$21*HLOOKUP($AA$21,'GREET IO'!$A$77:$AZ$98,ROW(BA60)-ROW(BA$42)+1,FALSE)+BF$22*HLOOKUP($AA$22,'GREET IO'!$A$77:$AZ$98,ROW(BA60)-ROW(BA$42)+1,FALSE)+BF$23*HLOOKUP($AA$23,'GREET IO'!$A$77:$AZ$98,ROW(BA60)-ROW(BA$42)+1,FALSE)+BF$24*HLOOKUP($AA$24,'GREET IO'!$A$77:$AZ$98,ROW(BA60)-ROW(BA$42)+1,FALSE)+BF$25*HLOOKUP($AA$25,'GREET IO'!$A$77:$AZ$98,ROW(BA60)-ROW(BA$42)+1,FALSE)+BF$26*HLOOKUP($AA$26,'GREET IO'!$A$77:$AZ$98,ROW(BA60)-ROW(BA$42)+1,FALSE)+BF$27*HLOOKUP($AA$27,'GREET IO'!$A$77:$AZ$98,ROW(BA60)-ROW(BA$42)+1,FALSE))/$AI$32</f>
        <v>#DIV/0!</v>
      </c>
      <c r="BD60" s="868" t="e">
        <f>BH$21*'Mat. Conv Par.'!$AC42+BH$22*'Mat. Conv Par.'!$BB40+'Mat. Conv Par.'!$F130*SUM(Input!$F$28:$F$32)/$D$8+(BI$21*HLOOKUP($AA$21,'GREET IO'!$A$77:$AZ$98,ROW(BA60)-ROW(BA$42)+1,FALSE)+BI$22*HLOOKUP($AA$22,'GREET IO'!$A$77:$AZ$98,ROW(BA60)-ROW(BA$42)+1,FALSE)+BI$23*HLOOKUP($AA$23,'GREET IO'!$A$77:$AZ$98,ROW(BA60)-ROW(BA$42)+1,FALSE)+BI$24*HLOOKUP($AA$24,'GREET IO'!$A$77:$AZ$98,ROW(BA60)-ROW(BA$42)+1,FALSE)+BI$25*HLOOKUP($AA$25,'GREET IO'!$A$77:$AZ$98,ROW(BA60)-ROW(BA$42)+1,FALSE)+BI$26*HLOOKUP($AA$26,'GREET IO'!$A$77:$AZ$98,ROW(BA60)-ROW(BA$42)+1,FALSE)+BI$27*HLOOKUP($AA$27,'GREET IO'!$A$77:$AZ$98,ROW(BA60)-ROW(BA$42)+1,FALSE))/$AI$32</f>
        <v>#DIV/0!</v>
      </c>
      <c r="BE60" s="873">
        <f>BB$32*$AI$31*('GREET IO'!$B37+'GREET IO'!$B13)+BB$33*$AI$31*IF($D$10=Input!$AD$35, 'Geographic Par.'!$E85, IF($D$10=Input!$AD$36, 'Geographic Par.'!$F85, IF($D$10=Input!$AD$37, 'Geographic Par.'!$H85, IF($D$10=Input!$AD$38,'Geographic Par.'!$G85,'Geographic Par.'!$K85))))</f>
        <v>8.7576532292884104E-2</v>
      </c>
      <c r="BF60" s="868"/>
      <c r="BG60" s="237" t="e">
        <f t="shared" si="66"/>
        <v>#DIV/0!</v>
      </c>
      <c r="BH60" s="178" t="e">
        <f t="shared" si="67"/>
        <v>#DIV/0!</v>
      </c>
      <c r="BI60" s="179" t="e">
        <f t="shared" si="68"/>
        <v>#DIV/0!</v>
      </c>
      <c r="CA60" s="147" t="s">
        <v>189</v>
      </c>
      <c r="CB60" s="237" t="e">
        <f>CB$21*'Mat. Conv Par.'!$AC42+CB$22*'Mat. Conv Par.'!$BB40+'Mat. Conv Par.'!$C130*SUM(Input!$F$28:$F$32)/$D$8+(CC$21*HLOOKUP($AA$21,'GREET IO'!$A$77:$AZ$98,ROW(CA60)-ROW(CA$42)+1,FALSE)+CC$22*HLOOKUP($AA$22,'GREET IO'!$A$77:$AZ$98,ROW(CA60)-ROW(CA$42)+1,FALSE)+CC$23*HLOOKUP($AA$23,'GREET IO'!$A$77:$AZ$98,ROW(CA60)-ROW(CA$42)+1,FALSE)+CC$24*HLOOKUP($AA$24,'GREET IO'!$A$77:$AZ$98,ROW(CA60)-ROW(CA$42)+1,FALSE)+CC$25*HLOOKUP($AA$25,'GREET IO'!$A$77:$AZ$98,ROW(CA60)-ROW(CA$42)+1,FALSE)+CC$26*HLOOKUP($AA$26,'GREET IO'!$A$77:$AZ$98,ROW(CA60)-ROW(CA$42)+1,FALSE)+CC$27*HLOOKUP($AA$27,'GREET IO'!$A$77:$AZ$98,ROW(CA60)-ROW(CA$42)+1,FALSE))/$AI$32</f>
        <v>#DIV/0!</v>
      </c>
      <c r="CC60" s="237" t="e">
        <f>CE$21*'Mat. Conv Par.'!$AC42+CE$22*'Mat. Conv Par.'!$BB40+'Mat. Conv Par.'!$D130*SUM(Input!$F$28:$F$32)/$D$8+(CF$21*HLOOKUP($AA$21,'GREET IO'!$A$77:$AZ$98,ROW(CA60)-ROW(CA$42)+1,FALSE)+CF$22*HLOOKUP($AA$22,'GREET IO'!$A$77:$AZ$98,ROW(CA60)-ROW(CA$42)+1,FALSE)+CF$23*HLOOKUP($AA$23,'GREET IO'!$A$77:$AZ$98,ROW(CA60)-ROW(CA$42)+1,FALSE)+CF$24*HLOOKUP($AA$24,'GREET IO'!$A$77:$AZ$98,ROW(CA60)-ROW(CA$42)+1,FALSE)+CF$25*HLOOKUP($AA$25,'GREET IO'!$A$77:$AZ$98,ROW(CA60)-ROW(CA$42)+1,FALSE)+CF$26*HLOOKUP($AA$26,'GREET IO'!$A$77:$AZ$98,ROW(CA60)-ROW(CA$42)+1,FALSE)+CF$27*HLOOKUP($AA$27,'GREET IO'!$A$77:$AZ$98,ROW(CA60)-ROW(CA$42)+1,FALSE))/$AI$32</f>
        <v>#DIV/0!</v>
      </c>
      <c r="CD60" s="868" t="e">
        <f>CH$21*'Mat. Conv Par.'!$AC42+CH$22*'Mat. Conv Par.'!$BB40+'Mat. Conv Par.'!$F130*SUM(Input!$F$28:$F$32)/$D$8+(CI$21*HLOOKUP($AA$21,'GREET IO'!$A$77:$AZ$98,ROW(CA60)-ROW(CA$42)+1,FALSE)+CI$22*HLOOKUP($AA$22,'GREET IO'!$A$77:$AZ$98,ROW(CA60)-ROW(CA$42)+1,FALSE)+CI$23*HLOOKUP($AA$23,'GREET IO'!$A$77:$AZ$98,ROW(CA60)-ROW(CA$42)+1,FALSE)+CI$24*HLOOKUP($AA$24,'GREET IO'!$A$77:$AZ$98,ROW(CA60)-ROW(CA$42)+1,FALSE)+CI$25*HLOOKUP($AA$25,'GREET IO'!$A$77:$AZ$98,ROW(CA60)-ROW(CA$42)+1,FALSE)+CI$26*HLOOKUP($AA$26,'GREET IO'!$A$77:$AZ$98,ROW(CA60)-ROW(CA$42)+1,FALSE)+CI$27*HLOOKUP($AA$27,'GREET IO'!$A$77:$AZ$98,ROW(CA60)-ROW(CA$42)+1,FALSE))/$AI$32</f>
        <v>#DIV/0!</v>
      </c>
      <c r="CE60" s="873">
        <f>CB$32*$AI$31*('GREET IO'!$B37+'GREET IO'!$B13)+CB$33*$AI$31*IF($D$10=Input!$AD$35, 'Geographic Par.'!$E85, IF($D$10=Input!$AD$36, 'Geographic Par.'!$F85, IF($D$10=Input!$AD$37, 'Geographic Par.'!$H85, IF($D$10=Input!$AD$38,'Geographic Par.'!$G85,'Geographic Par.'!$K85))))</f>
        <v>8.7594724398064414E-2</v>
      </c>
      <c r="CF60" s="868"/>
      <c r="CG60" s="237" t="e">
        <f t="shared" si="69"/>
        <v>#DIV/0!</v>
      </c>
      <c r="CH60" s="178" t="e">
        <f t="shared" si="70"/>
        <v>#DIV/0!</v>
      </c>
      <c r="CI60" s="179" t="e">
        <f t="shared" si="63"/>
        <v>#DIV/0!</v>
      </c>
      <c r="DA60" s="147" t="s">
        <v>189</v>
      </c>
      <c r="DB60" s="237" t="e">
        <f>DB$21*'Mat. Conv Par.'!$AC42+DB$22*'Mat. Conv Par.'!$BB40+'Mat. Conv Par.'!$C130*SUM(Input!$F$28:$F$32)/$D$8+(DC$21*HLOOKUP($DA$21,'GREET IO'!$A$77:$AZ$98,ROW(DA60)-ROW(DA$42)+1,FALSE)+DC$22*HLOOKUP($DA$22,'GREET IO'!$A$77:$AZ$98,ROW(DA60)-ROW(DA$42)+1,FALSE)+DC$23*HLOOKUP($DA$23,'GREET IO'!$A$77:$AZ$98,ROW(DA60)-ROW(DA$42)+1,FALSE)+DC$24*HLOOKUP($DA$24,'GREET IO'!$A$77:$AZ$98,ROW(DA60)-ROW(DA$42)+1,FALSE)+DC$25*HLOOKUP($DA$25,'GREET IO'!$A$77:$AZ$98,ROW(DA60)-ROW(DA$42)+1,FALSE)+DC$26*HLOOKUP($DA$26,'GREET IO'!$A$77:$AZ$98,ROW(DA60)-ROW(DA$42)+1,FALSE)+DC$27*HLOOKUP($DA$27,'GREET IO'!$A$77:$AZ$98,ROW(DA60)-ROW(DA$42)+1,FALSE))/$AI$32</f>
        <v>#DIV/0!</v>
      </c>
      <c r="DC60" s="1205" t="e">
        <f>DE$21*'Mat. Conv Par.'!$AC42+DE$22*'Mat. Conv Par.'!$BB40+DE$23*'Mat. Conv Par.'!$CB40+'Mat. Conv Par.'!$D130*SUM(Input!$F$28:$F$32)/$D$8+(DF$21*HLOOKUP($DA$21,'GREET IO'!$A$77:$AZ$98,ROW(DA60)-ROW(DA$42)+1,FALSE)+DF$22*HLOOKUP($DA$22,'GREET IO'!$A$77:$AZ$98,ROW(DA60)-ROW(DA$42)+1,FALSE)+DF$23*HLOOKUP($DA$23,'GREET IO'!$A$77:$AZ$98,ROW(DA60)-ROW(DA$42)+1,FALSE)+DF$24*HLOOKUP($DA$24,'GREET IO'!$A$77:$AZ$98,ROW(DA60)-ROW(DA$42)+1,FALSE)+DF$25*HLOOKUP($DA$25,'GREET IO'!$A$77:$AZ$98,ROW(DA60)-ROW(DA$42)+1,FALSE)+DF$26*HLOOKUP($DA$26,'GREET IO'!$A$77:$AZ$98,ROW(DA60)-ROW(DA$42)+1,FALSE)+DF$27*HLOOKUP($DA$27,'GREET IO'!$A$77:$AZ$98,ROW(DA60)-ROW(DA$42)+1,FALSE))/$AI$32</f>
        <v>#DIV/0!</v>
      </c>
      <c r="DD60" s="1205" t="e">
        <f>DH$21*'Mat. Conv Par.'!$AC42+DH$22*'Mat. Conv Par.'!$BB40+DH$23*'Mat. Conv Par.'!$CB40+'Mat. Conv Par.'!$F130*SUM(Input!$F$28:$F$32)/$D$8+(DI$21*HLOOKUP($DA$21,'GREET IO'!$A$77:$AZ$98,ROW(DA60)-ROW(DA$42)+1,FALSE)+DI$22*HLOOKUP($DA$22,'GREET IO'!$A$77:$AZ$98,ROW(DA60)-ROW(DA$42)+1,FALSE)+DI$23*HLOOKUP($DA$23,'GREET IO'!$A$77:$AZ$98,ROW(DA60)-ROW(DA$42)+1,FALSE)+DI$24*HLOOKUP($DA$24,'GREET IO'!$A$77:$AZ$98,ROW(DA60)-ROW(DA$42)+1,FALSE)+DI$25*HLOOKUP($DA$25,'GREET IO'!$A$77:$AZ$98,ROW(DA60)-ROW(DA$42)+1,FALSE)+DI$26*HLOOKUP($DA$26,'GREET IO'!$A$77:$AZ$98,ROW(DA60)-ROW(DA$42)+1,FALSE)+DI$27*HLOOKUP($DA$27,'GREET IO'!$A$77:$AZ$98,ROW(DA60)-ROW(DA$42)+1,FALSE))/$AI$32</f>
        <v>#DIV/0!</v>
      </c>
      <c r="DE60" s="873">
        <f>DB$32*$AI$31*('GREET IO'!$B37+'GREET IO'!$B13)+DB$33*$AI$31*IF($D$10=Input!$AD$35, 'Geographic Par.'!$E85, IF($D$10=Input!$AD$36, 'Geographic Par.'!$F85, IF($D$10=Input!$AD$37, 'Geographic Par.'!$H85, IF($D$10=Input!$AD$38,'Geographic Par.'!$G85,'Geographic Par.'!$K85))))</f>
        <v>8.7568139593729319E-2</v>
      </c>
      <c r="DF60" s="868"/>
      <c r="DG60" s="237" t="e">
        <f t="shared" si="71"/>
        <v>#DIV/0!</v>
      </c>
      <c r="DH60" s="178" t="e">
        <f t="shared" si="72"/>
        <v>#DIV/0!</v>
      </c>
      <c r="DI60" s="179" t="e">
        <f t="shared" si="64"/>
        <v>#DIV/0!</v>
      </c>
      <c r="EA60" s="147" t="s">
        <v>189</v>
      </c>
      <c r="EB60" s="237" t="e">
        <f>EB$21*'Mat. Conv Par.'!$AC42+EB$22*'Mat. Conv Par.'!$BB40+EB$23*'Mat. Conv Par.'!$CB40+'Mat. Conv Par.'!$C130*SUM(Input!$F$28:$F$32)/$D$8+(EC$21*HLOOKUP($EA$21,'GREET IO'!$A$77:$AZ$98,ROW(EA60)-ROW(EA$42)+1,FALSE)+EC$22*HLOOKUP($EA$22,'GREET IO'!$A$77:$AZ$98,ROW(EA60)-ROW(EA$42)+1,FALSE)+EC$23*HLOOKUP($EA$23,'GREET IO'!$A$77:$AZ$98,ROW(EA60)-ROW(EA$42)+1,FALSE)+EC$24*HLOOKUP($EA$24,'GREET IO'!$A$77:$AZ$98,ROW(EA60)-ROW(EA$42)+1,FALSE)+EC$25*HLOOKUP($EA$25,'GREET IO'!$A$77:$AZ$98,ROW(EA60)-ROW(EA$42)+1,FALSE)+EC$26*HLOOKUP($EA$26,'GREET IO'!$A$77:$AZ$98,ROW(EA60)-ROW(EA$42)+1,FALSE)+EC$27*HLOOKUP($EA$27,'GREET IO'!$A$77:$AZ$98,ROW(EA60)-ROW(EA$42)+1,FALSE))/$AI$32</f>
        <v>#DIV/0!</v>
      </c>
      <c r="EC60" s="237" t="e">
        <f>EE$21*'Mat. Conv Par.'!$AC42+EE$22*'Mat. Conv Par.'!$BB40+EE$23*'Mat. Conv Par.'!$CB40+'Mat. Conv Par.'!$D130*SUM(Input!$F$28:$F$32)/$D$8+(EF$21*HLOOKUP($EA$21,'GREET IO'!$A$77:$AZ$98,ROW(EA60)-ROW(EA$42)+1,FALSE)+EF$22*HLOOKUP($EA$22,'GREET IO'!$A$77:$AZ$98,ROW(EA60)-ROW(EA$42)+1,FALSE)+EF$23*HLOOKUP($EA$23,'GREET IO'!$A$77:$AZ$98,ROW(EA60)-ROW(EA$42)+1,FALSE)+EF$24*HLOOKUP($EA$24,'GREET IO'!$A$77:$AZ$98,ROW(EA60)-ROW(EA$42)+1,FALSE)+EF$25*HLOOKUP($EA$25,'GREET IO'!$A$77:$AZ$98,ROW(EA60)-ROW(EA$42)+1,FALSE)+EF$26*HLOOKUP($EA$26,'GREET IO'!$A$77:$AZ$98,ROW(EA60)-ROW(EA$42)+1,FALSE)+EF$27*HLOOKUP($EA$27,'GREET IO'!$A$77:$AZ$98,ROW(EA60)-ROW(EA$42)+1,FALSE))/$AI$32</f>
        <v>#DIV/0!</v>
      </c>
      <c r="ED60" s="237" t="e">
        <f>EH$21*'Mat. Conv Par.'!$AC42+EH$22*'Mat. Conv Par.'!$BB40+EH$23*'Mat. Conv Par.'!$CB40+'Mat. Conv Par.'!$F130*SUM(Input!$F$28:$F$32)/$D$8+(EI$21*HLOOKUP($EA$21,'GREET IO'!$A$77:$AZ$98,ROW(EA60)-ROW(EA$42)+1,FALSE)+EI$22*HLOOKUP($EA$22,'GREET IO'!$A$77:$AZ$98,ROW(EA60)-ROW(EA$42)+1,FALSE)+EI$23*HLOOKUP($EA$23,'GREET IO'!$A$77:$AZ$98,ROW(EA60)-ROW(EA$42)+1,FALSE)+EI$24*HLOOKUP($EA$24,'GREET IO'!$A$77:$AZ$98,ROW(EA60)-ROW(EA$42)+1,FALSE)+EI$25*HLOOKUP($EA$25,'GREET IO'!$A$77:$AZ$98,ROW(EA60)-ROW(EA$42)+1,FALSE)+EI$26*HLOOKUP($EA$26,'GREET IO'!$A$77:$AZ$98,ROW(EA60)-ROW(EA$42)+1,FALSE)+EI$27*HLOOKUP($EA$27,'GREET IO'!$A$77:$AZ$98,ROW(EA60)-ROW(EA$42)+1,FALSE))/$AI$32</f>
        <v>#DIV/0!</v>
      </c>
      <c r="EE60" s="873">
        <f>EB$32*$AI$31*('GREET IO'!$B37+'GREET IO'!$B13)+EB$33*$AI$31*IF($D$10=Input!$AD$35, 'Geographic Par.'!$E85, IF($D$10=Input!$AD$36, 'Geographic Par.'!$F85, IF($D$10=Input!$AD$37, 'Geographic Par.'!$H85, IF($D$10=Input!$AD$38,'Geographic Par.'!$G85,'Geographic Par.'!$K85))))</f>
        <v>8.7664794084566608E-2</v>
      </c>
      <c r="EF60" s="868"/>
      <c r="EG60" s="237" t="e">
        <f t="shared" si="73"/>
        <v>#DIV/0!</v>
      </c>
      <c r="EH60" s="178" t="e">
        <f t="shared" si="74"/>
        <v>#DIV/0!</v>
      </c>
      <c r="EI60" s="179" t="e">
        <f t="shared" si="65"/>
        <v>#DIV/0!</v>
      </c>
      <c r="FA60" s="147" t="s">
        <v>189</v>
      </c>
      <c r="FB60" s="237" t="e">
        <f>FB$21*'Mat. Conv Par.'!$AB42+'Mat. Conv Par.'!$C130*SUM(Input!$F$28:$F$32)/$D$8+(FC$21*HLOOKUP($FA$21,'GREET IO'!$A$77:$AZ$98,ROW(FA60)-ROW(FA$42)+1,FALSE)+FC$22*HLOOKUP($FA$22,'GREET IO'!$A$77:$AZ$98,ROW(FA60)-ROW(FA$42)+1,FALSE))/$AI$32</f>
        <v>#DIV/0!</v>
      </c>
      <c r="FC60" s="237" t="e">
        <f>FE$21*'Mat. Conv Par.'!$AB42+'Mat. Conv Par.'!$D130*SUM(Input!$F$28:$F$32)/$D$8+(FF$21*HLOOKUP($FA$21,'GREET IO'!$A$77:$AZ$98,ROW(FA60)-ROW(FA$42)+1,FALSE)+FF$22*HLOOKUP($FA$22,'GREET IO'!$A$77:$AZ$98,ROW(FA60)-ROW(FA$42)+1,FALSE))/$AI$32</f>
        <v>#DIV/0!</v>
      </c>
      <c r="FD60" s="237" t="e">
        <f>FH$21*'Mat. Conv Par.'!$AB42+'Mat. Conv Par.'!$F130*SUM(Input!$F$28:$F$32)/$D$8+(FI$21*HLOOKUP($FA$21,'GREET IO'!$A$77:$AZ$98,ROW(FA60)-ROW(FA$42)+1,FALSE)+FI$22*HLOOKUP($FA$22,'GREET IO'!$A$77:$AZ$98,ROW(FA60)-ROW(FA$42)+1,FALSE))/$AI$32</f>
        <v>#DIV/0!</v>
      </c>
      <c r="FE60" s="873">
        <f>FB$32*$AI$31*('GREET IO'!$B37+'GREET IO'!$B13)+FB$33*$AI$31*IF($D$10=Input!$AD$35, 'Geographic Par.'!$E85, IF($D$10=Input!$AD$36, 'Geographic Par.'!$F85, IF($D$10=Input!$AD$37, 'Geographic Par.'!$H85, IF($D$10=Input!$AD$38,'Geographic Par.'!$G85,'Geographic Par.'!$K85))))</f>
        <v>0</v>
      </c>
      <c r="FF60" s="868"/>
      <c r="FG60" s="237" t="e">
        <f t="shared" si="75"/>
        <v>#DIV/0!</v>
      </c>
      <c r="FH60" s="178" t="e">
        <f t="shared" si="76"/>
        <v>#DIV/0!</v>
      </c>
      <c r="FI60" s="179" t="e">
        <f t="shared" si="77"/>
        <v>#DIV/0!</v>
      </c>
    </row>
    <row r="61" spans="2:168">
      <c r="B61" s="147" t="s">
        <v>38</v>
      </c>
      <c r="C61" s="632">
        <f t="shared" si="78"/>
        <v>0.13166</v>
      </c>
      <c r="D61" s="275">
        <f>D60</f>
        <v>0.13166</v>
      </c>
      <c r="E61" s="901">
        <f>IF(ISBLANK(Materials!D69),0,Materials!D69)</f>
        <v>0</v>
      </c>
      <c r="AA61" s="147" t="s">
        <v>190</v>
      </c>
      <c r="AB61" s="562" t="e">
        <f>AB$21*'Mat. Conv Par.'!$AC43+AB$22*'Mat. Conv Par.'!$BB41+'Mat. Conv Par.'!$C131*SUM(Input!$F$28:$F$32)/$D$8+(AC$21*HLOOKUP($AA$21,'GREET IO'!$A$77:$AZ$98,ROW(AA61)-ROW(AA$42)+1,FALSE)+AC$22*HLOOKUP($AA$22,'GREET IO'!$A$77:$AZ$98,ROW(AA61)-ROW(AA$42)+1,FALSE)+AC$23*HLOOKUP($AA$23,'GREET IO'!$A$77:$AZ$98,ROW(AA61)-ROW(AA$42)+1,FALSE)+AC$24*HLOOKUP($AA$24,'GREET IO'!$A$77:$AZ$98,ROW(AA61)-ROW(AA$42)+1,FALSE)+AC$25*HLOOKUP($AA$25,'GREET IO'!$A$77:$AZ$98,ROW(AA61)-ROW(AA$42)+1,FALSE)+AC$26*HLOOKUP($AA$26,'GREET IO'!$A$77:$AZ$98,ROW(AA61)-ROW(AA$42)+1,FALSE)+AC$27*HLOOKUP($AA$27,'GREET IO'!$A$77:$AZ$98,ROW(AA61)-ROW(AA$42)+1,FALSE))/$AI$32</f>
        <v>#DIV/0!</v>
      </c>
      <c r="AC61" s="562" t="e">
        <f>AE$21*'Mat. Conv Par.'!$AC43+AE$22*'Mat. Conv Par.'!$BB41+'Mat. Conv Par.'!$D131*SUM(Input!$F$28:$F$32)/$D$8+(AF$21*HLOOKUP($AA$21,'GREET IO'!$A$77:$AZ$98,ROW(AA61)-ROW(AA$42)+1,FALSE)+AF$22*HLOOKUP($AA$22,'GREET IO'!$A$77:$AZ$98,ROW(AA61)-ROW(AA$42)+1,FALSE)+AF$23*HLOOKUP($AA$23,'GREET IO'!$A$77:$AZ$98,ROW(AA61)-ROW(AA$42)+1,FALSE)+AF$24*HLOOKUP($AA$24,'GREET IO'!$A$77:$AZ$98,ROW(AA61)-ROW(AA$42)+1,FALSE)+AF$25*HLOOKUP($AA$25,'GREET IO'!$A$77:$AZ$98,ROW(AA61)-ROW(AA$42)+1,FALSE)+AF$26*HLOOKUP($AA$26,'GREET IO'!$A$77:$AZ$98,ROW(AA61)-ROW(AA$42)+1,FALSE)+AF$27*HLOOKUP($AA$27,'GREET IO'!$A$77:$AZ$98,ROW(AA61)-ROW(AA$42)+1,FALSE))/$AI$32</f>
        <v>#DIV/0!</v>
      </c>
      <c r="AD61" s="874" t="e">
        <f>AH$21*'Mat. Conv Par.'!$AC43+AH$22*'Mat. Conv Par.'!$BB41+'Mat. Conv Par.'!$F131*SUM(Input!$F$28:$F$32)/$D$8+(AI$21*HLOOKUP($AA$21,'GREET IO'!$A$77:$AZ$98,ROW(AA61)-ROW(AA$42)+1,FALSE)+AI$22*HLOOKUP($AA$22,'GREET IO'!$A$77:$AZ$98,ROW(AA61)-ROW(AA$42)+1,FALSE)+AI$23*HLOOKUP($AA$23,'GREET IO'!$A$77:$AZ$98,ROW(AA61)-ROW(AA$42)+1,FALSE)+AI$24*HLOOKUP($AA$24,'GREET IO'!$A$77:$AZ$98,ROW(AA61)-ROW(AA$42)+1,FALSE)+AI$25*HLOOKUP($AA$25,'GREET IO'!$A$77:$AZ$98,ROW(AA61)-ROW(AA$42)+1,FALSE)+AI$26*HLOOKUP($AA$26,'GREET IO'!$A$77:$AZ$98,ROW(AA61)-ROW(AA$42)+1,FALSE)+AI$27*HLOOKUP($AA$27,'GREET IO'!$A$77:$AZ$98,ROW(AA61)-ROW(AA$42)+1,FALSE))/$AI$32</f>
        <v>#DIV/0!</v>
      </c>
      <c r="AE61" s="874">
        <f>AB$32*$AI$31*('GREET IO'!$B38+'GREET IO'!$B14)+AB$33*$AI$31*IF($D$10=Input!$AD$35, 'Geographic Par.'!$E86, IF($D$10=Input!$AD$36, 'Geographic Par.'!$F86, IF($D$10=Input!$AD$37, 'Geographic Par.'!$H86, IF($D$10=Input!$AD$38,'Geographic Par.'!$G86,'Geographic Par.'!$K86))))</f>
        <v>2665.3641069308378</v>
      </c>
      <c r="AF61" s="874">
        <f>AB11/AK62*AL62*1000+AB13/AK64*AL64*1000</f>
        <v>227.7347843385578</v>
      </c>
      <c r="AG61" s="562" t="e">
        <f t="shared" si="60"/>
        <v>#DIV/0!</v>
      </c>
      <c r="AH61" s="185" t="e">
        <f t="shared" si="61"/>
        <v>#DIV/0!</v>
      </c>
      <c r="AI61" s="338" t="e">
        <f t="shared" si="62"/>
        <v>#DIV/0!</v>
      </c>
      <c r="AK61" s="56" t="s">
        <v>371</v>
      </c>
      <c r="AL61" s="56" t="s">
        <v>17</v>
      </c>
      <c r="BA61" s="147" t="s">
        <v>190</v>
      </c>
      <c r="BB61" s="562" t="e">
        <f>BB$21*'Mat. Conv Par.'!$AC43+BB$22*'Mat. Conv Par.'!$BB41+'Mat. Conv Par.'!$C131*SUM(Input!$F$28:$F$32)/$D$8+(BC$21*HLOOKUP($AA$21,'GREET IO'!$A$77:$AZ$98,ROW(BA61)-ROW(BA$42)+1,FALSE)+BC$22*HLOOKUP($AA$22,'GREET IO'!$A$77:$AZ$98,ROW(BA61)-ROW(BA$42)+1,FALSE)+BC$23*HLOOKUP($AA$23,'GREET IO'!$A$77:$AZ$98,ROW(BA61)-ROW(BA$42)+1,FALSE)+BC$24*HLOOKUP($AA$24,'GREET IO'!$A$77:$AZ$98,ROW(BA61)-ROW(BA$42)+1,FALSE)+BC$25*HLOOKUP($AA$25,'GREET IO'!$A$77:$AZ$98,ROW(BA61)-ROW(BA$42)+1,FALSE)+BC$26*HLOOKUP($AA$26,'GREET IO'!$A$77:$AZ$98,ROW(BA61)-ROW(BA$42)+1,FALSE)+BC$27*HLOOKUP($AA$27,'GREET IO'!$A$77:$AZ$98,ROW(BA61)-ROW(BA$42)+1,FALSE))/$AI$32</f>
        <v>#DIV/0!</v>
      </c>
      <c r="BC61" s="562" t="e">
        <f>BE$21*'Mat. Conv Par.'!$AC43+BE$22*'Mat. Conv Par.'!$BB41+'Mat. Conv Par.'!$D131*SUM(Input!$F$28:$F$32)/$D$8+(BF$21*HLOOKUP($AA$21,'GREET IO'!$A$77:$AZ$98,ROW(BA61)-ROW(BA$42)+1,FALSE)+BF$22*HLOOKUP($AA$22,'GREET IO'!$A$77:$AZ$98,ROW(BA61)-ROW(BA$42)+1,FALSE)+BF$23*HLOOKUP($AA$23,'GREET IO'!$A$77:$AZ$98,ROW(BA61)-ROW(BA$42)+1,FALSE)+BF$24*HLOOKUP($AA$24,'GREET IO'!$A$77:$AZ$98,ROW(BA61)-ROW(BA$42)+1,FALSE)+BF$25*HLOOKUP($AA$25,'GREET IO'!$A$77:$AZ$98,ROW(BA61)-ROW(BA$42)+1,FALSE)+BF$26*HLOOKUP($AA$26,'GREET IO'!$A$77:$AZ$98,ROW(BA61)-ROW(BA$42)+1,FALSE)+BF$27*HLOOKUP($AA$27,'GREET IO'!$A$77:$AZ$98,ROW(BA61)-ROW(BA$42)+1,FALSE))/$AI$32</f>
        <v>#DIV/0!</v>
      </c>
      <c r="BD61" s="874" t="e">
        <f>BH$21*'Mat. Conv Par.'!$AC43+BH$22*'Mat. Conv Par.'!$BB41+'Mat. Conv Par.'!$F131*SUM(Input!$F$28:$F$32)/$D$8+(BI$21*HLOOKUP($AA$21,'GREET IO'!$A$77:$AZ$98,ROW(BA61)-ROW(BA$42)+1,FALSE)+BI$22*HLOOKUP($AA$22,'GREET IO'!$A$77:$AZ$98,ROW(BA61)-ROW(BA$42)+1,FALSE)+BI$23*HLOOKUP($AA$23,'GREET IO'!$A$77:$AZ$98,ROW(BA61)-ROW(BA$42)+1,FALSE)+BI$24*HLOOKUP($AA$24,'GREET IO'!$A$77:$AZ$98,ROW(BA61)-ROW(BA$42)+1,FALSE)+BI$25*HLOOKUP($AA$25,'GREET IO'!$A$77:$AZ$98,ROW(BA61)-ROW(BA$42)+1,FALSE)+BI$26*HLOOKUP($AA$26,'GREET IO'!$A$77:$AZ$98,ROW(BA61)-ROW(BA$42)+1,FALSE)+BI$27*HLOOKUP($AA$27,'GREET IO'!$A$77:$AZ$98,ROW(BA61)-ROW(BA$42)+1,FALSE))/$AI$32</f>
        <v>#DIV/0!</v>
      </c>
      <c r="BE61" s="874">
        <f>BB$32*$AI$31*('GREET IO'!$B38+'GREET IO'!$B14)+BB$33*$AI$31*IF($D$10=Input!$AD$35, 'Geographic Par.'!$E86, IF($D$10=Input!$AD$36, 'Geographic Par.'!$F86, IF($D$10=Input!$AD$37, 'Geographic Par.'!$H86, IF($D$10=Input!$AD$38,'Geographic Par.'!$G86,'Geographic Par.'!$K86))))</f>
        <v>2665.5020906720365</v>
      </c>
      <c r="BF61" s="874">
        <f>BB11/BK62*BL62*1000+BB13/BK64*BL64*1000</f>
        <v>227.51542983954198</v>
      </c>
      <c r="BG61" s="562" t="e">
        <f t="shared" si="66"/>
        <v>#DIV/0!</v>
      </c>
      <c r="BH61" s="185" t="e">
        <f t="shared" si="67"/>
        <v>#DIV/0!</v>
      </c>
      <c r="BI61" s="338" t="e">
        <f t="shared" si="68"/>
        <v>#DIV/0!</v>
      </c>
      <c r="BK61" s="56" t="s">
        <v>371</v>
      </c>
      <c r="BL61" s="56" t="s">
        <v>17</v>
      </c>
      <c r="CA61" s="147" t="s">
        <v>190</v>
      </c>
      <c r="CB61" s="562" t="e">
        <f>CB$21*'Mat. Conv Par.'!$AC43+CB$22*'Mat. Conv Par.'!$BB41+'Mat. Conv Par.'!$C131*SUM(Input!$F$28:$F$32)/$D$8+(CC$21*HLOOKUP($AA$21,'GREET IO'!$A$77:$AZ$98,ROW(CA61)-ROW(CA$42)+1,FALSE)+CC$22*HLOOKUP($AA$22,'GREET IO'!$A$77:$AZ$98,ROW(CA61)-ROW(CA$42)+1,FALSE)+CC$23*HLOOKUP($AA$23,'GREET IO'!$A$77:$AZ$98,ROW(CA61)-ROW(CA$42)+1,FALSE)+CC$24*HLOOKUP($AA$24,'GREET IO'!$A$77:$AZ$98,ROW(CA61)-ROW(CA$42)+1,FALSE)+CC$25*HLOOKUP($AA$25,'GREET IO'!$A$77:$AZ$98,ROW(CA61)-ROW(CA$42)+1,FALSE)+CC$26*HLOOKUP($AA$26,'GREET IO'!$A$77:$AZ$98,ROW(CA61)-ROW(CA$42)+1,FALSE)+CC$27*HLOOKUP($AA$27,'GREET IO'!$A$77:$AZ$98,ROW(CA61)-ROW(CA$42)+1,FALSE))/$AI$32</f>
        <v>#DIV/0!</v>
      </c>
      <c r="CC61" s="562" t="e">
        <f>CE$21*'Mat. Conv Par.'!$AC43+CE$22*'Mat. Conv Par.'!$BB41+'Mat. Conv Par.'!$D131*SUM(Input!$F$28:$F$32)/$D$8+(CF$21*HLOOKUP($AA$21,'GREET IO'!$A$77:$AZ$98,ROW(CA61)-ROW(CA$42)+1,FALSE)+CF$22*HLOOKUP($AA$22,'GREET IO'!$A$77:$AZ$98,ROW(CA61)-ROW(CA$42)+1,FALSE)+CF$23*HLOOKUP($AA$23,'GREET IO'!$A$77:$AZ$98,ROW(CA61)-ROW(CA$42)+1,FALSE)+CF$24*HLOOKUP($AA$24,'GREET IO'!$A$77:$AZ$98,ROW(CA61)-ROW(CA$42)+1,FALSE)+CF$25*HLOOKUP($AA$25,'GREET IO'!$A$77:$AZ$98,ROW(CA61)-ROW(CA$42)+1,FALSE)+CF$26*HLOOKUP($AA$26,'GREET IO'!$A$77:$AZ$98,ROW(CA61)-ROW(CA$42)+1,FALSE)+CF$27*HLOOKUP($AA$27,'GREET IO'!$A$77:$AZ$98,ROW(CA61)-ROW(CA$42)+1,FALSE))/$AI$32</f>
        <v>#DIV/0!</v>
      </c>
      <c r="CD61" s="874" t="e">
        <f>CH$21*'Mat. Conv Par.'!$AC43+CH$22*'Mat. Conv Par.'!$BB41+'Mat. Conv Par.'!$F131*SUM(Input!$F$28:$F$32)/$D$8+(CI$21*HLOOKUP($AA$21,'GREET IO'!$A$77:$AZ$98,ROW(CA61)-ROW(CA$42)+1,FALSE)+CI$22*HLOOKUP($AA$22,'GREET IO'!$A$77:$AZ$98,ROW(CA61)-ROW(CA$42)+1,FALSE)+CI$23*HLOOKUP($AA$23,'GREET IO'!$A$77:$AZ$98,ROW(CA61)-ROW(CA$42)+1,FALSE)+CI$24*HLOOKUP($AA$24,'GREET IO'!$A$77:$AZ$98,ROW(CA61)-ROW(CA$42)+1,FALSE)+CI$25*HLOOKUP($AA$25,'GREET IO'!$A$77:$AZ$98,ROW(CA61)-ROW(CA$42)+1,FALSE)+CI$26*HLOOKUP($AA$26,'GREET IO'!$A$77:$AZ$98,ROW(CA61)-ROW(CA$42)+1,FALSE)+CI$27*HLOOKUP($AA$27,'GREET IO'!$A$77:$AZ$98,ROW(CA61)-ROW(CA$42)+1,FALSE))/$AI$32</f>
        <v>#DIV/0!</v>
      </c>
      <c r="CE61" s="874">
        <f>CB$32*$AI$31*('GREET IO'!$B38+'GREET IO'!$B14)+CB$33*$AI$31*IF($D$10=Input!$AD$35, 'Geographic Par.'!$E86, IF($D$10=Input!$AD$36, 'Geographic Par.'!$F86, IF($D$10=Input!$AD$37, 'Geographic Par.'!$H86, IF($D$10=Input!$AD$38,'Geographic Par.'!$G86,'Geographic Par.'!$K86))))</f>
        <v>2666.0557903119093</v>
      </c>
      <c r="CF61" s="874">
        <f>CB11/CK62*CL62*1000+CB13/CK64*CL64*1000</f>
        <v>226.63520651718068</v>
      </c>
      <c r="CG61" s="562" t="e">
        <f t="shared" si="69"/>
        <v>#DIV/0!</v>
      </c>
      <c r="CH61" s="185" t="e">
        <f t="shared" si="70"/>
        <v>#DIV/0!</v>
      </c>
      <c r="CI61" s="338" t="e">
        <f t="shared" si="63"/>
        <v>#DIV/0!</v>
      </c>
      <c r="CK61" s="56" t="s">
        <v>371</v>
      </c>
      <c r="CL61" s="56" t="s">
        <v>17</v>
      </c>
      <c r="DA61" s="147" t="s">
        <v>190</v>
      </c>
      <c r="DB61" s="562" t="e">
        <f>DB$21*'Mat. Conv Par.'!$AC43+DB$22*'Mat. Conv Par.'!$BB41+'Mat. Conv Par.'!$C131*SUM(Input!$F$28:$F$32)/$D$8+(DC$21*HLOOKUP($DA$21,'GREET IO'!$A$77:$AZ$98,ROW(DA61)-ROW(DA$42)+1,FALSE)+DC$22*HLOOKUP($DA$22,'GREET IO'!$A$77:$AZ$98,ROW(DA61)-ROW(DA$42)+1,FALSE)+DC$23*HLOOKUP($DA$23,'GREET IO'!$A$77:$AZ$98,ROW(DA61)-ROW(DA$42)+1,FALSE)+DC$24*HLOOKUP($DA$24,'GREET IO'!$A$77:$AZ$98,ROW(DA61)-ROW(DA$42)+1,FALSE)+DC$25*HLOOKUP($DA$25,'GREET IO'!$A$77:$AZ$98,ROW(DA61)-ROW(DA$42)+1,FALSE)+DC$26*HLOOKUP($DA$26,'GREET IO'!$A$77:$AZ$98,ROW(DA61)-ROW(DA$42)+1,FALSE)+DC$27*HLOOKUP($DA$27,'GREET IO'!$A$77:$AZ$98,ROW(DA61)-ROW(DA$42)+1,FALSE))/$AI$32</f>
        <v>#DIV/0!</v>
      </c>
      <c r="DC61" s="562" t="e">
        <f>DE$21*'Mat. Conv Par.'!$AC43+DE$22*'Mat. Conv Par.'!$BB41+DE$23*'Mat. Conv Par.'!$CB41+'Mat. Conv Par.'!$D131*SUM(Input!$F$28:$F$32)/$D$8+(DF$21*HLOOKUP($DA$21,'GREET IO'!$A$77:$AZ$98,ROW(DA61)-ROW(DA$42)+1,FALSE)+DF$22*HLOOKUP($DA$22,'GREET IO'!$A$77:$AZ$98,ROW(DA61)-ROW(DA$42)+1,FALSE)+DF$23*HLOOKUP($DA$23,'GREET IO'!$A$77:$AZ$98,ROW(DA61)-ROW(DA$42)+1,FALSE)+DF$24*HLOOKUP($DA$24,'GREET IO'!$A$77:$AZ$98,ROW(DA61)-ROW(DA$42)+1,FALSE)+DF$25*HLOOKUP($DA$25,'GREET IO'!$A$77:$AZ$98,ROW(DA61)-ROW(DA$42)+1,FALSE)+DF$26*HLOOKUP($DA$26,'GREET IO'!$A$77:$AZ$98,ROW(DA61)-ROW(DA$42)+1,FALSE)+DF$27*HLOOKUP($DA$27,'GREET IO'!$A$77:$AZ$98,ROW(DA61)-ROW(DA$42)+1,FALSE))/$AI$32</f>
        <v>#DIV/0!</v>
      </c>
      <c r="DD61" s="562" t="e">
        <f>DH$21*'Mat. Conv Par.'!$AC43+DH$22*'Mat. Conv Par.'!$BB41+DH$23*'Mat. Conv Par.'!$CB41+'Mat. Conv Par.'!$F131*SUM(Input!$F$28:$F$32)/$D$8+(DI$21*HLOOKUP($DA$21,'GREET IO'!$A$77:$AZ$98,ROW(DA61)-ROW(DA$42)+1,FALSE)+DI$22*HLOOKUP($DA$22,'GREET IO'!$A$77:$AZ$98,ROW(DA61)-ROW(DA$42)+1,FALSE)+DI$23*HLOOKUP($DA$23,'GREET IO'!$A$77:$AZ$98,ROW(DA61)-ROW(DA$42)+1,FALSE)+DI$24*HLOOKUP($DA$24,'GREET IO'!$A$77:$AZ$98,ROW(DA61)-ROW(DA$42)+1,FALSE)+DI$25*HLOOKUP($DA$25,'GREET IO'!$A$77:$AZ$98,ROW(DA61)-ROW(DA$42)+1,FALSE)+DI$26*HLOOKUP($DA$26,'GREET IO'!$A$77:$AZ$98,ROW(DA61)-ROW(DA$42)+1,FALSE)+DI$27*HLOOKUP($DA$27,'GREET IO'!$A$77:$AZ$98,ROW(DA61)-ROW(DA$42)+1,FALSE))/$AI$32</f>
        <v>#DIV/0!</v>
      </c>
      <c r="DE61" s="874">
        <f>DB$32*$AI$31*('GREET IO'!$B38+'GREET IO'!$B14)+DB$33*$AI$31*IF($D$10=Input!$AD$35, 'Geographic Par.'!$E86, IF($D$10=Input!$AD$36, 'Geographic Par.'!$F86, IF($D$10=Input!$AD$37, 'Geographic Par.'!$H86, IF($D$10=Input!$AD$38,'Geographic Par.'!$G86,'Geographic Par.'!$K86))))</f>
        <v>2665.2466483000021</v>
      </c>
      <c r="DF61" s="874">
        <f>DB13/DK64*DL64*1000</f>
        <v>0</v>
      </c>
      <c r="DG61" s="562" t="e">
        <f t="shared" si="71"/>
        <v>#DIV/0!</v>
      </c>
      <c r="DH61" s="185" t="e">
        <f t="shared" si="72"/>
        <v>#DIV/0!</v>
      </c>
      <c r="DI61" s="338" t="e">
        <f t="shared" si="64"/>
        <v>#DIV/0!</v>
      </c>
      <c r="DK61" s="56" t="s">
        <v>371</v>
      </c>
      <c r="DL61" s="56" t="s">
        <v>17</v>
      </c>
      <c r="EA61" s="147" t="s">
        <v>190</v>
      </c>
      <c r="EB61" s="562" t="e">
        <f>EB$21*'Mat. Conv Par.'!$AC43+EB$22*'Mat. Conv Par.'!$BB41+EB$23*'Mat. Conv Par.'!$CB41+'Mat. Conv Par.'!$C131*SUM(Input!$F$28:$F$32)/$D$8+(EC$21*HLOOKUP($EA$21,'GREET IO'!$A$77:$AZ$98,ROW(EA61)-ROW(EA$42)+1,FALSE)+EC$22*HLOOKUP($EA$22,'GREET IO'!$A$77:$AZ$98,ROW(EA61)-ROW(EA$42)+1,FALSE)+EC$23*HLOOKUP($EA$23,'GREET IO'!$A$77:$AZ$98,ROW(EA61)-ROW(EA$42)+1,FALSE)+EC$24*HLOOKUP($EA$24,'GREET IO'!$A$77:$AZ$98,ROW(EA61)-ROW(EA$42)+1,FALSE)+EC$25*HLOOKUP($EA$25,'GREET IO'!$A$77:$AZ$98,ROW(EA61)-ROW(EA$42)+1,FALSE)+EC$26*HLOOKUP($EA$26,'GREET IO'!$A$77:$AZ$98,ROW(EA61)-ROW(EA$42)+1,FALSE)+EC$27*HLOOKUP($EA$27,'GREET IO'!$A$77:$AZ$98,ROW(EA61)-ROW(EA$42)+1,FALSE))/$AI$32</f>
        <v>#DIV/0!</v>
      </c>
      <c r="EC61" s="562" t="e">
        <f>EE$21*'Mat. Conv Par.'!$AC43+EE$22*'Mat. Conv Par.'!$BB41+EE$23*'Mat. Conv Par.'!$CB41+'Mat. Conv Par.'!$D131*SUM(Input!$F$28:$F$32)/$D$8+(EF$21*HLOOKUP($EA$21,'GREET IO'!$A$77:$AZ$98,ROW(EA61)-ROW(EA$42)+1,FALSE)+EF$22*HLOOKUP($EA$22,'GREET IO'!$A$77:$AZ$98,ROW(EA61)-ROW(EA$42)+1,FALSE)+EF$23*HLOOKUP($EA$23,'GREET IO'!$A$77:$AZ$98,ROW(EA61)-ROW(EA$42)+1,FALSE)+EF$24*HLOOKUP($EA$24,'GREET IO'!$A$77:$AZ$98,ROW(EA61)-ROW(EA$42)+1,FALSE)+EF$25*HLOOKUP($EA$25,'GREET IO'!$A$77:$AZ$98,ROW(EA61)-ROW(EA$42)+1,FALSE)+EF$26*HLOOKUP($EA$26,'GREET IO'!$A$77:$AZ$98,ROW(EA61)-ROW(EA$42)+1,FALSE)+EF$27*HLOOKUP($EA$27,'GREET IO'!$A$77:$AZ$98,ROW(EA61)-ROW(EA$42)+1,FALSE))/$AI$32</f>
        <v>#DIV/0!</v>
      </c>
      <c r="ED61" s="562" t="e">
        <f>EH$21*'Mat. Conv Par.'!$AC43+EH$22*'Mat. Conv Par.'!$BB41+EH$23*'Mat. Conv Par.'!$CB41+'Mat. Conv Par.'!$F131*SUM(Input!$F$28:$F$32)/$D$8+(EI$21*HLOOKUP($EA$21,'GREET IO'!$A$77:$AZ$98,ROW(EA61)-ROW(EA$42)+1,FALSE)+EI$22*HLOOKUP($EA$22,'GREET IO'!$A$77:$AZ$98,ROW(EA61)-ROW(EA$42)+1,FALSE)+EI$23*HLOOKUP($EA$23,'GREET IO'!$A$77:$AZ$98,ROW(EA61)-ROW(EA$42)+1,FALSE)+EI$24*HLOOKUP($EA$24,'GREET IO'!$A$77:$AZ$98,ROW(EA61)-ROW(EA$42)+1,FALSE)+EI$25*HLOOKUP($EA$25,'GREET IO'!$A$77:$AZ$98,ROW(EA61)-ROW(EA$42)+1,FALSE)+EI$26*HLOOKUP($EA$26,'GREET IO'!$A$77:$AZ$98,ROW(EA61)-ROW(EA$42)+1,FALSE)+EI$27*HLOOKUP($EA$27,'GREET IO'!$A$77:$AZ$98,ROW(EA61)-ROW(EA$42)+1,FALSE))/$AI$32</f>
        <v>#DIV/0!</v>
      </c>
      <c r="EE61" s="874">
        <f>EB$32*$AI$31*('GREET IO'!$B38+'GREET IO'!$B14)+EB$33*$AI$31*IF($D$10=Input!$AD$35, 'Geographic Par.'!$E86, IF($D$10=Input!$AD$36, 'Geographic Par.'!$F86, IF($D$10=Input!$AD$37, 'Geographic Par.'!$H86, IF($D$10=Input!$AD$38,'Geographic Par.'!$G86,'Geographic Par.'!$K86))))</f>
        <v>2668.188449495533</v>
      </c>
      <c r="EF61" s="874">
        <f>EB13/EK62*EL62*1000</f>
        <v>0</v>
      </c>
      <c r="EG61" s="562" t="e">
        <f t="shared" si="73"/>
        <v>#DIV/0!</v>
      </c>
      <c r="EH61" s="185" t="e">
        <f t="shared" si="74"/>
        <v>#DIV/0!</v>
      </c>
      <c r="EI61" s="338" t="e">
        <f t="shared" si="65"/>
        <v>#DIV/0!</v>
      </c>
      <c r="EK61" s="56" t="s">
        <v>422</v>
      </c>
      <c r="EL61" s="56" t="s">
        <v>17</v>
      </c>
      <c r="FA61" s="147" t="s">
        <v>190</v>
      </c>
      <c r="FB61" s="972" t="e">
        <f>FB$21*'Mat. Conv Par.'!$AB43+'Mat. Conv Par.'!$C131*SUM(Input!$F$28:$F$32)/$D$8+(FC$21*HLOOKUP($FA$21,'GREET IO'!$A$77:$AZ$98,ROW(FA61)-ROW(FA$42)+1,FALSE)+FC$22*HLOOKUP($FA$22,'GREET IO'!$A$77:$AZ$98,ROW(FA61)-ROW(FA$42)+1,FALSE))/$AI$32</f>
        <v>#DIV/0!</v>
      </c>
      <c r="FC61" s="972" t="e">
        <f>FE$21*'Mat. Conv Par.'!$AB43+'Mat. Conv Par.'!$D131*SUM(Input!$F$28:$F$32)/$D$8+(FF$21*HLOOKUP($FA$21,'GREET IO'!$A$77:$AZ$98,ROW(FA61)-ROW(FA$42)+1,FALSE)+FF$22*HLOOKUP($FA$22,'GREET IO'!$A$77:$AZ$98,ROW(FA61)-ROW(FA$42)+1,FALSE))/$AI$32</f>
        <v>#DIV/0!</v>
      </c>
      <c r="FD61" s="972" t="e">
        <f>FH$21*'Mat. Conv Par.'!$AB43+'Mat. Conv Par.'!$F131*SUM(Input!$F$28:$F$32)/$D$8+(FI$21*HLOOKUP($FA$21,'GREET IO'!$A$77:$AZ$98,ROW(FA61)-ROW(FA$42)+1,FALSE)+FI$22*HLOOKUP($FA$22,'GREET IO'!$A$77:$AZ$98,ROW(FA61)-ROW(FA$42)+1,FALSE))/$AI$32</f>
        <v>#DIV/0!</v>
      </c>
      <c r="FE61" s="874">
        <f>FB$32*$AI$31*('GREET IO'!$B38+'GREET IO'!$B14)+FB$33*$AI$31*IF($D$10=Input!$AD$35, 'Geographic Par.'!$E86, IF($D$10=Input!$AD$36, 'Geographic Par.'!$F86, IF($D$10=Input!$AD$37, 'Geographic Par.'!$H86, IF($D$10=Input!$AD$38,'Geographic Par.'!$G86,'Geographic Par.'!$K86))))</f>
        <v>0</v>
      </c>
      <c r="FF61" s="874">
        <f>FB10/FK62*FL62*1000</f>
        <v>224.44970509858067</v>
      </c>
      <c r="FG61" s="562" t="e">
        <f t="shared" si="75"/>
        <v>#DIV/0!</v>
      </c>
      <c r="FH61" s="185" t="e">
        <f t="shared" si="76"/>
        <v>#DIV/0!</v>
      </c>
      <c r="FI61" s="338" t="e">
        <f t="shared" si="77"/>
        <v>#DIV/0!</v>
      </c>
      <c r="FK61" s="56" t="s">
        <v>371</v>
      </c>
      <c r="FL61" s="56" t="s">
        <v>17</v>
      </c>
    </row>
    <row r="62" spans="2:168">
      <c r="B62" s="147" t="s">
        <v>399</v>
      </c>
      <c r="C62" s="632">
        <f t="shared" si="78"/>
        <v>17.14</v>
      </c>
      <c r="D62" s="275">
        <v>17.14</v>
      </c>
      <c r="E62" s="901">
        <f>IF(ISBLANK(Materials!D70),0,Materials!D70)</f>
        <v>0</v>
      </c>
      <c r="AA62" s="147" t="s">
        <v>198</v>
      </c>
      <c r="AB62" s="562" t="e">
        <f>AB$21*'Mat. Conv Par.'!$AC44+AB$22*'Mat. Conv Par.'!$BB42+'Mat. Conv Par.'!$C132*SUM(Input!$F$28:$F$32)/$D$8+(AC$21*HLOOKUP($AA$21,'GREET IO'!$A$77:$AZ$98,ROW(AA62)-ROW(AA$42)+1,FALSE)+AC$22*HLOOKUP($AA$22,'GREET IO'!$A$77:$AZ$98,ROW(AA62)-ROW(AA$42)+1,FALSE)+AC$23*HLOOKUP($AA$23,'GREET IO'!$A$77:$AZ$98,ROW(AA62)-ROW(AA$42)+1,FALSE)+AC$24*HLOOKUP($AA$24,'GREET IO'!$A$77:$AZ$98,ROW(AA62)-ROW(AA$42)+1,FALSE)+AC$25*HLOOKUP($AA$25,'GREET IO'!$A$77:$AZ$98,ROW(AA62)-ROW(AA$42)+1,FALSE)+AC$26*HLOOKUP($AA$26,'GREET IO'!$A$77:$AZ$98,ROW(AA62)-ROW(AA$42)+1,FALSE)+AC$27*HLOOKUP($AA$27,'GREET IO'!$A$77:$AZ$98,ROW(AA62)-ROW(AA$42)+1,FALSE))/$AI$32</f>
        <v>#DIV/0!</v>
      </c>
      <c r="AC62" s="562" t="e">
        <f>AE$21*'Mat. Conv Par.'!$AC44+AE$22*'Mat. Conv Par.'!$BB42+'Mat. Conv Par.'!$D132*SUM(Input!$F$28:$F$32)/$D$8+(AF$21*HLOOKUP($AA$21,'GREET IO'!$A$77:$AZ$98,ROW(AA62)-ROW(AA$42)+1,FALSE)+AF$22*HLOOKUP($AA$22,'GREET IO'!$A$77:$AZ$98,ROW(AA62)-ROW(AA$42)+1,FALSE)+AF$23*HLOOKUP($AA$23,'GREET IO'!$A$77:$AZ$98,ROW(AA62)-ROW(AA$42)+1,FALSE)+AF$24*HLOOKUP($AA$24,'GREET IO'!$A$77:$AZ$98,ROW(AA62)-ROW(AA$42)+1,FALSE)+AF$25*HLOOKUP($AA$25,'GREET IO'!$A$77:$AZ$98,ROW(AA62)-ROW(AA$42)+1,FALSE)+AF$26*HLOOKUP($AA$26,'GREET IO'!$A$77:$AZ$98,ROW(AA62)-ROW(AA$42)+1,FALSE)+AF$27*HLOOKUP($AA$27,'GREET IO'!$A$77:$AZ$98,ROW(AA62)-ROW(AA$42)+1,FALSE))/$AI$32</f>
        <v>#DIV/0!</v>
      </c>
      <c r="AD62" s="874" t="e">
        <f>AH$21*'Mat. Conv Par.'!$AC44+AH$22*'Mat. Conv Par.'!$BB42+'Mat. Conv Par.'!$F132*SUM(Input!$F$28:$F$32)/$D$8+(AI$21*HLOOKUP($AA$21,'GREET IO'!$A$77:$AZ$98,ROW(AA62)-ROW(AA$42)+1,FALSE)+AI$22*HLOOKUP($AA$22,'GREET IO'!$A$77:$AZ$98,ROW(AA62)-ROW(AA$42)+1,FALSE)+AI$23*HLOOKUP($AA$23,'GREET IO'!$A$77:$AZ$98,ROW(AA62)-ROW(AA$42)+1,FALSE)+AI$24*HLOOKUP($AA$24,'GREET IO'!$A$77:$AZ$98,ROW(AA62)-ROW(AA$42)+1,FALSE)+AI$25*HLOOKUP($AA$25,'GREET IO'!$A$77:$AZ$98,ROW(AA62)-ROW(AA$42)+1,FALSE)+AI$26*HLOOKUP($AA$26,'GREET IO'!$A$77:$AZ$98,ROW(AA62)-ROW(AA$42)+1,FALSE)+AI$27*HLOOKUP($AA$27,'GREET IO'!$A$77:$AZ$98,ROW(AA62)-ROW(AA$42)+1,FALSE))/$AI$32</f>
        <v>#DIV/0!</v>
      </c>
      <c r="AE62" s="874">
        <f>AE61+AE51*'GREET IO'!$B$118/'GREET IO'!$B$120+AE52*'GREET IO'!$B$119/'GREET IO'!$B$120</f>
        <v>2670.7161470215333</v>
      </c>
      <c r="AF62" s="874">
        <f>AF61+AF51*'GREET IO'!$B$118/'GREET IO'!$B$120+AF52*'GREET IO'!$B$119/'GREET IO'!$B$120</f>
        <v>227.7347843385578</v>
      </c>
      <c r="AG62" s="562" t="e">
        <f t="shared" si="60"/>
        <v>#DIV/0!</v>
      </c>
      <c r="AH62" s="185" t="e">
        <f t="shared" si="61"/>
        <v>#DIV/0!</v>
      </c>
      <c r="AI62" s="338" t="e">
        <f t="shared" si="62"/>
        <v>#DIV/0!</v>
      </c>
      <c r="AK62" s="56">
        <v>74</v>
      </c>
      <c r="AL62" s="56">
        <v>44</v>
      </c>
      <c r="BA62" s="147" t="s">
        <v>198</v>
      </c>
      <c r="BB62" s="562" t="e">
        <f>BB$21*'Mat. Conv Par.'!$AC44+BB$22*'Mat. Conv Par.'!$BB42+'Mat. Conv Par.'!$C132*SUM(Input!$F$28:$F$32)/$D$8+(BC$21*HLOOKUP($AA$21,'GREET IO'!$A$77:$AZ$98,ROW(BA62)-ROW(BA$42)+1,FALSE)+BC$22*HLOOKUP($AA$22,'GREET IO'!$A$77:$AZ$98,ROW(BA62)-ROW(BA$42)+1,FALSE)+BC$23*HLOOKUP($AA$23,'GREET IO'!$A$77:$AZ$98,ROW(BA62)-ROW(BA$42)+1,FALSE)+BC$24*HLOOKUP($AA$24,'GREET IO'!$A$77:$AZ$98,ROW(BA62)-ROW(BA$42)+1,FALSE)+BC$25*HLOOKUP($AA$25,'GREET IO'!$A$77:$AZ$98,ROW(BA62)-ROW(BA$42)+1,FALSE)+BC$26*HLOOKUP($AA$26,'GREET IO'!$A$77:$AZ$98,ROW(BA62)-ROW(BA$42)+1,FALSE)+BC$27*HLOOKUP($AA$27,'GREET IO'!$A$77:$AZ$98,ROW(BA62)-ROW(BA$42)+1,FALSE))/$AI$32</f>
        <v>#DIV/0!</v>
      </c>
      <c r="BC62" s="562" t="e">
        <f>BE$21*'Mat. Conv Par.'!$AC44+BE$22*'Mat. Conv Par.'!$BB42+'Mat. Conv Par.'!$D132*SUM(Input!$F$28:$F$32)/$D$8+(BF$21*HLOOKUP($AA$21,'GREET IO'!$A$77:$AZ$98,ROW(BA62)-ROW(BA$42)+1,FALSE)+BF$22*HLOOKUP($AA$22,'GREET IO'!$A$77:$AZ$98,ROW(BA62)-ROW(BA$42)+1,FALSE)+BF$23*HLOOKUP($AA$23,'GREET IO'!$A$77:$AZ$98,ROW(BA62)-ROW(BA$42)+1,FALSE)+BF$24*HLOOKUP($AA$24,'GREET IO'!$A$77:$AZ$98,ROW(BA62)-ROW(BA$42)+1,FALSE)+BF$25*HLOOKUP($AA$25,'GREET IO'!$A$77:$AZ$98,ROW(BA62)-ROW(BA$42)+1,FALSE)+BF$26*HLOOKUP($AA$26,'GREET IO'!$A$77:$AZ$98,ROW(BA62)-ROW(BA$42)+1,FALSE)+BF$27*HLOOKUP($AA$27,'GREET IO'!$A$77:$AZ$98,ROW(BA62)-ROW(BA$42)+1,FALSE))/$AI$32</f>
        <v>#DIV/0!</v>
      </c>
      <c r="BD62" s="874" t="e">
        <f>BH$21*'Mat. Conv Par.'!$AC44+BH$22*'Mat. Conv Par.'!$BB42+'Mat. Conv Par.'!$F132*SUM(Input!$F$28:$F$32)/$D$8+(BI$21*HLOOKUP($AA$21,'GREET IO'!$A$77:$AZ$98,ROW(BA62)-ROW(BA$42)+1,FALSE)+BI$22*HLOOKUP($AA$22,'GREET IO'!$A$77:$AZ$98,ROW(BA62)-ROW(BA$42)+1,FALSE)+BI$23*HLOOKUP($AA$23,'GREET IO'!$A$77:$AZ$98,ROW(BA62)-ROW(BA$42)+1,FALSE)+BI$24*HLOOKUP($AA$24,'GREET IO'!$A$77:$AZ$98,ROW(BA62)-ROW(BA$42)+1,FALSE)+BI$25*HLOOKUP($AA$25,'GREET IO'!$A$77:$AZ$98,ROW(BA62)-ROW(BA$42)+1,FALSE)+BI$26*HLOOKUP($AA$26,'GREET IO'!$A$77:$AZ$98,ROW(BA62)-ROW(BA$42)+1,FALSE)+BI$27*HLOOKUP($AA$27,'GREET IO'!$A$77:$AZ$98,ROW(BA62)-ROW(BA$42)+1,FALSE))/$AI$32</f>
        <v>#DIV/0!</v>
      </c>
      <c r="BE62" s="874">
        <f>BE61+BE51*'GREET IO'!$B$118/'GREET IO'!$B$120+BE52*'GREET IO'!$B$119/'GREET IO'!$B$120</f>
        <v>2670.8544078335131</v>
      </c>
      <c r="BF62" s="874">
        <f>BF61+BF51*'GREET IO'!$B$118/'GREET IO'!$B$120+BF52*'GREET IO'!$B$119/'GREET IO'!$B$120</f>
        <v>227.51542983954198</v>
      </c>
      <c r="BG62" s="562" t="e">
        <f t="shared" si="66"/>
        <v>#DIV/0!</v>
      </c>
      <c r="BH62" s="185" t="e">
        <f t="shared" si="67"/>
        <v>#DIV/0!</v>
      </c>
      <c r="BI62" s="338" t="e">
        <f t="shared" si="68"/>
        <v>#DIV/0!</v>
      </c>
      <c r="BK62" s="56">
        <v>74</v>
      </c>
      <c r="BL62" s="56">
        <v>44</v>
      </c>
      <c r="CA62" s="147" t="s">
        <v>198</v>
      </c>
      <c r="CB62" s="562" t="e">
        <f>CB$21*'Mat. Conv Par.'!$AC44+CB$22*'Mat. Conv Par.'!$BB42+'Mat. Conv Par.'!$C132*SUM(Input!$F$28:$F$32)/$D$8+(CC$21*HLOOKUP($AA$21,'GREET IO'!$A$77:$AZ$98,ROW(CA62)-ROW(CA$42)+1,FALSE)+CC$22*HLOOKUP($AA$22,'GREET IO'!$A$77:$AZ$98,ROW(CA62)-ROW(CA$42)+1,FALSE)+CC$23*HLOOKUP($AA$23,'GREET IO'!$A$77:$AZ$98,ROW(CA62)-ROW(CA$42)+1,FALSE)+CC$24*HLOOKUP($AA$24,'GREET IO'!$A$77:$AZ$98,ROW(CA62)-ROW(CA$42)+1,FALSE)+CC$25*HLOOKUP($AA$25,'GREET IO'!$A$77:$AZ$98,ROW(CA62)-ROW(CA$42)+1,FALSE)+CC$26*HLOOKUP($AA$26,'GREET IO'!$A$77:$AZ$98,ROW(CA62)-ROW(CA$42)+1,FALSE)+CC$27*HLOOKUP($AA$27,'GREET IO'!$A$77:$AZ$98,ROW(CA62)-ROW(CA$42)+1,FALSE))/$AI$32</f>
        <v>#DIV/0!</v>
      </c>
      <c r="CC62" s="562" t="e">
        <f>CE$21*'Mat. Conv Par.'!$AC44+CE$22*'Mat. Conv Par.'!$BB42+'Mat. Conv Par.'!$D132*SUM(Input!$F$28:$F$32)/$D$8+(CF$21*HLOOKUP($AA$21,'GREET IO'!$A$77:$AZ$98,ROW(CA62)-ROW(CA$42)+1,FALSE)+CF$22*HLOOKUP($AA$22,'GREET IO'!$A$77:$AZ$98,ROW(CA62)-ROW(CA$42)+1,FALSE)+CF$23*HLOOKUP($AA$23,'GREET IO'!$A$77:$AZ$98,ROW(CA62)-ROW(CA$42)+1,FALSE)+CF$24*HLOOKUP($AA$24,'GREET IO'!$A$77:$AZ$98,ROW(CA62)-ROW(CA$42)+1,FALSE)+CF$25*HLOOKUP($AA$25,'GREET IO'!$A$77:$AZ$98,ROW(CA62)-ROW(CA$42)+1,FALSE)+CF$26*HLOOKUP($AA$26,'GREET IO'!$A$77:$AZ$98,ROW(CA62)-ROW(CA$42)+1,FALSE)+CF$27*HLOOKUP($AA$27,'GREET IO'!$A$77:$AZ$98,ROW(CA62)-ROW(CA$42)+1,FALSE))/$AI$32</f>
        <v>#DIV/0!</v>
      </c>
      <c r="CD62" s="874" t="e">
        <f>CH$21*'Mat. Conv Par.'!$AC44+CH$22*'Mat. Conv Par.'!$BB42+'Mat. Conv Par.'!$F132*SUM(Input!$F$28:$F$32)/$D$8+(CI$21*HLOOKUP($AA$21,'GREET IO'!$A$77:$AZ$98,ROW(CA62)-ROW(CA$42)+1,FALSE)+CI$22*HLOOKUP($AA$22,'GREET IO'!$A$77:$AZ$98,ROW(CA62)-ROW(CA$42)+1,FALSE)+CI$23*HLOOKUP($AA$23,'GREET IO'!$A$77:$AZ$98,ROW(CA62)-ROW(CA$42)+1,FALSE)+CI$24*HLOOKUP($AA$24,'GREET IO'!$A$77:$AZ$98,ROW(CA62)-ROW(CA$42)+1,FALSE)+CI$25*HLOOKUP($AA$25,'GREET IO'!$A$77:$AZ$98,ROW(CA62)-ROW(CA$42)+1,FALSE)+CI$26*HLOOKUP($AA$26,'GREET IO'!$A$77:$AZ$98,ROW(CA62)-ROW(CA$42)+1,FALSE)+CI$27*HLOOKUP($AA$27,'GREET IO'!$A$77:$AZ$98,ROW(CA62)-ROW(CA$42)+1,FALSE))/$AI$32</f>
        <v>#DIV/0!</v>
      </c>
      <c r="CE62" s="874">
        <f>CE61+CE51*'GREET IO'!$B$118/'GREET IO'!$B$120+CE52*'GREET IO'!$B$119/'GREET IO'!$B$120</f>
        <v>2671.4092192999701</v>
      </c>
      <c r="CF62" s="874">
        <f>CF61+CF51*'GREET IO'!$B$118/'GREET IO'!$B$120+CF52*'GREET IO'!$B$119/'GREET IO'!$B$120</f>
        <v>226.63520651718068</v>
      </c>
      <c r="CG62" s="562" t="e">
        <f t="shared" si="69"/>
        <v>#DIV/0!</v>
      </c>
      <c r="CH62" s="185" t="e">
        <f t="shared" si="70"/>
        <v>#DIV/0!</v>
      </c>
      <c r="CI62" s="338" t="e">
        <f t="shared" si="63"/>
        <v>#DIV/0!</v>
      </c>
      <c r="CK62" s="56">
        <v>74</v>
      </c>
      <c r="CL62" s="56">
        <v>44</v>
      </c>
      <c r="DA62" s="147" t="s">
        <v>198</v>
      </c>
      <c r="DB62" s="562" t="e">
        <f>DB$21*'Mat. Conv Par.'!$AC44+DB$22*'Mat. Conv Par.'!$BB42+'Mat. Conv Par.'!$C132*SUM(Input!$F$28:$F$32)/$D$8+(DC$21*HLOOKUP($DA$21,'GREET IO'!$A$77:$AZ$98,ROW(DA62)-ROW(DA$42)+1,FALSE)+DC$22*HLOOKUP($DA$22,'GREET IO'!$A$77:$AZ$98,ROW(DA62)-ROW(DA$42)+1,FALSE)+DC$23*HLOOKUP($DA$23,'GREET IO'!$A$77:$AZ$98,ROW(DA62)-ROW(DA$42)+1,FALSE)+DC$24*HLOOKUP($DA$24,'GREET IO'!$A$77:$AZ$98,ROW(DA62)-ROW(DA$42)+1,FALSE)+DC$25*HLOOKUP($DA$25,'GREET IO'!$A$77:$AZ$98,ROW(DA62)-ROW(DA$42)+1,FALSE)+DC$26*HLOOKUP($DA$26,'GREET IO'!$A$77:$AZ$98,ROW(DA62)-ROW(DA$42)+1,FALSE)+DC$27*HLOOKUP($DA$27,'GREET IO'!$A$77:$AZ$98,ROW(DA62)-ROW(DA$42)+1,FALSE))/$AI$32</f>
        <v>#DIV/0!</v>
      </c>
      <c r="DC62" s="562" t="e">
        <f>DE$21*'Mat. Conv Par.'!$AC44+DE$22*'Mat. Conv Par.'!$BB42+DE$23*'Mat. Conv Par.'!$CB42+'Mat. Conv Par.'!$D132*SUM(Input!$F$28:$F$32)/$D$8+(DF$21*HLOOKUP($DA$21,'GREET IO'!$A$77:$AZ$98,ROW(DA62)-ROW(DA$42)+1,FALSE)+DF$22*HLOOKUP($DA$22,'GREET IO'!$A$77:$AZ$98,ROW(DA62)-ROW(DA$42)+1,FALSE)+DF$23*HLOOKUP($DA$23,'GREET IO'!$A$77:$AZ$98,ROW(DA62)-ROW(DA$42)+1,FALSE)+DF$24*HLOOKUP($DA$24,'GREET IO'!$A$77:$AZ$98,ROW(DA62)-ROW(DA$42)+1,FALSE)+DF$25*HLOOKUP($DA$25,'GREET IO'!$A$77:$AZ$98,ROW(DA62)-ROW(DA$42)+1,FALSE)+DF$26*HLOOKUP($DA$26,'GREET IO'!$A$77:$AZ$98,ROW(DA62)-ROW(DA$42)+1,FALSE)+DF$27*HLOOKUP($DA$27,'GREET IO'!$A$77:$AZ$98,ROW(DA62)-ROW(DA$42)+1,FALSE))/$AI$32</f>
        <v>#DIV/0!</v>
      </c>
      <c r="DD62" s="562" t="e">
        <f>DH$21*'Mat. Conv Par.'!$AC44+DH$22*'Mat. Conv Par.'!$BB42+DH$23*'Mat. Conv Par.'!$CB42+'Mat. Conv Par.'!$F132*SUM(Input!$F$28:$F$32)/$D$8+(DI$21*HLOOKUP($DA$21,'GREET IO'!$A$77:$AZ$98,ROW(DA62)-ROW(DA$42)+1,FALSE)+DI$22*HLOOKUP($DA$22,'GREET IO'!$A$77:$AZ$98,ROW(DA62)-ROW(DA$42)+1,FALSE)+DI$23*HLOOKUP($DA$23,'GREET IO'!$A$77:$AZ$98,ROW(DA62)-ROW(DA$42)+1,FALSE)+DI$24*HLOOKUP($DA$24,'GREET IO'!$A$77:$AZ$98,ROW(DA62)-ROW(DA$42)+1,FALSE)+DI$25*HLOOKUP($DA$25,'GREET IO'!$A$77:$AZ$98,ROW(DA62)-ROW(DA$42)+1,FALSE)+DI$26*HLOOKUP($DA$26,'GREET IO'!$A$77:$AZ$98,ROW(DA62)-ROW(DA$42)+1,FALSE)+DI$27*HLOOKUP($DA$27,'GREET IO'!$A$77:$AZ$98,ROW(DA62)-ROW(DA$42)+1,FALSE))/$AI$32</f>
        <v>#DIV/0!</v>
      </c>
      <c r="DE62" s="874">
        <f>DE61+DE51*'GREET IO'!$B$118/'GREET IO'!$B$120+DE52*'GREET IO'!$B$119/'GREET IO'!$B$120</f>
        <v>2670.5984525342528</v>
      </c>
      <c r="DF62" s="874">
        <f>DF61+DF51*'GREET IO'!$B$118/'GREET IO'!$B$120+DF52*'GREET IO'!$B$119/'GREET IO'!$B$120</f>
        <v>0</v>
      </c>
      <c r="DG62" s="562" t="e">
        <f t="shared" si="71"/>
        <v>#DIV/0!</v>
      </c>
      <c r="DH62" s="185" t="e">
        <f t="shared" si="72"/>
        <v>#DIV/0!</v>
      </c>
      <c r="DI62" s="338" t="e">
        <f t="shared" si="64"/>
        <v>#DIV/0!</v>
      </c>
      <c r="DK62" s="56">
        <v>74</v>
      </c>
      <c r="DL62" s="56">
        <v>44</v>
      </c>
      <c r="EA62" s="147" t="s">
        <v>198</v>
      </c>
      <c r="EB62" s="562" t="e">
        <f>EB$21*'Mat. Conv Par.'!$AC44+EB$22*'Mat. Conv Par.'!$BB42+EB$23*'Mat. Conv Par.'!$CB42+'Mat. Conv Par.'!$C132*SUM(Input!$F$28:$F$32)/$D$8+(EC$21*HLOOKUP($EA$21,'GREET IO'!$A$77:$AZ$98,ROW(EA62)-ROW(EA$42)+1,FALSE)+EC$22*HLOOKUP($EA$22,'GREET IO'!$A$77:$AZ$98,ROW(EA62)-ROW(EA$42)+1,FALSE)+EC$23*HLOOKUP($EA$23,'GREET IO'!$A$77:$AZ$98,ROW(EA62)-ROW(EA$42)+1,FALSE)+EC$24*HLOOKUP($EA$24,'GREET IO'!$A$77:$AZ$98,ROW(EA62)-ROW(EA$42)+1,FALSE)+EC$25*HLOOKUP($EA$25,'GREET IO'!$A$77:$AZ$98,ROW(EA62)-ROW(EA$42)+1,FALSE)+EC$26*HLOOKUP($EA$26,'GREET IO'!$A$77:$AZ$98,ROW(EA62)-ROW(EA$42)+1,FALSE)+EC$27*HLOOKUP($EA$27,'GREET IO'!$A$77:$AZ$98,ROW(EA62)-ROW(EA$42)+1,FALSE))/$AI$32</f>
        <v>#DIV/0!</v>
      </c>
      <c r="EC62" s="562" t="e">
        <f>EE$21*'Mat. Conv Par.'!$AC44+EE$22*'Mat. Conv Par.'!$BB42+EE$23*'Mat. Conv Par.'!$CB42+'Mat. Conv Par.'!$D132*SUM(Input!$F$28:$F$32)/$D$8+(EF$21*HLOOKUP($EA$21,'GREET IO'!$A$77:$AZ$98,ROW(EA62)-ROW(EA$42)+1,FALSE)+EF$22*HLOOKUP($EA$22,'GREET IO'!$A$77:$AZ$98,ROW(EA62)-ROW(EA$42)+1,FALSE)+EF$23*HLOOKUP($EA$23,'GREET IO'!$A$77:$AZ$98,ROW(EA62)-ROW(EA$42)+1,FALSE)+EF$24*HLOOKUP($EA$24,'GREET IO'!$A$77:$AZ$98,ROW(EA62)-ROW(EA$42)+1,FALSE)+EF$25*HLOOKUP($EA$25,'GREET IO'!$A$77:$AZ$98,ROW(EA62)-ROW(EA$42)+1,FALSE)+EF$26*HLOOKUP($EA$26,'GREET IO'!$A$77:$AZ$98,ROW(EA62)-ROW(EA$42)+1,FALSE)+EF$27*HLOOKUP($EA$27,'GREET IO'!$A$77:$AZ$98,ROW(EA62)-ROW(EA$42)+1,FALSE))/$AI$32</f>
        <v>#DIV/0!</v>
      </c>
      <c r="ED62" s="562" t="e">
        <f>EH$21*'Mat. Conv Par.'!$AC44+EH$22*'Mat. Conv Par.'!$BB42+EH$23*'Mat. Conv Par.'!$CB42+'Mat. Conv Par.'!$F132*SUM(Input!$F$28:$F$32)/$D$8+(EI$21*HLOOKUP($EA$21,'GREET IO'!$A$77:$AZ$98,ROW(EA62)-ROW(EA$42)+1,FALSE)+EI$22*HLOOKUP($EA$22,'GREET IO'!$A$77:$AZ$98,ROW(EA62)-ROW(EA$42)+1,FALSE)+EI$23*HLOOKUP($EA$23,'GREET IO'!$A$77:$AZ$98,ROW(EA62)-ROW(EA$42)+1,FALSE)+EI$24*HLOOKUP($EA$24,'GREET IO'!$A$77:$AZ$98,ROW(EA62)-ROW(EA$42)+1,FALSE)+EI$25*HLOOKUP($EA$25,'GREET IO'!$A$77:$AZ$98,ROW(EA62)-ROW(EA$42)+1,FALSE)+EI$26*HLOOKUP($EA$26,'GREET IO'!$A$77:$AZ$98,ROW(EA62)-ROW(EA$42)+1,FALSE)+EI$27*HLOOKUP($EA$27,'GREET IO'!$A$77:$AZ$98,ROW(EA62)-ROW(EA$42)+1,FALSE))/$AI$32</f>
        <v>#DIV/0!</v>
      </c>
      <c r="EE62" s="874">
        <f>EE61+EE51*'GREET IO'!$B$118/'GREET IO'!$B$120+EE52*'GREET IO'!$B$119/'GREET IO'!$B$120</f>
        <v>2673.5461608544038</v>
      </c>
      <c r="EF62" s="874">
        <f>EF61+EF51*'GREET IO'!$B$118/'GREET IO'!$B$120+EF52*'GREET IO'!$B$119/'GREET IO'!$B$120</f>
        <v>0</v>
      </c>
      <c r="EG62" s="562" t="e">
        <f t="shared" si="73"/>
        <v>#DIV/0!</v>
      </c>
      <c r="EH62" s="185" t="e">
        <f t="shared" si="74"/>
        <v>#DIV/0!</v>
      </c>
      <c r="EI62" s="338" t="e">
        <f t="shared" si="65"/>
        <v>#DIV/0!</v>
      </c>
      <c r="EK62" s="56">
        <v>106</v>
      </c>
      <c r="EL62" s="56">
        <v>44</v>
      </c>
      <c r="FA62" s="147" t="s">
        <v>198</v>
      </c>
      <c r="FB62" s="874" t="e">
        <f>FB$21*'Mat. Conv Par.'!$AB44+'Mat. Conv Par.'!$C132*SUM(Input!$F$28:$F$32)/$D$8+(FC$21*HLOOKUP($FA$21,'GREET IO'!$A$77:$AZ$98,ROW(FA62)-ROW(FA$42)+1,FALSE)+FC$22*HLOOKUP($FA$22,'GREET IO'!$A$77:$AZ$98,ROW(FA62)-ROW(FA$42)+1,FALSE))/$AI$32</f>
        <v>#DIV/0!</v>
      </c>
      <c r="FC62" s="874" t="e">
        <f>FE$21*'Mat. Conv Par.'!$AB44+'Mat. Conv Par.'!$D132*SUM(Input!$F$28:$F$32)/$D$8+(FF$21*HLOOKUP($FA$21,'GREET IO'!$A$77:$AZ$98,ROW(FA62)-ROW(FA$42)+1,FALSE)+FF$22*HLOOKUP($FA$22,'GREET IO'!$A$77:$AZ$98,ROW(FA62)-ROW(FA$42)+1,FALSE))/$AI$32</f>
        <v>#DIV/0!</v>
      </c>
      <c r="FD62" s="874" t="e">
        <f>FH$21*'Mat. Conv Par.'!$AB44+'Mat. Conv Par.'!$F132*SUM(Input!$F$28:$F$32)/$D$8+(FI$21*HLOOKUP($FA$21,'GREET IO'!$A$77:$AZ$98,ROW(FA62)-ROW(FA$42)+1,FALSE)+FI$22*HLOOKUP($FA$22,'GREET IO'!$A$77:$AZ$98,ROW(FA62)-ROW(FA$42)+1,FALSE))/$AI$32</f>
        <v>#DIV/0!</v>
      </c>
      <c r="FE62" s="874">
        <f>FE61+FE51*'GREET IO'!$B$118/'GREET IO'!$B$120+FE52*'GREET IO'!$B$119/'GREET IO'!$B$120</f>
        <v>0</v>
      </c>
      <c r="FF62" s="874">
        <f>FF61+FF51*'GREET IO'!$B$118/'GREET IO'!$B$120+FF52*'GREET IO'!$B$119/'GREET IO'!$B$120</f>
        <v>224.44970509858067</v>
      </c>
      <c r="FG62" s="562" t="e">
        <f t="shared" si="75"/>
        <v>#DIV/0!</v>
      </c>
      <c r="FH62" s="185" t="e">
        <f t="shared" si="76"/>
        <v>#DIV/0!</v>
      </c>
      <c r="FI62" s="338" t="e">
        <f t="shared" si="77"/>
        <v>#DIV/0!</v>
      </c>
      <c r="FK62" s="56">
        <v>74</v>
      </c>
      <c r="FL62" s="56">
        <v>44</v>
      </c>
    </row>
    <row r="63" spans="2:168">
      <c r="B63" s="147" t="s">
        <v>546</v>
      </c>
      <c r="C63" s="632">
        <f t="shared" si="78"/>
        <v>34.893805309734518</v>
      </c>
      <c r="D63" s="275">
        <v>34.893805309734518</v>
      </c>
      <c r="E63" s="901">
        <f>IF(ISBLANK(Materials!D71),0,Materials!D71)</f>
        <v>0</v>
      </c>
      <c r="AA63" s="267" t="s">
        <v>199</v>
      </c>
      <c r="AB63" s="187" t="e">
        <f>AB$21*'Mat. Conv Par.'!$AC45+AB$22*'Mat. Conv Par.'!$BB43+'Mat. Conv Par.'!$C133*SUM(Input!$F$28:$F$32)/$D$8+(AC$21*HLOOKUP($AA$21,'GREET IO'!$A$77:$AZ$98,ROW(AA63)-ROW(AA$42)+1,FALSE)+AC$22*HLOOKUP($AA$22,'GREET IO'!$A$77:$AZ$98,ROW(AA63)-ROW(AA$42)+1,FALSE)+AC$23*HLOOKUP($AA$23,'GREET IO'!$A$77:$AZ$98,ROW(AA63)-ROW(AA$42)+1,FALSE)+AC$24*HLOOKUP($AA$24,'GREET IO'!$A$77:$AZ$98,ROW(AA63)-ROW(AA$42)+1,FALSE)+AC$25*HLOOKUP($AA$25,'GREET IO'!$A$77:$AZ$98,ROW(AA63)-ROW(AA$42)+1,FALSE)+AC$26*HLOOKUP($AA$26,'GREET IO'!$A$77:$AZ$98,ROW(AA63)-ROW(AA$42)+1,FALSE)+AC$27*HLOOKUP($AA$27,'GREET IO'!$A$77:$AZ$98,ROW(AA63)-ROW(AA$42)+1,FALSE))/$AI$32</f>
        <v>#DIV/0!</v>
      </c>
      <c r="AC63" s="187" t="e">
        <f>AE$21*'Mat. Conv Par.'!$AC45+AE$22*'Mat. Conv Par.'!$BB43+'Mat. Conv Par.'!$D133*SUM(Input!$F$28:$F$32)/$D$8+(AF$21*HLOOKUP($AA$21,'GREET IO'!$A$77:$AZ$98,ROW(AA63)-ROW(AA$42)+1,FALSE)+AF$22*HLOOKUP($AA$22,'GREET IO'!$A$77:$AZ$98,ROW(AA63)-ROW(AA$42)+1,FALSE)+AF$23*HLOOKUP($AA$23,'GREET IO'!$A$77:$AZ$98,ROW(AA63)-ROW(AA$42)+1,FALSE)+AF$24*HLOOKUP($AA$24,'GREET IO'!$A$77:$AZ$98,ROW(AA63)-ROW(AA$42)+1,FALSE)+AF$25*HLOOKUP($AA$25,'GREET IO'!$A$77:$AZ$98,ROW(AA63)-ROW(AA$42)+1,FALSE)+AF$26*HLOOKUP($AA$26,'GREET IO'!$A$77:$AZ$98,ROW(AA63)-ROW(AA$42)+1,FALSE)+AF$27*HLOOKUP($AA$27,'GREET IO'!$A$77:$AZ$98,ROW(AA63)-ROW(AA$42)+1,FALSE))/$AI$32</f>
        <v>#DIV/0!</v>
      </c>
      <c r="AD63" s="564" t="e">
        <f>AH$21*'Mat. Conv Par.'!$AC45+AH$22*'Mat. Conv Par.'!$BB43+'Mat. Conv Par.'!$F133*SUM(Input!$F$28:$F$32)/$D$8+(AI$21*HLOOKUP($AA$21,'GREET IO'!$A$77:$AZ$98,ROW(AA63)-ROW(AA$42)+1,FALSE)+AI$22*HLOOKUP($AA$22,'GREET IO'!$A$77:$AZ$98,ROW(AA63)-ROW(AA$42)+1,FALSE)+AI$23*HLOOKUP($AA$23,'GREET IO'!$A$77:$AZ$98,ROW(AA63)-ROW(AA$42)+1,FALSE)+AI$24*HLOOKUP($AA$24,'GREET IO'!$A$77:$AZ$98,ROW(AA63)-ROW(AA$42)+1,FALSE)+AI$25*HLOOKUP($AA$25,'GREET IO'!$A$77:$AZ$98,ROW(AA63)-ROW(AA$42)+1,FALSE)+AI$26*HLOOKUP($AA$26,'GREET IO'!$A$77:$AZ$98,ROW(AA63)-ROW(AA$42)+1,FALSE)+AI$27*HLOOKUP($AA$27,'GREET IO'!$A$77:$AZ$98,ROW(AA63)-ROW(AA$42)+1,FALSE))/$AI$32</f>
        <v>#DIV/0!</v>
      </c>
      <c r="AE63" s="875">
        <f>AE62+SUMPRODUCT(AE59:AE60,'GREET IO'!$B$114:$B$115)</f>
        <v>2964.5799533648565</v>
      </c>
      <c r="AF63" s="875">
        <f>AF62+SUMPRODUCT(AF59:AF60,'GREET IO'!$B$114:$B$115)</f>
        <v>227.7347843385578</v>
      </c>
      <c r="AG63" s="187" t="e">
        <f t="shared" si="60"/>
        <v>#DIV/0!</v>
      </c>
      <c r="AH63" s="323" t="e">
        <f t="shared" si="61"/>
        <v>#DIV/0!</v>
      </c>
      <c r="AI63" s="313" t="e">
        <f t="shared" si="62"/>
        <v>#DIV/0!</v>
      </c>
      <c r="AK63" s="56" t="s">
        <v>422</v>
      </c>
      <c r="AL63" s="56" t="s">
        <v>17</v>
      </c>
      <c r="BA63" s="267" t="s">
        <v>199</v>
      </c>
      <c r="BB63" s="187" t="e">
        <f>BB$21*'Mat. Conv Par.'!$AC45+BB$22*'Mat. Conv Par.'!$BB43+'Mat. Conv Par.'!$C133*SUM(Input!$F$28:$F$32)/$D$8+(BC$21*HLOOKUP($AA$21,'GREET IO'!$A$77:$AZ$98,ROW(BA63)-ROW(BA$42)+1,FALSE)+BC$22*HLOOKUP($AA$22,'GREET IO'!$A$77:$AZ$98,ROW(BA63)-ROW(BA$42)+1,FALSE)+BC$23*HLOOKUP($AA$23,'GREET IO'!$A$77:$AZ$98,ROW(BA63)-ROW(BA$42)+1,FALSE)+BC$24*HLOOKUP($AA$24,'GREET IO'!$A$77:$AZ$98,ROW(BA63)-ROW(BA$42)+1,FALSE)+BC$25*HLOOKUP($AA$25,'GREET IO'!$A$77:$AZ$98,ROW(BA63)-ROW(BA$42)+1,FALSE)+BC$26*HLOOKUP($AA$26,'GREET IO'!$A$77:$AZ$98,ROW(BA63)-ROW(BA$42)+1,FALSE)+BC$27*HLOOKUP($AA$27,'GREET IO'!$A$77:$AZ$98,ROW(BA63)-ROW(BA$42)+1,FALSE))/$AI$32</f>
        <v>#DIV/0!</v>
      </c>
      <c r="BC63" s="187" t="e">
        <f>BE$21*'Mat. Conv Par.'!$AC45+BE$22*'Mat. Conv Par.'!$BB43+'Mat. Conv Par.'!$D133*SUM(Input!$F$28:$F$32)/$D$8+(BF$21*HLOOKUP($AA$21,'GREET IO'!$A$77:$AZ$98,ROW(BA63)-ROW(BA$42)+1,FALSE)+BF$22*HLOOKUP($AA$22,'GREET IO'!$A$77:$AZ$98,ROW(BA63)-ROW(BA$42)+1,FALSE)+BF$23*HLOOKUP($AA$23,'GREET IO'!$A$77:$AZ$98,ROW(BA63)-ROW(BA$42)+1,FALSE)+BF$24*HLOOKUP($AA$24,'GREET IO'!$A$77:$AZ$98,ROW(BA63)-ROW(BA$42)+1,FALSE)+BF$25*HLOOKUP($AA$25,'GREET IO'!$A$77:$AZ$98,ROW(BA63)-ROW(BA$42)+1,FALSE)+BF$26*HLOOKUP($AA$26,'GREET IO'!$A$77:$AZ$98,ROW(BA63)-ROW(BA$42)+1,FALSE)+BF$27*HLOOKUP($AA$27,'GREET IO'!$A$77:$AZ$98,ROW(BA63)-ROW(BA$42)+1,FALSE))/$AI$32</f>
        <v>#DIV/0!</v>
      </c>
      <c r="BD63" s="564" t="e">
        <f>BH$21*'Mat. Conv Par.'!$AC45+BH$22*'Mat. Conv Par.'!$BB43+'Mat. Conv Par.'!$F133*SUM(Input!$F$28:$F$32)/$D$8+(BI$21*HLOOKUP($AA$21,'GREET IO'!$A$77:$AZ$98,ROW(BA63)-ROW(BA$42)+1,FALSE)+BI$22*HLOOKUP($AA$22,'GREET IO'!$A$77:$AZ$98,ROW(BA63)-ROW(BA$42)+1,FALSE)+BI$23*HLOOKUP($AA$23,'GREET IO'!$A$77:$AZ$98,ROW(BA63)-ROW(BA$42)+1,FALSE)+BI$24*HLOOKUP($AA$24,'GREET IO'!$A$77:$AZ$98,ROW(BA63)-ROW(BA$42)+1,FALSE)+BI$25*HLOOKUP($AA$25,'GREET IO'!$A$77:$AZ$98,ROW(BA63)-ROW(BA$42)+1,FALSE)+BI$26*HLOOKUP($AA$26,'GREET IO'!$A$77:$AZ$98,ROW(BA63)-ROW(BA$42)+1,FALSE)+BI$27*HLOOKUP($AA$27,'GREET IO'!$A$77:$AZ$98,ROW(BA63)-ROW(BA$42)+1,FALSE))/$AI$32</f>
        <v>#DIV/0!</v>
      </c>
      <c r="BE63" s="875">
        <f>BE62+SUMPRODUCT(BE59:BE60,'GREET IO'!$B$114:$B$115)</f>
        <v>2964.7334272680973</v>
      </c>
      <c r="BF63" s="875">
        <f>BF62+SUMPRODUCT(BF59:BF60,'GREET IO'!$B$114:$B$115)</f>
        <v>227.51542983954198</v>
      </c>
      <c r="BG63" s="187" t="e">
        <f t="shared" si="66"/>
        <v>#DIV/0!</v>
      </c>
      <c r="BH63" s="323" t="e">
        <f t="shared" si="67"/>
        <v>#DIV/0!</v>
      </c>
      <c r="BI63" s="313" t="e">
        <f t="shared" si="68"/>
        <v>#DIV/0!</v>
      </c>
      <c r="BK63" s="56" t="s">
        <v>422</v>
      </c>
      <c r="BL63" s="56" t="s">
        <v>17</v>
      </c>
      <c r="CA63" s="267" t="s">
        <v>199</v>
      </c>
      <c r="CB63" s="187" t="e">
        <f>CB$21*'Mat. Conv Par.'!$AC45+CB$22*'Mat. Conv Par.'!$BB43+'Mat. Conv Par.'!$C133*SUM(Input!$F$28:$F$32)/$D$8+(CC$21*HLOOKUP($AA$21,'GREET IO'!$A$77:$AZ$98,ROW(CA63)-ROW(CA$42)+1,FALSE)+CC$22*HLOOKUP($AA$22,'GREET IO'!$A$77:$AZ$98,ROW(CA63)-ROW(CA$42)+1,FALSE)+CC$23*HLOOKUP($AA$23,'GREET IO'!$A$77:$AZ$98,ROW(CA63)-ROW(CA$42)+1,FALSE)+CC$24*HLOOKUP($AA$24,'GREET IO'!$A$77:$AZ$98,ROW(CA63)-ROW(CA$42)+1,FALSE)+CC$25*HLOOKUP($AA$25,'GREET IO'!$A$77:$AZ$98,ROW(CA63)-ROW(CA$42)+1,FALSE)+CC$26*HLOOKUP($AA$26,'GREET IO'!$A$77:$AZ$98,ROW(CA63)-ROW(CA$42)+1,FALSE)+CC$27*HLOOKUP($AA$27,'GREET IO'!$A$77:$AZ$98,ROW(CA63)-ROW(CA$42)+1,FALSE))/$AI$32</f>
        <v>#DIV/0!</v>
      </c>
      <c r="CC63" s="187" t="e">
        <f>CE$21*'Mat. Conv Par.'!$AC45+CE$22*'Mat. Conv Par.'!$BB43+'Mat. Conv Par.'!$D133*SUM(Input!$F$28:$F$32)/$D$8+(CF$21*HLOOKUP($AA$21,'GREET IO'!$A$77:$AZ$98,ROW(CA63)-ROW(CA$42)+1,FALSE)+CF$22*HLOOKUP($AA$22,'GREET IO'!$A$77:$AZ$98,ROW(CA63)-ROW(CA$42)+1,FALSE)+CF$23*HLOOKUP($AA$23,'GREET IO'!$A$77:$AZ$98,ROW(CA63)-ROW(CA$42)+1,FALSE)+CF$24*HLOOKUP($AA$24,'GREET IO'!$A$77:$AZ$98,ROW(CA63)-ROW(CA$42)+1,FALSE)+CF$25*HLOOKUP($AA$25,'GREET IO'!$A$77:$AZ$98,ROW(CA63)-ROW(CA$42)+1,FALSE)+CF$26*HLOOKUP($AA$26,'GREET IO'!$A$77:$AZ$98,ROW(CA63)-ROW(CA$42)+1,FALSE)+CF$27*HLOOKUP($AA$27,'GREET IO'!$A$77:$AZ$98,ROW(CA63)-ROW(CA$42)+1,FALSE))/$AI$32</f>
        <v>#DIV/0!</v>
      </c>
      <c r="CD63" s="564" t="e">
        <f>CH$21*'Mat. Conv Par.'!$AC45+CH$22*'Mat. Conv Par.'!$BB43+'Mat. Conv Par.'!$F133*SUM(Input!$F$28:$F$32)/$D$8+(CI$21*HLOOKUP($AA$21,'GREET IO'!$A$77:$AZ$98,ROW(CA63)-ROW(CA$42)+1,FALSE)+CI$22*HLOOKUP($AA$22,'GREET IO'!$A$77:$AZ$98,ROW(CA63)-ROW(CA$42)+1,FALSE)+CI$23*HLOOKUP($AA$23,'GREET IO'!$A$77:$AZ$98,ROW(CA63)-ROW(CA$42)+1,FALSE)+CI$24*HLOOKUP($AA$24,'GREET IO'!$A$77:$AZ$98,ROW(CA63)-ROW(CA$42)+1,FALSE)+CI$25*HLOOKUP($AA$25,'GREET IO'!$A$77:$AZ$98,ROW(CA63)-ROW(CA$42)+1,FALSE)+CI$26*HLOOKUP($AA$26,'GREET IO'!$A$77:$AZ$98,ROW(CA63)-ROW(CA$42)+1,FALSE)+CI$27*HLOOKUP($AA$27,'GREET IO'!$A$77:$AZ$98,ROW(CA63)-ROW(CA$42)+1,FALSE))/$AI$32</f>
        <v>#DIV/0!</v>
      </c>
      <c r="CE63" s="875">
        <f>CE62+SUMPRODUCT(CE59:CE60,'GREET IO'!$B$114:$B$115)</f>
        <v>2965.3492856599332</v>
      </c>
      <c r="CF63" s="875">
        <f>CF62+SUMPRODUCT(CF59:CF60,'GREET IO'!$B$114:$B$115)</f>
        <v>226.63520651718068</v>
      </c>
      <c r="CG63" s="187" t="e">
        <f t="shared" si="69"/>
        <v>#DIV/0!</v>
      </c>
      <c r="CH63" s="323" t="e">
        <f t="shared" si="70"/>
        <v>#DIV/0!</v>
      </c>
      <c r="CI63" s="313" t="e">
        <f t="shared" si="63"/>
        <v>#DIV/0!</v>
      </c>
      <c r="CK63" s="56" t="s">
        <v>422</v>
      </c>
      <c r="CL63" s="56" t="s">
        <v>17</v>
      </c>
      <c r="DA63" s="267" t="s">
        <v>199</v>
      </c>
      <c r="DB63" s="187" t="e">
        <f>DB$21*'Mat. Conv Par.'!$AC45+DB$22*'Mat. Conv Par.'!$BB43+'Mat. Conv Par.'!$C133*SUM(Input!$F$28:$F$32)/$D$8+(DC$21*HLOOKUP($DA$21,'GREET IO'!$A$77:$AZ$98,ROW(DA63)-ROW(DA$42)+1,FALSE)+DC$22*HLOOKUP($DA$22,'GREET IO'!$A$77:$AZ$98,ROW(DA63)-ROW(DA$42)+1,FALSE)+DC$23*HLOOKUP($DA$23,'GREET IO'!$A$77:$AZ$98,ROW(DA63)-ROW(DA$42)+1,FALSE)+DC$24*HLOOKUP($DA$24,'GREET IO'!$A$77:$AZ$98,ROW(DA63)-ROW(DA$42)+1,FALSE)+DC$25*HLOOKUP($DA$25,'GREET IO'!$A$77:$AZ$98,ROW(DA63)-ROW(DA$42)+1,FALSE)+DC$26*HLOOKUP($DA$26,'GREET IO'!$A$77:$AZ$98,ROW(DA63)-ROW(DA$42)+1,FALSE)+DC$27*HLOOKUP($DA$27,'GREET IO'!$A$77:$AZ$98,ROW(DA63)-ROW(DA$42)+1,FALSE))/$AI$32</f>
        <v>#DIV/0!</v>
      </c>
      <c r="DC63" s="187" t="e">
        <f>DE$21*'Mat. Conv Par.'!$AC45+DE$22*'Mat. Conv Par.'!$BB43+DE$23*'Mat. Conv Par.'!$CB43+'Mat. Conv Par.'!$D133*SUM(Input!$F$28:$F$32)/$D$8+(DF$21*HLOOKUP($DA$21,'GREET IO'!$A$77:$AZ$98,ROW(DA63)-ROW(DA$42)+1,FALSE)+DF$22*HLOOKUP($DA$22,'GREET IO'!$A$77:$AZ$98,ROW(DA63)-ROW(DA$42)+1,FALSE)+DF$23*HLOOKUP($DA$23,'GREET IO'!$A$77:$AZ$98,ROW(DA63)-ROW(DA$42)+1,FALSE)+DF$24*HLOOKUP($DA$24,'GREET IO'!$A$77:$AZ$98,ROW(DA63)-ROW(DA$42)+1,FALSE)+DF$25*HLOOKUP($DA$25,'GREET IO'!$A$77:$AZ$98,ROW(DA63)-ROW(DA$42)+1,FALSE)+DF$26*HLOOKUP($DA$26,'GREET IO'!$A$77:$AZ$98,ROW(DA63)-ROW(DA$42)+1,FALSE)+DF$27*HLOOKUP($DA$27,'GREET IO'!$A$77:$AZ$98,ROW(DA63)-ROW(DA$42)+1,FALSE))/$AI$32</f>
        <v>#DIV/0!</v>
      </c>
      <c r="DD63" s="187" t="e">
        <f>DH$21*'Mat. Conv Par.'!$AC45+DH$22*'Mat. Conv Par.'!$BB43+DH$23*'Mat. Conv Par.'!$CB43+'Mat. Conv Par.'!$F133*SUM(Input!$F$28:$F$32)/$D$8+(DI$21*HLOOKUP($DA$21,'GREET IO'!$A$77:$AZ$98,ROW(DA63)-ROW(DA$42)+1,FALSE)+DI$22*HLOOKUP($DA$22,'GREET IO'!$A$77:$AZ$98,ROW(DA63)-ROW(DA$42)+1,FALSE)+DI$23*HLOOKUP($DA$23,'GREET IO'!$A$77:$AZ$98,ROW(DA63)-ROW(DA$42)+1,FALSE)+DI$24*HLOOKUP($DA$24,'GREET IO'!$A$77:$AZ$98,ROW(DA63)-ROW(DA$42)+1,FALSE)+DI$25*HLOOKUP($DA$25,'GREET IO'!$A$77:$AZ$98,ROW(DA63)-ROW(DA$42)+1,FALSE)+DI$26*HLOOKUP($DA$26,'GREET IO'!$A$77:$AZ$98,ROW(DA63)-ROW(DA$42)+1,FALSE)+DI$27*HLOOKUP($DA$27,'GREET IO'!$A$77:$AZ$98,ROW(DA63)-ROW(DA$42)+1,FALSE))/$AI$32</f>
        <v>#DIV/0!</v>
      </c>
      <c r="DE63" s="875">
        <f>DE62+SUMPRODUCT(DE59:DE60,'GREET IO'!$B$114:$B$115)</f>
        <v>2964.4493087368223</v>
      </c>
      <c r="DF63" s="875">
        <f>DF62+SUMPRODUCT(DF59:DF60,'GREET IO'!$B$114:$B$115)</f>
        <v>0</v>
      </c>
      <c r="DG63" s="187" t="e">
        <f t="shared" si="71"/>
        <v>#DIV/0!</v>
      </c>
      <c r="DH63" s="323" t="e">
        <f t="shared" si="72"/>
        <v>#DIV/0!</v>
      </c>
      <c r="DI63" s="313" t="e">
        <f t="shared" si="64"/>
        <v>#DIV/0!</v>
      </c>
      <c r="DK63" s="56" t="s">
        <v>422</v>
      </c>
      <c r="DL63" s="56" t="s">
        <v>17</v>
      </c>
      <c r="EA63" s="267" t="s">
        <v>199</v>
      </c>
      <c r="EB63" s="187" t="e">
        <f>EB$21*'Mat. Conv Par.'!$AC45+EB$22*'Mat. Conv Par.'!$BB43+EB$23*'Mat. Conv Par.'!$CB43+'Mat. Conv Par.'!$C133*SUM(Input!$F$28:$F$32)/$D$8+(EC$21*HLOOKUP($EA$21,'GREET IO'!$A$77:$AZ$98,ROW(EA63)-ROW(EA$42)+1,FALSE)+EC$22*HLOOKUP($EA$22,'GREET IO'!$A$77:$AZ$98,ROW(EA63)-ROW(EA$42)+1,FALSE)+EC$23*HLOOKUP($EA$23,'GREET IO'!$A$77:$AZ$98,ROW(EA63)-ROW(EA$42)+1,FALSE)+EC$24*HLOOKUP($EA$24,'GREET IO'!$A$77:$AZ$98,ROW(EA63)-ROW(EA$42)+1,FALSE)+EC$25*HLOOKUP($EA$25,'GREET IO'!$A$77:$AZ$98,ROW(EA63)-ROW(EA$42)+1,FALSE)+EC$26*HLOOKUP($EA$26,'GREET IO'!$A$77:$AZ$98,ROW(EA63)-ROW(EA$42)+1,FALSE)+EC$27*HLOOKUP($EA$27,'GREET IO'!$A$77:$AZ$98,ROW(EA63)-ROW(EA$42)+1,FALSE))/$AI$32</f>
        <v>#DIV/0!</v>
      </c>
      <c r="EC63" s="187" t="e">
        <f>EE$21*'Mat. Conv Par.'!$AC45+EE$22*'Mat. Conv Par.'!$BB43+EE$23*'Mat. Conv Par.'!$CB43+'Mat. Conv Par.'!$D133*SUM(Input!$F$28:$F$32)/$D$8+(EF$21*HLOOKUP($EA$21,'GREET IO'!$A$77:$AZ$98,ROW(EA63)-ROW(EA$42)+1,FALSE)+EF$22*HLOOKUP($EA$22,'GREET IO'!$A$77:$AZ$98,ROW(EA63)-ROW(EA$42)+1,FALSE)+EF$23*HLOOKUP($EA$23,'GREET IO'!$A$77:$AZ$98,ROW(EA63)-ROW(EA$42)+1,FALSE)+EF$24*HLOOKUP($EA$24,'GREET IO'!$A$77:$AZ$98,ROW(EA63)-ROW(EA$42)+1,FALSE)+EF$25*HLOOKUP($EA$25,'GREET IO'!$A$77:$AZ$98,ROW(EA63)-ROW(EA$42)+1,FALSE)+EF$26*HLOOKUP($EA$26,'GREET IO'!$A$77:$AZ$98,ROW(EA63)-ROW(EA$42)+1,FALSE)+EF$27*HLOOKUP($EA$27,'GREET IO'!$A$77:$AZ$98,ROW(EA63)-ROW(EA$42)+1,FALSE))/$AI$32</f>
        <v>#DIV/0!</v>
      </c>
      <c r="ED63" s="187" t="e">
        <f>EH$21*'Mat. Conv Par.'!$AC45+EH$22*'Mat. Conv Par.'!$BB43+EH$23*'Mat. Conv Par.'!$CB43+'Mat. Conv Par.'!$F133*SUM(Input!$F$28:$F$32)/$D$8+(EI$21*HLOOKUP($EA$21,'GREET IO'!$A$77:$AZ$98,ROW(EA63)-ROW(EA$42)+1,FALSE)+EI$22*HLOOKUP($EA$22,'GREET IO'!$A$77:$AZ$98,ROW(EA63)-ROW(EA$42)+1,FALSE)+EI$23*HLOOKUP($EA$23,'GREET IO'!$A$77:$AZ$98,ROW(EA63)-ROW(EA$42)+1,FALSE)+EI$24*HLOOKUP($EA$24,'GREET IO'!$A$77:$AZ$98,ROW(EA63)-ROW(EA$42)+1,FALSE)+EI$25*HLOOKUP($EA$25,'GREET IO'!$A$77:$AZ$98,ROW(EA63)-ROW(EA$42)+1,FALSE)+EI$26*HLOOKUP($EA$26,'GREET IO'!$A$77:$AZ$98,ROW(EA63)-ROW(EA$42)+1,FALSE)+EI$27*HLOOKUP($EA$27,'GREET IO'!$A$77:$AZ$98,ROW(EA63)-ROW(EA$42)+1,FALSE))/$AI$32</f>
        <v>#DIV/0!</v>
      </c>
      <c r="EE63" s="875">
        <f>EE62+SUMPRODUCT(EE59:EE60,'GREET IO'!$B$114:$B$115)</f>
        <v>2967.721358821228</v>
      </c>
      <c r="EF63" s="875">
        <f>EF62+SUMPRODUCT(EF59:EF60,'GREET IO'!$B$114:$B$115)</f>
        <v>0</v>
      </c>
      <c r="EG63" s="187" t="e">
        <f t="shared" si="73"/>
        <v>#DIV/0!</v>
      </c>
      <c r="EH63" s="323" t="e">
        <f t="shared" si="74"/>
        <v>#DIV/0!</v>
      </c>
      <c r="EI63" s="313" t="e">
        <f t="shared" si="65"/>
        <v>#DIV/0!</v>
      </c>
      <c r="FA63" s="267" t="s">
        <v>199</v>
      </c>
      <c r="FB63" s="875" t="e">
        <f>FB$21*'Mat. Conv Par.'!$AB45+'Mat. Conv Par.'!$C133*SUM(Input!$F$28:$F$32)/$D$8+(FC$21*HLOOKUP($FA$21,'GREET IO'!$A$77:$AZ$98,ROW(FA63)-ROW(FA$42)+1,FALSE)+FC$22*HLOOKUP($FA$22,'GREET IO'!$A$77:$AZ$98,ROW(FA63)-ROW(FA$42)+1,FALSE))/$AI$32</f>
        <v>#DIV/0!</v>
      </c>
      <c r="FC63" s="875" t="e">
        <f>FE$21*'Mat. Conv Par.'!$AB45+'Mat. Conv Par.'!$D133*SUM(Input!$F$28:$F$32)/$D$8+(FF$21*HLOOKUP($FA$21,'GREET IO'!$A$77:$AZ$98,ROW(FA63)-ROW(FA$42)+1,FALSE)+FF$22*HLOOKUP($FA$22,'GREET IO'!$A$77:$AZ$98,ROW(FA63)-ROW(FA$42)+1,FALSE))/$AI$32</f>
        <v>#DIV/0!</v>
      </c>
      <c r="FD63" s="875" t="e">
        <f>FH$21*'Mat. Conv Par.'!$AB45+'Mat. Conv Par.'!$F133*SUM(Input!$F$28:$F$32)/$D$8+(FI$21*HLOOKUP($FA$21,'GREET IO'!$A$77:$AZ$98,ROW(FA63)-ROW(FA$42)+1,FALSE)+FI$22*HLOOKUP($FA$22,'GREET IO'!$A$77:$AZ$98,ROW(FA63)-ROW(FA$42)+1,FALSE))/$AI$32</f>
        <v>#DIV/0!</v>
      </c>
      <c r="FE63" s="875">
        <f>FE62+SUMPRODUCT(FE59:FE60,'GREET IO'!$B$114:$B$115)</f>
        <v>0</v>
      </c>
      <c r="FF63" s="875">
        <f>FF62+SUMPRODUCT(FF59:FF60,'GREET IO'!$B$114:$B$115)</f>
        <v>224.44970509858067</v>
      </c>
      <c r="FG63" s="187" t="e">
        <f t="shared" si="75"/>
        <v>#DIV/0!</v>
      </c>
      <c r="FH63" s="323" t="e">
        <f t="shared" si="76"/>
        <v>#DIV/0!</v>
      </c>
      <c r="FI63" s="313" t="e">
        <f t="shared" si="77"/>
        <v>#DIV/0!</v>
      </c>
    </row>
    <row r="64" spans="2:168">
      <c r="B64" s="147" t="s">
        <v>541</v>
      </c>
      <c r="C64" s="632">
        <f t="shared" si="78"/>
        <v>2.1913071129307982</v>
      </c>
      <c r="D64" s="275">
        <f>'BatPaC IO'!$C$8*'Mat. Conv Par.'!$G$150*2/'Mat. Conv Par.'!$H$150</f>
        <v>2.1913071129307982</v>
      </c>
      <c r="E64" s="901">
        <f>IF(ISBLANK(Materials!D72),0,Materials!D72)</f>
        <v>0</v>
      </c>
      <c r="AK64" s="56">
        <v>106</v>
      </c>
      <c r="AL64" s="56">
        <v>44</v>
      </c>
      <c r="BK64" s="56">
        <v>106</v>
      </c>
      <c r="BL64" s="56">
        <v>44</v>
      </c>
      <c r="CK64" s="56">
        <v>106</v>
      </c>
      <c r="CL64" s="56">
        <v>44</v>
      </c>
      <c r="DK64" s="56">
        <v>106</v>
      </c>
      <c r="DL64" s="56">
        <v>44</v>
      </c>
    </row>
    <row r="65" spans="2:163">
      <c r="B65" s="147" t="s">
        <v>537</v>
      </c>
      <c r="C65" s="632">
        <f t="shared" si="78"/>
        <v>1.1449942464254306</v>
      </c>
      <c r="D65" s="275">
        <f>'BatPaC IO'!$C$8*'Mat. Conv Par.'!$G$150/'Mat. Conv Par.'!$I$150</f>
        <v>1.1449942464254306</v>
      </c>
      <c r="E65" s="901">
        <f>IF(ISBLANK(Materials!D73),0,Materials!D73)</f>
        <v>0</v>
      </c>
      <c r="AA65" s="2" t="s">
        <v>1431</v>
      </c>
      <c r="BA65" s="2" t="s">
        <v>1431</v>
      </c>
      <c r="CA65" s="2" t="s">
        <v>1431</v>
      </c>
      <c r="DA65" s="2" t="s">
        <v>1431</v>
      </c>
      <c r="EA65" s="2" t="s">
        <v>1431</v>
      </c>
      <c r="FA65" s="2" t="s">
        <v>1431</v>
      </c>
    </row>
    <row r="66" spans="2:163">
      <c r="B66" s="147" t="s">
        <v>543</v>
      </c>
      <c r="C66" s="632">
        <f t="shared" si="78"/>
        <v>6.3947711700064653</v>
      </c>
      <c r="D66" s="275">
        <f>'BatPaC IO'!$B$8*'Mat. Conv Par.'!$H$45/'Mat. Conv Par.'!$J$45</f>
        <v>6.3947711700064653</v>
      </c>
      <c r="E66" s="901">
        <f>IF(ISBLANK(Materials!D74),0,Materials!D74)</f>
        <v>0</v>
      </c>
      <c r="AA66" s="699"/>
      <c r="AB66" s="702" t="s">
        <v>677</v>
      </c>
      <c r="AC66" s="702" t="s">
        <v>426</v>
      </c>
      <c r="AD66" s="702" t="s">
        <v>36</v>
      </c>
      <c r="AE66" s="702" t="s">
        <v>718</v>
      </c>
      <c r="BA66" s="699"/>
      <c r="BB66" s="702" t="s">
        <v>677</v>
      </c>
      <c r="BC66" s="702" t="s">
        <v>426</v>
      </c>
      <c r="BD66" s="702" t="s">
        <v>36</v>
      </c>
      <c r="BE66" s="702" t="s">
        <v>718</v>
      </c>
      <c r="CA66" s="699"/>
      <c r="CB66" s="702" t="s">
        <v>677</v>
      </c>
      <c r="CC66" s="702" t="s">
        <v>426</v>
      </c>
      <c r="CD66" s="702" t="s">
        <v>36</v>
      </c>
      <c r="CE66" s="702" t="s">
        <v>718</v>
      </c>
      <c r="DA66" s="699"/>
      <c r="DB66" s="702" t="s">
        <v>677</v>
      </c>
      <c r="DC66" s="702" t="s">
        <v>426</v>
      </c>
      <c r="DD66" s="702" t="s">
        <v>36</v>
      </c>
      <c r="DE66" s="702" t="s">
        <v>718</v>
      </c>
      <c r="EA66" s="699"/>
      <c r="EB66" s="702" t="s">
        <v>677</v>
      </c>
      <c r="EC66" s="702" t="s">
        <v>426</v>
      </c>
      <c r="ED66" s="702" t="s">
        <v>36</v>
      </c>
      <c r="EE66" s="702" t="s">
        <v>718</v>
      </c>
      <c r="FA66" s="699"/>
      <c r="FB66" s="702" t="s">
        <v>677</v>
      </c>
      <c r="FC66" s="702" t="s">
        <v>426</v>
      </c>
      <c r="FD66" s="702" t="s">
        <v>36</v>
      </c>
      <c r="FE66" s="702" t="s">
        <v>718</v>
      </c>
    </row>
    <row r="67" spans="2:163">
      <c r="B67" s="147" t="s">
        <v>525</v>
      </c>
      <c r="C67" s="632">
        <f t="shared" si="78"/>
        <v>0.2</v>
      </c>
      <c r="D67" s="275">
        <v>0.2</v>
      </c>
      <c r="E67" s="901">
        <f>IF(ISBLANK(Materials!D75),0,Materials!D75)</f>
        <v>0</v>
      </c>
      <c r="AA67" s="340" t="s">
        <v>1526</v>
      </c>
      <c r="AB67" s="821" t="e">
        <f ca="1">AB68+AB69</f>
        <v>#DIV/0!</v>
      </c>
      <c r="AC67" s="821" t="e">
        <f ca="1">AC68+AC69</f>
        <v>#DIV/0!</v>
      </c>
      <c r="AD67" s="821" t="e">
        <f ca="1">AD68+AD69</f>
        <v>#DIV/0!</v>
      </c>
      <c r="AE67" s="821" t="e">
        <f ca="1">AE68+AE69</f>
        <v>#DIV/0!</v>
      </c>
      <c r="BA67" s="340" t="s">
        <v>1526</v>
      </c>
      <c r="BB67" s="821" t="e">
        <f ca="1">BB68+BB69</f>
        <v>#DIV/0!</v>
      </c>
      <c r="BC67" s="821" t="e">
        <f ca="1">BC68+BC69</f>
        <v>#DIV/0!</v>
      </c>
      <c r="BD67" s="821" t="e">
        <f ca="1">BD68+BD69</f>
        <v>#DIV/0!</v>
      </c>
      <c r="BE67" s="821" t="e">
        <f ca="1">BE68+BE69</f>
        <v>#DIV/0!</v>
      </c>
      <c r="CA67" s="340" t="s">
        <v>1526</v>
      </c>
      <c r="CB67" s="821" t="e">
        <f ca="1">CB68+CB69</f>
        <v>#DIV/0!</v>
      </c>
      <c r="CC67" s="821" t="e">
        <f ca="1">CC68+CC69</f>
        <v>#DIV/0!</v>
      </c>
      <c r="CD67" s="821" t="e">
        <f ca="1">CD68+CD69</f>
        <v>#DIV/0!</v>
      </c>
      <c r="CE67" s="821" t="e">
        <f ca="1">CE68+CE69</f>
        <v>#DIV/0!</v>
      </c>
      <c r="DA67" s="340" t="s">
        <v>1526</v>
      </c>
      <c r="DB67" s="821" t="e">
        <f ca="1">DB68+DB69</f>
        <v>#DIV/0!</v>
      </c>
      <c r="DC67" s="821" t="e">
        <f ca="1">DC68+DC69</f>
        <v>#DIV/0!</v>
      </c>
      <c r="DD67" s="821" t="e">
        <f ca="1">DD68+DD69</f>
        <v>#DIV/0!</v>
      </c>
      <c r="DE67" s="821" t="e">
        <f ca="1">DE68+DE69</f>
        <v>#DIV/0!</v>
      </c>
      <c r="EA67" s="340" t="s">
        <v>1526</v>
      </c>
      <c r="EB67" s="821" t="e">
        <f ca="1">EB68+EB69</f>
        <v>#DIV/0!</v>
      </c>
      <c r="EC67" s="821" t="e">
        <f ca="1">EC68+EC69</f>
        <v>#DIV/0!</v>
      </c>
      <c r="ED67" s="821" t="e">
        <f ca="1">ED68+ED69</f>
        <v>#DIV/0!</v>
      </c>
      <c r="EE67" s="821" t="e">
        <f ca="1">EE68+EE69</f>
        <v>#DIV/0!</v>
      </c>
      <c r="FA67" s="340" t="s">
        <v>1526</v>
      </c>
      <c r="FB67" s="821" t="e">
        <f ca="1">FB68+FB69</f>
        <v>#DIV/0!</v>
      </c>
      <c r="FC67" s="821" t="e">
        <f ca="1">FC68+FC69</f>
        <v>#DIV/0!</v>
      </c>
      <c r="FD67" s="821" t="e">
        <f ca="1">FD68+FD69</f>
        <v>#DIV/0!</v>
      </c>
      <c r="FE67" s="821" t="e">
        <f ca="1">FE68+FE69</f>
        <v>#DIV/0!</v>
      </c>
    </row>
    <row r="68" spans="2:163">
      <c r="B68" s="147" t="s">
        <v>544</v>
      </c>
      <c r="C68" s="632">
        <f t="shared" si="78"/>
        <v>1.1419999999999999</v>
      </c>
      <c r="D68" s="275">
        <v>1.1419999999999999</v>
      </c>
      <c r="E68" s="901">
        <f>IF(ISBLANK(Materials!D76),0,Materials!D76)</f>
        <v>0</v>
      </c>
      <c r="AA68" s="339" t="s">
        <v>1527</v>
      </c>
      <c r="AB68" s="348" t="e">
        <f ca="1">AC453</f>
        <v>#DIV/0!</v>
      </c>
      <c r="AC68" s="348" t="e">
        <f ca="1">AC453</f>
        <v>#DIV/0!</v>
      </c>
      <c r="AD68" s="348" t="e">
        <f ca="1">AC453</f>
        <v>#DIV/0!</v>
      </c>
      <c r="AE68" s="348" t="e">
        <f ca="1">AC453</f>
        <v>#DIV/0!</v>
      </c>
      <c r="BA68" s="339" t="s">
        <v>1527</v>
      </c>
      <c r="BB68" s="348" t="e">
        <f ca="1">BC453</f>
        <v>#DIV/0!</v>
      </c>
      <c r="BC68" s="348" t="e">
        <f ca="1">BC453</f>
        <v>#DIV/0!</v>
      </c>
      <c r="BD68" s="348" t="e">
        <f ca="1">BC453</f>
        <v>#DIV/0!</v>
      </c>
      <c r="BE68" s="348" t="e">
        <f ca="1">BC453</f>
        <v>#DIV/0!</v>
      </c>
      <c r="CA68" s="339" t="s">
        <v>1527</v>
      </c>
      <c r="CB68" s="348" t="e">
        <f ca="1">CC453</f>
        <v>#DIV/0!</v>
      </c>
      <c r="CC68" s="348" t="e">
        <f ca="1">CC453</f>
        <v>#DIV/0!</v>
      </c>
      <c r="CD68" s="348" t="e">
        <f ca="1">CC453</f>
        <v>#DIV/0!</v>
      </c>
      <c r="CE68" s="348" t="e">
        <f ca="1">CC453</f>
        <v>#DIV/0!</v>
      </c>
      <c r="DA68" s="339" t="s">
        <v>1527</v>
      </c>
      <c r="DB68" s="348" t="e">
        <f ca="1">DC453</f>
        <v>#DIV/0!</v>
      </c>
      <c r="DC68" s="348" t="e">
        <f ca="1">DC453</f>
        <v>#DIV/0!</v>
      </c>
      <c r="DD68" s="348" t="e">
        <f ca="1">DC453</f>
        <v>#DIV/0!</v>
      </c>
      <c r="DE68" s="348" t="e">
        <f ca="1">DC453</f>
        <v>#DIV/0!</v>
      </c>
      <c r="EA68" s="339" t="s">
        <v>1527</v>
      </c>
      <c r="EB68" s="348" t="e">
        <f ca="1">EC453</f>
        <v>#DIV/0!</v>
      </c>
      <c r="EC68" s="348" t="e">
        <f ca="1">EC453</f>
        <v>#DIV/0!</v>
      </c>
      <c r="ED68" s="348" t="e">
        <f ca="1">EC453</f>
        <v>#DIV/0!</v>
      </c>
      <c r="EE68" s="348" t="e">
        <f ca="1">EC453</f>
        <v>#DIV/0!</v>
      </c>
      <c r="FA68" s="339" t="s">
        <v>1527</v>
      </c>
      <c r="FB68" s="348" t="e">
        <f>FC453</f>
        <v>#DIV/0!</v>
      </c>
      <c r="FC68" s="348" t="e">
        <f>FC453</f>
        <v>#DIV/0!</v>
      </c>
      <c r="FD68" s="348" t="e">
        <f>FC453</f>
        <v>#DIV/0!</v>
      </c>
      <c r="FE68" s="348" t="e">
        <f>FC453</f>
        <v>#DIV/0!</v>
      </c>
    </row>
    <row r="69" spans="2:163">
      <c r="B69" s="147" t="s">
        <v>391</v>
      </c>
      <c r="C69" s="632">
        <f t="shared" si="78"/>
        <v>0.14319999999999999</v>
      </c>
      <c r="D69" s="258">
        <v>0.14319999999999999</v>
      </c>
      <c r="E69" s="901">
        <f>IF(ISBLANK(Materials!D77),0,Materials!D77)</f>
        <v>0</v>
      </c>
      <c r="AA69" s="339" t="s">
        <v>1528</v>
      </c>
      <c r="AB69" s="348" t="e">
        <f ca="1">AC471</f>
        <v>#DIV/0!</v>
      </c>
      <c r="AC69" s="348" t="e">
        <f ca="1">AC471</f>
        <v>#DIV/0!</v>
      </c>
      <c r="AD69" s="348" t="e">
        <f ca="1">AC471</f>
        <v>#DIV/0!</v>
      </c>
      <c r="AE69" s="348" t="e">
        <f ca="1">AC471</f>
        <v>#DIV/0!</v>
      </c>
      <c r="BA69" s="339" t="s">
        <v>1528</v>
      </c>
      <c r="BB69" s="348" t="e">
        <f ca="1">BC471</f>
        <v>#DIV/0!</v>
      </c>
      <c r="BC69" s="348" t="e">
        <f ca="1">BC471</f>
        <v>#DIV/0!</v>
      </c>
      <c r="BD69" s="348" t="e">
        <f ca="1">BC471</f>
        <v>#DIV/0!</v>
      </c>
      <c r="BE69" s="348" t="e">
        <f ca="1">BC471</f>
        <v>#DIV/0!</v>
      </c>
      <c r="CA69" s="339" t="s">
        <v>1528</v>
      </c>
      <c r="CB69" s="348" t="e">
        <f ca="1">CC471</f>
        <v>#DIV/0!</v>
      </c>
      <c r="CC69" s="348" t="e">
        <f ca="1">CC471</f>
        <v>#DIV/0!</v>
      </c>
      <c r="CD69" s="348" t="e">
        <f ca="1">CC471</f>
        <v>#DIV/0!</v>
      </c>
      <c r="CE69" s="348" t="e">
        <f ca="1">CC471</f>
        <v>#DIV/0!</v>
      </c>
      <c r="DA69" s="339" t="s">
        <v>1528</v>
      </c>
      <c r="DB69" s="348" t="e">
        <f ca="1">DC471</f>
        <v>#DIV/0!</v>
      </c>
      <c r="DC69" s="348" t="e">
        <f ca="1">DC471</f>
        <v>#DIV/0!</v>
      </c>
      <c r="DD69" s="348" t="e">
        <f ca="1">DC471</f>
        <v>#DIV/0!</v>
      </c>
      <c r="DE69" s="348" t="e">
        <f ca="1">DC471</f>
        <v>#DIV/0!</v>
      </c>
      <c r="EA69" s="339" t="s">
        <v>1528</v>
      </c>
      <c r="EB69" s="348" t="e">
        <f ca="1">EC471</f>
        <v>#DIV/0!</v>
      </c>
      <c r="EC69" s="348" t="e">
        <f ca="1">EC471</f>
        <v>#DIV/0!</v>
      </c>
      <c r="ED69" s="348" t="e">
        <f ca="1">EC471</f>
        <v>#DIV/0!</v>
      </c>
      <c r="EE69" s="348" t="e">
        <f ca="1">EC471</f>
        <v>#DIV/0!</v>
      </c>
      <c r="FA69" s="339" t="s">
        <v>1528</v>
      </c>
      <c r="FB69" s="348" t="e">
        <f ca="1">FC471</f>
        <v>#DIV/0!</v>
      </c>
      <c r="FC69" s="348" t="e">
        <f ca="1">FC471</f>
        <v>#DIV/0!</v>
      </c>
      <c r="FD69" s="348" t="e">
        <f ca="1">FC471</f>
        <v>#DIV/0!</v>
      </c>
      <c r="FE69" s="348" t="e">
        <f ca="1">FC471</f>
        <v>#DIV/0!</v>
      </c>
    </row>
    <row r="70" spans="2:163">
      <c r="B70" s="147" t="s">
        <v>545</v>
      </c>
      <c r="C70" s="632">
        <f>IF(E70&gt;0,E70,D70)</f>
        <v>0.68</v>
      </c>
      <c r="D70" s="275">
        <v>0.68</v>
      </c>
      <c r="E70" s="901">
        <f>IF(ISBLANK(Materials!D78),0,Materials!D78)</f>
        <v>0</v>
      </c>
      <c r="AA70" s="340" t="s">
        <v>1529</v>
      </c>
      <c r="AB70" s="348" t="e">
        <f ca="1">AC481</f>
        <v>#DIV/0!</v>
      </c>
      <c r="AC70" s="348" t="e">
        <f ca="1">AC481</f>
        <v>#DIV/0!</v>
      </c>
      <c r="AD70" s="348" t="e">
        <f ca="1">AC481</f>
        <v>#DIV/0!</v>
      </c>
      <c r="AE70" s="348" t="e">
        <f ca="1">AC481</f>
        <v>#DIV/0!</v>
      </c>
      <c r="BA70" s="340" t="s">
        <v>1529</v>
      </c>
      <c r="BB70" s="348" t="e">
        <f ca="1">BC481</f>
        <v>#DIV/0!</v>
      </c>
      <c r="BC70" s="348" t="e">
        <f ca="1">BC481</f>
        <v>#DIV/0!</v>
      </c>
      <c r="BD70" s="348" t="e">
        <f ca="1">BC481</f>
        <v>#DIV/0!</v>
      </c>
      <c r="BE70" s="348" t="e">
        <f ca="1">BC481</f>
        <v>#DIV/0!</v>
      </c>
      <c r="CA70" s="340" t="s">
        <v>1529</v>
      </c>
      <c r="CB70" s="348" t="e">
        <f ca="1">CC481</f>
        <v>#DIV/0!</v>
      </c>
      <c r="CC70" s="348" t="e">
        <f ca="1">CC481</f>
        <v>#DIV/0!</v>
      </c>
      <c r="CD70" s="348" t="e">
        <f ca="1">CC481</f>
        <v>#DIV/0!</v>
      </c>
      <c r="CE70" s="348" t="e">
        <f ca="1">CC481</f>
        <v>#DIV/0!</v>
      </c>
      <c r="DA70" s="340" t="s">
        <v>1529</v>
      </c>
      <c r="DB70" s="348" t="e">
        <f ca="1">DC481</f>
        <v>#DIV/0!</v>
      </c>
      <c r="DC70" s="348" t="e">
        <f ca="1">DC481</f>
        <v>#DIV/0!</v>
      </c>
      <c r="DD70" s="348" t="e">
        <f ca="1">DC481</f>
        <v>#DIV/0!</v>
      </c>
      <c r="DE70" s="348" t="e">
        <f ca="1">DC481</f>
        <v>#DIV/0!</v>
      </c>
      <c r="EA70" s="340" t="s">
        <v>1529</v>
      </c>
      <c r="EB70" s="348" t="e">
        <f ca="1">EC481</f>
        <v>#DIV/0!</v>
      </c>
      <c r="EC70" s="348" t="e">
        <f ca="1">EC481</f>
        <v>#DIV/0!</v>
      </c>
      <c r="ED70" s="348" t="e">
        <f ca="1">EC481</f>
        <v>#DIV/0!</v>
      </c>
      <c r="EE70" s="348" t="e">
        <f ca="1">EC481</f>
        <v>#DIV/0!</v>
      </c>
      <c r="FA70" s="340" t="s">
        <v>1529</v>
      </c>
      <c r="FB70" s="348" t="e">
        <f ca="1">FC481</f>
        <v>#DIV/0!</v>
      </c>
      <c r="FC70" s="348" t="e">
        <f ca="1">FC481</f>
        <v>#DIV/0!</v>
      </c>
      <c r="FD70" s="348" t="e">
        <f ca="1">FC481</f>
        <v>#DIV/0!</v>
      </c>
      <c r="FE70" s="348" t="e">
        <f ca="1">FC481</f>
        <v>#DIV/0!</v>
      </c>
    </row>
    <row r="71" spans="2:163">
      <c r="B71" s="147" t="s">
        <v>539</v>
      </c>
      <c r="C71" s="632">
        <f>IF(E71&gt;0,E71,D71)</f>
        <v>0.45</v>
      </c>
      <c r="D71" s="275">
        <v>0.45</v>
      </c>
      <c r="E71" s="901">
        <f>IF(ISBLANK(Materials!D79),0,Materials!D79)</f>
        <v>0</v>
      </c>
      <c r="AA71" s="341" t="s">
        <v>1530</v>
      </c>
      <c r="AB71" s="348" t="e">
        <f ca="1">AB67+AB70</f>
        <v>#DIV/0!</v>
      </c>
      <c r="AC71" s="348" t="e">
        <f ca="1">AC67+AC70</f>
        <v>#DIV/0!</v>
      </c>
      <c r="AD71" s="348" t="e">
        <f ca="1">AD67+AD70</f>
        <v>#DIV/0!</v>
      </c>
      <c r="AE71" s="348" t="e">
        <f ca="1">AE67+AE70</f>
        <v>#DIV/0!</v>
      </c>
      <c r="BA71" s="341" t="s">
        <v>1530</v>
      </c>
      <c r="BB71" s="348" t="e">
        <f ca="1">BB67+BB70</f>
        <v>#DIV/0!</v>
      </c>
      <c r="BC71" s="348" t="e">
        <f ca="1">BC67+BC70</f>
        <v>#DIV/0!</v>
      </c>
      <c r="BD71" s="348" t="e">
        <f ca="1">BD67+BD70</f>
        <v>#DIV/0!</v>
      </c>
      <c r="BE71" s="348" t="e">
        <f ca="1">BE67+BE70</f>
        <v>#DIV/0!</v>
      </c>
      <c r="CA71" s="341" t="s">
        <v>1530</v>
      </c>
      <c r="CB71" s="348" t="e">
        <f ca="1">CB67+CB70</f>
        <v>#DIV/0!</v>
      </c>
      <c r="CC71" s="348" t="e">
        <f ca="1">CC67+CC70</f>
        <v>#DIV/0!</v>
      </c>
      <c r="CD71" s="348" t="e">
        <f ca="1">CD67+CD70</f>
        <v>#DIV/0!</v>
      </c>
      <c r="CE71" s="348" t="e">
        <f ca="1">CE67+CE70</f>
        <v>#DIV/0!</v>
      </c>
      <c r="DA71" s="341" t="s">
        <v>1530</v>
      </c>
      <c r="DB71" s="348" t="e">
        <f ca="1">DB67+DB70</f>
        <v>#DIV/0!</v>
      </c>
      <c r="DC71" s="348" t="e">
        <f ca="1">DC67+DC70</f>
        <v>#DIV/0!</v>
      </c>
      <c r="DD71" s="348" t="e">
        <f ca="1">DD67+DD70</f>
        <v>#DIV/0!</v>
      </c>
      <c r="DE71" s="348" t="e">
        <f ca="1">DE67+DE70</f>
        <v>#DIV/0!</v>
      </c>
      <c r="EA71" s="341" t="s">
        <v>1530</v>
      </c>
      <c r="EB71" s="348" t="e">
        <f ca="1">EB67+EB70</f>
        <v>#DIV/0!</v>
      </c>
      <c r="EC71" s="348" t="e">
        <f ca="1">EC67+EC70</f>
        <v>#DIV/0!</v>
      </c>
      <c r="ED71" s="348" t="e">
        <f ca="1">ED67+ED70</f>
        <v>#DIV/0!</v>
      </c>
      <c r="EE71" s="348" t="e">
        <f ca="1">EE67+EE70</f>
        <v>#DIV/0!</v>
      </c>
      <c r="FA71" s="341" t="s">
        <v>1530</v>
      </c>
      <c r="FB71" s="348" t="e">
        <f ca="1">FB67+FB70</f>
        <v>#DIV/0!</v>
      </c>
      <c r="FC71" s="348" t="e">
        <f ca="1">FC67+FC70</f>
        <v>#DIV/0!</v>
      </c>
      <c r="FD71" s="348" t="e">
        <f ca="1">FD67+FD70</f>
        <v>#DIV/0!</v>
      </c>
      <c r="FE71" s="348" t="e">
        <f ca="1">FE67+FE70</f>
        <v>#DIV/0!</v>
      </c>
    </row>
    <row r="72" spans="2:163">
      <c r="B72" s="253" t="s">
        <v>538</v>
      </c>
      <c r="C72" s="633">
        <f>IF(E72&gt;0,E72,D72)</f>
        <v>8.3358565256891184E-2</v>
      </c>
      <c r="D72" s="973">
        <v>8.3358565256891184E-2</v>
      </c>
      <c r="E72" s="902">
        <f>IF(ISBLANK(Materials!D80),0,Materials!D80)</f>
        <v>0</v>
      </c>
      <c r="AA72" s="343" t="s">
        <v>602</v>
      </c>
      <c r="AB72" s="348" t="e">
        <f ca="1">AC485</f>
        <v>#DIV/0!</v>
      </c>
      <c r="AC72" s="348" t="e">
        <f ca="1">AD485</f>
        <v>#DIV/0!</v>
      </c>
      <c r="AD72" s="348" t="e">
        <f ca="1">AE485</f>
        <v>#DIV/0!</v>
      </c>
      <c r="AE72" s="348" t="e">
        <f ca="1">AF485</f>
        <v>#DIV/0!</v>
      </c>
      <c r="BA72" s="343" t="s">
        <v>602</v>
      </c>
      <c r="BB72" s="348" t="e">
        <f ca="1">BC485</f>
        <v>#DIV/0!</v>
      </c>
      <c r="BC72" s="348" t="e">
        <f ca="1">BD485</f>
        <v>#DIV/0!</v>
      </c>
      <c r="BD72" s="348" t="e">
        <f ca="1">BE485</f>
        <v>#DIV/0!</v>
      </c>
      <c r="BE72" s="348" t="e">
        <f ca="1">BF485</f>
        <v>#DIV/0!</v>
      </c>
      <c r="CA72" s="343" t="s">
        <v>602</v>
      </c>
      <c r="CB72" s="348" t="e">
        <f ca="1">CC485</f>
        <v>#DIV/0!</v>
      </c>
      <c r="CC72" s="348" t="e">
        <f ca="1">CD485</f>
        <v>#DIV/0!</v>
      </c>
      <c r="CD72" s="348" t="e">
        <f ca="1">CE485</f>
        <v>#DIV/0!</v>
      </c>
      <c r="CE72" s="348" t="e">
        <f ca="1">CF485</f>
        <v>#DIV/0!</v>
      </c>
      <c r="DA72" s="343" t="s">
        <v>602</v>
      </c>
      <c r="DB72" s="348" t="e">
        <f ca="1">DC485</f>
        <v>#DIV/0!</v>
      </c>
      <c r="DC72" s="348" t="e">
        <f ca="1">DD485</f>
        <v>#DIV/0!</v>
      </c>
      <c r="DD72" s="348" t="e">
        <f ca="1">DE485</f>
        <v>#DIV/0!</v>
      </c>
      <c r="DE72" s="348" t="e">
        <f ca="1">DF485</f>
        <v>#DIV/0!</v>
      </c>
      <c r="EA72" s="343" t="s">
        <v>602</v>
      </c>
      <c r="EB72" s="348" t="e">
        <f ca="1">EC485</f>
        <v>#DIV/0!</v>
      </c>
      <c r="EC72" s="348" t="e">
        <f ca="1">ED485</f>
        <v>#DIV/0!</v>
      </c>
      <c r="ED72" s="348" t="e">
        <f ca="1">EE485</f>
        <v>#DIV/0!</v>
      </c>
      <c r="EE72" s="348" t="e">
        <f ca="1">EF485</f>
        <v>#DIV/0!</v>
      </c>
      <c r="FA72" s="343" t="s">
        <v>602</v>
      </c>
      <c r="FB72" s="348" t="e">
        <f ca="1">FC485</f>
        <v>#DIV/0!</v>
      </c>
      <c r="FC72" s="348" t="e">
        <f ca="1">FD485</f>
        <v>#DIV/0!</v>
      </c>
      <c r="FD72" s="348" t="e">
        <f ca="1">FE485</f>
        <v>#DIV/0!</v>
      </c>
      <c r="FE72" s="348" t="e">
        <f ca="1">FF485</f>
        <v>#DIV/0!</v>
      </c>
    </row>
    <row r="73" spans="2:163">
      <c r="B73" s="111"/>
      <c r="C73" s="111"/>
      <c r="D73" s="111"/>
      <c r="E73" s="111"/>
      <c r="AA73" s="343" t="s">
        <v>603</v>
      </c>
      <c r="AB73" s="348" t="e">
        <f ca="1">AC516</f>
        <v>#DIV/0!</v>
      </c>
      <c r="AC73" s="348" t="e">
        <f ca="1">AD516</f>
        <v>#DIV/0!</v>
      </c>
      <c r="AD73" s="348" t="e">
        <f ca="1">AE516</f>
        <v>#DIV/0!</v>
      </c>
      <c r="AE73" s="348" t="e">
        <f ca="1">AF516</f>
        <v>#DIV/0!</v>
      </c>
      <c r="BA73" s="343" t="s">
        <v>603</v>
      </c>
      <c r="BB73" s="348" t="e">
        <f ca="1">BC516</f>
        <v>#DIV/0!</v>
      </c>
      <c r="BC73" s="348" t="e">
        <f ca="1">BD516</f>
        <v>#DIV/0!</v>
      </c>
      <c r="BD73" s="348" t="e">
        <f ca="1">BE516</f>
        <v>#DIV/0!</v>
      </c>
      <c r="BE73" s="348" t="e">
        <f ca="1">BF516</f>
        <v>#DIV/0!</v>
      </c>
      <c r="CA73" s="343" t="s">
        <v>603</v>
      </c>
      <c r="CB73" s="348" t="e">
        <f ca="1">CC516</f>
        <v>#DIV/0!</v>
      </c>
      <c r="CC73" s="348" t="e">
        <f ca="1">CD516</f>
        <v>#DIV/0!</v>
      </c>
      <c r="CD73" s="348" t="e">
        <f ca="1">CE516</f>
        <v>#DIV/0!</v>
      </c>
      <c r="CE73" s="348" t="e">
        <f ca="1">CF516</f>
        <v>#DIV/0!</v>
      </c>
      <c r="DA73" s="343" t="s">
        <v>603</v>
      </c>
      <c r="DB73" s="348" t="e">
        <f ca="1">DC516</f>
        <v>#DIV/0!</v>
      </c>
      <c r="DC73" s="348" t="e">
        <f ca="1">DD516</f>
        <v>#DIV/0!</v>
      </c>
      <c r="DD73" s="348" t="e">
        <f ca="1">DE516</f>
        <v>#DIV/0!</v>
      </c>
      <c r="DE73" s="348" t="e">
        <f ca="1">DF516</f>
        <v>#DIV/0!</v>
      </c>
      <c r="EA73" s="343" t="s">
        <v>603</v>
      </c>
      <c r="EB73" s="348" t="e">
        <f ca="1">EC516</f>
        <v>#DIV/0!</v>
      </c>
      <c r="EC73" s="348" t="e">
        <f ca="1">ED516</f>
        <v>#DIV/0!</v>
      </c>
      <c r="ED73" s="348" t="e">
        <f ca="1">EE516</f>
        <v>#DIV/0!</v>
      </c>
      <c r="EE73" s="348" t="e">
        <f ca="1">EF516</f>
        <v>#DIV/0!</v>
      </c>
      <c r="FA73" s="343" t="s">
        <v>603</v>
      </c>
      <c r="FB73" s="348" t="e">
        <f ca="1">FC516</f>
        <v>#DIV/0!</v>
      </c>
      <c r="FC73" s="348" t="e">
        <f ca="1">FD516</f>
        <v>#DIV/0!</v>
      </c>
      <c r="FD73" s="348" t="e">
        <f ca="1">FE516</f>
        <v>#DIV/0!</v>
      </c>
      <c r="FE73" s="348" t="e">
        <f ca="1">FF516</f>
        <v>#DIV/0!</v>
      </c>
    </row>
    <row r="74" spans="2:163">
      <c r="B74" s="133" t="s">
        <v>599</v>
      </c>
      <c r="C74" s="111"/>
      <c r="D74" s="111"/>
      <c r="E74" s="111"/>
      <c r="AA74" s="343" t="s">
        <v>604</v>
      </c>
      <c r="AB74" s="348" t="e">
        <f ca="1">AB72+AB73</f>
        <v>#DIV/0!</v>
      </c>
      <c r="AC74" s="348" t="e">
        <f ca="1">AC72+AC73</f>
        <v>#DIV/0!</v>
      </c>
      <c r="AD74" s="348" t="e">
        <f ca="1">AD72+AD73</f>
        <v>#DIV/0!</v>
      </c>
      <c r="AE74" s="348" t="e">
        <f ca="1">AE72+AE73</f>
        <v>#DIV/0!</v>
      </c>
      <c r="BA74" s="343" t="s">
        <v>604</v>
      </c>
      <c r="BB74" s="348" t="e">
        <f ca="1">BB72+BB73</f>
        <v>#DIV/0!</v>
      </c>
      <c r="BC74" s="348" t="e">
        <f ca="1">BC72+BC73</f>
        <v>#DIV/0!</v>
      </c>
      <c r="BD74" s="348" t="e">
        <f ca="1">BD72+BD73</f>
        <v>#DIV/0!</v>
      </c>
      <c r="BE74" s="348" t="e">
        <f ca="1">BE72+BE73</f>
        <v>#DIV/0!</v>
      </c>
      <c r="CA74" s="343" t="s">
        <v>604</v>
      </c>
      <c r="CB74" s="348" t="e">
        <f ca="1">CB72+CB73</f>
        <v>#DIV/0!</v>
      </c>
      <c r="CC74" s="348" t="e">
        <f ca="1">CC72+CC73</f>
        <v>#DIV/0!</v>
      </c>
      <c r="CD74" s="348" t="e">
        <f ca="1">CD72+CD73</f>
        <v>#DIV/0!</v>
      </c>
      <c r="CE74" s="348" t="e">
        <f ca="1">CE72+CE73</f>
        <v>#DIV/0!</v>
      </c>
      <c r="DA74" s="343" t="s">
        <v>604</v>
      </c>
      <c r="DB74" s="348" t="e">
        <f ca="1">DB72+DB73</f>
        <v>#DIV/0!</v>
      </c>
      <c r="DC74" s="348" t="e">
        <f ca="1">DC72+DC73</f>
        <v>#DIV/0!</v>
      </c>
      <c r="DD74" s="348" t="e">
        <f ca="1">DD72+DD73</f>
        <v>#DIV/0!</v>
      </c>
      <c r="DE74" s="348" t="e">
        <f ca="1">DE72+DE73</f>
        <v>#DIV/0!</v>
      </c>
      <c r="EA74" s="343" t="s">
        <v>604</v>
      </c>
      <c r="EB74" s="348" t="e">
        <f ca="1">EB72+EB73</f>
        <v>#DIV/0!</v>
      </c>
      <c r="EC74" s="348" t="e">
        <f ca="1">EC72+EC73</f>
        <v>#DIV/0!</v>
      </c>
      <c r="ED74" s="348" t="e">
        <f ca="1">ED72+ED73</f>
        <v>#DIV/0!</v>
      </c>
      <c r="EE74" s="348" t="e">
        <f ca="1">EE72+EE73</f>
        <v>#DIV/0!</v>
      </c>
      <c r="FA74" s="343" t="s">
        <v>604</v>
      </c>
      <c r="FB74" s="348" t="e">
        <f ca="1">FB72+FB73</f>
        <v>#DIV/0!</v>
      </c>
      <c r="FC74" s="348" t="e">
        <f ca="1">FC72+FC73</f>
        <v>#DIV/0!</v>
      </c>
      <c r="FD74" s="348" t="e">
        <f ca="1">FD72+FD73</f>
        <v>#DIV/0!</v>
      </c>
      <c r="FE74" s="348" t="e">
        <f ca="1">FE72+FE73</f>
        <v>#DIV/0!</v>
      </c>
    </row>
    <row r="75" spans="2:163">
      <c r="B75" s="143"/>
      <c r="C75" s="144" t="s">
        <v>51</v>
      </c>
      <c r="D75" s="144" t="s">
        <v>63</v>
      </c>
      <c r="E75" s="146" t="s">
        <v>52</v>
      </c>
      <c r="AA75" s="343" t="s">
        <v>1424</v>
      </c>
      <c r="AB75" s="348" t="e">
        <f ca="1">AC527</f>
        <v>#DIV/0!</v>
      </c>
      <c r="AC75" s="348" t="e">
        <f ca="1">AD527</f>
        <v>#DIV/0!</v>
      </c>
      <c r="AD75" s="348" t="e">
        <f ca="1">AE527</f>
        <v>#DIV/0!</v>
      </c>
      <c r="AE75" s="348" t="e">
        <f ca="1">AF527</f>
        <v>#DIV/0!</v>
      </c>
      <c r="BA75" s="343" t="s">
        <v>1424</v>
      </c>
      <c r="BB75" s="348" t="e">
        <f ca="1">BC527</f>
        <v>#DIV/0!</v>
      </c>
      <c r="BC75" s="348" t="e">
        <f ca="1">BD527</f>
        <v>#DIV/0!</v>
      </c>
      <c r="BD75" s="348" t="e">
        <f ca="1">BE527</f>
        <v>#DIV/0!</v>
      </c>
      <c r="BE75" s="348" t="e">
        <f ca="1">BF527</f>
        <v>#DIV/0!</v>
      </c>
      <c r="CA75" s="343" t="s">
        <v>1424</v>
      </c>
      <c r="CB75" s="348" t="e">
        <f ca="1">CC527</f>
        <v>#DIV/0!</v>
      </c>
      <c r="CC75" s="348" t="e">
        <f ca="1">CD527</f>
        <v>#DIV/0!</v>
      </c>
      <c r="CD75" s="348" t="e">
        <f ca="1">CE527</f>
        <v>#DIV/0!</v>
      </c>
      <c r="CE75" s="348" t="e">
        <f ca="1">CF527</f>
        <v>#DIV/0!</v>
      </c>
      <c r="DA75" s="343" t="s">
        <v>1424</v>
      </c>
      <c r="DB75" s="348" t="e">
        <f ca="1">DC527</f>
        <v>#DIV/0!</v>
      </c>
      <c r="DC75" s="348" t="e">
        <f ca="1">DD527</f>
        <v>#DIV/0!</v>
      </c>
      <c r="DD75" s="348" t="e">
        <f ca="1">DE527</f>
        <v>#DIV/0!</v>
      </c>
      <c r="DE75" s="348" t="e">
        <f ca="1">DF527</f>
        <v>#DIV/0!</v>
      </c>
      <c r="EA75" s="343" t="s">
        <v>1424</v>
      </c>
      <c r="EB75" s="348" t="e">
        <f ca="1">EC527</f>
        <v>#DIV/0!</v>
      </c>
      <c r="EC75" s="348" t="e">
        <f ca="1">ED527</f>
        <v>#DIV/0!</v>
      </c>
      <c r="ED75" s="348" t="e">
        <f ca="1">EE527</f>
        <v>#DIV/0!</v>
      </c>
      <c r="EE75" s="348" t="e">
        <f ca="1">EF527</f>
        <v>#DIV/0!</v>
      </c>
      <c r="FA75" s="343" t="s">
        <v>1424</v>
      </c>
      <c r="FB75" s="348" t="e">
        <f ca="1">FC527</f>
        <v>#DIV/0!</v>
      </c>
      <c r="FC75" s="348" t="e">
        <f ca="1">FD527</f>
        <v>#DIV/0!</v>
      </c>
      <c r="FD75" s="348" t="e">
        <f ca="1">FE527</f>
        <v>#DIV/0!</v>
      </c>
      <c r="FE75" s="348" t="e">
        <f ca="1">FF527</f>
        <v>#DIV/0!</v>
      </c>
    </row>
    <row r="76" spans="2:163">
      <c r="B76" s="167" t="s">
        <v>592</v>
      </c>
      <c r="C76" s="615">
        <f>IF(E76&gt;0,E76,D76)</f>
        <v>12</v>
      </c>
      <c r="D76" s="272">
        <f>'Geographic Par.'!C45</f>
        <v>12</v>
      </c>
      <c r="E76" s="301"/>
      <c r="AA76" s="349" t="s">
        <v>1425</v>
      </c>
      <c r="AB76" s="1259" t="e">
        <f ca="1">IF($AG$76="Yes", AB75,AB74)/(AC110*AC103)</f>
        <v>#DIV/0!</v>
      </c>
      <c r="AC76" s="1259" t="e">
        <f ca="1">IF($AG$76="Yes", AC75,AC74)/(AC110*AC103)</f>
        <v>#DIV/0!</v>
      </c>
      <c r="AD76" s="1259" t="e">
        <f ca="1">IF($AG$76="Yes", AD75,AD74)/(AC110*AC103)</f>
        <v>#DIV/0!</v>
      </c>
      <c r="AE76" s="1259" t="e">
        <f ca="1">IF($AG$76="Yes", AE75,AE74)/(AC110*AC103)</f>
        <v>#DIV/0!</v>
      </c>
      <c r="AF76" s="111" t="s">
        <v>1423</v>
      </c>
      <c r="AG76" s="113" t="s">
        <v>1263</v>
      </c>
      <c r="BA76" s="349" t="s">
        <v>1425</v>
      </c>
      <c r="BB76" s="1259" t="e">
        <f ca="1">IF($CG$76="Yes", BB75,BB74)/(BC110*BC103)</f>
        <v>#DIV/0!</v>
      </c>
      <c r="BC76" s="1259" t="e">
        <f ca="1">IF($CG$76="Yes", BC75,BC74)/(BC110*BC103)</f>
        <v>#DIV/0!</v>
      </c>
      <c r="BD76" s="1259" t="e">
        <f ca="1">IF($CG$76="Yes", BD75,BD74)/(BC110*BC103)</f>
        <v>#DIV/0!</v>
      </c>
      <c r="BE76" s="1259" t="e">
        <f ca="1">IF($CG$76="Yes", BE75,BE74)/(BC110*BC103)</f>
        <v>#DIV/0!</v>
      </c>
      <c r="BF76" s="111" t="s">
        <v>1423</v>
      </c>
      <c r="BG76" s="113" t="s">
        <v>1263</v>
      </c>
      <c r="CA76" s="349" t="s">
        <v>1425</v>
      </c>
      <c r="CB76" s="1259" t="e">
        <f ca="1">IF($CG$76="Yes", CB75,CB74)/(CC110*CC103)</f>
        <v>#DIV/0!</v>
      </c>
      <c r="CC76" s="1259" t="e">
        <f ca="1">IF($CG$76="Yes", CC75,CC74)/(CC110*CC103)</f>
        <v>#DIV/0!</v>
      </c>
      <c r="CD76" s="1259" t="e">
        <f ca="1">IF($CG$76="Yes", CD75,CD74)/(CC110*CC103)</f>
        <v>#DIV/0!</v>
      </c>
      <c r="CE76" s="1259" t="e">
        <f ca="1">IF($CG$76="Yes", CE75,CE74)/(CC110*CC103)</f>
        <v>#DIV/0!</v>
      </c>
      <c r="CF76" s="111" t="s">
        <v>1423</v>
      </c>
      <c r="CG76" s="113" t="s">
        <v>1263</v>
      </c>
      <c r="DA76" s="349" t="s">
        <v>1425</v>
      </c>
      <c r="DB76" s="1259" t="e">
        <f ca="1">IF($DG$76="Yes", DB75,DB74)/(DC110*DC103)</f>
        <v>#DIV/0!</v>
      </c>
      <c r="DC76" s="1259" t="e">
        <f ca="1">IF($DG$76="Yes", DC75,DC74)/(DC110*DC103)</f>
        <v>#DIV/0!</v>
      </c>
      <c r="DD76" s="1259" t="e">
        <f ca="1">IF($DG$76="Yes", DD75,DD74)/(DC110*DC103)</f>
        <v>#DIV/0!</v>
      </c>
      <c r="DE76" s="1259" t="e">
        <f ca="1">IF($DG$76="Yes", DE75,DE74)/(DC110*DC103)</f>
        <v>#DIV/0!</v>
      </c>
      <c r="DF76" s="111" t="s">
        <v>1423</v>
      </c>
      <c r="DG76" s="113" t="s">
        <v>1263</v>
      </c>
      <c r="EA76" s="349" t="s">
        <v>1425</v>
      </c>
      <c r="EB76" s="1259" t="e">
        <f ca="1">IF($EG$76="Yes", EB75,EB74)/(EC110*EC103)</f>
        <v>#DIV/0!</v>
      </c>
      <c r="EC76" s="1259" t="e">
        <f ca="1">IF($EG$76="Yes", EC75,EC74)/(EC110*EC103)</f>
        <v>#DIV/0!</v>
      </c>
      <c r="ED76" s="1259" t="e">
        <f ca="1">IF($EG$76="Yes", ED75,ED74)/(EC110*EC103)</f>
        <v>#DIV/0!</v>
      </c>
      <c r="EE76" s="1259" t="e">
        <f ca="1">IF($EG$76="Yes", EE75,EE74)/(EC110*EC103)</f>
        <v>#DIV/0!</v>
      </c>
      <c r="EF76" s="111" t="s">
        <v>1423</v>
      </c>
      <c r="EG76" s="113" t="s">
        <v>1263</v>
      </c>
      <c r="FA76" s="349" t="s">
        <v>1425</v>
      </c>
      <c r="FB76" s="1259" t="e">
        <f ca="1">IF($FG$76="Yes", FB75,FB74)/(FC110*FC103)</f>
        <v>#DIV/0!</v>
      </c>
      <c r="FC76" s="1259" t="e">
        <f ca="1">IF($FG$76="Yes", FC75,FC74)/(FC110*FC103)</f>
        <v>#DIV/0!</v>
      </c>
      <c r="FD76" s="1259" t="e">
        <f ca="1">IF($FG$76="Yes", FD75,FD74)/(FC110*FC103)</f>
        <v>#DIV/0!</v>
      </c>
      <c r="FE76" s="1259" t="e">
        <f ca="1">IF($FG$76="Yes", FE75,FE74)/(FC110*FC103)</f>
        <v>#DIV/0!</v>
      </c>
      <c r="FF76" s="111" t="s">
        <v>1423</v>
      </c>
      <c r="FG76" s="113" t="s">
        <v>1263</v>
      </c>
    </row>
    <row r="77" spans="2:163">
      <c r="B77" s="147" t="s">
        <v>590</v>
      </c>
      <c r="C77" s="616">
        <f>IF(E77&gt;0,E77,D77)</f>
        <v>8.7999999999999995E-2</v>
      </c>
      <c r="D77" s="272">
        <f>'Geographic Par.'!C44</f>
        <v>8.7999999999999995E-2</v>
      </c>
      <c r="E77" s="566">
        <v>0</v>
      </c>
    </row>
    <row r="78" spans="2:163">
      <c r="B78" s="267" t="s">
        <v>591</v>
      </c>
      <c r="C78" s="617">
        <f>IF(E78&gt;0,E78,D78)</f>
        <v>2E-3</v>
      </c>
      <c r="D78" s="642">
        <f>'Geographic Par.'!C46</f>
        <v>2E-3</v>
      </c>
      <c r="E78" s="567">
        <v>0</v>
      </c>
    </row>
    <row r="80" spans="2:163">
      <c r="B80" s="133" t="s">
        <v>1303</v>
      </c>
    </row>
    <row r="81" spans="2:6" ht="14.5">
      <c r="B81" s="1179"/>
      <c r="C81" s="1179" t="s">
        <v>705</v>
      </c>
      <c r="D81" s="1180" t="s">
        <v>542</v>
      </c>
      <c r="E81" s="1179" t="s">
        <v>543</v>
      </c>
      <c r="F81" s="1179" t="s">
        <v>546</v>
      </c>
    </row>
    <row r="82" spans="2:6" ht="14.5">
      <c r="B82" s="1179" t="s">
        <v>1948</v>
      </c>
      <c r="C82" s="1181">
        <f>'Mat. Conv Par.'!AB51</f>
        <v>1.0681590736444295</v>
      </c>
      <c r="D82" s="1181">
        <f>'Mat. Conv Par.'!AC51</f>
        <v>5.3684149742900818E-2</v>
      </c>
      <c r="E82" s="1181">
        <f>'Mat. Conv Par.'!BB49</f>
        <v>5.3752330931967275E-2</v>
      </c>
      <c r="F82" s="1181">
        <f>'Mat. Conv Par.'!CB49</f>
        <v>0.27152062379247632</v>
      </c>
    </row>
    <row r="100" spans="27:160">
      <c r="AA100" t="s">
        <v>1014</v>
      </c>
      <c r="BA100" t="s">
        <v>1014</v>
      </c>
      <c r="CA100" t="s">
        <v>1014</v>
      </c>
      <c r="DA100" t="s">
        <v>1014</v>
      </c>
      <c r="EA100" t="s">
        <v>1014</v>
      </c>
      <c r="FA100" t="s">
        <v>1014</v>
      </c>
    </row>
    <row r="101" spans="27:160" ht="16">
      <c r="AA101" t="s">
        <v>724</v>
      </c>
      <c r="AC101" s="734" t="s">
        <v>725</v>
      </c>
      <c r="AD101" s="735"/>
      <c r="BA101" t="s">
        <v>724</v>
      </c>
      <c r="BC101" s="734" t="s">
        <v>1542</v>
      </c>
      <c r="BD101" s="735"/>
      <c r="CA101" t="s">
        <v>724</v>
      </c>
      <c r="CC101" s="734" t="s">
        <v>1018</v>
      </c>
      <c r="CD101" s="735"/>
      <c r="DA101" t="s">
        <v>724</v>
      </c>
      <c r="DC101" s="734" t="s">
        <v>1020</v>
      </c>
      <c r="DD101" s="735"/>
      <c r="EA101" s="881" t="s">
        <v>1035</v>
      </c>
      <c r="EC101" s="734" t="s">
        <v>73</v>
      </c>
      <c r="ED101" s="735"/>
      <c r="FC101" s="734" t="s">
        <v>42</v>
      </c>
      <c r="FD101" s="735"/>
    </row>
    <row r="102" spans="27:160">
      <c r="AA102" t="s">
        <v>451</v>
      </c>
      <c r="AC102" s="736">
        <v>1</v>
      </c>
      <c r="AD102" t="s">
        <v>452</v>
      </c>
      <c r="BA102" t="s">
        <v>451</v>
      </c>
      <c r="BC102" s="736">
        <v>1</v>
      </c>
      <c r="BD102" t="s">
        <v>452</v>
      </c>
      <c r="CA102" t="s">
        <v>451</v>
      </c>
      <c r="CC102" s="736">
        <v>1</v>
      </c>
      <c r="CD102" t="s">
        <v>452</v>
      </c>
      <c r="DA102" t="s">
        <v>451</v>
      </c>
      <c r="DC102" s="736">
        <v>1</v>
      </c>
      <c r="DD102" t="s">
        <v>452</v>
      </c>
      <c r="EA102" t="s">
        <v>451</v>
      </c>
      <c r="EC102" s="736">
        <v>1</v>
      </c>
      <c r="ED102" t="s">
        <v>452</v>
      </c>
      <c r="FA102" t="s">
        <v>451</v>
      </c>
      <c r="FC102" s="736">
        <v>1</v>
      </c>
      <c r="FD102" t="s">
        <v>452</v>
      </c>
    </row>
    <row r="103" spans="27:160">
      <c r="AA103" t="s">
        <v>726</v>
      </c>
      <c r="AB103" s="734"/>
      <c r="AC103" s="736">
        <v>320</v>
      </c>
      <c r="BA103" t="s">
        <v>726</v>
      </c>
      <c r="BB103" s="734"/>
      <c r="BC103" s="736">
        <v>320</v>
      </c>
      <c r="CA103" t="s">
        <v>726</v>
      </c>
      <c r="CB103" s="734"/>
      <c r="CC103" s="736">
        <v>320</v>
      </c>
      <c r="DA103" t="s">
        <v>726</v>
      </c>
      <c r="DB103" s="734"/>
      <c r="DC103" s="736">
        <v>320</v>
      </c>
      <c r="EA103" t="s">
        <v>726</v>
      </c>
      <c r="EB103" s="734"/>
      <c r="EC103" s="736">
        <v>320</v>
      </c>
      <c r="FA103" t="s">
        <v>726</v>
      </c>
      <c r="FB103" s="734"/>
      <c r="FC103" s="736">
        <v>320</v>
      </c>
    </row>
    <row r="104" spans="27:160">
      <c r="AA104" t="s">
        <v>727</v>
      </c>
      <c r="AB104" s="734"/>
      <c r="AC104" s="736">
        <v>10</v>
      </c>
      <c r="AD104" t="s">
        <v>453</v>
      </c>
      <c r="BA104" t="s">
        <v>727</v>
      </c>
      <c r="BB104" s="734"/>
      <c r="BC104" s="736">
        <v>10</v>
      </c>
      <c r="BD104" t="s">
        <v>453</v>
      </c>
      <c r="CA104" t="s">
        <v>727</v>
      </c>
      <c r="CB104" s="734"/>
      <c r="CC104" s="736">
        <v>10</v>
      </c>
      <c r="CD104" t="s">
        <v>453</v>
      </c>
      <c r="DA104" t="s">
        <v>727</v>
      </c>
      <c r="DB104" s="734"/>
      <c r="DC104" s="736">
        <v>10</v>
      </c>
      <c r="DD104" t="s">
        <v>453</v>
      </c>
      <c r="EA104" t="s">
        <v>727</v>
      </c>
      <c r="EB104" s="734"/>
      <c r="EC104" s="736">
        <v>10</v>
      </c>
      <c r="ED104" t="s">
        <v>453</v>
      </c>
      <c r="FA104" t="s">
        <v>727</v>
      </c>
      <c r="FB104" s="734"/>
      <c r="FC104" s="736">
        <v>10</v>
      </c>
      <c r="FD104" t="s">
        <v>453</v>
      </c>
    </row>
    <row r="105" spans="27:160">
      <c r="AA105" t="s">
        <v>725</v>
      </c>
      <c r="AB105" s="734"/>
      <c r="BA105" t="s">
        <v>725</v>
      </c>
      <c r="BB105" s="734"/>
      <c r="CA105" t="s">
        <v>725</v>
      </c>
      <c r="CB105" s="734"/>
      <c r="DA105" t="s">
        <v>725</v>
      </c>
      <c r="DB105" s="734"/>
      <c r="EA105" s="881" t="s">
        <v>73</v>
      </c>
      <c r="EB105" s="734"/>
      <c r="FA105" t="s">
        <v>42</v>
      </c>
      <c r="FB105" s="734"/>
    </row>
    <row r="106" spans="27:160">
      <c r="AA106" t="s">
        <v>728</v>
      </c>
      <c r="AB106" s="734"/>
      <c r="AC106" s="736">
        <v>3</v>
      </c>
      <c r="BA106" t="s">
        <v>728</v>
      </c>
      <c r="BB106" s="734"/>
      <c r="BC106" s="736">
        <v>5</v>
      </c>
      <c r="CA106" t="s">
        <v>728</v>
      </c>
      <c r="CB106" s="734"/>
      <c r="CC106" s="736">
        <v>6</v>
      </c>
      <c r="DA106" t="s">
        <v>728</v>
      </c>
      <c r="DB106" s="734"/>
      <c r="DC106" s="736">
        <v>8</v>
      </c>
      <c r="EA106" t="s">
        <v>728</v>
      </c>
      <c r="EB106" s="734"/>
      <c r="EC106" s="736">
        <v>0.8</v>
      </c>
      <c r="FA106" t="s">
        <v>728</v>
      </c>
      <c r="FB106" s="734"/>
      <c r="FC106" s="736">
        <v>0</v>
      </c>
    </row>
    <row r="107" spans="27:160">
      <c r="AA107" t="s">
        <v>729</v>
      </c>
      <c r="AB107" s="734"/>
      <c r="AC107" s="736">
        <v>3</v>
      </c>
      <c r="BA107" t="s">
        <v>729</v>
      </c>
      <c r="BB107" s="734"/>
      <c r="BC107" s="736">
        <v>3</v>
      </c>
      <c r="CA107" t="s">
        <v>729</v>
      </c>
      <c r="CB107" s="734"/>
      <c r="CC107" s="736">
        <v>2</v>
      </c>
      <c r="DA107" t="s">
        <v>729</v>
      </c>
      <c r="DB107" s="734"/>
      <c r="DC107" s="736">
        <v>1</v>
      </c>
      <c r="EA107" s="881" t="s">
        <v>1036</v>
      </c>
      <c r="EB107" s="734"/>
      <c r="EC107" s="883">
        <v>0.05</v>
      </c>
      <c r="FA107" t="s">
        <v>729</v>
      </c>
      <c r="FB107" s="734"/>
      <c r="FC107" s="736">
        <v>0</v>
      </c>
    </row>
    <row r="108" spans="27:160">
      <c r="AA108" t="s">
        <v>730</v>
      </c>
      <c r="AC108" s="736">
        <v>3</v>
      </c>
      <c r="BA108" t="s">
        <v>730</v>
      </c>
      <c r="BC108" s="736">
        <v>2</v>
      </c>
      <c r="CA108" t="s">
        <v>730</v>
      </c>
      <c r="CC108" s="736">
        <v>2</v>
      </c>
      <c r="DA108" t="s">
        <v>730</v>
      </c>
      <c r="DC108" s="736">
        <v>1</v>
      </c>
      <c r="EA108" t="s">
        <v>730</v>
      </c>
      <c r="EC108" s="736">
        <v>0.15</v>
      </c>
      <c r="FA108" t="s">
        <v>730</v>
      </c>
      <c r="FC108" s="736">
        <v>1</v>
      </c>
    </row>
    <row r="109" spans="27:160">
      <c r="AA109" s="737" t="s">
        <v>731</v>
      </c>
      <c r="AC109" s="738">
        <f>AC106+AC107+AC108</f>
        <v>9</v>
      </c>
      <c r="BA109" s="737" t="s">
        <v>731</v>
      </c>
      <c r="BC109" s="738">
        <f>BC106+BC107+BC108</f>
        <v>10</v>
      </c>
      <c r="CA109" s="737" t="s">
        <v>731</v>
      </c>
      <c r="CC109" s="738">
        <f>CC106+CC107+CC108</f>
        <v>10</v>
      </c>
      <c r="DA109" s="737" t="s">
        <v>731</v>
      </c>
      <c r="DC109" s="738">
        <f>DC106+DC107+DC108</f>
        <v>10</v>
      </c>
      <c r="EA109" s="737" t="s">
        <v>731</v>
      </c>
      <c r="EC109" s="738">
        <f>EC106+EC107+EC108</f>
        <v>1</v>
      </c>
      <c r="FA109" s="737" t="s">
        <v>731</v>
      </c>
      <c r="FC109" s="738">
        <f>FC106+FC107+FC108</f>
        <v>1</v>
      </c>
    </row>
    <row r="110" spans="27:160" ht="20.5">
      <c r="AA110" t="s">
        <v>732</v>
      </c>
      <c r="AC110" s="861" t="e">
        <f>$D$8/ROUNDUP($D$8/2000,0)*1000/AC103</f>
        <v>#DIV/0!</v>
      </c>
      <c r="AD110" t="s">
        <v>733</v>
      </c>
      <c r="BA110" t="s">
        <v>732</v>
      </c>
      <c r="BC110" s="861" t="e">
        <f>$D$8/ROUNDUP($D$8/2000,0)*1000/BC103</f>
        <v>#DIV/0!</v>
      </c>
      <c r="BD110" t="s">
        <v>733</v>
      </c>
      <c r="CA110" t="s">
        <v>732</v>
      </c>
      <c r="CC110" s="861" t="e">
        <f>$D$8/ROUNDUP($D$8/2000,0)*1000/CC103</f>
        <v>#DIV/0!</v>
      </c>
      <c r="CD110" t="s">
        <v>733</v>
      </c>
      <c r="DA110" t="s">
        <v>732</v>
      </c>
      <c r="DC110" s="861" t="e">
        <f>$D$8/ROUNDUP($D$8/2000,0)*1000/DC103</f>
        <v>#DIV/0!</v>
      </c>
      <c r="DD110" t="s">
        <v>733</v>
      </c>
      <c r="EA110" s="881" t="s">
        <v>1054</v>
      </c>
      <c r="EC110" s="861" t="e">
        <f>$D$8/ROUNDUP($D$8/2000,0)*1000/EC103</f>
        <v>#DIV/0!</v>
      </c>
      <c r="ED110" t="s">
        <v>733</v>
      </c>
      <c r="FA110" t="s">
        <v>1305</v>
      </c>
      <c r="FC110" s="861" t="e">
        <f>$D$8/ROUNDUP($D$8/2000,0)*1000/FC103</f>
        <v>#DIV/0!</v>
      </c>
      <c r="FD110" t="s">
        <v>733</v>
      </c>
    </row>
    <row r="111" spans="27:160">
      <c r="AC111" s="739" t="e">
        <f>AC110*AC103</f>
        <v>#DIV/0!</v>
      </c>
      <c r="AD111" t="s">
        <v>734</v>
      </c>
      <c r="BC111" s="739" t="e">
        <f>BC110*BC103</f>
        <v>#DIV/0!</v>
      </c>
      <c r="BD111" t="s">
        <v>734</v>
      </c>
      <c r="CC111" s="739" t="e">
        <f>CC110*CC103</f>
        <v>#DIV/0!</v>
      </c>
      <c r="CD111" t="s">
        <v>734</v>
      </c>
      <c r="DC111" s="739" t="e">
        <f>DC110*DC103</f>
        <v>#DIV/0!</v>
      </c>
      <c r="DD111" t="s">
        <v>734</v>
      </c>
      <c r="EC111" s="739" t="e">
        <f>EC110*EC103</f>
        <v>#DIV/0!</v>
      </c>
      <c r="ED111" t="s">
        <v>734</v>
      </c>
      <c r="FC111" s="739" t="e">
        <f>FC110*FC103</f>
        <v>#DIV/0!</v>
      </c>
      <c r="FD111" t="s">
        <v>734</v>
      </c>
    </row>
    <row r="112" spans="27:160">
      <c r="AA112" t="s">
        <v>735</v>
      </c>
      <c r="AC112" s="740">
        <f>58.69*(AC106/AC109)+54.94*(AC107/AC109)+58.93*(AC108/AC109)+2*16+AC297*6.94</f>
        <v>96.807000000000002</v>
      </c>
      <c r="BA112" t="s">
        <v>735</v>
      </c>
      <c r="BC112" s="740">
        <f>58.69*(BC106/BC109)+54.94*(BC107/BC109)+58.93*(BC108/BC109)+2*16+BC297*6.94</f>
        <v>96.9</v>
      </c>
      <c r="CA112" t="s">
        <v>735</v>
      </c>
      <c r="CC112" s="740">
        <f>58.69*(CC106/CC109)+54.94*(CC107/CC109)+58.93*(CC108/CC109)+2*16+CC297*6.94</f>
        <v>97.275000000000006</v>
      </c>
      <c r="DA112" t="s">
        <v>735</v>
      </c>
      <c r="DC112" s="740">
        <f>58.69*(DC106/DC109)+54.94*(DC107/DC109)+58.93*(DC108/DC109)+2*16+DC297*6.94</f>
        <v>97.626000000000005</v>
      </c>
      <c r="EA112" t="s">
        <v>735</v>
      </c>
      <c r="EC112" s="908">
        <f>58.69*(EC106/EC109)+26.98*(EC107/EC109)+58.93*(EC108/EC109)+2*16+EC297*6.94</f>
        <v>96.427500000000009</v>
      </c>
      <c r="FA112" t="s">
        <v>735</v>
      </c>
      <c r="FC112" s="740">
        <f>58.69*(FC106/FC109)+54.94*(FC107/FC109)+58.93*(FC108/FC109)+2*16+FC297*6.94</f>
        <v>97.87</v>
      </c>
    </row>
    <row r="113" spans="27:160" ht="20.5">
      <c r="AA113" t="s">
        <v>732</v>
      </c>
      <c r="AC113" s="10" t="e">
        <f>AC110*1000/AC112</f>
        <v>#DIV/0!</v>
      </c>
      <c r="AD113" t="s">
        <v>736</v>
      </c>
      <c r="BA113" t="s">
        <v>732</v>
      </c>
      <c r="BC113" s="10" t="e">
        <f>BC110*1000/BC112</f>
        <v>#DIV/0!</v>
      </c>
      <c r="BD113" t="s">
        <v>736</v>
      </c>
      <c r="CA113" t="s">
        <v>732</v>
      </c>
      <c r="CC113" s="10" t="e">
        <f>CC110*1000/CC112</f>
        <v>#DIV/0!</v>
      </c>
      <c r="CD113" t="s">
        <v>736</v>
      </c>
      <c r="DA113" t="s">
        <v>732</v>
      </c>
      <c r="DC113" s="10" t="e">
        <f>DC110*1000/DC112</f>
        <v>#DIV/0!</v>
      </c>
      <c r="DD113" t="s">
        <v>736</v>
      </c>
      <c r="EA113" s="881" t="s">
        <v>1054</v>
      </c>
      <c r="EC113" s="10" t="e">
        <f>EC110*1000/EC112</f>
        <v>#DIV/0!</v>
      </c>
      <c r="ED113" t="s">
        <v>736</v>
      </c>
      <c r="FA113" t="s">
        <v>1304</v>
      </c>
      <c r="FC113" s="10" t="e">
        <f>FC110*1000/FC112</f>
        <v>#DIV/0!</v>
      </c>
      <c r="FD113" t="s">
        <v>736</v>
      </c>
    </row>
    <row r="114" spans="27:160">
      <c r="AB114" s="741"/>
      <c r="AC114" s="10"/>
      <c r="BB114" s="741"/>
      <c r="BC114" s="10"/>
      <c r="CB114" s="741"/>
      <c r="CC114" s="10"/>
      <c r="DB114" s="741"/>
      <c r="DC114" s="10"/>
      <c r="EB114" s="741"/>
      <c r="EC114" s="10"/>
      <c r="FB114" s="741"/>
      <c r="FC114" s="10"/>
    </row>
    <row r="115" spans="27:160">
      <c r="AA115" s="742" t="s">
        <v>737</v>
      </c>
      <c r="AC115" s="10"/>
      <c r="BA115" s="742" t="s">
        <v>737</v>
      </c>
      <c r="BC115" s="10"/>
      <c r="CA115" s="742" t="s">
        <v>737</v>
      </c>
      <c r="CC115" s="10"/>
      <c r="DA115" s="742" t="s">
        <v>737</v>
      </c>
      <c r="DC115" s="10"/>
      <c r="EA115" s="742" t="s">
        <v>737</v>
      </c>
      <c r="EC115" s="10"/>
      <c r="FA115" s="1184" t="s">
        <v>737</v>
      </c>
      <c r="FC115" s="10"/>
    </row>
    <row r="116" spans="27:160" ht="16">
      <c r="AA116" t="s">
        <v>738</v>
      </c>
      <c r="AC116" s="10" t="e">
        <f>AC113 * (AC106/AC109) / AC187 / AC251 / (1-AC254)</f>
        <v>#DIV/0!</v>
      </c>
      <c r="AD116" t="s">
        <v>736</v>
      </c>
      <c r="BA116" t="s">
        <v>738</v>
      </c>
      <c r="BC116" s="10" t="e">
        <f>BC113 * (BC106/BC109) / BC187 / BC251 / (1-BC254)</f>
        <v>#DIV/0!</v>
      </c>
      <c r="BD116" t="s">
        <v>736</v>
      </c>
      <c r="CA116" t="s">
        <v>738</v>
      </c>
      <c r="CC116" s="10" t="e">
        <f>CC113 * (CC106/CC109) / CC187 / CC251 / (1-CC254)</f>
        <v>#DIV/0!</v>
      </c>
      <c r="CD116" t="s">
        <v>736</v>
      </c>
      <c r="DA116" t="s">
        <v>738</v>
      </c>
      <c r="DC116" s="10" t="e">
        <f>DC113 * (DC106/DC109) / DC187 / DC251 / (1-DC254)</f>
        <v>#DIV/0!</v>
      </c>
      <c r="DD116" t="s">
        <v>736</v>
      </c>
      <c r="EA116" t="s">
        <v>738</v>
      </c>
      <c r="EC116" s="10" t="e">
        <f>EC113 * (EC106/EC109) / EC187 / EC251 / (1-EC254)</f>
        <v>#DIV/0!</v>
      </c>
      <c r="ED116" t="s">
        <v>736</v>
      </c>
      <c r="FA116" s="1185" t="s">
        <v>1307</v>
      </c>
      <c r="FB116" s="1185"/>
      <c r="FC116" s="1185"/>
      <c r="FD116" s="1185" t="s">
        <v>736</v>
      </c>
    </row>
    <row r="117" spans="27:160">
      <c r="AC117" s="10" t="e">
        <f>AC116*(58.69+32+4*16)/1000</f>
        <v>#DIV/0!</v>
      </c>
      <c r="AD117" t="s">
        <v>576</v>
      </c>
      <c r="BC117" s="10" t="e">
        <f>BC116*(58.69+32+4*16)/1000</f>
        <v>#DIV/0!</v>
      </c>
      <c r="BD117" t="s">
        <v>576</v>
      </c>
      <c r="CC117" s="10" t="e">
        <f>CC116*(58.69+32+4*16)/1000</f>
        <v>#DIV/0!</v>
      </c>
      <c r="CD117" t="s">
        <v>576</v>
      </c>
      <c r="DC117" s="10" t="e">
        <f>DC116*(58.69+32+4*16)/1000</f>
        <v>#DIV/0!</v>
      </c>
      <c r="DD117" t="s">
        <v>576</v>
      </c>
      <c r="EC117" s="10" t="e">
        <f>EC116*(58.69+32+4*16)/1000</f>
        <v>#DIV/0!</v>
      </c>
      <c r="ED117" t="s">
        <v>576</v>
      </c>
      <c r="FA117" s="1185"/>
      <c r="FB117" s="1185"/>
      <c r="FC117" s="1185"/>
      <c r="FD117" s="1185" t="s">
        <v>576</v>
      </c>
    </row>
    <row r="118" spans="27:160" ht="16">
      <c r="AA118" t="s">
        <v>739</v>
      </c>
      <c r="AC118" s="743">
        <v>6</v>
      </c>
      <c r="AD118" t="s">
        <v>740</v>
      </c>
      <c r="BA118" t="s">
        <v>739</v>
      </c>
      <c r="BC118" s="743">
        <v>6</v>
      </c>
      <c r="BD118" t="s">
        <v>740</v>
      </c>
      <c r="CA118" t="s">
        <v>739</v>
      </c>
      <c r="CC118" s="743">
        <v>6</v>
      </c>
      <c r="CD118" t="s">
        <v>740</v>
      </c>
      <c r="DA118" t="s">
        <v>739</v>
      </c>
      <c r="DC118" s="743">
        <v>6</v>
      </c>
      <c r="DD118" t="s">
        <v>740</v>
      </c>
      <c r="EA118" t="s">
        <v>739</v>
      </c>
      <c r="EC118" s="743">
        <v>6</v>
      </c>
      <c r="ED118" t="s">
        <v>740</v>
      </c>
      <c r="FA118" s="1185" t="s">
        <v>1308</v>
      </c>
      <c r="FB118" s="1185"/>
      <c r="FC118" s="1185"/>
      <c r="FD118" s="1185" t="s">
        <v>740</v>
      </c>
    </row>
    <row r="119" spans="27:160" ht="16">
      <c r="AA119" t="s">
        <v>741</v>
      </c>
      <c r="AC119" s="10" t="e">
        <f>AC116/AC118</f>
        <v>#DIV/0!</v>
      </c>
      <c r="AD119" t="s">
        <v>742</v>
      </c>
      <c r="BA119" t="s">
        <v>741</v>
      </c>
      <c r="BC119" s="10" t="e">
        <f>BC116/BC118</f>
        <v>#DIV/0!</v>
      </c>
      <c r="BD119" t="s">
        <v>742</v>
      </c>
      <c r="CA119" t="s">
        <v>741</v>
      </c>
      <c r="CC119" s="10" t="e">
        <f>CC116/CC118</f>
        <v>#DIV/0!</v>
      </c>
      <c r="CD119" t="s">
        <v>742</v>
      </c>
      <c r="DA119" t="s">
        <v>741</v>
      </c>
      <c r="DC119" s="10" t="e">
        <f>DC116/DC118</f>
        <v>#DIV/0!</v>
      </c>
      <c r="DD119" t="s">
        <v>742</v>
      </c>
      <c r="EA119" t="s">
        <v>741</v>
      </c>
      <c r="EC119" s="10" t="e">
        <f>EC116/EC118</f>
        <v>#DIV/0!</v>
      </c>
      <c r="ED119" t="s">
        <v>742</v>
      </c>
      <c r="FA119" s="1185" t="s">
        <v>1309</v>
      </c>
      <c r="FB119" s="1185"/>
      <c r="FC119" s="1185"/>
      <c r="FD119" s="1185" t="s">
        <v>742</v>
      </c>
    </row>
    <row r="120" spans="27:160" ht="16">
      <c r="AA120" t="s">
        <v>743</v>
      </c>
      <c r="AC120" s="10" t="e">
        <f>AC113 * (AC107/AC109) / AC188 / AC252 / (1-AC254)</f>
        <v>#DIV/0!</v>
      </c>
      <c r="AD120" t="s">
        <v>736</v>
      </c>
      <c r="BA120" t="s">
        <v>743</v>
      </c>
      <c r="BC120" s="10" t="e">
        <f>BC113 * (BC107/BC109) / BC188 / BC252 / (1-BC254)</f>
        <v>#DIV/0!</v>
      </c>
      <c r="BD120" t="s">
        <v>736</v>
      </c>
      <c r="CA120" t="s">
        <v>743</v>
      </c>
      <c r="CC120" s="10" t="e">
        <f>CC113 * (CC107/CC109) / CC188 / CC252 / (1-CC254)</f>
        <v>#DIV/0!</v>
      </c>
      <c r="CD120" t="s">
        <v>736</v>
      </c>
      <c r="DA120" t="s">
        <v>743</v>
      </c>
      <c r="DC120" s="10" t="e">
        <f>DC113 * (DC107/DC109) / DC188 / DC252 / (1-DC254)</f>
        <v>#DIV/0!</v>
      </c>
      <c r="DD120" t="s">
        <v>736</v>
      </c>
      <c r="EA120" s="881" t="s">
        <v>1037</v>
      </c>
      <c r="EC120" s="882" t="e">
        <f>EC113 * (EC107/EC109) /2/ EC188 / EC252 / (1-EC254)</f>
        <v>#DIV/0!</v>
      </c>
      <c r="ED120" t="s">
        <v>736</v>
      </c>
      <c r="FA120" s="1185" t="s">
        <v>1310</v>
      </c>
      <c r="FB120" s="1185"/>
      <c r="FC120" s="1185"/>
      <c r="FD120" s="1185" t="s">
        <v>736</v>
      </c>
    </row>
    <row r="121" spans="27:160">
      <c r="AC121" s="10" t="e">
        <f>AC120*(54.93+32+4*16)/1000</f>
        <v>#DIV/0!</v>
      </c>
      <c r="AD121" t="s">
        <v>576</v>
      </c>
      <c r="BC121" s="10" t="e">
        <f>BC120*(54.93+32+4*16)/1000</f>
        <v>#DIV/0!</v>
      </c>
      <c r="BD121" t="s">
        <v>576</v>
      </c>
      <c r="CC121" s="10" t="e">
        <f>CC120*(54.93+32+4*16)/1000</f>
        <v>#DIV/0!</v>
      </c>
      <c r="CD121" t="s">
        <v>576</v>
      </c>
      <c r="DC121" s="10" t="e">
        <f>DC120*(54.93+32+4*16)/1000</f>
        <v>#DIV/0!</v>
      </c>
      <c r="DD121" t="s">
        <v>576</v>
      </c>
      <c r="EC121" s="882" t="e">
        <f>EC120*(26.98*2+3*96)/1000</f>
        <v>#DIV/0!</v>
      </c>
      <c r="ED121" t="s">
        <v>576</v>
      </c>
      <c r="FA121" s="1185"/>
      <c r="FB121" s="1185"/>
      <c r="FC121" s="1185"/>
      <c r="FD121" s="1185" t="s">
        <v>576</v>
      </c>
    </row>
    <row r="122" spans="27:160" ht="16">
      <c r="AA122" t="s">
        <v>744</v>
      </c>
      <c r="AC122" s="743">
        <v>6</v>
      </c>
      <c r="AD122" t="s">
        <v>740</v>
      </c>
      <c r="BA122" t="s">
        <v>744</v>
      </c>
      <c r="BC122" s="743">
        <v>6</v>
      </c>
      <c r="BD122" t="s">
        <v>740</v>
      </c>
      <c r="CA122" t="s">
        <v>744</v>
      </c>
      <c r="CC122" s="743">
        <v>6</v>
      </c>
      <c r="CD122" t="s">
        <v>740</v>
      </c>
      <c r="DA122" t="s">
        <v>744</v>
      </c>
      <c r="DC122" s="743">
        <v>6</v>
      </c>
      <c r="DD122" t="s">
        <v>740</v>
      </c>
      <c r="EA122" t="s">
        <v>1039</v>
      </c>
      <c r="EC122" s="743">
        <v>6</v>
      </c>
      <c r="ED122" t="s">
        <v>740</v>
      </c>
      <c r="FA122" s="1185" t="s">
        <v>1311</v>
      </c>
      <c r="FB122" s="1185"/>
      <c r="FC122" s="1185"/>
      <c r="FD122" s="1185" t="s">
        <v>740</v>
      </c>
    </row>
    <row r="123" spans="27:160" ht="16">
      <c r="AA123" t="s">
        <v>745</v>
      </c>
      <c r="AC123" s="10" t="e">
        <f>AC120/AC122</f>
        <v>#DIV/0!</v>
      </c>
      <c r="AD123" t="s">
        <v>742</v>
      </c>
      <c r="BA123" t="s">
        <v>745</v>
      </c>
      <c r="BC123" s="10" t="e">
        <f>BC120/BC122</f>
        <v>#DIV/0!</v>
      </c>
      <c r="BD123" t="s">
        <v>742</v>
      </c>
      <c r="CA123" t="s">
        <v>745</v>
      </c>
      <c r="CC123" s="10" t="e">
        <f>CC120/CC122</f>
        <v>#DIV/0!</v>
      </c>
      <c r="CD123" t="s">
        <v>742</v>
      </c>
      <c r="DA123" t="s">
        <v>745</v>
      </c>
      <c r="DC123" s="10" t="e">
        <f>DC120/DC122</f>
        <v>#DIV/0!</v>
      </c>
      <c r="DD123" t="s">
        <v>742</v>
      </c>
      <c r="EA123" t="s">
        <v>1040</v>
      </c>
      <c r="EC123" s="10" t="e">
        <f>EC120/EC122</f>
        <v>#DIV/0!</v>
      </c>
      <c r="ED123" t="s">
        <v>742</v>
      </c>
      <c r="FA123" s="1185" t="s">
        <v>1312</v>
      </c>
      <c r="FB123" s="1185"/>
      <c r="FC123" s="1185"/>
      <c r="FD123" s="1185" t="s">
        <v>742</v>
      </c>
    </row>
    <row r="124" spans="27:160" ht="16">
      <c r="AA124" t="s">
        <v>746</v>
      </c>
      <c r="AC124" s="10" t="e">
        <f>AC113 * (AC108/AC109) / AC189 / AC253 / (1-AC254)</f>
        <v>#DIV/0!</v>
      </c>
      <c r="AD124" t="s">
        <v>736</v>
      </c>
      <c r="BA124" t="s">
        <v>746</v>
      </c>
      <c r="BC124" s="10" t="e">
        <f>BC113 * (BC108/BC109) / BC189 / BC253 / (1-BC254)</f>
        <v>#DIV/0!</v>
      </c>
      <c r="BD124" t="s">
        <v>736</v>
      </c>
      <c r="CA124" t="s">
        <v>746</v>
      </c>
      <c r="CC124" s="10" t="e">
        <f>CC113 * (CC108/CC109) / CC189 / CC253 / (1-CC254)</f>
        <v>#DIV/0!</v>
      </c>
      <c r="CD124" t="s">
        <v>736</v>
      </c>
      <c r="DA124" t="s">
        <v>746</v>
      </c>
      <c r="DC124" s="10" t="e">
        <f>DC113 * (DC108/DC109) / DC189 / DC253 / (1-DC254)</f>
        <v>#DIV/0!</v>
      </c>
      <c r="DD124" t="s">
        <v>736</v>
      </c>
      <c r="EA124" t="s">
        <v>746</v>
      </c>
      <c r="EC124" s="10" t="e">
        <f>EC113 * (EC108/EC109) / EC189 / EC253 / (1-EC254)</f>
        <v>#DIV/0!</v>
      </c>
      <c r="ED124" t="s">
        <v>736</v>
      </c>
      <c r="FA124" s="1185" t="s">
        <v>1313</v>
      </c>
      <c r="FB124" s="1185"/>
      <c r="FC124" s="1185"/>
      <c r="FD124" s="1185" t="s">
        <v>736</v>
      </c>
    </row>
    <row r="125" spans="27:160">
      <c r="AC125" s="10" t="e">
        <f>AC124*(58.93+32+4*16)/1000</f>
        <v>#DIV/0!</v>
      </c>
      <c r="AD125" t="s">
        <v>576</v>
      </c>
      <c r="BC125" s="10" t="e">
        <f>BC124*(58.93+32+4*16)/1000</f>
        <v>#DIV/0!</v>
      </c>
      <c r="BD125" t="s">
        <v>576</v>
      </c>
      <c r="CC125" s="10" t="e">
        <f>CC124*(58.93+32+4*16)/1000</f>
        <v>#DIV/0!</v>
      </c>
      <c r="CD125" t="s">
        <v>576</v>
      </c>
      <c r="DC125" s="10" t="e">
        <f>DC124*(58.93+32+4*16)/1000</f>
        <v>#DIV/0!</v>
      </c>
      <c r="DD125" t="s">
        <v>576</v>
      </c>
      <c r="EC125" s="10" t="e">
        <f>EC124*(58.93+32+4*16)/1000</f>
        <v>#DIV/0!</v>
      </c>
      <c r="ED125" t="s">
        <v>576</v>
      </c>
      <c r="FA125" s="1185"/>
      <c r="FB125" s="1185"/>
      <c r="FC125" s="1185"/>
      <c r="FD125" s="1185" t="s">
        <v>576</v>
      </c>
    </row>
    <row r="126" spans="27:160" ht="16">
      <c r="AA126" t="s">
        <v>747</v>
      </c>
      <c r="AC126" s="743">
        <v>6</v>
      </c>
      <c r="AD126" t="s">
        <v>740</v>
      </c>
      <c r="BA126" t="s">
        <v>747</v>
      </c>
      <c r="BC126" s="743">
        <v>6</v>
      </c>
      <c r="BD126" t="s">
        <v>740</v>
      </c>
      <c r="CA126" t="s">
        <v>747</v>
      </c>
      <c r="CC126" s="743">
        <v>6</v>
      </c>
      <c r="CD126" t="s">
        <v>740</v>
      </c>
      <c r="DA126" t="s">
        <v>747</v>
      </c>
      <c r="DC126" s="743">
        <v>6</v>
      </c>
      <c r="DD126" t="s">
        <v>740</v>
      </c>
      <c r="EA126" t="s">
        <v>747</v>
      </c>
      <c r="EC126" s="743">
        <v>6</v>
      </c>
      <c r="ED126" t="s">
        <v>740</v>
      </c>
      <c r="FA126" s="1185" t="s">
        <v>1314</v>
      </c>
      <c r="FB126" s="1185"/>
      <c r="FC126" s="1185"/>
      <c r="FD126" s="1185" t="s">
        <v>740</v>
      </c>
    </row>
    <row r="127" spans="27:160" ht="16">
      <c r="AA127" t="s">
        <v>748</v>
      </c>
      <c r="AC127" s="10" t="e">
        <f>AC124/AC126</f>
        <v>#DIV/0!</v>
      </c>
      <c r="AD127" t="s">
        <v>742</v>
      </c>
      <c r="BA127" t="s">
        <v>748</v>
      </c>
      <c r="BC127" s="10" t="e">
        <f>BC124/BC126</f>
        <v>#DIV/0!</v>
      </c>
      <c r="BD127" t="s">
        <v>742</v>
      </c>
      <c r="CA127" t="s">
        <v>748</v>
      </c>
      <c r="CC127" s="10" t="e">
        <f>CC124/CC126</f>
        <v>#DIV/0!</v>
      </c>
      <c r="CD127" t="s">
        <v>742</v>
      </c>
      <c r="DA127" t="s">
        <v>748</v>
      </c>
      <c r="DC127" s="10" t="e">
        <f>DC124/DC126</f>
        <v>#DIV/0!</v>
      </c>
      <c r="DD127" t="s">
        <v>742</v>
      </c>
      <c r="EA127" t="s">
        <v>748</v>
      </c>
      <c r="EC127" s="10" t="e">
        <f>EC124/EC126</f>
        <v>#DIV/0!</v>
      </c>
      <c r="ED127" t="s">
        <v>742</v>
      </c>
      <c r="FA127" s="1185" t="s">
        <v>1315</v>
      </c>
      <c r="FB127" s="1185"/>
      <c r="FC127" s="1185"/>
      <c r="FD127" s="1185" t="s">
        <v>742</v>
      </c>
    </row>
    <row r="128" spans="27:160">
      <c r="AA128" t="s">
        <v>749</v>
      </c>
      <c r="AC128" s="743">
        <v>0</v>
      </c>
      <c r="AD128" t="s">
        <v>742</v>
      </c>
      <c r="BA128" t="s">
        <v>749</v>
      </c>
      <c r="BC128" s="743">
        <v>0</v>
      </c>
      <c r="BD128" t="s">
        <v>742</v>
      </c>
      <c r="CA128" t="s">
        <v>749</v>
      </c>
      <c r="CC128" s="743">
        <v>0</v>
      </c>
      <c r="CD128" t="s">
        <v>742</v>
      </c>
      <c r="DA128" t="s">
        <v>749</v>
      </c>
      <c r="DC128" s="743">
        <v>0</v>
      </c>
      <c r="DD128" t="s">
        <v>742</v>
      </c>
      <c r="EA128" t="s">
        <v>749</v>
      </c>
      <c r="EC128" s="743">
        <v>0</v>
      </c>
      <c r="ED128" t="s">
        <v>742</v>
      </c>
      <c r="FA128" s="1185" t="s">
        <v>749</v>
      </c>
      <c r="FB128" s="1185"/>
      <c r="FC128" s="1185"/>
      <c r="FD128" s="1185" t="s">
        <v>742</v>
      </c>
    </row>
    <row r="129" spans="27:160">
      <c r="AA129" t="s">
        <v>750</v>
      </c>
      <c r="BA129" t="s">
        <v>750</v>
      </c>
      <c r="CA129" t="s">
        <v>750</v>
      </c>
      <c r="DA129" t="s">
        <v>750</v>
      </c>
      <c r="EA129" t="s">
        <v>750</v>
      </c>
      <c r="FA129" s="1185" t="s">
        <v>750</v>
      </c>
      <c r="FB129" s="1185"/>
      <c r="FC129" s="1185"/>
      <c r="FD129" s="1185"/>
    </row>
    <row r="130" spans="27:160" ht="16">
      <c r="AA130" t="s">
        <v>751</v>
      </c>
      <c r="AC130" s="744" t="e">
        <f>AC116/(AC119+AC123+AC127+AC128)</f>
        <v>#DIV/0!</v>
      </c>
      <c r="AD130" t="s">
        <v>740</v>
      </c>
      <c r="BA130" t="s">
        <v>751</v>
      </c>
      <c r="BC130" s="744" t="e">
        <f>BC116/(BC119+BC123+BC127+BC128)</f>
        <v>#DIV/0!</v>
      </c>
      <c r="BD130" t="s">
        <v>740</v>
      </c>
      <c r="CA130" t="s">
        <v>751</v>
      </c>
      <c r="CC130" s="744" t="e">
        <f>CC116/(CC119+CC123+CC127+CC128)</f>
        <v>#DIV/0!</v>
      </c>
      <c r="CD130" t="s">
        <v>740</v>
      </c>
      <c r="DA130" t="s">
        <v>751</v>
      </c>
      <c r="DC130" s="744" t="e">
        <f>DC116/(DC119+DC123+DC127+DC128)</f>
        <v>#DIV/0!</v>
      </c>
      <c r="DD130" t="s">
        <v>740</v>
      </c>
      <c r="EA130" t="s">
        <v>751</v>
      </c>
      <c r="EC130" s="744" t="e">
        <f>EC116/(EC119+EC123+EC127+EC128)</f>
        <v>#DIV/0!</v>
      </c>
      <c r="ED130" t="s">
        <v>740</v>
      </c>
      <c r="FA130" s="1185" t="s">
        <v>1316</v>
      </c>
      <c r="FB130" s="1185"/>
      <c r="FC130" s="1185"/>
      <c r="FD130" s="1185" t="s">
        <v>740</v>
      </c>
    </row>
    <row r="131" spans="27:160" ht="16">
      <c r="AA131" t="s">
        <v>752</v>
      </c>
      <c r="AC131" s="744" t="e">
        <f>AC120/(AC119+AC123+AC127+AC128)</f>
        <v>#DIV/0!</v>
      </c>
      <c r="AD131" t="s">
        <v>740</v>
      </c>
      <c r="BA131" t="s">
        <v>752</v>
      </c>
      <c r="BC131" s="744" t="e">
        <f>BC120/(BC119+BC123+BC127+BC128)</f>
        <v>#DIV/0!</v>
      </c>
      <c r="BD131" t="s">
        <v>740</v>
      </c>
      <c r="CA131" t="s">
        <v>752</v>
      </c>
      <c r="CC131" s="744" t="e">
        <f>CC120/(CC119+CC123+CC127+CC128)</f>
        <v>#DIV/0!</v>
      </c>
      <c r="CD131" t="s">
        <v>740</v>
      </c>
      <c r="DA131" t="s">
        <v>752</v>
      </c>
      <c r="DC131" s="744" t="e">
        <f>DC120/(DC119+DC123+DC127+DC128)</f>
        <v>#DIV/0!</v>
      </c>
      <c r="DD131" t="s">
        <v>740</v>
      </c>
      <c r="EA131" s="881" t="s">
        <v>1038</v>
      </c>
      <c r="EC131" s="744" t="e">
        <f>EC120/(EC119+EC123+EC127+EC128)</f>
        <v>#DIV/0!</v>
      </c>
      <c r="ED131" t="s">
        <v>740</v>
      </c>
      <c r="FA131" s="1185" t="s">
        <v>1317</v>
      </c>
      <c r="FB131" s="1185"/>
      <c r="FC131" s="1185"/>
      <c r="FD131" s="1185" t="s">
        <v>740</v>
      </c>
    </row>
    <row r="132" spans="27:160" ht="16">
      <c r="AA132" t="s">
        <v>753</v>
      </c>
      <c r="AC132" s="744" t="e">
        <f>AC124/(AC119+AC123+AC127+AC128)</f>
        <v>#DIV/0!</v>
      </c>
      <c r="AD132" t="s">
        <v>740</v>
      </c>
      <c r="BA132" t="s">
        <v>753</v>
      </c>
      <c r="BC132" s="744" t="e">
        <f>BC124/(BC119+BC123+BC127+BC128)</f>
        <v>#DIV/0!</v>
      </c>
      <c r="BD132" t="s">
        <v>740</v>
      </c>
      <c r="CA132" t="s">
        <v>753</v>
      </c>
      <c r="CC132" s="744" t="e">
        <f>CC124/(CC119+CC123+CC127+CC128)</f>
        <v>#DIV/0!</v>
      </c>
      <c r="CD132" t="s">
        <v>740</v>
      </c>
      <c r="DA132" t="s">
        <v>753</v>
      </c>
      <c r="DC132" s="744" t="e">
        <f>DC124/(DC119+DC123+DC127+DC128)</f>
        <v>#DIV/0!</v>
      </c>
      <c r="DD132" t="s">
        <v>740</v>
      </c>
      <c r="EA132" t="s">
        <v>753</v>
      </c>
      <c r="EC132" s="744" t="e">
        <f>EC124/(EC119+EC123+EC127+EC128)</f>
        <v>#DIV/0!</v>
      </c>
      <c r="ED132" t="s">
        <v>740</v>
      </c>
      <c r="FA132" s="1185" t="s">
        <v>1318</v>
      </c>
      <c r="FB132" s="1185"/>
      <c r="FC132" s="1185"/>
      <c r="FD132" s="1185" t="s">
        <v>740</v>
      </c>
    </row>
    <row r="133" spans="27:160">
      <c r="AA133" t="s">
        <v>754</v>
      </c>
      <c r="BA133" t="s">
        <v>754</v>
      </c>
      <c r="CA133" t="s">
        <v>754</v>
      </c>
      <c r="DA133" t="s">
        <v>754</v>
      </c>
      <c r="EA133" t="s">
        <v>754</v>
      </c>
      <c r="FA133" s="1185" t="s">
        <v>754</v>
      </c>
      <c r="FB133" s="1185"/>
      <c r="FC133" s="1185"/>
      <c r="FD133" s="1185"/>
    </row>
    <row r="134" spans="27:160" ht="16">
      <c r="AA134" t="s">
        <v>751</v>
      </c>
      <c r="AC134" s="745">
        <v>2</v>
      </c>
      <c r="AD134" t="s">
        <v>740</v>
      </c>
      <c r="BA134" t="s">
        <v>751</v>
      </c>
      <c r="BC134" s="745">
        <v>3.6</v>
      </c>
      <c r="BD134" t="s">
        <v>740</v>
      </c>
      <c r="CA134" t="s">
        <v>751</v>
      </c>
      <c r="CC134" s="745">
        <v>3.6</v>
      </c>
      <c r="CD134" t="s">
        <v>740</v>
      </c>
      <c r="DA134" t="s">
        <v>751</v>
      </c>
      <c r="DC134" s="745">
        <v>4.8</v>
      </c>
      <c r="DD134" t="s">
        <v>740</v>
      </c>
      <c r="EA134" t="s">
        <v>751</v>
      </c>
      <c r="EC134" s="745">
        <v>4.92</v>
      </c>
      <c r="ED134" t="s">
        <v>740</v>
      </c>
      <c r="FA134" s="1185" t="s">
        <v>1316</v>
      </c>
      <c r="FB134" s="1185"/>
      <c r="FC134" s="1185"/>
      <c r="FD134" s="1185" t="s">
        <v>740</v>
      </c>
    </row>
    <row r="135" spans="27:160" ht="16">
      <c r="AA135" t="s">
        <v>752</v>
      </c>
      <c r="AC135" s="746">
        <f>AC134/AC106*AC107</f>
        <v>2</v>
      </c>
      <c r="AD135" t="s">
        <v>740</v>
      </c>
      <c r="BA135" t="s">
        <v>752</v>
      </c>
      <c r="BC135" s="746">
        <f>BC134/BC106*BC107</f>
        <v>2.16</v>
      </c>
      <c r="BD135" t="s">
        <v>740</v>
      </c>
      <c r="CA135" t="s">
        <v>752</v>
      </c>
      <c r="CC135" s="746">
        <f>CC134/CC106*CC107</f>
        <v>1.2</v>
      </c>
      <c r="CD135" t="s">
        <v>740</v>
      </c>
      <c r="DA135" t="s">
        <v>752</v>
      </c>
      <c r="DC135" s="746">
        <f>DC134/DC106*DC107</f>
        <v>0.6</v>
      </c>
      <c r="DD135" t="s">
        <v>740</v>
      </c>
      <c r="EA135" s="881" t="s">
        <v>1038</v>
      </c>
      <c r="EC135" s="884">
        <f>EC134/EC106*EC107/2</f>
        <v>0.15375</v>
      </c>
      <c r="ED135" t="s">
        <v>740</v>
      </c>
      <c r="FA135" s="1185" t="s">
        <v>1317</v>
      </c>
      <c r="FB135" s="1185"/>
      <c r="FC135" s="1185"/>
      <c r="FD135" s="1185" t="s">
        <v>740</v>
      </c>
    </row>
    <row r="136" spans="27:160" ht="16">
      <c r="AA136" t="s">
        <v>753</v>
      </c>
      <c r="AC136" s="746">
        <f>AC134/AC106*AC108</f>
        <v>2</v>
      </c>
      <c r="AD136" t="s">
        <v>740</v>
      </c>
      <c r="BA136" t="s">
        <v>753</v>
      </c>
      <c r="BC136" s="746">
        <f>BC134/BC106*BC108</f>
        <v>1.44</v>
      </c>
      <c r="BD136" t="s">
        <v>740</v>
      </c>
      <c r="CA136" t="s">
        <v>753</v>
      </c>
      <c r="CC136" s="746">
        <f>CC134/CC106*CC108</f>
        <v>1.2</v>
      </c>
      <c r="CD136" t="s">
        <v>740</v>
      </c>
      <c r="DA136" t="s">
        <v>753</v>
      </c>
      <c r="DC136" s="746">
        <f>DC134/DC106*DC108</f>
        <v>0.6</v>
      </c>
      <c r="DD136" t="s">
        <v>740</v>
      </c>
      <c r="EA136" t="s">
        <v>753</v>
      </c>
      <c r="EC136" s="746">
        <f>EC134/EC106*EC108</f>
        <v>0.92249999999999988</v>
      </c>
      <c r="ED136" t="s">
        <v>740</v>
      </c>
      <c r="FA136" s="1185" t="s">
        <v>1318</v>
      </c>
      <c r="FB136" s="1185"/>
      <c r="FC136" s="1185"/>
      <c r="FD136" s="1185" t="s">
        <v>740</v>
      </c>
    </row>
    <row r="137" spans="27:160">
      <c r="AA137" t="s">
        <v>755</v>
      </c>
      <c r="AC137" s="747" t="e">
        <f>ABS(AC130-AC134)+ABS(AC131-AC135)+ABS(AC132-AC136)</f>
        <v>#DIV/0!</v>
      </c>
      <c r="BA137" t="s">
        <v>755</v>
      </c>
      <c r="BC137" s="747">
        <v>0</v>
      </c>
      <c r="CA137" t="s">
        <v>755</v>
      </c>
      <c r="CC137" s="747">
        <v>0</v>
      </c>
      <c r="DA137" t="s">
        <v>755</v>
      </c>
      <c r="DC137" s="747">
        <v>0</v>
      </c>
      <c r="EA137" t="s">
        <v>755</v>
      </c>
      <c r="EC137" s="747">
        <v>0</v>
      </c>
      <c r="FA137" s="1185" t="s">
        <v>755</v>
      </c>
      <c r="FB137" s="1185"/>
      <c r="FC137" s="1185"/>
      <c r="FD137" s="1185"/>
    </row>
    <row r="138" spans="27:160">
      <c r="AA138" t="s">
        <v>756</v>
      </c>
      <c r="AC138" s="744" t="e">
        <f>AC119+AC123+AC127+AC128</f>
        <v>#DIV/0!</v>
      </c>
      <c r="AD138" t="s">
        <v>742</v>
      </c>
      <c r="BA138" t="s">
        <v>756</v>
      </c>
      <c r="BC138" s="744" t="e">
        <f>BC119+BC123+BC127+BC128</f>
        <v>#DIV/0!</v>
      </c>
      <c r="BD138" t="s">
        <v>742</v>
      </c>
      <c r="CA138" t="s">
        <v>756</v>
      </c>
      <c r="CC138" s="744" t="e">
        <f>CC119+CC123+CC127+CC128</f>
        <v>#DIV/0!</v>
      </c>
      <c r="CD138" t="s">
        <v>742</v>
      </c>
      <c r="DA138" t="s">
        <v>756</v>
      </c>
      <c r="DC138" s="744" t="e">
        <f>DC119+DC123+DC127+DC128</f>
        <v>#DIV/0!</v>
      </c>
      <c r="DD138" t="s">
        <v>742</v>
      </c>
      <c r="EA138" t="s">
        <v>756</v>
      </c>
      <c r="EC138" s="744" t="e">
        <f>EC119+EC123+EC127+EC128</f>
        <v>#DIV/0!</v>
      </c>
      <c r="ED138" t="s">
        <v>742</v>
      </c>
      <c r="FA138" s="1185" t="s">
        <v>756</v>
      </c>
      <c r="FB138" s="1185"/>
      <c r="FC138" s="1185"/>
      <c r="FD138" s="1185" t="s">
        <v>742</v>
      </c>
    </row>
    <row r="139" spans="27:160">
      <c r="AA139" t="s">
        <v>757</v>
      </c>
      <c r="AC139" s="748">
        <v>120</v>
      </c>
      <c r="AD139" t="s">
        <v>758</v>
      </c>
      <c r="BA139" t="s">
        <v>757</v>
      </c>
      <c r="BC139" s="748">
        <v>120</v>
      </c>
      <c r="BD139" t="s">
        <v>758</v>
      </c>
      <c r="CA139" t="s">
        <v>757</v>
      </c>
      <c r="CC139" s="748">
        <v>120</v>
      </c>
      <c r="CD139" t="s">
        <v>758</v>
      </c>
      <c r="DA139" t="s">
        <v>757</v>
      </c>
      <c r="DC139" s="748">
        <v>120</v>
      </c>
      <c r="DD139" t="s">
        <v>758</v>
      </c>
      <c r="EA139" t="s">
        <v>757</v>
      </c>
      <c r="EC139" s="748">
        <v>120</v>
      </c>
      <c r="ED139" t="s">
        <v>758</v>
      </c>
      <c r="FA139" s="1185" t="s">
        <v>757</v>
      </c>
      <c r="FB139" s="1185"/>
      <c r="FC139" s="1185"/>
      <c r="FD139" s="1185" t="s">
        <v>758</v>
      </c>
    </row>
    <row r="140" spans="27:160">
      <c r="AA140" t="s">
        <v>759</v>
      </c>
      <c r="AC140" s="744" t="e">
        <f>AC138*(AC139/60/24)</f>
        <v>#DIV/0!</v>
      </c>
      <c r="AD140" t="s">
        <v>742</v>
      </c>
      <c r="BA140" t="s">
        <v>759</v>
      </c>
      <c r="BC140" s="744" t="e">
        <f>BC138*(BC139/60/24)</f>
        <v>#DIV/0!</v>
      </c>
      <c r="BD140" t="s">
        <v>742</v>
      </c>
      <c r="CA140" t="s">
        <v>759</v>
      </c>
      <c r="CC140" s="744" t="e">
        <f>CC138*(CC139/60/24)</f>
        <v>#DIV/0!</v>
      </c>
      <c r="CD140" t="s">
        <v>742</v>
      </c>
      <c r="DA140" t="s">
        <v>759</v>
      </c>
      <c r="DC140" s="744" t="e">
        <f>DC138*(DC139/60/24)</f>
        <v>#DIV/0!</v>
      </c>
      <c r="DD140" t="s">
        <v>742</v>
      </c>
      <c r="EA140" t="s">
        <v>759</v>
      </c>
      <c r="EC140" s="744" t="e">
        <f>EC138*(EC139/60/24)</f>
        <v>#DIV/0!</v>
      </c>
      <c r="ED140" t="s">
        <v>742</v>
      </c>
      <c r="FA140" s="1185" t="s">
        <v>759</v>
      </c>
      <c r="FB140" s="1185"/>
      <c r="FC140" s="1185"/>
      <c r="FD140" s="1185" t="s">
        <v>742</v>
      </c>
    </row>
    <row r="141" spans="27:160">
      <c r="AC141" s="744" t="e">
        <f>AC140/3.785</f>
        <v>#DIV/0!</v>
      </c>
      <c r="AD141" t="s">
        <v>760</v>
      </c>
      <c r="BC141" s="744" t="e">
        <f>BC140/3.785</f>
        <v>#DIV/0!</v>
      </c>
      <c r="BD141" t="s">
        <v>760</v>
      </c>
      <c r="CC141" s="744" t="e">
        <f>CC140/3.785</f>
        <v>#DIV/0!</v>
      </c>
      <c r="CD141" t="s">
        <v>760</v>
      </c>
      <c r="DC141" s="744" t="e">
        <f>DC140/3.785</f>
        <v>#DIV/0!</v>
      </c>
      <c r="DD141" t="s">
        <v>760</v>
      </c>
      <c r="EC141" s="744" t="e">
        <f>EC140/3.785</f>
        <v>#DIV/0!</v>
      </c>
      <c r="ED141" t="s">
        <v>760</v>
      </c>
      <c r="FA141" s="1185"/>
      <c r="FB141" s="1185"/>
      <c r="FC141" s="1185"/>
      <c r="FD141" s="1185" t="s">
        <v>760</v>
      </c>
    </row>
    <row r="142" spans="27:160">
      <c r="AA142" t="s">
        <v>761</v>
      </c>
      <c r="AC142" s="749">
        <v>1</v>
      </c>
      <c r="BA142" t="s">
        <v>761</v>
      </c>
      <c r="BC142" s="749">
        <v>1</v>
      </c>
      <c r="CA142" t="s">
        <v>761</v>
      </c>
      <c r="CC142" s="749">
        <v>1</v>
      </c>
      <c r="DA142" t="s">
        <v>761</v>
      </c>
      <c r="DC142" s="749">
        <v>1</v>
      </c>
      <c r="EA142" t="s">
        <v>761</v>
      </c>
      <c r="EC142" s="749">
        <v>1</v>
      </c>
      <c r="FA142" s="1185" t="s">
        <v>761</v>
      </c>
      <c r="FB142" s="1185"/>
      <c r="FC142" s="1185"/>
      <c r="FD142" s="1185"/>
    </row>
    <row r="143" spans="27:160" ht="16.5">
      <c r="AA143" t="s">
        <v>762</v>
      </c>
      <c r="AC143" s="744" t="e">
        <f>AC140*(1+AC142)/1000</f>
        <v>#DIV/0!</v>
      </c>
      <c r="AD143" t="s">
        <v>763</v>
      </c>
      <c r="BA143" t="s">
        <v>762</v>
      </c>
      <c r="BC143" s="744" t="e">
        <f>BC140*(1+BC142)/1000</f>
        <v>#DIV/0!</v>
      </c>
      <c r="BD143" t="s">
        <v>763</v>
      </c>
      <c r="CA143" t="s">
        <v>762</v>
      </c>
      <c r="CC143" s="744" t="e">
        <f>CC140*(1+CC142)/1000</f>
        <v>#DIV/0!</v>
      </c>
      <c r="CD143" t="s">
        <v>763</v>
      </c>
      <c r="DA143" t="s">
        <v>762</v>
      </c>
      <c r="DC143" s="744" t="e">
        <f>DC140*(1+DC142)/1000</f>
        <v>#DIV/0!</v>
      </c>
      <c r="DD143" t="s">
        <v>763</v>
      </c>
      <c r="EA143" t="s">
        <v>762</v>
      </c>
      <c r="EC143" s="744" t="e">
        <f>EC140*(1+EC142)/1000</f>
        <v>#DIV/0!</v>
      </c>
      <c r="ED143" t="s">
        <v>763</v>
      </c>
      <c r="FA143" s="1185" t="s">
        <v>762</v>
      </c>
      <c r="FB143" s="1185"/>
      <c r="FC143" s="1185"/>
      <c r="FD143" s="1185" t="s">
        <v>1319</v>
      </c>
    </row>
    <row r="144" spans="27:160">
      <c r="AA144" t="s">
        <v>764</v>
      </c>
      <c r="AC144" s="750" t="e">
        <f>9457.4*AC143^0.5482</f>
        <v>#DIV/0!</v>
      </c>
      <c r="BA144" t="s">
        <v>764</v>
      </c>
      <c r="BC144" s="750" t="e">
        <f>9457.4*BC143^0.5482</f>
        <v>#DIV/0!</v>
      </c>
      <c r="CA144" t="s">
        <v>764</v>
      </c>
      <c r="CC144" s="750" t="e">
        <f>9457.4*CC143^0.5482</f>
        <v>#DIV/0!</v>
      </c>
      <c r="DA144" t="s">
        <v>764</v>
      </c>
      <c r="DC144" s="750" t="e">
        <f>9457.4*DC143^0.5482</f>
        <v>#DIV/0!</v>
      </c>
      <c r="EA144" t="s">
        <v>764</v>
      </c>
      <c r="EC144" s="750" t="e">
        <f>9457.4*EC143^0.5482</f>
        <v>#DIV/0!</v>
      </c>
      <c r="FA144" s="1185" t="s">
        <v>764</v>
      </c>
      <c r="FB144" s="1185"/>
      <c r="FC144" s="1185"/>
      <c r="FD144" s="1185"/>
    </row>
    <row r="145" spans="27:160">
      <c r="AC145" s="750" t="e">
        <f>AC144*'Unit Ops'!$G$133/'Unit Ops'!$V$133</f>
        <v>#DIV/0!</v>
      </c>
      <c r="BC145" s="750" t="e">
        <f>BC144*'Unit Ops'!$G$133/'Unit Ops'!$V$133</f>
        <v>#DIV/0!</v>
      </c>
      <c r="CC145" s="750" t="e">
        <f>CC144*'Unit Ops'!$G$133/'Unit Ops'!$V$133</f>
        <v>#DIV/0!</v>
      </c>
      <c r="DC145" s="750" t="e">
        <f>DC144*'Unit Ops'!$G$133/'Unit Ops'!$V$133</f>
        <v>#DIV/0!</v>
      </c>
      <c r="EC145" s="750" t="e">
        <f>EC144*'Unit Ops'!$G$133/'Unit Ops'!$V$133</f>
        <v>#DIV/0!</v>
      </c>
      <c r="EE145" s="905" t="s">
        <v>1430</v>
      </c>
      <c r="FA145" s="1185"/>
      <c r="FB145" s="1185"/>
      <c r="FC145" s="1185"/>
      <c r="FD145" s="1185"/>
    </row>
    <row r="146" spans="27:160">
      <c r="AA146" t="s">
        <v>765</v>
      </c>
      <c r="AC146" s="751">
        <v>10</v>
      </c>
      <c r="AD146" t="s">
        <v>766</v>
      </c>
      <c r="BA146" t="s">
        <v>765</v>
      </c>
      <c r="BC146" s="751">
        <v>10</v>
      </c>
      <c r="BD146" t="s">
        <v>766</v>
      </c>
      <c r="CA146" t="s">
        <v>765</v>
      </c>
      <c r="CC146" s="751">
        <v>10</v>
      </c>
      <c r="CD146" t="s">
        <v>766</v>
      </c>
      <c r="DA146" t="s">
        <v>765</v>
      </c>
      <c r="DC146" s="751">
        <v>10</v>
      </c>
      <c r="DD146" t="s">
        <v>766</v>
      </c>
      <c r="EA146" t="s">
        <v>765</v>
      </c>
      <c r="EC146" s="751">
        <v>10</v>
      </c>
      <c r="ED146" t="s">
        <v>766</v>
      </c>
      <c r="FA146" s="1185" t="s">
        <v>765</v>
      </c>
      <c r="FB146" s="1185"/>
      <c r="FC146" s="1185"/>
      <c r="FD146" s="1185" t="s">
        <v>766</v>
      </c>
    </row>
    <row r="147" spans="27:160" ht="16.5">
      <c r="AC147" s="744">
        <f>AC146*0.7456/3.785</f>
        <v>1.9698811096433289</v>
      </c>
      <c r="AD147" t="s">
        <v>767</v>
      </c>
      <c r="BC147" s="744">
        <f>BC146*0.7456/3.785</f>
        <v>1.9698811096433289</v>
      </c>
      <c r="BD147" t="s">
        <v>767</v>
      </c>
      <c r="CC147" s="744">
        <f>CC146*0.7456/3.785</f>
        <v>1.9698811096433289</v>
      </c>
      <c r="CD147" t="s">
        <v>767</v>
      </c>
      <c r="DC147" s="744">
        <f>DC146*0.7456/3.785</f>
        <v>1.9698811096433289</v>
      </c>
      <c r="DD147" t="s">
        <v>767</v>
      </c>
      <c r="EC147" s="744">
        <f>EC146*0.7456/3.785</f>
        <v>1.9698811096433289</v>
      </c>
      <c r="ED147" t="s">
        <v>767</v>
      </c>
      <c r="FA147" s="1185"/>
      <c r="FB147" s="1185"/>
      <c r="FC147" s="1185"/>
      <c r="FD147" s="1185" t="s">
        <v>1320</v>
      </c>
    </row>
    <row r="148" spans="27:160">
      <c r="AC148" s="752" t="e">
        <f>AC147*AC143</f>
        <v>#DIV/0!</v>
      </c>
      <c r="AD148" s="753" t="s">
        <v>454</v>
      </c>
      <c r="BC148" s="752" t="e">
        <f>BC147*BC143</f>
        <v>#DIV/0!</v>
      </c>
      <c r="BD148" s="753" t="s">
        <v>454</v>
      </c>
      <c r="CC148" s="752" t="e">
        <f>CC147*CC143</f>
        <v>#DIV/0!</v>
      </c>
      <c r="CD148" s="753" t="s">
        <v>454</v>
      </c>
      <c r="DC148" s="752" t="e">
        <f>DC147*DC143</f>
        <v>#DIV/0!</v>
      </c>
      <c r="DD148" s="753" t="s">
        <v>454</v>
      </c>
      <c r="EC148" s="752" t="e">
        <f>EC147*EC143</f>
        <v>#DIV/0!</v>
      </c>
      <c r="ED148" s="753" t="s">
        <v>454</v>
      </c>
      <c r="FA148" s="1185"/>
      <c r="FB148" s="1185"/>
      <c r="FC148" s="1185"/>
      <c r="FD148" s="1185" t="s">
        <v>454</v>
      </c>
    </row>
    <row r="149" spans="27:160">
      <c r="AC149" s="744"/>
      <c r="BC149" s="744"/>
      <c r="CC149" s="744"/>
      <c r="DC149" s="744"/>
      <c r="EC149" s="744"/>
      <c r="FC149" s="744"/>
    </row>
    <row r="150" spans="27:160">
      <c r="AA150" s="742" t="s">
        <v>768</v>
      </c>
      <c r="AB150" s="742"/>
      <c r="AC150" s="10"/>
      <c r="BA150" s="742" t="s">
        <v>768</v>
      </c>
      <c r="BB150" s="742"/>
      <c r="BC150" s="10"/>
      <c r="CA150" s="742" t="s">
        <v>768</v>
      </c>
      <c r="CB150" s="742"/>
      <c r="CC150" s="10"/>
      <c r="DA150" s="742" t="s">
        <v>768</v>
      </c>
      <c r="DB150" s="742"/>
      <c r="DC150" s="10"/>
      <c r="EA150" s="742" t="s">
        <v>768</v>
      </c>
      <c r="EB150" s="742"/>
      <c r="EC150" s="10"/>
      <c r="FA150" s="1184" t="s">
        <v>768</v>
      </c>
      <c r="FB150" s="742"/>
      <c r="FC150" s="10"/>
    </row>
    <row r="151" spans="27:160" ht="16">
      <c r="AA151" t="s">
        <v>769</v>
      </c>
      <c r="AB151" s="10"/>
      <c r="AC151" s="10" t="e">
        <f>AC116+AC120+AC124</f>
        <v>#DIV/0!</v>
      </c>
      <c r="AD151" t="s">
        <v>736</v>
      </c>
      <c r="BA151" t="s">
        <v>769</v>
      </c>
      <c r="BB151" s="10"/>
      <c r="BC151" s="10" t="e">
        <f>BC116+BC120+BC124</f>
        <v>#DIV/0!</v>
      </c>
      <c r="BD151" t="s">
        <v>736</v>
      </c>
      <c r="CA151" t="s">
        <v>769</v>
      </c>
      <c r="CB151" s="10"/>
      <c r="CC151" s="10" t="e">
        <f>CC116+CC120+CC124</f>
        <v>#DIV/0!</v>
      </c>
      <c r="CD151" t="s">
        <v>736</v>
      </c>
      <c r="DA151" t="s">
        <v>769</v>
      </c>
      <c r="DB151" s="10"/>
      <c r="DC151" s="10" t="e">
        <f>DC116+DC120+DC124</f>
        <v>#DIV/0!</v>
      </c>
      <c r="DD151" t="s">
        <v>736</v>
      </c>
      <c r="EA151" t="s">
        <v>769</v>
      </c>
      <c r="EB151" s="10"/>
      <c r="EC151" s="882" t="e">
        <f>EC116+EC120*3+EC124</f>
        <v>#DIV/0!</v>
      </c>
      <c r="ED151" t="s">
        <v>736</v>
      </c>
      <c r="FA151" s="1185" t="s">
        <v>1321</v>
      </c>
      <c r="FB151" s="1186"/>
      <c r="FC151" s="1185"/>
      <c r="FD151" s="1185" t="s">
        <v>736</v>
      </c>
    </row>
    <row r="152" spans="27:160">
      <c r="AC152" s="10" t="e">
        <f>AC151*(2*23+12+3*16)/1000</f>
        <v>#DIV/0!</v>
      </c>
      <c r="AD152" t="s">
        <v>576</v>
      </c>
      <c r="BC152" s="10" t="e">
        <f>BC151*(2*23+12+3*16)/1000</f>
        <v>#DIV/0!</v>
      </c>
      <c r="BD152" t="s">
        <v>576</v>
      </c>
      <c r="CC152" s="10" t="e">
        <f>CC151*(2*23+12+3*16)/1000</f>
        <v>#DIV/0!</v>
      </c>
      <c r="CD152" t="s">
        <v>576</v>
      </c>
      <c r="DC152" s="10" t="e">
        <f>DC151*(2*23+12+3*16)/1000</f>
        <v>#DIV/0!</v>
      </c>
      <c r="DD152" t="s">
        <v>576</v>
      </c>
      <c r="EC152" s="10" t="e">
        <f>EC151*(2*23+12+3*16)/1000</f>
        <v>#DIV/0!</v>
      </c>
      <c r="ED152" t="s">
        <v>576</v>
      </c>
      <c r="FA152" s="1185"/>
      <c r="FB152" s="1185"/>
      <c r="FC152" s="1185"/>
      <c r="FD152" s="1185" t="s">
        <v>576</v>
      </c>
    </row>
    <row r="153" spans="27:160">
      <c r="AA153" t="s">
        <v>770</v>
      </c>
      <c r="AC153" s="743">
        <v>2</v>
      </c>
      <c r="AD153" t="s">
        <v>740</v>
      </c>
      <c r="BA153" t="s">
        <v>770</v>
      </c>
      <c r="BC153" s="743">
        <v>2</v>
      </c>
      <c r="BD153" t="s">
        <v>740</v>
      </c>
      <c r="CA153" t="s">
        <v>770</v>
      </c>
      <c r="CC153" s="743">
        <v>2</v>
      </c>
      <c r="CD153" t="s">
        <v>740</v>
      </c>
      <c r="DA153" t="s">
        <v>770</v>
      </c>
      <c r="DC153" s="743">
        <v>2</v>
      </c>
      <c r="DD153" t="s">
        <v>740</v>
      </c>
      <c r="EA153" t="s">
        <v>770</v>
      </c>
      <c r="EC153" s="743">
        <v>2</v>
      </c>
      <c r="ED153" t="s">
        <v>740</v>
      </c>
      <c r="FA153" s="1185" t="s">
        <v>770</v>
      </c>
      <c r="FB153" s="1185"/>
      <c r="FC153" s="1185"/>
      <c r="FD153" s="1185" t="s">
        <v>740</v>
      </c>
    </row>
    <row r="154" spans="27:160" ht="16">
      <c r="AA154" t="s">
        <v>771</v>
      </c>
      <c r="AC154" s="10" t="e">
        <f>AC151/AC153</f>
        <v>#DIV/0!</v>
      </c>
      <c r="AD154" t="s">
        <v>742</v>
      </c>
      <c r="BA154" t="s">
        <v>771</v>
      </c>
      <c r="BC154" s="10" t="e">
        <f>BC151/BC153</f>
        <v>#DIV/0!</v>
      </c>
      <c r="BD154" t="s">
        <v>742</v>
      </c>
      <c r="CA154" t="s">
        <v>771</v>
      </c>
      <c r="CC154" s="10" t="e">
        <f>CC151/CC153</f>
        <v>#DIV/0!</v>
      </c>
      <c r="CD154" t="s">
        <v>742</v>
      </c>
      <c r="DA154" t="s">
        <v>771</v>
      </c>
      <c r="DC154" s="10" t="e">
        <f>DC151/DC153</f>
        <v>#DIV/0!</v>
      </c>
      <c r="DD154" t="s">
        <v>742</v>
      </c>
      <c r="EA154" t="s">
        <v>771</v>
      </c>
      <c r="EC154" s="10" t="e">
        <f>EC151/EC153</f>
        <v>#DIV/0!</v>
      </c>
      <c r="ED154" t="s">
        <v>742</v>
      </c>
      <c r="FA154" s="1185" t="s">
        <v>1322</v>
      </c>
      <c r="FB154" s="1185"/>
      <c r="FC154" s="1185"/>
      <c r="FD154" s="1185" t="s">
        <v>742</v>
      </c>
    </row>
    <row r="155" spans="27:160">
      <c r="AA155" t="s">
        <v>772</v>
      </c>
      <c r="AC155" s="748">
        <v>60</v>
      </c>
      <c r="AD155" t="s">
        <v>758</v>
      </c>
      <c r="BA155" t="s">
        <v>772</v>
      </c>
      <c r="BC155" s="748">
        <v>60</v>
      </c>
      <c r="BD155" t="s">
        <v>758</v>
      </c>
      <c r="CA155" t="s">
        <v>772</v>
      </c>
      <c r="CC155" s="748">
        <v>60</v>
      </c>
      <c r="CD155" t="s">
        <v>758</v>
      </c>
      <c r="DA155" t="s">
        <v>772</v>
      </c>
      <c r="DC155" s="748">
        <v>60</v>
      </c>
      <c r="DD155" t="s">
        <v>758</v>
      </c>
      <c r="EA155" t="s">
        <v>772</v>
      </c>
      <c r="EC155" s="748">
        <v>60</v>
      </c>
      <c r="ED155" t="s">
        <v>758</v>
      </c>
      <c r="FA155" s="1185" t="s">
        <v>772</v>
      </c>
      <c r="FB155" s="1185"/>
      <c r="FC155" s="1185"/>
      <c r="FD155" s="1185" t="s">
        <v>758</v>
      </c>
    </row>
    <row r="156" spans="27:160">
      <c r="AA156" t="s">
        <v>773</v>
      </c>
      <c r="AC156" s="744" t="e">
        <f>AC154*(AC155/60/24)</f>
        <v>#DIV/0!</v>
      </c>
      <c r="AD156" t="s">
        <v>742</v>
      </c>
      <c r="BA156" t="s">
        <v>773</v>
      </c>
      <c r="BC156" s="744" t="e">
        <f>BC154*(BC155/60/24)</f>
        <v>#DIV/0!</v>
      </c>
      <c r="BD156" t="s">
        <v>742</v>
      </c>
      <c r="CA156" t="s">
        <v>773</v>
      </c>
      <c r="CC156" s="744" t="e">
        <f>CC154*(CC155/60/24)</f>
        <v>#DIV/0!</v>
      </c>
      <c r="CD156" t="s">
        <v>742</v>
      </c>
      <c r="DA156" t="s">
        <v>773</v>
      </c>
      <c r="DC156" s="744" t="e">
        <f>DC154*(DC155/60/24)</f>
        <v>#DIV/0!</v>
      </c>
      <c r="DD156" t="s">
        <v>742</v>
      </c>
      <c r="EA156" t="s">
        <v>773</v>
      </c>
      <c r="EC156" s="744" t="e">
        <f>EC154*(EC155/60/24)</f>
        <v>#DIV/0!</v>
      </c>
      <c r="ED156" t="s">
        <v>742</v>
      </c>
      <c r="FA156" s="1185" t="s">
        <v>773</v>
      </c>
      <c r="FB156" s="1185"/>
      <c r="FC156" s="1185"/>
      <c r="FD156" s="1185" t="s">
        <v>742</v>
      </c>
    </row>
    <row r="157" spans="27:160">
      <c r="AC157" s="744" t="e">
        <f>AC156/3.785</f>
        <v>#DIV/0!</v>
      </c>
      <c r="AD157" t="s">
        <v>760</v>
      </c>
      <c r="BC157" s="744" t="e">
        <f>BC156/3.785</f>
        <v>#DIV/0!</v>
      </c>
      <c r="BD157" t="s">
        <v>760</v>
      </c>
      <c r="CC157" s="744" t="e">
        <f>CC156/3.785</f>
        <v>#DIV/0!</v>
      </c>
      <c r="CD157" t="s">
        <v>760</v>
      </c>
      <c r="DC157" s="744" t="e">
        <f>DC156/3.785</f>
        <v>#DIV/0!</v>
      </c>
      <c r="DD157" t="s">
        <v>760</v>
      </c>
      <c r="EC157" s="744" t="e">
        <f>EC156/3.785</f>
        <v>#DIV/0!</v>
      </c>
      <c r="ED157" t="s">
        <v>760</v>
      </c>
      <c r="FA157" s="1185"/>
      <c r="FB157" s="1185"/>
      <c r="FC157" s="1185"/>
      <c r="FD157" s="1185" t="s">
        <v>760</v>
      </c>
    </row>
    <row r="158" spans="27:160">
      <c r="AA158" t="s">
        <v>761</v>
      </c>
      <c r="AC158" s="749">
        <v>1</v>
      </c>
      <c r="BA158" t="s">
        <v>761</v>
      </c>
      <c r="BC158" s="749">
        <v>1</v>
      </c>
      <c r="CA158" t="s">
        <v>761</v>
      </c>
      <c r="CC158" s="749">
        <v>1</v>
      </c>
      <c r="DA158" t="s">
        <v>761</v>
      </c>
      <c r="DC158" s="749">
        <v>1</v>
      </c>
      <c r="EA158" t="s">
        <v>761</v>
      </c>
      <c r="EC158" s="749">
        <v>1</v>
      </c>
      <c r="FA158" s="1185" t="s">
        <v>761</v>
      </c>
      <c r="FB158" s="1185"/>
      <c r="FC158" s="1185"/>
      <c r="FD158" s="1185"/>
    </row>
    <row r="159" spans="27:160" ht="16.5">
      <c r="AA159" t="s">
        <v>762</v>
      </c>
      <c r="AC159" s="744" t="e">
        <f>AC156*(1+AC158)/1000</f>
        <v>#DIV/0!</v>
      </c>
      <c r="AD159" t="s">
        <v>763</v>
      </c>
      <c r="BA159" t="s">
        <v>762</v>
      </c>
      <c r="BC159" s="744" t="e">
        <f>BC156*(1+BC158)/1000</f>
        <v>#DIV/0!</v>
      </c>
      <c r="BD159" t="s">
        <v>763</v>
      </c>
      <c r="CA159" t="s">
        <v>762</v>
      </c>
      <c r="CC159" s="744" t="e">
        <f>CC156*(1+CC158)/1000</f>
        <v>#DIV/0!</v>
      </c>
      <c r="CD159" t="s">
        <v>763</v>
      </c>
      <c r="DA159" t="s">
        <v>762</v>
      </c>
      <c r="DC159" s="744" t="e">
        <f>DC156*(1+DC158)/1000</f>
        <v>#DIV/0!</v>
      </c>
      <c r="DD159" t="s">
        <v>763</v>
      </c>
      <c r="EA159" t="s">
        <v>762</v>
      </c>
      <c r="EC159" s="744" t="e">
        <f>EC156*(1+EC158)/1000</f>
        <v>#DIV/0!</v>
      </c>
      <c r="ED159" t="s">
        <v>763</v>
      </c>
      <c r="FA159" s="1185" t="s">
        <v>762</v>
      </c>
      <c r="FB159" s="1185"/>
      <c r="FC159" s="1185"/>
      <c r="FD159" s="1185" t="s">
        <v>1319</v>
      </c>
    </row>
    <row r="160" spans="27:160">
      <c r="AA160" t="s">
        <v>764</v>
      </c>
      <c r="AC160" s="750" t="e">
        <f>9457.4*AC159^0.5482</f>
        <v>#DIV/0!</v>
      </c>
      <c r="BA160" t="s">
        <v>764</v>
      </c>
      <c r="BC160" s="750" t="e">
        <f>9457.4*BC159^0.5482</f>
        <v>#DIV/0!</v>
      </c>
      <c r="CA160" t="s">
        <v>764</v>
      </c>
      <c r="CC160" s="750" t="e">
        <f>9457.4*CC159^0.5482</f>
        <v>#DIV/0!</v>
      </c>
      <c r="DA160" t="s">
        <v>764</v>
      </c>
      <c r="DC160" s="750" t="e">
        <f>9457.4*DC159^0.5482</f>
        <v>#DIV/0!</v>
      </c>
      <c r="EA160" t="s">
        <v>764</v>
      </c>
      <c r="EC160" s="750" t="e">
        <f>9457.4*EC159^0.5482</f>
        <v>#DIV/0!</v>
      </c>
      <c r="FA160" s="1185" t="s">
        <v>764</v>
      </c>
      <c r="FB160" s="1185"/>
      <c r="FC160" s="1185"/>
      <c r="FD160" s="1185"/>
    </row>
    <row r="161" spans="27:160">
      <c r="AC161" s="750" t="e">
        <f>AC160*'Unit Ops'!$G$133/'Unit Ops'!$V$133</f>
        <v>#DIV/0!</v>
      </c>
      <c r="BC161" s="750" t="e">
        <f>BC160*'Unit Ops'!$G$133/'Unit Ops'!$V$133</f>
        <v>#DIV/0!</v>
      </c>
      <c r="CC161" s="750" t="e">
        <f>CC160*'Unit Ops'!$G$133/'Unit Ops'!$V$133</f>
        <v>#DIV/0!</v>
      </c>
      <c r="DC161" s="750" t="e">
        <f>DC160*'Unit Ops'!$G$133/'Unit Ops'!$V$133</f>
        <v>#DIV/0!</v>
      </c>
      <c r="EC161" s="750" t="e">
        <f>EC160*'Unit Ops'!$G$133/'Unit Ops'!$V$133</f>
        <v>#DIV/0!</v>
      </c>
      <c r="EE161" s="905" t="s">
        <v>1430</v>
      </c>
      <c r="FA161" s="1185"/>
      <c r="FB161" s="1185"/>
      <c r="FC161" s="1185"/>
      <c r="FD161" s="1185"/>
    </row>
    <row r="162" spans="27:160">
      <c r="AA162" t="s">
        <v>765</v>
      </c>
      <c r="AC162" s="751">
        <v>10</v>
      </c>
      <c r="AD162" t="s">
        <v>766</v>
      </c>
      <c r="BA162" t="s">
        <v>765</v>
      </c>
      <c r="BC162" s="751">
        <v>10</v>
      </c>
      <c r="BD162" t="s">
        <v>766</v>
      </c>
      <c r="CA162" t="s">
        <v>765</v>
      </c>
      <c r="CC162" s="751">
        <v>10</v>
      </c>
      <c r="CD162" t="s">
        <v>766</v>
      </c>
      <c r="DA162" t="s">
        <v>765</v>
      </c>
      <c r="DC162" s="751">
        <v>10</v>
      </c>
      <c r="DD162" t="s">
        <v>766</v>
      </c>
      <c r="EA162" t="s">
        <v>765</v>
      </c>
      <c r="EC162" s="751">
        <v>10</v>
      </c>
      <c r="ED162" t="s">
        <v>766</v>
      </c>
      <c r="FA162" s="1185" t="s">
        <v>765</v>
      </c>
      <c r="FB162" s="1185"/>
      <c r="FC162" s="1185"/>
      <c r="FD162" s="1185" t="s">
        <v>766</v>
      </c>
    </row>
    <row r="163" spans="27:160" ht="16.5">
      <c r="AC163" s="754">
        <f>AC162*0.7456/3.785</f>
        <v>1.9698811096433289</v>
      </c>
      <c r="AD163" t="s">
        <v>767</v>
      </c>
      <c r="BC163" s="754">
        <f>BC162*0.7456/3.785</f>
        <v>1.9698811096433289</v>
      </c>
      <c r="BD163" t="s">
        <v>767</v>
      </c>
      <c r="CC163" s="754">
        <f>CC162*0.7456/3.785</f>
        <v>1.9698811096433289</v>
      </c>
      <c r="CD163" t="s">
        <v>767</v>
      </c>
      <c r="DC163" s="754">
        <f>DC162*0.7456/3.785</f>
        <v>1.9698811096433289</v>
      </c>
      <c r="DD163" t="s">
        <v>767</v>
      </c>
      <c r="EC163" s="754">
        <f>EC162*0.7456/3.785</f>
        <v>1.9698811096433289</v>
      </c>
      <c r="ED163" t="s">
        <v>767</v>
      </c>
      <c r="FA163" s="1185"/>
      <c r="FB163" s="1185"/>
      <c r="FC163" s="1185"/>
      <c r="FD163" s="1185" t="s">
        <v>1320</v>
      </c>
    </row>
    <row r="164" spans="27:160">
      <c r="AC164" s="755" t="e">
        <f>AC163*AC159</f>
        <v>#DIV/0!</v>
      </c>
      <c r="AD164" s="756" t="s">
        <v>454</v>
      </c>
      <c r="BC164" s="755" t="e">
        <f>BC163*BC159</f>
        <v>#DIV/0!</v>
      </c>
      <c r="BD164" s="756" t="s">
        <v>454</v>
      </c>
      <c r="CC164" s="755" t="e">
        <f>CC163*CC159</f>
        <v>#DIV/0!</v>
      </c>
      <c r="CD164" s="756" t="s">
        <v>454</v>
      </c>
      <c r="DC164" s="755" t="e">
        <f>DC163*DC159</f>
        <v>#DIV/0!</v>
      </c>
      <c r="DD164" s="756" t="s">
        <v>454</v>
      </c>
      <c r="EC164" s="755" t="e">
        <f>EC163*EC159</f>
        <v>#DIV/0!</v>
      </c>
      <c r="ED164" s="756" t="s">
        <v>454</v>
      </c>
      <c r="FA164" s="1185"/>
      <c r="FB164" s="1185"/>
      <c r="FC164" s="1185"/>
      <c r="FD164" s="1185" t="s">
        <v>454</v>
      </c>
    </row>
    <row r="165" spans="27:160">
      <c r="AC165" s="750"/>
      <c r="BC165" s="750"/>
      <c r="CC165" s="750"/>
      <c r="DC165" s="750"/>
      <c r="EC165" s="750"/>
      <c r="FC165" s="750"/>
    </row>
    <row r="166" spans="27:160" ht="16">
      <c r="AA166" s="742" t="s">
        <v>774</v>
      </c>
      <c r="AB166" s="742"/>
      <c r="AC166" s="10"/>
      <c r="BA166" s="742" t="s">
        <v>774</v>
      </c>
      <c r="BB166" s="742"/>
      <c r="BC166" s="10"/>
      <c r="CA166" s="742" t="s">
        <v>774</v>
      </c>
      <c r="CB166" s="742"/>
      <c r="CC166" s="10"/>
      <c r="DA166" s="742" t="s">
        <v>774</v>
      </c>
      <c r="DB166" s="742"/>
      <c r="DC166" s="10"/>
      <c r="EA166" s="742" t="s">
        <v>774</v>
      </c>
      <c r="EB166" s="742"/>
      <c r="EC166" s="10"/>
      <c r="FA166" s="1184" t="s">
        <v>1306</v>
      </c>
      <c r="FB166" s="742"/>
      <c r="FC166" s="10"/>
    </row>
    <row r="167" spans="27:160">
      <c r="AA167" t="s">
        <v>775</v>
      </c>
      <c r="AC167" s="757">
        <v>8</v>
      </c>
      <c r="BA167" t="s">
        <v>775</v>
      </c>
      <c r="BC167" s="757">
        <v>8</v>
      </c>
      <c r="CA167" t="s">
        <v>775</v>
      </c>
      <c r="CC167" s="757">
        <v>8</v>
      </c>
      <c r="DA167" t="s">
        <v>775</v>
      </c>
      <c r="DC167" s="757">
        <v>8</v>
      </c>
      <c r="EA167" t="s">
        <v>775</v>
      </c>
      <c r="EC167" s="757">
        <v>8</v>
      </c>
      <c r="FA167" s="1185" t="s">
        <v>775</v>
      </c>
      <c r="FB167" s="1185"/>
      <c r="FC167" s="1185"/>
      <c r="FD167" s="1185"/>
    </row>
    <row r="168" spans="27:160">
      <c r="AA168" t="s">
        <v>776</v>
      </c>
      <c r="AC168" s="758">
        <f>14-AC167</f>
        <v>6</v>
      </c>
      <c r="BA168" t="s">
        <v>776</v>
      </c>
      <c r="BC168" s="758">
        <f>14-BC167</f>
        <v>6</v>
      </c>
      <c r="CA168" t="s">
        <v>776</v>
      </c>
      <c r="CC168" s="758">
        <f>14-CC167</f>
        <v>6</v>
      </c>
      <c r="DA168" t="s">
        <v>776</v>
      </c>
      <c r="DC168" s="758">
        <f>14-DC167</f>
        <v>6</v>
      </c>
      <c r="EA168" t="s">
        <v>776</v>
      </c>
      <c r="EC168" s="758">
        <f>14-EC167</f>
        <v>6</v>
      </c>
      <c r="FA168" s="1185" t="s">
        <v>776</v>
      </c>
      <c r="FB168" s="1185"/>
      <c r="FC168" s="1185"/>
      <c r="FD168" s="1185"/>
    </row>
    <row r="169" spans="27:160" ht="16">
      <c r="AA169" s="759" t="s">
        <v>777</v>
      </c>
      <c r="AB169" s="759"/>
      <c r="AC169" s="760">
        <f>EXP(-AC168)</f>
        <v>2.4787521766663585E-3</v>
      </c>
      <c r="AD169" t="s">
        <v>740</v>
      </c>
      <c r="BA169" s="759" t="s">
        <v>777</v>
      </c>
      <c r="BB169" s="759"/>
      <c r="BC169" s="760">
        <f>EXP(-BC168)</f>
        <v>2.4787521766663585E-3</v>
      </c>
      <c r="BD169" t="s">
        <v>740</v>
      </c>
      <c r="CA169" s="759" t="s">
        <v>777</v>
      </c>
      <c r="CB169" s="759"/>
      <c r="CC169" s="760">
        <f>EXP(-CC168)</f>
        <v>2.4787521766663585E-3</v>
      </c>
      <c r="CD169" t="s">
        <v>740</v>
      </c>
      <c r="DA169" s="759" t="s">
        <v>777</v>
      </c>
      <c r="DB169" s="759"/>
      <c r="DC169" s="760">
        <f>EXP(-DC168)</f>
        <v>2.4787521766663585E-3</v>
      </c>
      <c r="DD169" t="s">
        <v>740</v>
      </c>
      <c r="EA169" s="759" t="s">
        <v>777</v>
      </c>
      <c r="EB169" s="759"/>
      <c r="EC169" s="760">
        <f>EXP(-EC168)</f>
        <v>2.4787521766663585E-3</v>
      </c>
      <c r="ED169" t="s">
        <v>740</v>
      </c>
      <c r="EE169" t="s">
        <v>1199</v>
      </c>
      <c r="FA169" s="1185" t="s">
        <v>1323</v>
      </c>
      <c r="FB169" s="1185"/>
      <c r="FC169" s="1185"/>
      <c r="FD169" s="1185" t="s">
        <v>740</v>
      </c>
    </row>
    <row r="170" spans="27:160" ht="16">
      <c r="AA170" t="s">
        <v>778</v>
      </c>
      <c r="AC170" s="744" t="e">
        <f ca="1">IF(AC531=0, 100, AC169*AC177)</f>
        <v>#DIV/0!</v>
      </c>
      <c r="AD170" t="s">
        <v>736</v>
      </c>
      <c r="BA170" t="s">
        <v>778</v>
      </c>
      <c r="BC170" s="744" t="e">
        <f ca="1">IF(BC531=0, 100, BC169*BC177)</f>
        <v>#DIV/0!</v>
      </c>
      <c r="BD170" t="s">
        <v>736</v>
      </c>
      <c r="CA170" t="s">
        <v>778</v>
      </c>
      <c r="CC170" s="744" t="e">
        <f ca="1">IF(CC531=0, 100, CC169*CC177)</f>
        <v>#DIV/0!</v>
      </c>
      <c r="CD170" t="s">
        <v>736</v>
      </c>
      <c r="DA170" t="s">
        <v>778</v>
      </c>
      <c r="DC170" s="744" t="e">
        <f ca="1">IF(DC531=0, 100, DC169*DC177)</f>
        <v>#DIV/0!</v>
      </c>
      <c r="DD170" t="s">
        <v>736</v>
      </c>
      <c r="EA170" t="s">
        <v>778</v>
      </c>
      <c r="EC170" s="744" t="e">
        <f ca="1">IF(EC531=0, 100, EC169*EC177)</f>
        <v>#DIV/0!</v>
      </c>
      <c r="ED170" t="s">
        <v>736</v>
      </c>
      <c r="FA170" s="1185" t="s">
        <v>1324</v>
      </c>
      <c r="FB170" s="1185"/>
      <c r="FC170" s="1185"/>
      <c r="FD170" s="1185" t="s">
        <v>736</v>
      </c>
    </row>
    <row r="171" spans="27:160" ht="16">
      <c r="AC171" s="744" t="e">
        <f ca="1">AC170*(14+16+5)/AC110</f>
        <v>#DIV/0!</v>
      </c>
      <c r="AD171" t="s">
        <v>779</v>
      </c>
      <c r="BC171" s="744" t="e">
        <f ca="1">BC170*(14+16+5)/BC110</f>
        <v>#DIV/0!</v>
      </c>
      <c r="BD171" t="s">
        <v>779</v>
      </c>
      <c r="CC171" s="744" t="e">
        <f ca="1">CC170*(14+16+5)/CC110</f>
        <v>#DIV/0!</v>
      </c>
      <c r="CD171" t="s">
        <v>779</v>
      </c>
      <c r="DC171" s="744" t="e">
        <f ca="1">DC170*(14+16+5)/DC110</f>
        <v>#DIV/0!</v>
      </c>
      <c r="DD171" t="s">
        <v>779</v>
      </c>
      <c r="EC171" s="744" t="e">
        <f ca="1">EC170*(14+16+5)/EC110</f>
        <v>#DIV/0!</v>
      </c>
      <c r="ED171" s="881" t="s">
        <v>1041</v>
      </c>
      <c r="FA171" s="1185"/>
      <c r="FB171" s="1185"/>
      <c r="FC171" s="1185"/>
      <c r="FD171" s="1185" t="s">
        <v>1325</v>
      </c>
    </row>
    <row r="172" spans="27:160" ht="16">
      <c r="AA172" t="s">
        <v>780</v>
      </c>
      <c r="AC172" s="761">
        <v>0.5</v>
      </c>
      <c r="AD172" t="s">
        <v>740</v>
      </c>
      <c r="BA172" t="s">
        <v>780</v>
      </c>
      <c r="BC172" s="761">
        <v>0.5</v>
      </c>
      <c r="BD172" t="s">
        <v>740</v>
      </c>
      <c r="CA172" t="s">
        <v>780</v>
      </c>
      <c r="CC172" s="761">
        <v>0.5</v>
      </c>
      <c r="CD172" t="s">
        <v>740</v>
      </c>
      <c r="DA172" t="s">
        <v>780</v>
      </c>
      <c r="DC172" s="761">
        <v>0.5</v>
      </c>
      <c r="DD172" t="s">
        <v>740</v>
      </c>
      <c r="EA172" t="s">
        <v>780</v>
      </c>
      <c r="EC172" s="761">
        <v>0.5</v>
      </c>
      <c r="ED172" t="s">
        <v>740</v>
      </c>
      <c r="FA172" s="1185" t="s">
        <v>1326</v>
      </c>
      <c r="FB172" s="1185"/>
      <c r="FC172" s="1185"/>
      <c r="FD172" s="1185" t="s">
        <v>740</v>
      </c>
    </row>
    <row r="173" spans="27:160" ht="16">
      <c r="AA173" t="s">
        <v>781</v>
      </c>
      <c r="AC173" s="744" t="e">
        <f ca="1">AC170/AC172</f>
        <v>#DIV/0!</v>
      </c>
      <c r="AD173" t="s">
        <v>742</v>
      </c>
      <c r="BA173" t="s">
        <v>781</v>
      </c>
      <c r="BC173" s="744" t="e">
        <f ca="1">BC170/BC172</f>
        <v>#DIV/0!</v>
      </c>
      <c r="BD173" t="s">
        <v>742</v>
      </c>
      <c r="CA173" t="s">
        <v>781</v>
      </c>
      <c r="CC173" s="744" t="e">
        <f ca="1">CC170/CC172</f>
        <v>#DIV/0!</v>
      </c>
      <c r="CD173" t="s">
        <v>742</v>
      </c>
      <c r="DA173" t="s">
        <v>781</v>
      </c>
      <c r="DC173" s="744" t="e">
        <f ca="1">DC170/DC172</f>
        <v>#DIV/0!</v>
      </c>
      <c r="DD173" t="s">
        <v>742</v>
      </c>
      <c r="EA173" t="s">
        <v>781</v>
      </c>
      <c r="EC173" s="744" t="e">
        <f ca="1">EC170/EC172</f>
        <v>#DIV/0!</v>
      </c>
      <c r="ED173" t="s">
        <v>742</v>
      </c>
      <c r="FA173" s="1185" t="s">
        <v>1327</v>
      </c>
      <c r="FB173" s="1185"/>
      <c r="FC173" s="1185"/>
      <c r="FD173" s="1185" t="s">
        <v>742</v>
      </c>
    </row>
    <row r="174" spans="27:160">
      <c r="AA174" t="s">
        <v>782</v>
      </c>
      <c r="AC174" s="744" t="e">
        <f ca="1">AC170*(14+3*1)/1000 + AC173*0.995</f>
        <v>#DIV/0!</v>
      </c>
      <c r="AD174" t="s">
        <v>576</v>
      </c>
      <c r="BA174" t="s">
        <v>782</v>
      </c>
      <c r="BC174" s="744" t="e">
        <f ca="1">BC170*(14+3*1)/1000 + BC173*0.995</f>
        <v>#DIV/0!</v>
      </c>
      <c r="BD174" t="s">
        <v>576</v>
      </c>
      <c r="CA174" t="s">
        <v>782</v>
      </c>
      <c r="CC174" s="744" t="e">
        <f ca="1">CC170*(14+3*1)/1000 + CC173*0.995</f>
        <v>#DIV/0!</v>
      </c>
      <c r="CD174" t="s">
        <v>576</v>
      </c>
      <c r="DA174" t="s">
        <v>782</v>
      </c>
      <c r="DC174" s="744" t="e">
        <f ca="1">DC170*(14+3*1)/1000 + DC173*0.995</f>
        <v>#DIV/0!</v>
      </c>
      <c r="DD174" t="s">
        <v>576</v>
      </c>
      <c r="EA174" t="s">
        <v>782</v>
      </c>
      <c r="EC174" s="744" t="e">
        <f ca="1">EC170*(14+3*1)/1000 + EC173*0.995</f>
        <v>#DIV/0!</v>
      </c>
      <c r="ED174" t="s">
        <v>576</v>
      </c>
      <c r="FA174" s="1185" t="s">
        <v>782</v>
      </c>
      <c r="FB174" s="1185"/>
      <c r="FC174" s="1185"/>
      <c r="FD174" s="1185" t="s">
        <v>576</v>
      </c>
    </row>
    <row r="175" spans="27:160">
      <c r="AC175" s="744"/>
      <c r="BC175" s="744"/>
      <c r="CC175" s="744"/>
      <c r="DC175" s="744"/>
      <c r="EC175" s="744"/>
      <c r="FA175" s="1185"/>
      <c r="FB175" s="1185"/>
      <c r="FC175" s="1185"/>
      <c r="FD175" s="1185"/>
    </row>
    <row r="176" spans="27:160">
      <c r="AA176" s="742" t="s">
        <v>783</v>
      </c>
      <c r="AB176" s="742"/>
      <c r="AC176" s="10"/>
      <c r="BA176" s="742" t="s">
        <v>783</v>
      </c>
      <c r="BB176" s="742"/>
      <c r="BC176" s="10"/>
      <c r="CA176" s="742" t="s">
        <v>783</v>
      </c>
      <c r="CB176" s="742"/>
      <c r="CC176" s="10"/>
      <c r="DA176" s="742" t="s">
        <v>783</v>
      </c>
      <c r="DB176" s="742"/>
      <c r="DC176" s="10"/>
      <c r="EA176" s="742" t="s">
        <v>783</v>
      </c>
      <c r="EB176" s="742"/>
      <c r="EC176" s="10"/>
      <c r="FA176" s="1187" t="s">
        <v>783</v>
      </c>
      <c r="FB176" s="1188"/>
      <c r="FC176" s="1185"/>
      <c r="FD176" s="1185"/>
    </row>
    <row r="177" spans="27:160">
      <c r="AA177" t="s">
        <v>784</v>
      </c>
      <c r="AC177" s="10" t="e">
        <f ca="1">(AC119+AC123+AC127+AC128+AC154+AC173)</f>
        <v>#DIV/0!</v>
      </c>
      <c r="AD177" t="s">
        <v>742</v>
      </c>
      <c r="BA177" t="s">
        <v>784</v>
      </c>
      <c r="BC177" s="10" t="e">
        <f ca="1">(BC119+BC123+BC127+BC128+BC154+BC173)</f>
        <v>#DIV/0!</v>
      </c>
      <c r="BD177" t="s">
        <v>742</v>
      </c>
      <c r="CA177" t="s">
        <v>784</v>
      </c>
      <c r="CC177" s="10" t="e">
        <f ca="1">(CC119+CC123+CC127+CC128+CC154+CC173)</f>
        <v>#DIV/0!</v>
      </c>
      <c r="CD177" t="s">
        <v>742</v>
      </c>
      <c r="DA177" t="s">
        <v>784</v>
      </c>
      <c r="DC177" s="10" t="e">
        <f ca="1">(DC119+DC123+DC127+DC128+DC154+DC173)</f>
        <v>#DIV/0!</v>
      </c>
      <c r="DD177" t="s">
        <v>742</v>
      </c>
      <c r="EA177" t="s">
        <v>784</v>
      </c>
      <c r="EC177" s="10" t="e">
        <f ca="1">(EC119+EC123+EC127+EC128+EC154+EC173)</f>
        <v>#DIV/0!</v>
      </c>
      <c r="ED177" t="s">
        <v>742</v>
      </c>
      <c r="FA177" s="1185" t="s">
        <v>784</v>
      </c>
      <c r="FB177" s="1185"/>
      <c r="FC177" s="1185"/>
      <c r="FD177" s="1185" t="s">
        <v>742</v>
      </c>
    </row>
    <row r="178" spans="27:160" ht="16">
      <c r="AC178" s="10" t="e">
        <f ca="1">AC177/AC110</f>
        <v>#DIV/0!</v>
      </c>
      <c r="AD178" t="s">
        <v>785</v>
      </c>
      <c r="BC178" s="10" t="e">
        <f ca="1">BC177/BC110</f>
        <v>#DIV/0!</v>
      </c>
      <c r="BD178" t="s">
        <v>785</v>
      </c>
      <c r="CC178" s="10" t="e">
        <f ca="1">CC177/CC110</f>
        <v>#DIV/0!</v>
      </c>
      <c r="CD178" t="s">
        <v>785</v>
      </c>
      <c r="DC178" s="10" t="e">
        <f ca="1">DC177/DC110</f>
        <v>#DIV/0!</v>
      </c>
      <c r="DD178" t="s">
        <v>785</v>
      </c>
      <c r="EC178" s="10" t="e">
        <f ca="1">EC177/EC110</f>
        <v>#DIV/0!</v>
      </c>
      <c r="ED178" s="881" t="s">
        <v>1042</v>
      </c>
      <c r="FA178" s="1185"/>
      <c r="FB178" s="1185"/>
      <c r="FC178" s="1185"/>
      <c r="FD178" s="1185" t="s">
        <v>1328</v>
      </c>
    </row>
    <row r="179" spans="27:160">
      <c r="AC179" s="10" t="e">
        <f ca="1">AC177*1000*0.995/18</f>
        <v>#DIV/0!</v>
      </c>
      <c r="AD179" t="s">
        <v>736</v>
      </c>
      <c r="BC179" s="10" t="e">
        <f ca="1">BC177*1000*0.995/18</f>
        <v>#DIV/0!</v>
      </c>
      <c r="BD179" t="s">
        <v>736</v>
      </c>
      <c r="CC179" s="10" t="e">
        <f ca="1">CC177*1000*0.995/18</f>
        <v>#DIV/0!</v>
      </c>
      <c r="CD179" t="s">
        <v>736</v>
      </c>
      <c r="DC179" s="10" t="e">
        <f ca="1">DC177*1000*0.995/18</f>
        <v>#DIV/0!</v>
      </c>
      <c r="DD179" t="s">
        <v>736</v>
      </c>
      <c r="EC179" s="10" t="e">
        <f ca="1">EC177*1000*0.995/18</f>
        <v>#DIV/0!</v>
      </c>
      <c r="ED179" t="s">
        <v>736</v>
      </c>
      <c r="FA179" s="1185"/>
      <c r="FB179" s="1185"/>
      <c r="FC179" s="1185"/>
      <c r="FD179" s="1185" t="s">
        <v>736</v>
      </c>
    </row>
    <row r="180" spans="27:160" ht="16">
      <c r="AA180" t="s">
        <v>786</v>
      </c>
      <c r="AC180" s="10" t="e">
        <f ca="1">AC138+AC154+AC173</f>
        <v>#DIV/0!</v>
      </c>
      <c r="AD180" t="s">
        <v>742</v>
      </c>
      <c r="BA180" t="s">
        <v>786</v>
      </c>
      <c r="BC180" s="10" t="e">
        <f ca="1">BC138+BC154+BC173</f>
        <v>#DIV/0!</v>
      </c>
      <c r="BD180" t="s">
        <v>742</v>
      </c>
      <c r="CA180" t="s">
        <v>786</v>
      </c>
      <c r="CC180" s="10" t="e">
        <f ca="1">CC138+CC154+CC173</f>
        <v>#DIV/0!</v>
      </c>
      <c r="CD180" t="s">
        <v>742</v>
      </c>
      <c r="DA180" t="s">
        <v>786</v>
      </c>
      <c r="DC180" s="10" t="e">
        <f ca="1">DC138+DC154+DC173</f>
        <v>#DIV/0!</v>
      </c>
      <c r="DD180" t="s">
        <v>742</v>
      </c>
      <c r="EA180" s="881" t="s">
        <v>1043</v>
      </c>
      <c r="EC180" s="10" t="e">
        <f ca="1">EC138+EC154+EC173</f>
        <v>#DIV/0!</v>
      </c>
      <c r="ED180" t="s">
        <v>742</v>
      </c>
      <c r="FA180" s="1185" t="s">
        <v>1329</v>
      </c>
      <c r="FB180" s="1185"/>
      <c r="FC180" s="1185"/>
      <c r="FD180" s="1185" t="s">
        <v>742</v>
      </c>
    </row>
    <row r="181" spans="27:160">
      <c r="AC181" s="10" t="e">
        <f ca="1">AC180/3.785</f>
        <v>#DIV/0!</v>
      </c>
      <c r="AD181" t="s">
        <v>760</v>
      </c>
      <c r="BC181" s="10" t="e">
        <f ca="1">BC180/3.785</f>
        <v>#DIV/0!</v>
      </c>
      <c r="BD181" t="s">
        <v>760</v>
      </c>
      <c r="CC181" s="10" t="e">
        <f ca="1">CC180/3.785</f>
        <v>#DIV/0!</v>
      </c>
      <c r="CD181" t="s">
        <v>760</v>
      </c>
      <c r="DC181" s="10" t="e">
        <f ca="1">DC180/3.785</f>
        <v>#DIV/0!</v>
      </c>
      <c r="DD181" t="s">
        <v>760</v>
      </c>
      <c r="EC181" s="10" t="e">
        <f ca="1">EC180/3.785</f>
        <v>#DIV/0!</v>
      </c>
      <c r="ED181" t="s">
        <v>760</v>
      </c>
      <c r="FA181" s="1185"/>
      <c r="FB181" s="1185"/>
      <c r="FC181" s="1185"/>
      <c r="FD181" s="1185" t="s">
        <v>760</v>
      </c>
    </row>
    <row r="182" spans="27:160">
      <c r="AA182" t="s">
        <v>787</v>
      </c>
      <c r="AC182" s="751">
        <v>10</v>
      </c>
      <c r="AD182" t="s">
        <v>455</v>
      </c>
      <c r="BA182" t="s">
        <v>787</v>
      </c>
      <c r="BC182" s="751">
        <v>10</v>
      </c>
      <c r="BD182" t="s">
        <v>455</v>
      </c>
      <c r="CA182" t="s">
        <v>787</v>
      </c>
      <c r="CC182" s="751">
        <v>10</v>
      </c>
      <c r="CD182" t="s">
        <v>455</v>
      </c>
      <c r="DA182" t="s">
        <v>787</v>
      </c>
      <c r="DC182" s="751">
        <v>10</v>
      </c>
      <c r="DD182" t="s">
        <v>455</v>
      </c>
      <c r="EA182" t="s">
        <v>787</v>
      </c>
      <c r="EC182" s="751">
        <v>10</v>
      </c>
      <c r="ED182" t="s">
        <v>455</v>
      </c>
      <c r="FA182" s="1185" t="s">
        <v>787</v>
      </c>
      <c r="FB182" s="1185"/>
      <c r="FC182" s="1185"/>
      <c r="FD182" s="1185" t="s">
        <v>455</v>
      </c>
    </row>
    <row r="183" spans="27:160">
      <c r="AA183" t="s">
        <v>788</v>
      </c>
      <c r="AC183" s="10" t="e">
        <f ca="1">AC177*(AC182/24)</f>
        <v>#DIV/0!</v>
      </c>
      <c r="AD183" t="s">
        <v>742</v>
      </c>
      <c r="BA183" t="s">
        <v>788</v>
      </c>
      <c r="BC183" s="10" t="e">
        <f ca="1">BC177*(BC182/24)</f>
        <v>#DIV/0!</v>
      </c>
      <c r="BD183" t="s">
        <v>742</v>
      </c>
      <c r="CA183" t="s">
        <v>788</v>
      </c>
      <c r="CC183" s="10" t="e">
        <f ca="1">CC177*(CC182/24)</f>
        <v>#DIV/0!</v>
      </c>
      <c r="CD183" t="s">
        <v>742</v>
      </c>
      <c r="DA183" t="s">
        <v>788</v>
      </c>
      <c r="DC183" s="10" t="e">
        <f ca="1">DC177*(DC182/24)</f>
        <v>#DIV/0!</v>
      </c>
      <c r="DD183" t="s">
        <v>742</v>
      </c>
      <c r="EA183" t="s">
        <v>788</v>
      </c>
      <c r="EC183" s="10" t="e">
        <f ca="1">EC177*(EC182/24)</f>
        <v>#DIV/0!</v>
      </c>
      <c r="ED183" t="s">
        <v>742</v>
      </c>
      <c r="FA183" s="1185" t="s">
        <v>788</v>
      </c>
      <c r="FB183" s="1185"/>
      <c r="FC183" s="1185"/>
      <c r="FD183" s="1185" t="s">
        <v>742</v>
      </c>
    </row>
    <row r="184" spans="27:160">
      <c r="AC184" s="10" t="e">
        <f ca="1">AC183/3.785</f>
        <v>#DIV/0!</v>
      </c>
      <c r="AD184" t="s">
        <v>789</v>
      </c>
      <c r="BC184" s="10" t="e">
        <f ca="1">BC183/3.785</f>
        <v>#DIV/0!</v>
      </c>
      <c r="BD184" t="s">
        <v>789</v>
      </c>
      <c r="CC184" s="10" t="e">
        <f ca="1">CC183/3.785</f>
        <v>#DIV/0!</v>
      </c>
      <c r="CD184" t="s">
        <v>789</v>
      </c>
      <c r="DC184" s="10" t="e">
        <f ca="1">DC183/3.785</f>
        <v>#DIV/0!</v>
      </c>
      <c r="DD184" t="s">
        <v>789</v>
      </c>
      <c r="EC184" s="10" t="e">
        <f ca="1">EC183/3.785</f>
        <v>#DIV/0!</v>
      </c>
      <c r="ED184" t="s">
        <v>789</v>
      </c>
      <c r="FA184" s="1185"/>
      <c r="FB184" s="1185"/>
      <c r="FC184" s="1185"/>
      <c r="FD184" s="1185" t="s">
        <v>789</v>
      </c>
    </row>
    <row r="185" spans="27:160">
      <c r="AC185" s="762"/>
      <c r="BC185" s="762"/>
      <c r="CC185" s="762"/>
      <c r="DC185" s="762"/>
      <c r="EC185" s="762"/>
      <c r="FA185" s="1185"/>
      <c r="FB185" s="1185"/>
      <c r="FC185" s="1185"/>
      <c r="FD185" s="1185"/>
    </row>
    <row r="186" spans="27:160">
      <c r="AA186" t="s">
        <v>790</v>
      </c>
      <c r="BA186" t="s">
        <v>790</v>
      </c>
      <c r="CA186" t="s">
        <v>790</v>
      </c>
      <c r="DA186" t="s">
        <v>790</v>
      </c>
      <c r="EA186" t="s">
        <v>790</v>
      </c>
      <c r="FA186" s="1185" t="s">
        <v>790</v>
      </c>
      <c r="FB186" s="1185"/>
      <c r="FC186" s="1185"/>
      <c r="FD186" s="1185"/>
    </row>
    <row r="187" spans="27:160" ht="16">
      <c r="AA187" t="s">
        <v>751</v>
      </c>
      <c r="AC187" s="763">
        <v>0.98</v>
      </c>
      <c r="BA187" t="s">
        <v>751</v>
      </c>
      <c r="BC187" s="763">
        <v>0.98</v>
      </c>
      <c r="CA187" t="s">
        <v>751</v>
      </c>
      <c r="CC187" s="763">
        <v>0.98</v>
      </c>
      <c r="DA187" t="s">
        <v>751</v>
      </c>
      <c r="DC187" s="763">
        <v>0.98</v>
      </c>
      <c r="EA187" t="s">
        <v>751</v>
      </c>
      <c r="EC187" s="763">
        <v>0.98</v>
      </c>
      <c r="FA187" s="1185" t="s">
        <v>1316</v>
      </c>
      <c r="FB187" s="1185"/>
      <c r="FC187" s="1185"/>
      <c r="FD187" s="1185"/>
    </row>
    <row r="188" spans="27:160" ht="16">
      <c r="AA188" t="s">
        <v>752</v>
      </c>
      <c r="AC188" s="763">
        <v>0.98</v>
      </c>
      <c r="BA188" t="s">
        <v>752</v>
      </c>
      <c r="BC188" s="763">
        <v>0.98</v>
      </c>
      <c r="CA188" t="s">
        <v>752</v>
      </c>
      <c r="CC188" s="763">
        <v>0.98</v>
      </c>
      <c r="DA188" t="s">
        <v>752</v>
      </c>
      <c r="DC188" s="763">
        <v>0.98</v>
      </c>
      <c r="EA188" s="881" t="s">
        <v>1038</v>
      </c>
      <c r="EC188" s="763">
        <v>0.98</v>
      </c>
      <c r="FA188" s="1185" t="s">
        <v>1317</v>
      </c>
      <c r="FB188" s="1185"/>
      <c r="FC188" s="1185"/>
      <c r="FD188" s="1185"/>
    </row>
    <row r="189" spans="27:160" ht="16">
      <c r="AA189" t="s">
        <v>753</v>
      </c>
      <c r="AC189" s="763">
        <v>0.98</v>
      </c>
      <c r="BA189" t="s">
        <v>753</v>
      </c>
      <c r="BC189" s="763">
        <v>0.98</v>
      </c>
      <c r="CA189" t="s">
        <v>753</v>
      </c>
      <c r="CC189" s="763">
        <v>0.98</v>
      </c>
      <c r="DA189" t="s">
        <v>753</v>
      </c>
      <c r="DC189" s="763">
        <v>0.98</v>
      </c>
      <c r="EA189" t="s">
        <v>753</v>
      </c>
      <c r="EC189" s="763">
        <v>0.98</v>
      </c>
      <c r="FA189" s="1185" t="s">
        <v>1318</v>
      </c>
      <c r="FB189" s="1185"/>
      <c r="FC189" s="1185"/>
      <c r="FD189" s="1185"/>
    </row>
    <row r="190" spans="27:160">
      <c r="AA190" t="s">
        <v>791</v>
      </c>
      <c r="AC190" s="764"/>
      <c r="BA190" t="s">
        <v>791</v>
      </c>
      <c r="BC190" s="764"/>
      <c r="CA190" t="s">
        <v>791</v>
      </c>
      <c r="CC190" s="764"/>
      <c r="DA190" t="s">
        <v>791</v>
      </c>
      <c r="DC190" s="764"/>
      <c r="EA190" t="s">
        <v>791</v>
      </c>
      <c r="EC190" s="764"/>
      <c r="FA190" s="1185" t="s">
        <v>791</v>
      </c>
      <c r="FB190" s="1185"/>
      <c r="FC190" s="1185"/>
      <c r="FD190" s="1185"/>
    </row>
    <row r="191" spans="27:160" ht="16">
      <c r="AA191" t="s">
        <v>792</v>
      </c>
      <c r="AC191" s="10" t="e">
        <f>AC116*AC187</f>
        <v>#DIV/0!</v>
      </c>
      <c r="AD191" t="s">
        <v>736</v>
      </c>
      <c r="BA191" t="s">
        <v>792</v>
      </c>
      <c r="BC191" s="10" t="e">
        <f>BC116*BC187</f>
        <v>#DIV/0!</v>
      </c>
      <c r="BD191" t="s">
        <v>736</v>
      </c>
      <c r="CA191" t="s">
        <v>792</v>
      </c>
      <c r="CC191" s="10" t="e">
        <f>CC116*CC187</f>
        <v>#DIV/0!</v>
      </c>
      <c r="CD191" t="s">
        <v>736</v>
      </c>
      <c r="DA191" t="s">
        <v>792</v>
      </c>
      <c r="DC191" s="10" t="e">
        <f>DC116*DC187</f>
        <v>#DIV/0!</v>
      </c>
      <c r="DD191" t="s">
        <v>736</v>
      </c>
      <c r="EA191" t="s">
        <v>792</v>
      </c>
      <c r="EC191" s="10" t="e">
        <f>EC116*EC187</f>
        <v>#DIV/0!</v>
      </c>
      <c r="ED191" t="s">
        <v>736</v>
      </c>
      <c r="FA191" s="1185" t="s">
        <v>1330</v>
      </c>
      <c r="FB191" s="1185"/>
      <c r="FC191" s="1185"/>
      <c r="FD191" s="1185" t="s">
        <v>736</v>
      </c>
    </row>
    <row r="192" spans="27:160">
      <c r="AC192" s="10" t="e">
        <f>AC191*(58.69+12+3*16)/1000</f>
        <v>#DIV/0!</v>
      </c>
      <c r="AD192" t="s">
        <v>576</v>
      </c>
      <c r="BC192" s="10" t="e">
        <f>BC191*(58.69+12+3*16)/1000</f>
        <v>#DIV/0!</v>
      </c>
      <c r="BD192" t="s">
        <v>576</v>
      </c>
      <c r="CC192" s="10" t="e">
        <f>CC191*(58.69+12+3*16)/1000</f>
        <v>#DIV/0!</v>
      </c>
      <c r="CD192" t="s">
        <v>576</v>
      </c>
      <c r="DC192" s="10" t="e">
        <f>DC191*(58.69+12+3*16)/1000</f>
        <v>#DIV/0!</v>
      </c>
      <c r="DD192" t="s">
        <v>576</v>
      </c>
      <c r="EC192" s="10" t="e">
        <f>EC191*(58.69+12+3*16)/1000</f>
        <v>#DIV/0!</v>
      </c>
      <c r="ED192" t="s">
        <v>576</v>
      </c>
      <c r="FA192" s="1185"/>
      <c r="FB192" s="1185"/>
      <c r="FC192" s="1185"/>
      <c r="FD192" s="1185" t="s">
        <v>576</v>
      </c>
    </row>
    <row r="193" spans="27:160" ht="16">
      <c r="AA193" t="s">
        <v>793</v>
      </c>
      <c r="AC193" s="10" t="e">
        <f>AC120*AC188</f>
        <v>#DIV/0!</v>
      </c>
      <c r="AD193" t="s">
        <v>736</v>
      </c>
      <c r="BA193" t="s">
        <v>793</v>
      </c>
      <c r="BC193" s="10" t="e">
        <f>BC120*BC188</f>
        <v>#DIV/0!</v>
      </c>
      <c r="BD193" t="s">
        <v>736</v>
      </c>
      <c r="CA193" t="s">
        <v>793</v>
      </c>
      <c r="CC193" s="10" t="e">
        <f>CC120*CC188</f>
        <v>#DIV/0!</v>
      </c>
      <c r="CD193" t="s">
        <v>736</v>
      </c>
      <c r="DA193" t="s">
        <v>793</v>
      </c>
      <c r="DC193" s="10" t="e">
        <f>DC120*DC188</f>
        <v>#DIV/0!</v>
      </c>
      <c r="DD193" t="s">
        <v>736</v>
      </c>
      <c r="EA193" s="881" t="s">
        <v>1044</v>
      </c>
      <c r="EC193" s="10" t="e">
        <f>EC120*EC188</f>
        <v>#DIV/0!</v>
      </c>
      <c r="ED193" t="s">
        <v>736</v>
      </c>
      <c r="FA193" s="1185" t="s">
        <v>1331</v>
      </c>
      <c r="FB193" s="1185"/>
      <c r="FC193" s="1185"/>
      <c r="FD193" s="1185" t="s">
        <v>736</v>
      </c>
    </row>
    <row r="194" spans="27:160">
      <c r="AC194" s="10" t="e">
        <f>AC193*(54.93+12+3*16)/1000</f>
        <v>#DIV/0!</v>
      </c>
      <c r="AD194" t="s">
        <v>576</v>
      </c>
      <c r="BC194" s="10" t="e">
        <f>BC193*(54.93+12+3*16)/1000</f>
        <v>#DIV/0!</v>
      </c>
      <c r="BD194" t="s">
        <v>576</v>
      </c>
      <c r="CC194" s="10" t="e">
        <f>CC193*(54.93+12+3*16)/1000</f>
        <v>#DIV/0!</v>
      </c>
      <c r="CD194" t="s">
        <v>576</v>
      </c>
      <c r="DC194" s="10" t="e">
        <f>DC193*(54.93+12+3*16)/1000</f>
        <v>#DIV/0!</v>
      </c>
      <c r="DD194" t="s">
        <v>576</v>
      </c>
      <c r="EC194" s="882" t="e">
        <f>EC193*(26.98*2+60*3)/1000</f>
        <v>#DIV/0!</v>
      </c>
      <c r="ED194" t="s">
        <v>576</v>
      </c>
      <c r="FA194" s="1185"/>
      <c r="FB194" s="1185"/>
      <c r="FC194" s="1185"/>
      <c r="FD194" s="1185" t="s">
        <v>576</v>
      </c>
    </row>
    <row r="195" spans="27:160" ht="16">
      <c r="AA195" t="s">
        <v>794</v>
      </c>
      <c r="AC195" s="10" t="e">
        <f>AC124*AC189</f>
        <v>#DIV/0!</v>
      </c>
      <c r="AD195" t="s">
        <v>736</v>
      </c>
      <c r="BA195" t="s">
        <v>794</v>
      </c>
      <c r="BC195" s="10" t="e">
        <f>BC124*BC189</f>
        <v>#DIV/0!</v>
      </c>
      <c r="BD195" t="s">
        <v>736</v>
      </c>
      <c r="CA195" t="s">
        <v>794</v>
      </c>
      <c r="CC195" s="10" t="e">
        <f>CC124*CC189</f>
        <v>#DIV/0!</v>
      </c>
      <c r="CD195" t="s">
        <v>736</v>
      </c>
      <c r="DA195" t="s">
        <v>794</v>
      </c>
      <c r="DC195" s="10" t="e">
        <f>DC124*DC189</f>
        <v>#DIV/0!</v>
      </c>
      <c r="DD195" t="s">
        <v>736</v>
      </c>
      <c r="EA195" t="s">
        <v>794</v>
      </c>
      <c r="EC195" s="10" t="e">
        <f>EC124*EC189</f>
        <v>#DIV/0!</v>
      </c>
      <c r="ED195" t="s">
        <v>736</v>
      </c>
      <c r="FA195" s="1185" t="s">
        <v>1332</v>
      </c>
      <c r="FB195" s="1185"/>
      <c r="FC195" s="1185"/>
      <c r="FD195" s="1185" t="s">
        <v>736</v>
      </c>
    </row>
    <row r="196" spans="27:160">
      <c r="AC196" s="10" t="e">
        <f>AC195*(58.93+12+3*16)/1000</f>
        <v>#DIV/0!</v>
      </c>
      <c r="AD196" t="s">
        <v>576</v>
      </c>
      <c r="BC196" s="10" t="e">
        <f>BC195*(58.93+12+3*16)/1000</f>
        <v>#DIV/0!</v>
      </c>
      <c r="BD196" t="s">
        <v>576</v>
      </c>
      <c r="CC196" s="10" t="e">
        <f>CC195*(58.93+12+3*16)/1000</f>
        <v>#DIV/0!</v>
      </c>
      <c r="CD196" t="s">
        <v>576</v>
      </c>
      <c r="DC196" s="10" t="e">
        <f>DC195*(58.93+12+3*16)/1000</f>
        <v>#DIV/0!</v>
      </c>
      <c r="DD196" t="s">
        <v>576</v>
      </c>
      <c r="EC196" s="10" t="e">
        <f>EC195*(58.93+12+3*16)/1000</f>
        <v>#DIV/0!</v>
      </c>
      <c r="ED196" t="s">
        <v>576</v>
      </c>
      <c r="FA196" s="1185"/>
      <c r="FB196" s="1185"/>
      <c r="FC196" s="1185"/>
      <c r="FD196" s="1185" t="s">
        <v>576</v>
      </c>
    </row>
    <row r="197" spans="27:160" ht="16">
      <c r="AA197" t="s">
        <v>795</v>
      </c>
      <c r="AC197" s="10" t="e">
        <f>AC116*(1-AC187)</f>
        <v>#DIV/0!</v>
      </c>
      <c r="AD197" t="s">
        <v>736</v>
      </c>
      <c r="BA197" t="s">
        <v>795</v>
      </c>
      <c r="BC197" s="10" t="e">
        <f>BC116*(1-BC187)</f>
        <v>#DIV/0!</v>
      </c>
      <c r="BD197" t="s">
        <v>736</v>
      </c>
      <c r="CA197" t="s">
        <v>795</v>
      </c>
      <c r="CC197" s="10" t="e">
        <f>CC116*(1-CC187)</f>
        <v>#DIV/0!</v>
      </c>
      <c r="CD197" t="s">
        <v>736</v>
      </c>
      <c r="DA197" t="s">
        <v>795</v>
      </c>
      <c r="DC197" s="10" t="e">
        <f>DC116*(1-DC187)</f>
        <v>#DIV/0!</v>
      </c>
      <c r="DD197" t="s">
        <v>736</v>
      </c>
      <c r="EA197" t="s">
        <v>795</v>
      </c>
      <c r="EC197" s="10" t="e">
        <f>EC116*(1-EC187)</f>
        <v>#DIV/0!</v>
      </c>
      <c r="ED197" t="s">
        <v>736</v>
      </c>
      <c r="FA197" s="1185" t="s">
        <v>1333</v>
      </c>
      <c r="FB197" s="1185"/>
      <c r="FC197" s="1185"/>
      <c r="FD197" s="1185" t="s">
        <v>736</v>
      </c>
    </row>
    <row r="198" spans="27:160" ht="16">
      <c r="AA198" t="s">
        <v>796</v>
      </c>
      <c r="AC198" s="10" t="e">
        <f>AC120*(1-AC188)</f>
        <v>#DIV/0!</v>
      </c>
      <c r="AD198" t="s">
        <v>736</v>
      </c>
      <c r="BA198" t="s">
        <v>796</v>
      </c>
      <c r="BC198" s="10" t="e">
        <f>BC120*(1-BC188)</f>
        <v>#DIV/0!</v>
      </c>
      <c r="BD198" t="s">
        <v>736</v>
      </c>
      <c r="CA198" t="s">
        <v>796</v>
      </c>
      <c r="CC198" s="10" t="e">
        <f>CC120*(1-CC188)</f>
        <v>#DIV/0!</v>
      </c>
      <c r="CD198" t="s">
        <v>736</v>
      </c>
      <c r="DA198" t="s">
        <v>796</v>
      </c>
      <c r="DC198" s="10" t="e">
        <f>DC120*(1-DC188)</f>
        <v>#DIV/0!</v>
      </c>
      <c r="DD198" t="s">
        <v>736</v>
      </c>
      <c r="EA198" s="881" t="s">
        <v>1045</v>
      </c>
      <c r="EC198" s="10" t="e">
        <f>EC120*(1-EC188)</f>
        <v>#DIV/0!</v>
      </c>
      <c r="ED198" t="s">
        <v>736</v>
      </c>
      <c r="FA198" s="1185" t="s">
        <v>1334</v>
      </c>
      <c r="FB198" s="1185"/>
      <c r="FC198" s="1185"/>
      <c r="FD198" s="1185" t="s">
        <v>736</v>
      </c>
    </row>
    <row r="199" spans="27:160" ht="16">
      <c r="AA199" t="s">
        <v>797</v>
      </c>
      <c r="AC199" s="10" t="e">
        <f>AC124*(1-AC189)</f>
        <v>#DIV/0!</v>
      </c>
      <c r="AD199" t="s">
        <v>736</v>
      </c>
      <c r="BA199" t="s">
        <v>797</v>
      </c>
      <c r="BC199" s="10" t="e">
        <f>BC124*(1-BC189)</f>
        <v>#DIV/0!</v>
      </c>
      <c r="BD199" t="s">
        <v>736</v>
      </c>
      <c r="CA199" t="s">
        <v>797</v>
      </c>
      <c r="CC199" s="10" t="e">
        <f>CC124*(1-CC189)</f>
        <v>#DIV/0!</v>
      </c>
      <c r="CD199" t="s">
        <v>736</v>
      </c>
      <c r="DA199" t="s">
        <v>797</v>
      </c>
      <c r="DC199" s="10" t="e">
        <f>DC124*(1-DC189)</f>
        <v>#DIV/0!</v>
      </c>
      <c r="DD199" t="s">
        <v>736</v>
      </c>
      <c r="EA199" t="s">
        <v>797</v>
      </c>
      <c r="EC199" s="10" t="e">
        <f>EC124*(1-EC189)</f>
        <v>#DIV/0!</v>
      </c>
      <c r="ED199" t="s">
        <v>736</v>
      </c>
      <c r="FA199" s="1185" t="s">
        <v>1335</v>
      </c>
      <c r="FB199" s="1185"/>
      <c r="FC199" s="1185"/>
      <c r="FD199" s="1185" t="s">
        <v>736</v>
      </c>
    </row>
    <row r="200" spans="27:160" ht="16">
      <c r="AA200" t="s">
        <v>798</v>
      </c>
      <c r="AC200" s="10" t="e">
        <f>AC191+AC193+AC195</f>
        <v>#DIV/0!</v>
      </c>
      <c r="AD200" t="s">
        <v>736</v>
      </c>
      <c r="BA200" t="s">
        <v>798</v>
      </c>
      <c r="BC200" s="10" t="e">
        <f>BC191+BC193+BC195</f>
        <v>#DIV/0!</v>
      </c>
      <c r="BD200" t="s">
        <v>736</v>
      </c>
      <c r="CA200" t="s">
        <v>798</v>
      </c>
      <c r="CC200" s="10" t="e">
        <f>CC191+CC193+CC195</f>
        <v>#DIV/0!</v>
      </c>
      <c r="CD200" t="s">
        <v>736</v>
      </c>
      <c r="DA200" t="s">
        <v>798</v>
      </c>
      <c r="DC200" s="10" t="e">
        <f>DC191+DC193+DC195</f>
        <v>#DIV/0!</v>
      </c>
      <c r="DD200" t="s">
        <v>736</v>
      </c>
      <c r="EA200" t="s">
        <v>798</v>
      </c>
      <c r="EC200" s="882" t="e">
        <f>EC191+EC193*3+EC195</f>
        <v>#DIV/0!</v>
      </c>
      <c r="ED200" t="s">
        <v>736</v>
      </c>
      <c r="FA200" s="1185" t="s">
        <v>1336</v>
      </c>
      <c r="FB200" s="1185"/>
      <c r="FC200" s="1185"/>
      <c r="FD200" s="1185" t="s">
        <v>736</v>
      </c>
    </row>
    <row r="201" spans="27:160" ht="16">
      <c r="AA201" t="s">
        <v>799</v>
      </c>
      <c r="AC201" s="10" t="e">
        <f>AC151-AC191-AC193-AC195</f>
        <v>#DIV/0!</v>
      </c>
      <c r="AD201" s="10" t="s">
        <v>736</v>
      </c>
      <c r="BA201" t="s">
        <v>799</v>
      </c>
      <c r="BC201" s="10" t="e">
        <f>BC151-BC191-BC193-BC195</f>
        <v>#DIV/0!</v>
      </c>
      <c r="BD201" s="10" t="s">
        <v>736</v>
      </c>
      <c r="CA201" t="s">
        <v>799</v>
      </c>
      <c r="CC201" s="10" t="e">
        <f>CC151-CC191-CC193-CC195</f>
        <v>#DIV/0!</v>
      </c>
      <c r="CD201" s="10" t="s">
        <v>736</v>
      </c>
      <c r="DA201" t="s">
        <v>799</v>
      </c>
      <c r="DC201" s="10" t="e">
        <f>DC151-DC191-DC193-DC195</f>
        <v>#DIV/0!</v>
      </c>
      <c r="DD201" s="10" t="s">
        <v>736</v>
      </c>
      <c r="EA201" t="s">
        <v>799</v>
      </c>
      <c r="EC201" s="10" t="e">
        <f>EC151-EC191-EC193*3-EC195</f>
        <v>#DIV/0!</v>
      </c>
      <c r="ED201" s="10" t="s">
        <v>736</v>
      </c>
      <c r="FA201" s="1185" t="s">
        <v>1337</v>
      </c>
      <c r="FB201" s="1185"/>
      <c r="FC201" s="1185"/>
      <c r="FD201" s="1186" t="s">
        <v>736</v>
      </c>
    </row>
    <row r="202" spans="27:160" ht="16">
      <c r="AA202" t="s">
        <v>800</v>
      </c>
      <c r="AC202" s="10" t="e">
        <f ca="1">AC203*1000*0.995/18</f>
        <v>#DIV/0!</v>
      </c>
      <c r="AD202" t="s">
        <v>736</v>
      </c>
      <c r="BA202" t="s">
        <v>800</v>
      </c>
      <c r="BC202" s="10" t="e">
        <f ca="1">BC203*1000*0.995/18</f>
        <v>#DIV/0!</v>
      </c>
      <c r="BD202" t="s">
        <v>736</v>
      </c>
      <c r="CA202" t="s">
        <v>800</v>
      </c>
      <c r="CC202" s="10" t="e">
        <f ca="1">CC203*1000*0.995/18</f>
        <v>#DIV/0!</v>
      </c>
      <c r="CD202" t="s">
        <v>736</v>
      </c>
      <c r="DA202" t="s">
        <v>800</v>
      </c>
      <c r="DC202" s="10" t="e">
        <f ca="1">DC203*1000*0.995/18</f>
        <v>#DIV/0!</v>
      </c>
      <c r="DD202" t="s">
        <v>736</v>
      </c>
      <c r="EA202" t="s">
        <v>800</v>
      </c>
      <c r="EC202" s="10" t="e">
        <f ca="1">EC203*1000*0.995/18</f>
        <v>#DIV/0!</v>
      </c>
      <c r="ED202" t="s">
        <v>736</v>
      </c>
      <c r="FA202" s="1185" t="s">
        <v>1338</v>
      </c>
      <c r="FB202" s="1185"/>
      <c r="FC202" s="1185"/>
      <c r="FD202" s="1185" t="s">
        <v>736</v>
      </c>
    </row>
    <row r="203" spans="27:160">
      <c r="AC203" s="10" t="e">
        <f ca="1">AC119+AC123+AC127+AC128+AC154+AC173</f>
        <v>#DIV/0!</v>
      </c>
      <c r="AD203" t="s">
        <v>742</v>
      </c>
      <c r="BC203" s="10" t="e">
        <f ca="1">BC119+BC123+BC127+BC128+BC154+BC173</f>
        <v>#DIV/0!</v>
      </c>
      <c r="BD203" t="s">
        <v>742</v>
      </c>
      <c r="CC203" s="10" t="e">
        <f ca="1">CC119+CC123+CC127+CC128+CC154+CC173</f>
        <v>#DIV/0!</v>
      </c>
      <c r="CD203" t="s">
        <v>742</v>
      </c>
      <c r="DC203" s="10" t="e">
        <f ca="1">DC119+DC123+DC127+DC128+DC154+DC173</f>
        <v>#DIV/0!</v>
      </c>
      <c r="DD203" t="s">
        <v>742</v>
      </c>
      <c r="EC203" s="10" t="e">
        <f ca="1">EC119+EC123+EC127+EC128+EC154+EC173</f>
        <v>#DIV/0!</v>
      </c>
      <c r="ED203" t="s">
        <v>742</v>
      </c>
      <c r="FA203" s="1185"/>
      <c r="FB203" s="1185"/>
      <c r="FC203" s="1185"/>
      <c r="FD203" s="1185" t="s">
        <v>742</v>
      </c>
    </row>
    <row r="204" spans="27:160">
      <c r="AC204" s="10" t="e">
        <f ca="1">AC203/3.785</f>
        <v>#DIV/0!</v>
      </c>
      <c r="AD204" t="s">
        <v>760</v>
      </c>
      <c r="BC204" s="10" t="e">
        <f ca="1">BC203/3.785</f>
        <v>#DIV/0!</v>
      </c>
      <c r="BD204" t="s">
        <v>760</v>
      </c>
      <c r="CC204" s="10" t="e">
        <f ca="1">CC203/3.785</f>
        <v>#DIV/0!</v>
      </c>
      <c r="CD204" t="s">
        <v>760</v>
      </c>
      <c r="DC204" s="10" t="e">
        <f ca="1">DC203/3.785</f>
        <v>#DIV/0!</v>
      </c>
      <c r="DD204" t="s">
        <v>760</v>
      </c>
      <c r="EC204" s="10" t="e">
        <f ca="1">EC203/3.785</f>
        <v>#DIV/0!</v>
      </c>
      <c r="ED204" t="s">
        <v>760</v>
      </c>
      <c r="FA204" s="1185"/>
      <c r="FB204" s="1185"/>
      <c r="FC204" s="1185"/>
      <c r="FD204" s="1185" t="s">
        <v>760</v>
      </c>
    </row>
    <row r="205" spans="27:160">
      <c r="AC205" s="744" t="e">
        <f ca="1">AC203/AC110</f>
        <v>#DIV/0!</v>
      </c>
      <c r="AD205" t="s">
        <v>801</v>
      </c>
      <c r="BC205" s="744" t="e">
        <f ca="1">BC203/BC110</f>
        <v>#DIV/0!</v>
      </c>
      <c r="BD205" t="s">
        <v>801</v>
      </c>
      <c r="CC205" s="744" t="e">
        <f ca="1">CC203/CC110</f>
        <v>#DIV/0!</v>
      </c>
      <c r="CD205" t="s">
        <v>801</v>
      </c>
      <c r="DC205" s="744" t="e">
        <f ca="1">DC203/DC110</f>
        <v>#DIV/0!</v>
      </c>
      <c r="DD205" t="s">
        <v>801</v>
      </c>
      <c r="EC205" s="744" t="e">
        <f ca="1">EC203/EC110</f>
        <v>#DIV/0!</v>
      </c>
      <c r="ED205" s="881" t="s">
        <v>1046</v>
      </c>
      <c r="FA205" s="1185"/>
      <c r="FB205" s="1185"/>
      <c r="FC205" s="1185"/>
      <c r="FD205" s="1185" t="s">
        <v>801</v>
      </c>
    </row>
    <row r="206" spans="27:160">
      <c r="AA206" t="s">
        <v>761</v>
      </c>
      <c r="AC206" s="763">
        <v>0.2</v>
      </c>
      <c r="BA206" t="s">
        <v>761</v>
      </c>
      <c r="BC206" s="763">
        <v>0.2</v>
      </c>
      <c r="CA206" t="s">
        <v>761</v>
      </c>
      <c r="CC206" s="763">
        <v>0.2</v>
      </c>
      <c r="DA206" t="s">
        <v>761</v>
      </c>
      <c r="DC206" s="763">
        <v>0.2</v>
      </c>
      <c r="EA206" t="s">
        <v>761</v>
      </c>
      <c r="EC206" s="763">
        <v>0.2</v>
      </c>
      <c r="FA206" s="1185" t="s">
        <v>761</v>
      </c>
      <c r="FB206" s="1185"/>
      <c r="FC206" s="1185"/>
      <c r="FD206" s="1185"/>
    </row>
    <row r="207" spans="27:160" ht="16.5">
      <c r="AA207" s="738" t="s">
        <v>788</v>
      </c>
      <c r="AB207" s="738"/>
      <c r="AC207" s="754" t="e">
        <f ca="1">AC183*(1+AC206)/1000</f>
        <v>#DIV/0!</v>
      </c>
      <c r="AD207" t="s">
        <v>763</v>
      </c>
      <c r="BA207" s="738" t="s">
        <v>788</v>
      </c>
      <c r="BB207" s="738"/>
      <c r="BC207" s="754" t="e">
        <f ca="1">BC183*(1+BC206)/1000</f>
        <v>#DIV/0!</v>
      </c>
      <c r="BD207" t="s">
        <v>763</v>
      </c>
      <c r="CA207" s="738" t="s">
        <v>788</v>
      </c>
      <c r="CB207" s="738"/>
      <c r="CC207" s="754" t="e">
        <f ca="1">CC183*(1+CC206)/1000</f>
        <v>#DIV/0!</v>
      </c>
      <c r="CD207" t="s">
        <v>763</v>
      </c>
      <c r="DA207" s="738" t="s">
        <v>788</v>
      </c>
      <c r="DB207" s="738"/>
      <c r="DC207" s="754" t="e">
        <f ca="1">DC183*(1+DC206)/1000</f>
        <v>#DIV/0!</v>
      </c>
      <c r="DD207" t="s">
        <v>763</v>
      </c>
      <c r="EA207" s="738" t="s">
        <v>788</v>
      </c>
      <c r="EB207" s="738"/>
      <c r="EC207" s="754" t="e">
        <f ca="1">EC183*(1+EC206)/1000</f>
        <v>#DIV/0!</v>
      </c>
      <c r="ED207" t="s">
        <v>763</v>
      </c>
      <c r="FA207" s="1185" t="s">
        <v>788</v>
      </c>
      <c r="FB207" s="1185"/>
      <c r="FC207" s="1185"/>
      <c r="FD207" s="1185" t="s">
        <v>1319</v>
      </c>
    </row>
    <row r="208" spans="27:160">
      <c r="AA208" s="738" t="s">
        <v>802</v>
      </c>
      <c r="AB208" s="738"/>
      <c r="AC208" s="750" t="e">
        <f ca="1" xml:space="preserve"> 21216*AC207^0.5291</f>
        <v>#DIV/0!</v>
      </c>
      <c r="BA208" s="738" t="s">
        <v>802</v>
      </c>
      <c r="BB208" s="738"/>
      <c r="BC208" s="750" t="e">
        <f ca="1" xml:space="preserve"> 21216*BC207^0.5291</f>
        <v>#DIV/0!</v>
      </c>
      <c r="CA208" s="738" t="s">
        <v>802</v>
      </c>
      <c r="CB208" s="738"/>
      <c r="CC208" s="750" t="e">
        <f ca="1" xml:space="preserve"> 21216*CC207^0.5291</f>
        <v>#DIV/0!</v>
      </c>
      <c r="DA208" s="738" t="s">
        <v>802</v>
      </c>
      <c r="DB208" s="738"/>
      <c r="DC208" s="750" t="e">
        <f ca="1" xml:space="preserve"> 21216*DC207^0.5291</f>
        <v>#DIV/0!</v>
      </c>
      <c r="EA208" s="738" t="s">
        <v>802</v>
      </c>
      <c r="EB208" s="738"/>
      <c r="EC208" s="750" t="e">
        <f ca="1" xml:space="preserve"> 21216*EC207^0.5291</f>
        <v>#DIV/0!</v>
      </c>
      <c r="FA208" s="1185" t="s">
        <v>802</v>
      </c>
      <c r="FB208" s="1185"/>
      <c r="FC208" s="1185"/>
      <c r="FD208" s="1185"/>
    </row>
    <row r="209" spans="27:160">
      <c r="AA209" s="738"/>
      <c r="AB209" s="738"/>
      <c r="AC209" s="750" t="e">
        <f ca="1">AC208*'Unit Ops'!$G$133/'Unit Ops'!$V$133</f>
        <v>#DIV/0!</v>
      </c>
      <c r="BA209" s="738"/>
      <c r="BB209" s="738"/>
      <c r="BC209" s="750" t="e">
        <f ca="1">BC208*'Unit Ops'!$G$133/'Unit Ops'!$V$133</f>
        <v>#DIV/0!</v>
      </c>
      <c r="CA209" s="738"/>
      <c r="CB209" s="738"/>
      <c r="CC209" s="750" t="e">
        <f ca="1">CC208*'Unit Ops'!$G$133/'Unit Ops'!$V$133</f>
        <v>#DIV/0!</v>
      </c>
      <c r="DA209" s="738"/>
      <c r="DB209" s="738"/>
      <c r="DC209" s="750" t="e">
        <f ca="1">DC208*'Unit Ops'!$G$133/'Unit Ops'!$V$133</f>
        <v>#DIV/0!</v>
      </c>
      <c r="EA209" s="738"/>
      <c r="EB209" s="738"/>
      <c r="EC209" s="750" t="e">
        <f ca="1">EC208*'Unit Ops'!$G$133/'Unit Ops'!$V$133</f>
        <v>#DIV/0!</v>
      </c>
      <c r="EE209" s="905" t="s">
        <v>1430</v>
      </c>
      <c r="FA209" s="1185"/>
      <c r="FB209" s="1185"/>
      <c r="FC209" s="1185"/>
      <c r="FD209" s="1185"/>
    </row>
    <row r="210" spans="27:160">
      <c r="AA210" s="738" t="s">
        <v>803</v>
      </c>
      <c r="AB210" s="738"/>
      <c r="AC210" s="751">
        <v>10</v>
      </c>
      <c r="AD210" t="s">
        <v>766</v>
      </c>
      <c r="BA210" s="738" t="s">
        <v>803</v>
      </c>
      <c r="BB210" s="738"/>
      <c r="BC210" s="751">
        <v>10</v>
      </c>
      <c r="BD210" t="s">
        <v>766</v>
      </c>
      <c r="CA210" s="738" t="s">
        <v>803</v>
      </c>
      <c r="CB210" s="738"/>
      <c r="CC210" s="751">
        <v>10</v>
      </c>
      <c r="CD210" t="s">
        <v>766</v>
      </c>
      <c r="DA210" s="738" t="s">
        <v>803</v>
      </c>
      <c r="DB210" s="738"/>
      <c r="DC210" s="751">
        <v>10</v>
      </c>
      <c r="DD210" t="s">
        <v>766</v>
      </c>
      <c r="EA210" s="738" t="s">
        <v>803</v>
      </c>
      <c r="EB210" s="738"/>
      <c r="EC210" s="751">
        <v>10</v>
      </c>
      <c r="ED210" t="s">
        <v>766</v>
      </c>
      <c r="FA210" s="1185" t="s">
        <v>803</v>
      </c>
      <c r="FB210" s="1185"/>
      <c r="FC210" s="1185"/>
      <c r="FD210" s="1185" t="s">
        <v>766</v>
      </c>
    </row>
    <row r="211" spans="27:160" ht="16.5">
      <c r="AA211" s="738"/>
      <c r="AB211" s="738"/>
      <c r="AC211" s="754">
        <f>AC210*0.7456/3.785</f>
        <v>1.9698811096433289</v>
      </c>
      <c r="AD211" t="s">
        <v>767</v>
      </c>
      <c r="BA211" s="738"/>
      <c r="BB211" s="738"/>
      <c r="BC211" s="754">
        <f>BC210*0.7456/3.785</f>
        <v>1.9698811096433289</v>
      </c>
      <c r="BD211" t="s">
        <v>767</v>
      </c>
      <c r="CA211" s="738"/>
      <c r="CB211" s="738"/>
      <c r="CC211" s="754">
        <f>CC210*0.7456/3.785</f>
        <v>1.9698811096433289</v>
      </c>
      <c r="CD211" t="s">
        <v>767</v>
      </c>
      <c r="DA211" s="738"/>
      <c r="DB211" s="738"/>
      <c r="DC211" s="754">
        <f>DC210*0.7456/3.785</f>
        <v>1.9698811096433289</v>
      </c>
      <c r="DD211" t="s">
        <v>767</v>
      </c>
      <c r="EA211" s="738"/>
      <c r="EB211" s="738"/>
      <c r="EC211" s="754">
        <f>EC210*0.7456/3.785</f>
        <v>1.9698811096433289</v>
      </c>
      <c r="ED211" t="s">
        <v>767</v>
      </c>
      <c r="FA211" s="1185"/>
      <c r="FB211" s="1185"/>
      <c r="FC211" s="1185"/>
      <c r="FD211" s="1185" t="s">
        <v>1320</v>
      </c>
    </row>
    <row r="212" spans="27:160">
      <c r="AA212" s="62"/>
      <c r="AB212" s="738"/>
      <c r="AC212" s="765" t="e">
        <f ca="1">AC211*AC207</f>
        <v>#DIV/0!</v>
      </c>
      <c r="AD212" s="753" t="s">
        <v>454</v>
      </c>
      <c r="BA212" s="62"/>
      <c r="BB212" s="738"/>
      <c r="BC212" s="765" t="e">
        <f ca="1">BC211*BC207</f>
        <v>#DIV/0!</v>
      </c>
      <c r="BD212" s="753" t="s">
        <v>454</v>
      </c>
      <c r="CA212" s="62"/>
      <c r="CB212" s="738"/>
      <c r="CC212" s="765" t="e">
        <f ca="1">CC211*CC207</f>
        <v>#DIV/0!</v>
      </c>
      <c r="CD212" s="753" t="s">
        <v>454</v>
      </c>
      <c r="DA212" s="62"/>
      <c r="DB212" s="738"/>
      <c r="DC212" s="765" t="e">
        <f ca="1">DC211*DC207</f>
        <v>#DIV/0!</v>
      </c>
      <c r="DD212" s="753" t="s">
        <v>454</v>
      </c>
      <c r="EA212" s="62"/>
      <c r="EB212" s="738"/>
      <c r="EC212" s="765" t="e">
        <f ca="1">EC211*EC207</f>
        <v>#DIV/0!</v>
      </c>
      <c r="ED212" s="753" t="s">
        <v>454</v>
      </c>
      <c r="FA212" s="1189"/>
      <c r="FB212" s="1185"/>
      <c r="FC212" s="1185"/>
      <c r="FD212" s="1185" t="s">
        <v>454</v>
      </c>
    </row>
    <row r="213" spans="27:160">
      <c r="AA213" s="738"/>
      <c r="AB213" s="738"/>
      <c r="AC213" s="766"/>
      <c r="AD213" s="767"/>
      <c r="BA213" s="738"/>
      <c r="BB213" s="738"/>
      <c r="BC213" s="766"/>
      <c r="BD213" s="767"/>
      <c r="CA213" s="738"/>
      <c r="CB213" s="738"/>
      <c r="CC213" s="766"/>
      <c r="CD213" s="767"/>
      <c r="DA213" s="738"/>
      <c r="DB213" s="738"/>
      <c r="DC213" s="766"/>
      <c r="DD213" s="767"/>
      <c r="EA213" s="738"/>
      <c r="EB213" s="738"/>
      <c r="EC213" s="766"/>
      <c r="ED213" s="767"/>
      <c r="FA213" s="1185"/>
      <c r="FB213" s="1185"/>
      <c r="FC213" s="1185"/>
      <c r="FD213" s="1185"/>
    </row>
    <row r="214" spans="27:160">
      <c r="AA214" t="s">
        <v>804</v>
      </c>
      <c r="AC214" s="736">
        <v>68.28</v>
      </c>
      <c r="AD214" t="s">
        <v>805</v>
      </c>
      <c r="BA214" t="s">
        <v>804</v>
      </c>
      <c r="BC214" s="736">
        <v>68.28</v>
      </c>
      <c r="BD214" t="s">
        <v>805</v>
      </c>
      <c r="CA214" t="s">
        <v>804</v>
      </c>
      <c r="CC214" s="736">
        <v>68.28</v>
      </c>
      <c r="CD214" t="s">
        <v>805</v>
      </c>
      <c r="DA214" t="s">
        <v>804</v>
      </c>
      <c r="DC214" s="736">
        <v>68.28</v>
      </c>
      <c r="DD214" t="s">
        <v>805</v>
      </c>
      <c r="EA214" t="s">
        <v>804</v>
      </c>
      <c r="EC214" s="736">
        <v>68.28</v>
      </c>
      <c r="ED214" t="s">
        <v>805</v>
      </c>
      <c r="FA214" s="1185" t="s">
        <v>804</v>
      </c>
      <c r="FB214" s="1185"/>
      <c r="FC214" s="1185"/>
      <c r="FD214" s="1185" t="s">
        <v>805</v>
      </c>
    </row>
    <row r="215" spans="27:160">
      <c r="AA215" s="767" t="s">
        <v>806</v>
      </c>
      <c r="AB215" s="767"/>
      <c r="AC215" s="766" t="e">
        <f ca="1">AC179*Materials!E222*(AC214-20)</f>
        <v>#DIV/0!</v>
      </c>
      <c r="AD215" s="767" t="s">
        <v>807</v>
      </c>
      <c r="BA215" s="767" t="s">
        <v>806</v>
      </c>
      <c r="BB215" s="767"/>
      <c r="BC215" s="766" t="e">
        <f ca="1">BC179*Materials!E222*(BC214-20)</f>
        <v>#DIV/0!</v>
      </c>
      <c r="BD215" s="767" t="s">
        <v>807</v>
      </c>
      <c r="CA215" s="767" t="s">
        <v>806</v>
      </c>
      <c r="CB215" s="767"/>
      <c r="CC215" s="766" t="e">
        <f ca="1">CC179*Materials!E222*(CC214-20)</f>
        <v>#DIV/0!</v>
      </c>
      <c r="CD215" s="767" t="s">
        <v>807</v>
      </c>
      <c r="DA215" s="767" t="s">
        <v>806</v>
      </c>
      <c r="DB215" s="767"/>
      <c r="DC215" s="766" t="e">
        <f ca="1">DC179*Materials!E222*(DC214-20)</f>
        <v>#DIV/0!</v>
      </c>
      <c r="DD215" s="767" t="s">
        <v>807</v>
      </c>
      <c r="EA215" s="767" t="s">
        <v>806</v>
      </c>
      <c r="EB215" s="767"/>
      <c r="EC215" s="903" t="e">
        <f ca="1">EC179*Materials!E222*(EC214-20)</f>
        <v>#DIV/0!</v>
      </c>
      <c r="ED215" s="767" t="s">
        <v>807</v>
      </c>
      <c r="FA215" s="1185" t="s">
        <v>1339</v>
      </c>
      <c r="FB215" s="1185"/>
      <c r="FC215" s="1185"/>
      <c r="FD215" s="1185" t="s">
        <v>807</v>
      </c>
    </row>
    <row r="216" spans="27:160">
      <c r="AA216" s="767"/>
      <c r="AB216" s="767"/>
      <c r="AC216" s="766" t="e">
        <f ca="1">AC215*0.004184/24/3600</f>
        <v>#DIV/0!</v>
      </c>
      <c r="AD216" s="767" t="s">
        <v>454</v>
      </c>
      <c r="BA216" s="767"/>
      <c r="BB216" s="767"/>
      <c r="BC216" s="766" t="e">
        <f ca="1">BC215*0.004184/24/3600</f>
        <v>#DIV/0!</v>
      </c>
      <c r="BD216" s="767" t="s">
        <v>454</v>
      </c>
      <c r="CA216" s="767"/>
      <c r="CB216" s="767"/>
      <c r="CC216" s="766" t="e">
        <f ca="1">CC215*0.004184/24/3600</f>
        <v>#DIV/0!</v>
      </c>
      <c r="CD216" s="767" t="s">
        <v>454</v>
      </c>
      <c r="DA216" s="767"/>
      <c r="DB216" s="767"/>
      <c r="DC216" s="766" t="e">
        <f ca="1">DC215*0.004184/24/3600</f>
        <v>#DIV/0!</v>
      </c>
      <c r="DD216" s="767" t="s">
        <v>454</v>
      </c>
      <c r="EA216" s="767"/>
      <c r="EB216" s="767"/>
      <c r="EC216" s="766" t="e">
        <f ca="1">EC215*0.004184/24/3600</f>
        <v>#DIV/0!</v>
      </c>
      <c r="ED216" s="767" t="s">
        <v>454</v>
      </c>
      <c r="FA216" s="1185"/>
      <c r="FB216" s="1185"/>
      <c r="FC216" s="1185"/>
      <c r="FD216" s="1185" t="s">
        <v>454</v>
      </c>
    </row>
    <row r="217" spans="27:160">
      <c r="AA217" s="767" t="s">
        <v>808</v>
      </c>
      <c r="AB217" s="767"/>
      <c r="AC217" s="766" t="e">
        <f>(AC116*Materials!$E$223 + AC120*Materials!$E$224+ AC124*Materials!$E$225 + AC151*Materials!$E$227)* (AC214-20)</f>
        <v>#DIV/0!</v>
      </c>
      <c r="AD217" s="767" t="s">
        <v>807</v>
      </c>
      <c r="BA217" s="767" t="s">
        <v>808</v>
      </c>
      <c r="BB217" s="767"/>
      <c r="BC217" s="766" t="e">
        <f>(BC116*Materials!$E$223 + BC120*Materials!$E$224+ BC124*Materials!$E$225 + BC151*Materials!$E$227)* (BC214-20)</f>
        <v>#DIV/0!</v>
      </c>
      <c r="BD217" s="767" t="s">
        <v>807</v>
      </c>
      <c r="CA217" s="767" t="s">
        <v>808</v>
      </c>
      <c r="CB217" s="767"/>
      <c r="CC217" s="766" t="e">
        <f>(CC116*Materials!$E$223 + CC120*Materials!$E$224+ CC124*Materials!$E$225 + CC151*Materials!$E$227)* (CC214-20)</f>
        <v>#DIV/0!</v>
      </c>
      <c r="CD217" s="767" t="s">
        <v>807</v>
      </c>
      <c r="DA217" s="767" t="s">
        <v>808</v>
      </c>
      <c r="DB217" s="767"/>
      <c r="DC217" s="766" t="e">
        <f>(DC116*Materials!$E$223 + DC120*Materials!$E$224+ DC124*Materials!$E$225 + DC151*Materials!$E$227)* (DC214-20)</f>
        <v>#DIV/0!</v>
      </c>
      <c r="DD217" s="767" t="s">
        <v>807</v>
      </c>
      <c r="EA217" s="767" t="s">
        <v>808</v>
      </c>
      <c r="EB217" s="767"/>
      <c r="EC217" s="903" t="e">
        <f>(EC116*Materials!E223 + EC120*Materials!E226 + EC124*Materials!E225 + EC151*Materials!E227)* (EC214-20)</f>
        <v>#DIV/0!</v>
      </c>
      <c r="ED217" s="767" t="s">
        <v>807</v>
      </c>
      <c r="FA217" s="1185" t="s">
        <v>808</v>
      </c>
      <c r="FB217" s="1185"/>
      <c r="FC217" s="1185"/>
      <c r="FD217" s="1185" t="s">
        <v>807</v>
      </c>
    </row>
    <row r="218" spans="27:160">
      <c r="AB218" s="767"/>
      <c r="AC218" s="766" t="e">
        <f>AC217*0.004184/24/3600</f>
        <v>#DIV/0!</v>
      </c>
      <c r="AD218" s="767" t="s">
        <v>454</v>
      </c>
      <c r="BB218" s="767"/>
      <c r="BC218" s="766" t="e">
        <f>BC217*0.004184/24/3600</f>
        <v>#DIV/0!</v>
      </c>
      <c r="BD218" s="767" t="s">
        <v>454</v>
      </c>
      <c r="CB218" s="767"/>
      <c r="CC218" s="766" t="e">
        <f>CC217*0.004184/24/3600</f>
        <v>#DIV/0!</v>
      </c>
      <c r="CD218" s="767" t="s">
        <v>454</v>
      </c>
      <c r="DB218" s="767"/>
      <c r="DC218" s="766" t="e">
        <f>DC217*0.004184/24/3600</f>
        <v>#DIV/0!</v>
      </c>
      <c r="DD218" s="767" t="s">
        <v>454</v>
      </c>
      <c r="EB218" s="767"/>
      <c r="EC218" s="766" t="e">
        <f>EC217*0.004184/24/3600</f>
        <v>#DIV/0!</v>
      </c>
      <c r="ED218" s="767" t="s">
        <v>454</v>
      </c>
      <c r="FA218" s="1185"/>
      <c r="FB218" s="1185"/>
      <c r="FC218" s="1185"/>
      <c r="FD218" s="1185" t="s">
        <v>454</v>
      </c>
    </row>
    <row r="219" spans="27:160">
      <c r="AA219" s="767" t="s">
        <v>809</v>
      </c>
      <c r="AB219" s="766"/>
      <c r="AC219" s="768" t="e">
        <f ca="1">AC215+AC217</f>
        <v>#DIV/0!</v>
      </c>
      <c r="AD219" s="767" t="s">
        <v>807</v>
      </c>
      <c r="BA219" s="767" t="s">
        <v>809</v>
      </c>
      <c r="BB219" s="766"/>
      <c r="BC219" s="768" t="e">
        <f ca="1">BC215+BC217</f>
        <v>#DIV/0!</v>
      </c>
      <c r="BD219" s="767" t="s">
        <v>807</v>
      </c>
      <c r="CA219" s="767" t="s">
        <v>809</v>
      </c>
      <c r="CB219" s="766"/>
      <c r="CC219" s="768" t="e">
        <f ca="1">CC215+CC217</f>
        <v>#DIV/0!</v>
      </c>
      <c r="CD219" s="767" t="s">
        <v>807</v>
      </c>
      <c r="DA219" s="767" t="s">
        <v>809</v>
      </c>
      <c r="DB219" s="766"/>
      <c r="DC219" s="768" t="e">
        <f ca="1">DC215+DC217</f>
        <v>#DIV/0!</v>
      </c>
      <c r="DD219" s="767" t="s">
        <v>807</v>
      </c>
      <c r="EA219" s="767" t="s">
        <v>809</v>
      </c>
      <c r="EB219" s="766"/>
      <c r="EC219" s="768" t="e">
        <f ca="1">EC215+EC217</f>
        <v>#DIV/0!</v>
      </c>
      <c r="ED219" s="767" t="s">
        <v>807</v>
      </c>
      <c r="FA219" s="1185" t="s">
        <v>809</v>
      </c>
      <c r="FB219" s="1186"/>
      <c r="FC219" s="1185"/>
      <c r="FD219" s="1185" t="s">
        <v>807</v>
      </c>
    </row>
    <row r="220" spans="27:160">
      <c r="AA220" s="767"/>
      <c r="AB220" s="767"/>
      <c r="AC220" s="766" t="e">
        <f ca="1">AC219*0.004184/3600/24</f>
        <v>#DIV/0!</v>
      </c>
      <c r="AD220" s="767" t="s">
        <v>454</v>
      </c>
      <c r="BA220" s="767"/>
      <c r="BB220" s="767"/>
      <c r="BC220" s="766" t="e">
        <f ca="1">BC219*0.004184/3600/24</f>
        <v>#DIV/0!</v>
      </c>
      <c r="BD220" s="767" t="s">
        <v>454</v>
      </c>
      <c r="CA220" s="767"/>
      <c r="CB220" s="767"/>
      <c r="CC220" s="766" t="e">
        <f ca="1">CC219*0.004184/3600/24</f>
        <v>#DIV/0!</v>
      </c>
      <c r="CD220" s="767" t="s">
        <v>454</v>
      </c>
      <c r="DA220" s="767"/>
      <c r="DB220" s="767"/>
      <c r="DC220" s="766" t="e">
        <f ca="1">DC219*0.004184/3600/24</f>
        <v>#DIV/0!</v>
      </c>
      <c r="DD220" s="767" t="s">
        <v>454</v>
      </c>
      <c r="EA220" s="767"/>
      <c r="EB220" s="767"/>
      <c r="EC220" s="766" t="e">
        <f ca="1">EC219*0.004184/3600/24</f>
        <v>#DIV/0!</v>
      </c>
      <c r="ED220" s="767" t="s">
        <v>454</v>
      </c>
      <c r="FA220" s="1185"/>
      <c r="FB220" s="1185"/>
      <c r="FC220" s="1185"/>
      <c r="FD220" s="1185" t="s">
        <v>454</v>
      </c>
    </row>
    <row r="221" spans="27:160">
      <c r="AA221" t="s">
        <v>810</v>
      </c>
      <c r="AB221" s="769"/>
      <c r="AC221" s="736">
        <v>95</v>
      </c>
      <c r="AD221" t="s">
        <v>805</v>
      </c>
      <c r="BA221" t="s">
        <v>810</v>
      </c>
      <c r="BB221" s="769"/>
      <c r="BC221" s="736">
        <v>95</v>
      </c>
      <c r="BD221" t="s">
        <v>805</v>
      </c>
      <c r="CA221" t="s">
        <v>810</v>
      </c>
      <c r="CB221" s="769"/>
      <c r="CC221" s="736">
        <v>95</v>
      </c>
      <c r="CD221" t="s">
        <v>805</v>
      </c>
      <c r="DA221" t="s">
        <v>810</v>
      </c>
      <c r="DB221" s="769"/>
      <c r="DC221" s="736">
        <v>95</v>
      </c>
      <c r="DD221" t="s">
        <v>805</v>
      </c>
      <c r="EA221" t="s">
        <v>810</v>
      </c>
      <c r="EB221" s="769"/>
      <c r="EC221" s="736">
        <v>95</v>
      </c>
      <c r="ED221" t="s">
        <v>805</v>
      </c>
      <c r="FA221" s="1185" t="s">
        <v>810</v>
      </c>
      <c r="FB221" s="1190"/>
      <c r="FC221" s="1185"/>
      <c r="FD221" s="1185" t="s">
        <v>805</v>
      </c>
    </row>
    <row r="222" spans="27:160">
      <c r="AC222" s="744"/>
      <c r="BC222" s="744"/>
      <c r="CC222" s="744"/>
      <c r="DC222" s="744"/>
      <c r="EC222" s="744"/>
      <c r="FA222" s="1185"/>
      <c r="FB222" s="1185"/>
      <c r="FC222" s="1185"/>
      <c r="FD222" s="1185"/>
    </row>
    <row r="223" spans="27:160">
      <c r="AA223" s="770" t="s">
        <v>811</v>
      </c>
      <c r="AB223" s="771"/>
      <c r="AC223" s="904" t="e">
        <f ca="1">( ( AC191*Materials!$B$228+AC193*Materials!$B$229+AC195*Materials!$B$230 + AC197*Materials!$B$223+AC198*Materials!$B$224+AC199*Materials!$B$225 + AC200*Materials!$B$232 + AC201*Materials!$B$227+AC202*Materials!$B$222) - (AC116*Materials!$B$223+AC120*Materials!$B$224+AC124*Materials!$B$225+AC151*Materials!$B$227+AC179*Materials!$B$222) ) * 1000</f>
        <v>#DIV/0!</v>
      </c>
      <c r="AD223" s="770" t="s">
        <v>807</v>
      </c>
      <c r="BA223" s="770" t="s">
        <v>811</v>
      </c>
      <c r="BB223" s="771"/>
      <c r="BC223" s="904" t="e">
        <f ca="1">( ( BC191*Materials!$B$228+BC193*Materials!$B$229+BC195*Materials!$B$230 + BC197*Materials!$B$223+BC198*Materials!$B$224+BC199*Materials!$B$225 + BC200*Materials!$B$232 + BC201*Materials!$B$227+BC202*Materials!$B$222) - (BC116*Materials!$B$223+BC120*Materials!$B$224+BC124*Materials!$B$225+BC151*Materials!$B$227+BC179*Materials!$B$222) ) * 1000</f>
        <v>#DIV/0!</v>
      </c>
      <c r="BD223" s="770" t="s">
        <v>807</v>
      </c>
      <c r="CA223" s="770" t="s">
        <v>811</v>
      </c>
      <c r="CB223" s="771"/>
      <c r="CC223" s="904" t="e">
        <f ca="1">( ( CC191*Materials!$B$228+CC193*Materials!$B$229+CC195*Materials!$B$230 + CC197*Materials!$B$223+CC198*Materials!$B$224+CC199*Materials!$B$225 + CC200*Materials!$B$232 + CC201*Materials!$B$227+CC202*Materials!$B$222) - (CC116*Materials!$B$223+CC120*Materials!$B$224+CC124*Materials!$B$225+CC151*Materials!$B$227+CC179*Materials!$B$222) ) * 1000</f>
        <v>#DIV/0!</v>
      </c>
      <c r="CD223" s="770" t="s">
        <v>807</v>
      </c>
      <c r="DA223" s="770" t="s">
        <v>811</v>
      </c>
      <c r="DB223" s="771"/>
      <c r="DC223" s="904" t="e">
        <f ca="1">( ( DC191*Materials!$B$228+DC193*Materials!$B$229+DC195*Materials!$B$230 + DC197*Materials!$B$223+DC198*Materials!$B$224+DC199*Materials!$B$225 + DC200*Materials!$B$232 + DC201*Materials!$B$227+DC202*Materials!$B$222) - (DC116*Materials!$B$223+DC120*Materials!$B$224+DC124*Materials!$B$225+DC151*Materials!$B$227+DC179*Materials!$B$222) ) * 1000</f>
        <v>#DIV/0!</v>
      </c>
      <c r="DD223" s="770" t="s">
        <v>807</v>
      </c>
      <c r="EA223" s="770" t="s">
        <v>811</v>
      </c>
      <c r="EB223" s="771"/>
      <c r="EC223" s="904" t="e">
        <f ca="1">( ( EC191*Materials!$B$228+EC193*Materials!$B$231+EC195*Materials!$B$230 + EC197*Materials!$B$223+EC198*Materials!$B$226+EC199*Materials!$B$225 + EC200*Materials!$B$232 + EC201*Materials!$B$227+EC202*Materials!$B$222) - (EC116*Materials!$B$223+EC120*Materials!$B$226+EC124*Materials!$B$225+EC151*Materials!$B$227+EC179*Materials!$B$222) ) * 1000</f>
        <v>#DIV/0!</v>
      </c>
      <c r="ED223" s="770" t="s">
        <v>807</v>
      </c>
      <c r="FA223" s="1185" t="s">
        <v>811</v>
      </c>
      <c r="FB223" s="1190"/>
      <c r="FC223" s="1185"/>
      <c r="FD223" s="1185" t="s">
        <v>807</v>
      </c>
    </row>
    <row r="224" spans="27:160">
      <c r="AA224" s="770"/>
      <c r="AB224" s="770"/>
      <c r="AC224" s="772" t="e">
        <f ca="1">ABS(AC223*0.004184/24/3600)</f>
        <v>#DIV/0!</v>
      </c>
      <c r="AD224" s="770" t="s">
        <v>454</v>
      </c>
      <c r="BA224" s="770"/>
      <c r="BB224" s="770"/>
      <c r="BC224" s="772" t="e">
        <f ca="1">ABS(BC223*0.004184/24/3600)</f>
        <v>#DIV/0!</v>
      </c>
      <c r="BD224" s="770" t="s">
        <v>454</v>
      </c>
      <c r="CA224" s="770"/>
      <c r="CB224" s="770"/>
      <c r="CC224" s="772" t="e">
        <f ca="1">ABS(CC223*0.004184/24/3600)</f>
        <v>#DIV/0!</v>
      </c>
      <c r="CD224" s="770" t="s">
        <v>454</v>
      </c>
      <c r="DA224" s="770"/>
      <c r="DB224" s="770"/>
      <c r="DC224" s="772" t="e">
        <f ca="1">ABS(DC223*0.004184/24/3600)</f>
        <v>#DIV/0!</v>
      </c>
      <c r="DD224" s="770" t="s">
        <v>454</v>
      </c>
      <c r="EA224" s="770"/>
      <c r="EB224" s="770"/>
      <c r="EC224" s="772" t="e">
        <f ca="1">ABS(EC223*0.004184/24/3600)</f>
        <v>#DIV/0!</v>
      </c>
      <c r="ED224" s="770" t="s">
        <v>454</v>
      </c>
      <c r="FA224" s="1185"/>
      <c r="FB224" s="1185"/>
      <c r="FC224" s="1185"/>
      <c r="FD224" s="1185" t="s">
        <v>454</v>
      </c>
    </row>
    <row r="225" spans="27:160">
      <c r="AA225" s="770" t="s">
        <v>812</v>
      </c>
      <c r="AB225" s="771"/>
      <c r="AC225" s="771" t="e">
        <f ca="1">(AC191*Materials!$E$228+AC193*Materials!$E$229+AC195*Materials!$E$230 + AC197*Materials!$E$223+AC198*Materials!$E$224+AC199*Materials!$E$225 + AC200*Materials!$E$232+ AC201*Materials!$E$227 + AC202*Materials!$E$222)*(AC227-20)</f>
        <v>#DIV/0!</v>
      </c>
      <c r="AD225" s="770" t="s">
        <v>807</v>
      </c>
      <c r="BA225" s="770" t="s">
        <v>812</v>
      </c>
      <c r="BB225" s="771"/>
      <c r="BC225" s="771" t="e">
        <f ca="1">(BC191*Materials!$E$228+BC193*Materials!$E$229+BC195*Materials!$E$230 + BC197*Materials!$E$223+BC198*Materials!$E$224+BC199*Materials!$E$225 + BC200*Materials!$E$232+ BC201*Materials!$E$227 + BC202*Materials!$E$222)*(BC227-20)</f>
        <v>#DIV/0!</v>
      </c>
      <c r="BD225" s="770" t="s">
        <v>807</v>
      </c>
      <c r="CA225" s="770" t="s">
        <v>812</v>
      </c>
      <c r="CB225" s="771"/>
      <c r="CC225" s="771" t="e">
        <f ca="1">(CC191*Materials!$E$228+CC193*Materials!$E$229+CC195*Materials!$E$230 + CC197*Materials!$E$223+CC198*Materials!$E$224+CC199*Materials!$E$225 + CC200*Materials!$E$232+ CC201*Materials!$E$227 + CC202*Materials!$E$222)*(CC227-20)</f>
        <v>#DIV/0!</v>
      </c>
      <c r="CD225" s="770" t="s">
        <v>807</v>
      </c>
      <c r="DA225" s="770" t="s">
        <v>812</v>
      </c>
      <c r="DB225" s="771"/>
      <c r="DC225" s="771" t="e">
        <f ca="1">(DC191*Materials!$E$228+DC193*Materials!$E$229+DC195*Materials!$E$230 + DC197*Materials!$E$223+DC198*Materials!$E$224+DC199*Materials!$E$225 + DC200*Materials!$E$232+ DC201*Materials!$E$227 + DC202*Materials!$E$222)*(DC227-20)</f>
        <v>#DIV/0!</v>
      </c>
      <c r="DD225" s="770" t="s">
        <v>807</v>
      </c>
      <c r="EA225" s="770" t="s">
        <v>812</v>
      </c>
      <c r="EB225" s="771"/>
      <c r="EC225" s="771" t="e">
        <f ca="1">(EC191*Materials!$E$228+EC193*Materials!$E$231+EC195*Materials!$E$230 + EC197*Materials!$E$223+EC198*Materials!$E$226+EC199*Materials!$E$225 + EC200*Materials!$E$232+ EC201*Materials!$E$227 + EC202*Materials!$E$222)*(EC227-20)</f>
        <v>#DIV/0!</v>
      </c>
      <c r="ED225" s="770" t="s">
        <v>807</v>
      </c>
      <c r="FA225" s="1185" t="s">
        <v>812</v>
      </c>
      <c r="FB225" s="1190"/>
      <c r="FC225" s="1185"/>
      <c r="FD225" s="1185" t="s">
        <v>807</v>
      </c>
    </row>
    <row r="226" spans="27:160">
      <c r="AA226" s="770"/>
      <c r="AB226" s="771"/>
      <c r="AC226" s="772" t="e">
        <f ca="1">AC225*0.004184/24/3600</f>
        <v>#DIV/0!</v>
      </c>
      <c r="AD226" s="770" t="s">
        <v>454</v>
      </c>
      <c r="BA226" s="770"/>
      <c r="BB226" s="771"/>
      <c r="BC226" s="772" t="e">
        <f ca="1">BC225*0.004184/24/3600</f>
        <v>#DIV/0!</v>
      </c>
      <c r="BD226" s="770" t="s">
        <v>454</v>
      </c>
      <c r="CA226" s="770"/>
      <c r="CB226" s="771"/>
      <c r="CC226" s="772" t="e">
        <f ca="1">CC225*0.004184/24/3600</f>
        <v>#DIV/0!</v>
      </c>
      <c r="CD226" s="770" t="s">
        <v>454</v>
      </c>
      <c r="DA226" s="770"/>
      <c r="DB226" s="771"/>
      <c r="DC226" s="772" t="e">
        <f ca="1">DC225*0.004184/24/3600</f>
        <v>#DIV/0!</v>
      </c>
      <c r="DD226" s="770" t="s">
        <v>454</v>
      </c>
      <c r="EA226" s="770"/>
      <c r="EB226" s="771"/>
      <c r="EC226" s="772" t="e">
        <f ca="1">EC225*0.004184/24/3600</f>
        <v>#DIV/0!</v>
      </c>
      <c r="ED226" s="770" t="s">
        <v>454</v>
      </c>
      <c r="FA226" s="1185"/>
      <c r="FB226" s="1190"/>
      <c r="FC226" s="1185"/>
      <c r="FD226" s="1185" t="s">
        <v>454</v>
      </c>
    </row>
    <row r="227" spans="27:160">
      <c r="AA227" s="770" t="s">
        <v>813</v>
      </c>
      <c r="AB227" s="770"/>
      <c r="AC227" s="772" t="e">
        <f ca="1" xml:space="preserve"> (AC219+ (-AC223)) / (AC191*Materials!$E$228 + AC193*Materials!$E$229 + AC195*Materials!$E$230 + AC197*Materials!$E$223 + AC198*Materials!$E$224 + AC199*Materials!$E$225 + AC200*Materials!$E$232 + AC201*Materials!$E$227 + AC202*Materials!$E$222) + 20</f>
        <v>#DIV/0!</v>
      </c>
      <c r="AD227" s="770"/>
      <c r="BA227" s="770" t="s">
        <v>813</v>
      </c>
      <c r="BB227" s="770"/>
      <c r="BC227" s="772" t="e">
        <f ca="1" xml:space="preserve"> (BC219+ (-BC223)) / (BC191*Materials!$E$228 + BC193*Materials!$E$229 + BC195*Materials!$E$230 + BC197*Materials!$E$223 + BC198*Materials!$E$224 + BC199*Materials!$E$225 + BC200*Materials!$E$232 + BC201*Materials!$E$227 + BC202*Materials!$E$222) + 20</f>
        <v>#DIV/0!</v>
      </c>
      <c r="BD227" s="770"/>
      <c r="CA227" s="770" t="s">
        <v>813</v>
      </c>
      <c r="CB227" s="770"/>
      <c r="CC227" s="772" t="e">
        <f ca="1" xml:space="preserve"> (CC219+ (-CC223)) / (CC191*Materials!$E$228 + CC193*Materials!$E$229 + CC195*Materials!$E$230 + CC197*Materials!$E$223 + CC198*Materials!$E$224 + CC199*Materials!$E$225 + CC200*Materials!$E$232 + CC201*Materials!$E$227 + CC202*Materials!$E$222) + 20</f>
        <v>#DIV/0!</v>
      </c>
      <c r="CD227" s="770"/>
      <c r="DA227" s="770" t="s">
        <v>813</v>
      </c>
      <c r="DB227" s="770"/>
      <c r="DC227" s="772" t="e">
        <f ca="1" xml:space="preserve"> (DC219+ (-DC223)) / (DC191*Materials!$E$228 + DC193*Materials!$E$229 + DC195*Materials!$E$230 + DC197*Materials!$E$223 + DC198*Materials!$E$224 + DC199*Materials!$E$225 + DC200*Materials!$E$232 + DC201*Materials!$E$227 + DC202*Materials!$E$222) + 20</f>
        <v>#DIV/0!</v>
      </c>
      <c r="DD227" s="770"/>
      <c r="EA227" s="770" t="s">
        <v>813</v>
      </c>
      <c r="EB227" s="770"/>
      <c r="EC227" s="772" t="e">
        <f ca="1" xml:space="preserve"> (EC219+ (-EC223)) / (EC191*Materials!$E$228 + EC193*Materials!$E$231 + EC195*Materials!$E$230 + EC197*Materials!$E$223 + EC198*Materials!$E$226 + EC199*Materials!$E$225 + EC200*Materials!$E$232 + EC201*Materials!$E$227 + EC202*Materials!$E$222) + 20</f>
        <v>#DIV/0!</v>
      </c>
      <c r="ED227" s="770"/>
      <c r="FA227" s="1185" t="s">
        <v>813</v>
      </c>
      <c r="FB227" s="1185"/>
      <c r="FC227" s="1185"/>
      <c r="FD227" s="1185"/>
    </row>
    <row r="228" spans="27:160">
      <c r="AA228" s="770" t="s">
        <v>814</v>
      </c>
      <c r="AB228" s="770"/>
      <c r="AC228" s="773" t="e">
        <f ca="1">AC227-AC221</f>
        <v>#DIV/0!</v>
      </c>
      <c r="AD228" s="770" t="s">
        <v>805</v>
      </c>
      <c r="BA228" s="770" t="s">
        <v>814</v>
      </c>
      <c r="BB228" s="770"/>
      <c r="BC228" s="773" t="e">
        <f ca="1">BC227-BC221</f>
        <v>#DIV/0!</v>
      </c>
      <c r="BD228" s="770" t="s">
        <v>805</v>
      </c>
      <c r="CA228" s="770" t="s">
        <v>814</v>
      </c>
      <c r="CB228" s="770"/>
      <c r="CC228" s="773" t="e">
        <f ca="1">CC227-CC221</f>
        <v>#DIV/0!</v>
      </c>
      <c r="CD228" s="770" t="s">
        <v>805</v>
      </c>
      <c r="DA228" s="770" t="s">
        <v>814</v>
      </c>
      <c r="DB228" s="770"/>
      <c r="DC228" s="773" t="e">
        <f ca="1">DC227-DC221</f>
        <v>#DIV/0!</v>
      </c>
      <c r="DD228" s="770" t="s">
        <v>805</v>
      </c>
      <c r="EA228" s="770" t="s">
        <v>814</v>
      </c>
      <c r="EB228" s="770"/>
      <c r="EC228" s="773" t="e">
        <f ca="1">EC227-EC221</f>
        <v>#DIV/0!</v>
      </c>
      <c r="ED228" s="770" t="s">
        <v>805</v>
      </c>
      <c r="FA228" s="1185" t="s">
        <v>814</v>
      </c>
      <c r="FB228" s="1185"/>
      <c r="FC228" s="1185"/>
      <c r="FD228" s="1185" t="s">
        <v>805</v>
      </c>
    </row>
    <row r="229" spans="27:160">
      <c r="AA229" s="770"/>
      <c r="AB229" s="770"/>
      <c r="AC229" s="774"/>
      <c r="AD229" s="770"/>
      <c r="BA229" s="770"/>
      <c r="BB229" s="770"/>
      <c r="BC229" s="774"/>
      <c r="BD229" s="770"/>
      <c r="CA229" s="770"/>
      <c r="CB229" s="770"/>
      <c r="CC229" s="774"/>
      <c r="CD229" s="770"/>
      <c r="DA229" s="770"/>
      <c r="DB229" s="770"/>
      <c r="DC229" s="774"/>
      <c r="DD229" s="770"/>
      <c r="EA229" s="770"/>
      <c r="EB229" s="770"/>
      <c r="EC229" s="774"/>
      <c r="ED229" s="770"/>
      <c r="FA229" s="1185"/>
      <c r="FB229" s="1185"/>
      <c r="FC229" s="1185"/>
      <c r="FD229" s="1185"/>
    </row>
    <row r="230" spans="27:160">
      <c r="AA230" s="770" t="s">
        <v>815</v>
      </c>
      <c r="AB230" s="770"/>
      <c r="AC230" s="775">
        <v>0.1</v>
      </c>
      <c r="AD230" s="770"/>
      <c r="BA230" s="770" t="s">
        <v>815</v>
      </c>
      <c r="BB230" s="770"/>
      <c r="BC230" s="775">
        <v>0.1</v>
      </c>
      <c r="BD230" s="770"/>
      <c r="CA230" s="770" t="s">
        <v>815</v>
      </c>
      <c r="CB230" s="770"/>
      <c r="CC230" s="775">
        <v>0.1</v>
      </c>
      <c r="CD230" s="770"/>
      <c r="DA230" s="770" t="s">
        <v>815</v>
      </c>
      <c r="DB230" s="770"/>
      <c r="DC230" s="775">
        <v>0.1</v>
      </c>
      <c r="DD230" s="770"/>
      <c r="EA230" s="770" t="s">
        <v>815</v>
      </c>
      <c r="EB230" s="770"/>
      <c r="EC230" s="775">
        <v>0.1</v>
      </c>
      <c r="ED230" s="770"/>
      <c r="FA230" s="1185" t="s">
        <v>815</v>
      </c>
      <c r="FB230" s="1185"/>
      <c r="FC230" s="1185"/>
      <c r="FD230" s="1185"/>
    </row>
    <row r="231" spans="27:160">
      <c r="AA231" s="770" t="s">
        <v>816</v>
      </c>
      <c r="AB231" s="770"/>
      <c r="AC231" s="772" t="e">
        <f ca="1" xml:space="preserve"> (AC219+ (-AC223))*(1-AC230) / (AC191*Materials!$E$228 + AC193*Materials!$E$229 + AC195*Materials!$E$230 + AC197*Materials!$E$223 + AC198*Materials!$E$224 + AC199*Materials!$E$225 + AC200*Materials!$E$232 + AC201*Materials!$E$227 + AC202*Materials!$E$222) + 20</f>
        <v>#DIV/0!</v>
      </c>
      <c r="AD231" s="770"/>
      <c r="BA231" s="770" t="s">
        <v>816</v>
      </c>
      <c r="BB231" s="770"/>
      <c r="BC231" s="772" t="e">
        <f ca="1" xml:space="preserve"> (BC219+ (-BC223))*(1-BC230) / (BC191*Materials!$E$228 + BC193*Materials!$E$229 + BC195*Materials!$E$230 + BC197*Materials!$E$223 + BC198*Materials!$E$224 + BC199*Materials!$E$225 + BC200*Materials!$E$232 + BC201*Materials!$E$227 + BC202*Materials!$E$222) + 20</f>
        <v>#DIV/0!</v>
      </c>
      <c r="BD231" s="770"/>
      <c r="CA231" s="770" t="s">
        <v>816</v>
      </c>
      <c r="CB231" s="770"/>
      <c r="CC231" s="772" t="e">
        <f ca="1" xml:space="preserve"> (CC219+ (-CC223))*(1-CC230) / (CC191*Materials!$E$228 + CC193*Materials!$E$229 + CC195*Materials!$E$230 + CC197*Materials!$E$223 + CC198*Materials!$E$224 + CC199*Materials!$E$225 + CC200*Materials!$E$232 + CC201*Materials!$E$227 + CC202*Materials!$E$222) + 20</f>
        <v>#DIV/0!</v>
      </c>
      <c r="CD231" s="770"/>
      <c r="DA231" s="770" t="s">
        <v>816</v>
      </c>
      <c r="DB231" s="770"/>
      <c r="DC231" s="772" t="e">
        <f ca="1" xml:space="preserve"> (DC219+ (-DC223))*(1-DC230) / (DC191*Materials!$E$228 + DC193*Materials!$E$229 + DC195*Materials!$E$230 + DC197*Materials!$E$223 + DC198*Materials!$E$224 + DC199*Materials!$E$225 + DC200*Materials!$E$232 + DC201*Materials!$E$227 + DC202*Materials!$E$222) + 20</f>
        <v>#DIV/0!</v>
      </c>
      <c r="DD231" s="770"/>
      <c r="EA231" s="770" t="s">
        <v>816</v>
      </c>
      <c r="EB231" s="770"/>
      <c r="EC231" s="772" t="e">
        <f ca="1" xml:space="preserve"> (EC219+ (-EC223))*(1-EC230) / (EC191*Materials!$E$228 + EC193*Materials!$E$231 + EC195*Materials!$E$230 + EC197*Materials!$E$223 + EC198*Materials!$E$226 + EC199*Materials!$E$225 + EC200*Materials!$E$232 + EC201*Materials!$E$227 + EC202*Materials!$E$222) + 20</f>
        <v>#DIV/0!</v>
      </c>
      <c r="ED231" s="770"/>
      <c r="FA231" s="1185" t="s">
        <v>816</v>
      </c>
      <c r="FB231" s="1185"/>
      <c r="FC231" s="1185"/>
      <c r="FD231" s="1185"/>
    </row>
    <row r="232" spans="27:160">
      <c r="AA232" s="738" t="s">
        <v>817</v>
      </c>
      <c r="AB232" s="738"/>
      <c r="AC232" s="754" t="e">
        <f ca="1">AC227-AC231+AC214</f>
        <v>#DIV/0!</v>
      </c>
      <c r="AD232" s="738"/>
      <c r="BA232" s="738" t="s">
        <v>817</v>
      </c>
      <c r="BB232" s="738"/>
      <c r="BC232" s="754" t="e">
        <f ca="1">BC227-BC231+BC214</f>
        <v>#DIV/0!</v>
      </c>
      <c r="BD232" s="738"/>
      <c r="CA232" s="738" t="s">
        <v>817</v>
      </c>
      <c r="CB232" s="738"/>
      <c r="CC232" s="754" t="e">
        <f ca="1">CC227-CC231+CC214</f>
        <v>#DIV/0!</v>
      </c>
      <c r="CD232" s="738"/>
      <c r="DA232" s="738" t="s">
        <v>817</v>
      </c>
      <c r="DB232" s="738"/>
      <c r="DC232" s="754" t="e">
        <f ca="1">DC227-DC231+DC214</f>
        <v>#DIV/0!</v>
      </c>
      <c r="DD232" s="738"/>
      <c r="EA232" s="738" t="s">
        <v>817</v>
      </c>
      <c r="EB232" s="738"/>
      <c r="EC232" s="754" t="e">
        <f ca="1">EC227-EC231+EC214</f>
        <v>#DIV/0!</v>
      </c>
      <c r="ED232" s="738"/>
      <c r="FA232" s="1185" t="s">
        <v>817</v>
      </c>
      <c r="FB232" s="1185"/>
      <c r="FC232" s="1185"/>
      <c r="FD232" s="1185"/>
    </row>
    <row r="233" spans="27:160">
      <c r="AA233" s="770"/>
      <c r="AB233" s="770"/>
      <c r="AC233" s="774"/>
      <c r="AD233" s="770"/>
      <c r="BA233" s="770"/>
      <c r="BB233" s="770"/>
      <c r="BC233" s="774"/>
      <c r="BD233" s="770"/>
      <c r="CA233" s="770"/>
      <c r="CB233" s="770"/>
      <c r="CC233" s="774"/>
      <c r="CD233" s="770"/>
      <c r="DA233" s="770"/>
      <c r="DB233" s="770"/>
      <c r="DC233" s="774"/>
      <c r="DD233" s="770"/>
      <c r="EA233" s="770"/>
      <c r="EB233" s="770"/>
      <c r="EC233" s="774"/>
      <c r="ED233" s="770"/>
      <c r="FA233" s="1185"/>
      <c r="FB233" s="1185"/>
      <c r="FC233" s="1185"/>
      <c r="FD233" s="1185"/>
    </row>
    <row r="234" spans="27:160">
      <c r="AA234" s="738" t="s">
        <v>818</v>
      </c>
      <c r="AB234" s="738"/>
      <c r="AC234" s="754" t="e">
        <f ca="1">AC219+(-AC223)-AC225</f>
        <v>#DIV/0!</v>
      </c>
      <c r="AD234" s="738" t="s">
        <v>807</v>
      </c>
      <c r="BA234" s="738" t="s">
        <v>818</v>
      </c>
      <c r="BB234" s="738"/>
      <c r="BC234" s="754" t="e">
        <f ca="1">BC219+(-BC223)-BC225</f>
        <v>#DIV/0!</v>
      </c>
      <c r="BD234" s="738" t="s">
        <v>807</v>
      </c>
      <c r="CA234" s="738" t="s">
        <v>818</v>
      </c>
      <c r="CB234" s="738"/>
      <c r="CC234" s="754" t="e">
        <f ca="1">CC219+(-CC223)-CC225</f>
        <v>#DIV/0!</v>
      </c>
      <c r="CD234" s="738" t="s">
        <v>807</v>
      </c>
      <c r="DA234" s="738" t="s">
        <v>818</v>
      </c>
      <c r="DB234" s="738"/>
      <c r="DC234" s="754" t="e">
        <f ca="1">DC219+(-DC223)-DC225</f>
        <v>#DIV/0!</v>
      </c>
      <c r="DD234" s="738" t="s">
        <v>807</v>
      </c>
      <c r="EA234" s="738" t="s">
        <v>818</v>
      </c>
      <c r="EB234" s="738"/>
      <c r="EC234" s="754" t="e">
        <f ca="1">EC219+(-EC223)-EC225</f>
        <v>#DIV/0!</v>
      </c>
      <c r="ED234" s="738" t="s">
        <v>807</v>
      </c>
      <c r="FA234" s="1185" t="s">
        <v>818</v>
      </c>
      <c r="FB234" s="1185"/>
      <c r="FC234" s="1185"/>
      <c r="FD234" s="1185" t="s">
        <v>807</v>
      </c>
    </row>
    <row r="235" spans="27:160">
      <c r="AA235" s="738" t="s">
        <v>819</v>
      </c>
      <c r="AB235" s="738"/>
      <c r="AC235" s="751">
        <v>5</v>
      </c>
      <c r="AD235" s="738" t="s">
        <v>805</v>
      </c>
      <c r="BA235" s="738" t="s">
        <v>819</v>
      </c>
      <c r="BB235" s="738"/>
      <c r="BC235" s="751">
        <v>5</v>
      </c>
      <c r="BD235" s="738" t="s">
        <v>805</v>
      </c>
      <c r="CA235" s="738" t="s">
        <v>819</v>
      </c>
      <c r="CB235" s="738"/>
      <c r="CC235" s="751">
        <v>5</v>
      </c>
      <c r="CD235" s="738" t="s">
        <v>805</v>
      </c>
      <c r="DA235" s="738" t="s">
        <v>819</v>
      </c>
      <c r="DB235" s="738"/>
      <c r="DC235" s="751">
        <v>5</v>
      </c>
      <c r="DD235" s="738" t="s">
        <v>805</v>
      </c>
      <c r="EA235" s="738" t="s">
        <v>819</v>
      </c>
      <c r="EB235" s="738"/>
      <c r="EC235" s="751">
        <v>5</v>
      </c>
      <c r="ED235" s="738" t="s">
        <v>805</v>
      </c>
      <c r="FA235" s="1185" t="s">
        <v>819</v>
      </c>
      <c r="FB235" s="1185"/>
      <c r="FC235" s="1185"/>
      <c r="FD235" s="1185" t="s">
        <v>805</v>
      </c>
    </row>
    <row r="236" spans="27:160">
      <c r="AA236" s="738" t="s">
        <v>820</v>
      </c>
      <c r="AB236" s="738"/>
      <c r="AC236" s="758" t="e">
        <f ca="1">AC234/(1*AC235)/24/3600</f>
        <v>#DIV/0!</v>
      </c>
      <c r="AD236" s="738" t="s">
        <v>821</v>
      </c>
      <c r="BA236" s="738" t="s">
        <v>820</v>
      </c>
      <c r="BB236" s="738"/>
      <c r="BC236" s="758" t="e">
        <f ca="1">BC234/(1*BC235)/24/3600</f>
        <v>#DIV/0!</v>
      </c>
      <c r="BD236" s="738" t="s">
        <v>821</v>
      </c>
      <c r="CA236" s="738" t="s">
        <v>820</v>
      </c>
      <c r="CB236" s="738"/>
      <c r="CC236" s="758" t="e">
        <f ca="1">CC234/(1*CC235)/24/3600</f>
        <v>#DIV/0!</v>
      </c>
      <c r="CD236" s="738" t="s">
        <v>821</v>
      </c>
      <c r="DA236" s="738" t="s">
        <v>820</v>
      </c>
      <c r="DB236" s="738"/>
      <c r="DC236" s="758" t="e">
        <f ca="1">DC234/(1*DC235)/24/3600</f>
        <v>#DIV/0!</v>
      </c>
      <c r="DD236" s="738" t="s">
        <v>821</v>
      </c>
      <c r="EA236" s="738" t="s">
        <v>820</v>
      </c>
      <c r="EB236" s="738"/>
      <c r="EC236" s="758" t="e">
        <f ca="1">EC234/(1*EC235)/24/3600</f>
        <v>#DIV/0!</v>
      </c>
      <c r="ED236" s="738" t="s">
        <v>821</v>
      </c>
      <c r="FA236" s="1185" t="s">
        <v>820</v>
      </c>
      <c r="FB236" s="1185"/>
      <c r="FC236" s="1185"/>
      <c r="FD236" s="1185" t="s">
        <v>821</v>
      </c>
    </row>
    <row r="237" spans="27:160">
      <c r="AA237" s="738"/>
      <c r="AB237" s="738"/>
      <c r="AC237" s="754" t="e">
        <f ca="1">AC236/0.995/1000</f>
        <v>#DIV/0!</v>
      </c>
      <c r="AD237" s="738" t="s">
        <v>822</v>
      </c>
      <c r="BA237" s="738"/>
      <c r="BB237" s="738"/>
      <c r="BC237" s="754" t="e">
        <f ca="1">BC236/0.995/1000</f>
        <v>#DIV/0!</v>
      </c>
      <c r="BD237" s="738" t="s">
        <v>822</v>
      </c>
      <c r="CA237" s="738"/>
      <c r="CB237" s="738"/>
      <c r="CC237" s="754" t="e">
        <f ca="1">CC236/0.995/1000</f>
        <v>#DIV/0!</v>
      </c>
      <c r="CD237" s="738" t="s">
        <v>822</v>
      </c>
      <c r="DA237" s="738"/>
      <c r="DB237" s="738"/>
      <c r="DC237" s="754" t="e">
        <f ca="1">DC236/0.995/1000</f>
        <v>#DIV/0!</v>
      </c>
      <c r="DD237" s="738" t="s">
        <v>822</v>
      </c>
      <c r="EA237" s="738"/>
      <c r="EB237" s="738"/>
      <c r="EC237" s="754" t="e">
        <f ca="1">EC236/0.995/1000</f>
        <v>#DIV/0!</v>
      </c>
      <c r="ED237" s="738" t="s">
        <v>822</v>
      </c>
      <c r="FA237" s="1185"/>
      <c r="FB237" s="1185"/>
      <c r="FC237" s="1185"/>
      <c r="FD237" s="1185" t="s">
        <v>822</v>
      </c>
    </row>
    <row r="238" spans="27:160" ht="16.5">
      <c r="AA238" s="738"/>
      <c r="AB238" s="738"/>
      <c r="AC238" s="754" t="e">
        <f ca="1">AC237/1000*60</f>
        <v>#DIV/0!</v>
      </c>
      <c r="AD238" s="738" t="s">
        <v>823</v>
      </c>
      <c r="BA238" s="738"/>
      <c r="BB238" s="738"/>
      <c r="BC238" s="754" t="e">
        <f ca="1">BC237/1000*60</f>
        <v>#DIV/0!</v>
      </c>
      <c r="BD238" s="738" t="s">
        <v>823</v>
      </c>
      <c r="CA238" s="738"/>
      <c r="CB238" s="738"/>
      <c r="CC238" s="754" t="e">
        <f ca="1">CC237/1000*60</f>
        <v>#DIV/0!</v>
      </c>
      <c r="CD238" s="738" t="s">
        <v>823</v>
      </c>
      <c r="DA238" s="738"/>
      <c r="DB238" s="738"/>
      <c r="DC238" s="754" t="e">
        <f ca="1">DC237/1000*60</f>
        <v>#DIV/0!</v>
      </c>
      <c r="DD238" s="738" t="s">
        <v>823</v>
      </c>
      <c r="EA238" s="738"/>
      <c r="EB238" s="738"/>
      <c r="EC238" s="754" t="e">
        <f ca="1">EC237/1000*60</f>
        <v>#DIV/0!</v>
      </c>
      <c r="ED238" s="738" t="s">
        <v>823</v>
      </c>
      <c r="FA238" s="1185"/>
      <c r="FB238" s="1185"/>
      <c r="FC238" s="1185"/>
      <c r="FD238" s="1185" t="s">
        <v>1340</v>
      </c>
    </row>
    <row r="239" spans="27:160">
      <c r="AA239" s="738"/>
      <c r="AB239" s="738"/>
      <c r="AC239" s="776" t="e">
        <f ca="1">AC237*3600*24/3.785</f>
        <v>#DIV/0!</v>
      </c>
      <c r="AD239" s="738" t="s">
        <v>456</v>
      </c>
      <c r="BA239" s="738"/>
      <c r="BB239" s="738"/>
      <c r="BC239" s="776" t="e">
        <f ca="1">BC237*3600*24/3.785</f>
        <v>#DIV/0!</v>
      </c>
      <c r="BD239" s="738" t="s">
        <v>456</v>
      </c>
      <c r="CA239" s="738"/>
      <c r="CB239" s="738"/>
      <c r="CC239" s="776" t="e">
        <f ca="1">CC237*3600*24/3.785</f>
        <v>#DIV/0!</v>
      </c>
      <c r="CD239" s="738" t="s">
        <v>456</v>
      </c>
      <c r="DA239" s="738"/>
      <c r="DB239" s="738"/>
      <c r="DC239" s="776" t="e">
        <f ca="1">DC237*3600*24/3.785</f>
        <v>#DIV/0!</v>
      </c>
      <c r="DD239" s="738" t="s">
        <v>456</v>
      </c>
      <c r="EA239" s="738"/>
      <c r="EB239" s="738"/>
      <c r="EC239" s="776" t="e">
        <f ca="1">EC237*3600*24/3.785</f>
        <v>#DIV/0!</v>
      </c>
      <c r="ED239" s="738" t="s">
        <v>456</v>
      </c>
      <c r="FA239" s="1185"/>
      <c r="FB239" s="1185"/>
      <c r="FC239" s="1185"/>
      <c r="FD239" s="1185" t="s">
        <v>456</v>
      </c>
    </row>
    <row r="240" spans="27:160">
      <c r="AA240" s="738"/>
      <c r="AB240" s="738"/>
      <c r="AC240" s="758" t="e">
        <f ca="1">AC239*AC103</f>
        <v>#DIV/0!</v>
      </c>
      <c r="AD240" s="738" t="s">
        <v>824</v>
      </c>
      <c r="BA240" s="738"/>
      <c r="BB240" s="738"/>
      <c r="BC240" s="758" t="e">
        <f ca="1">BC239*BC103</f>
        <v>#DIV/0!</v>
      </c>
      <c r="BD240" s="738" t="s">
        <v>824</v>
      </c>
      <c r="CA240" s="738"/>
      <c r="CB240" s="738"/>
      <c r="CC240" s="758" t="e">
        <f ca="1">CC239*CC103</f>
        <v>#DIV/0!</v>
      </c>
      <c r="CD240" s="738" t="s">
        <v>824</v>
      </c>
      <c r="DA240" s="738"/>
      <c r="DB240" s="738"/>
      <c r="DC240" s="758" t="e">
        <f ca="1">DC239*DC103</f>
        <v>#DIV/0!</v>
      </c>
      <c r="DD240" s="738" t="s">
        <v>824</v>
      </c>
      <c r="EA240" s="738"/>
      <c r="EB240" s="738"/>
      <c r="EC240" s="758" t="e">
        <f ca="1">EC239*EC103</f>
        <v>#DIV/0!</v>
      </c>
      <c r="ED240" s="738" t="s">
        <v>824</v>
      </c>
      <c r="FA240" s="1185"/>
      <c r="FB240" s="1185"/>
      <c r="FC240" s="1185"/>
      <c r="FD240" s="1185" t="s">
        <v>824</v>
      </c>
    </row>
    <row r="241" spans="27:160">
      <c r="AA241" s="742" t="s">
        <v>825</v>
      </c>
      <c r="AB241" s="742"/>
      <c r="AC241" s="766"/>
      <c r="AD241" s="767"/>
      <c r="BA241" s="742" t="s">
        <v>825</v>
      </c>
      <c r="BB241" s="742"/>
      <c r="BC241" s="766"/>
      <c r="BD241" s="767"/>
      <c r="CA241" s="742" t="s">
        <v>825</v>
      </c>
      <c r="CB241" s="742"/>
      <c r="CC241" s="766"/>
      <c r="CD241" s="767"/>
      <c r="DA241" s="742" t="s">
        <v>825</v>
      </c>
      <c r="DB241" s="742"/>
      <c r="DC241" s="766"/>
      <c r="DD241" s="767"/>
      <c r="EA241" s="742" t="s">
        <v>825</v>
      </c>
      <c r="EB241" s="742"/>
      <c r="EC241" s="766"/>
      <c r="ED241" s="767"/>
      <c r="FA241" s="1184" t="s">
        <v>825</v>
      </c>
      <c r="FB241" s="742"/>
      <c r="FC241" s="766"/>
      <c r="FD241" s="767"/>
    </row>
    <row r="242" spans="27:160" ht="16.5">
      <c r="AA242" t="s">
        <v>826</v>
      </c>
      <c r="AC242" s="744" t="e">
        <f ca="1">AC203/1000/24</f>
        <v>#DIV/0!</v>
      </c>
      <c r="AD242" s="10" t="s">
        <v>827</v>
      </c>
      <c r="BA242" t="s">
        <v>826</v>
      </c>
      <c r="BC242" s="744" t="e">
        <f ca="1">BC203/1000/24</f>
        <v>#DIV/0!</v>
      </c>
      <c r="BD242" s="10" t="s">
        <v>827</v>
      </c>
      <c r="CA242" t="s">
        <v>826</v>
      </c>
      <c r="CC242" s="744" t="e">
        <f ca="1">CC203/1000/24</f>
        <v>#DIV/0!</v>
      </c>
      <c r="CD242" s="10" t="s">
        <v>827</v>
      </c>
      <c r="DA242" t="s">
        <v>826</v>
      </c>
      <c r="DC242" s="744" t="e">
        <f ca="1">DC203/1000/24</f>
        <v>#DIV/0!</v>
      </c>
      <c r="DD242" s="10" t="s">
        <v>827</v>
      </c>
      <c r="EA242" t="s">
        <v>826</v>
      </c>
      <c r="EC242" s="744" t="e">
        <f ca="1">EC203/1000/24</f>
        <v>#DIV/0!</v>
      </c>
      <c r="ED242" s="10" t="s">
        <v>827</v>
      </c>
      <c r="FA242" s="1185" t="s">
        <v>826</v>
      </c>
      <c r="FB242" s="1185"/>
      <c r="FC242" s="1185"/>
      <c r="FD242" s="1186" t="s">
        <v>1341</v>
      </c>
    </row>
    <row r="243" spans="27:160">
      <c r="AA243" t="s">
        <v>828</v>
      </c>
      <c r="AC243" s="745">
        <v>0.2</v>
      </c>
      <c r="AD243" s="10" t="s">
        <v>829</v>
      </c>
      <c r="BA243" t="s">
        <v>828</v>
      </c>
      <c r="BC243" s="745">
        <v>0.2</v>
      </c>
      <c r="BD243" s="10" t="s">
        <v>829</v>
      </c>
      <c r="CA243" t="s">
        <v>828</v>
      </c>
      <c r="CC243" s="745">
        <v>0.2</v>
      </c>
      <c r="CD243" s="10" t="s">
        <v>829</v>
      </c>
      <c r="DA243" t="s">
        <v>828</v>
      </c>
      <c r="DC243" s="745">
        <v>0.2</v>
      </c>
      <c r="DD243" s="10" t="s">
        <v>829</v>
      </c>
      <c r="EA243" t="s">
        <v>828</v>
      </c>
      <c r="EC243" s="745">
        <v>0.2</v>
      </c>
      <c r="ED243" s="10" t="s">
        <v>829</v>
      </c>
      <c r="FA243" s="1185" t="s">
        <v>828</v>
      </c>
      <c r="FB243" s="1185"/>
      <c r="FC243" s="1185"/>
      <c r="FD243" s="1186" t="s">
        <v>829</v>
      </c>
    </row>
    <row r="244" spans="27:160" ht="16.5">
      <c r="AA244" t="s">
        <v>830</v>
      </c>
      <c r="AC244" s="10" t="e">
        <f ca="1">AC242/AC243</f>
        <v>#DIV/0!</v>
      </c>
      <c r="AD244" s="10" t="s">
        <v>831</v>
      </c>
      <c r="BA244" t="s">
        <v>830</v>
      </c>
      <c r="BC244" s="10" t="e">
        <f ca="1">BC242/BC243</f>
        <v>#DIV/0!</v>
      </c>
      <c r="BD244" s="10" t="s">
        <v>831</v>
      </c>
      <c r="CA244" t="s">
        <v>830</v>
      </c>
      <c r="CC244" s="10" t="e">
        <f ca="1">CC242/CC243</f>
        <v>#DIV/0!</v>
      </c>
      <c r="CD244" s="10" t="s">
        <v>831</v>
      </c>
      <c r="DA244" t="s">
        <v>830</v>
      </c>
      <c r="DC244" s="10" t="e">
        <f ca="1">DC242/DC243</f>
        <v>#DIV/0!</v>
      </c>
      <c r="DD244" s="10" t="s">
        <v>831</v>
      </c>
      <c r="EA244" t="s">
        <v>830</v>
      </c>
      <c r="EC244" s="10" t="e">
        <f ca="1">EC242/EC243</f>
        <v>#DIV/0!</v>
      </c>
      <c r="ED244" s="10" t="s">
        <v>831</v>
      </c>
      <c r="FA244" s="1185" t="s">
        <v>830</v>
      </c>
      <c r="FB244" s="1185"/>
      <c r="FC244" s="1185"/>
      <c r="FD244" s="1186" t="s">
        <v>1342</v>
      </c>
    </row>
    <row r="245" spans="27:160">
      <c r="AC245" s="10"/>
      <c r="BC245" s="10"/>
      <c r="CC245" s="10"/>
      <c r="DC245" s="10"/>
      <c r="EC245" s="10"/>
      <c r="FA245" s="1185"/>
      <c r="FB245" s="1185"/>
      <c r="FC245" s="1185"/>
      <c r="FD245" s="1185"/>
    </row>
    <row r="246" spans="27:160">
      <c r="AA246" t="s">
        <v>832</v>
      </c>
      <c r="AC246" s="10"/>
      <c r="BA246" t="s">
        <v>832</v>
      </c>
      <c r="BC246" s="10"/>
      <c r="CA246" t="s">
        <v>832</v>
      </c>
      <c r="CC246" s="10"/>
      <c r="DA246" t="s">
        <v>832</v>
      </c>
      <c r="DC246" s="10"/>
      <c r="EA246" t="s">
        <v>832</v>
      </c>
      <c r="EC246" s="10"/>
      <c r="FA246" s="1185" t="s">
        <v>832</v>
      </c>
      <c r="FB246" s="1185"/>
      <c r="FC246" s="1185"/>
      <c r="FD246" s="1185"/>
    </row>
    <row r="247" spans="27:160">
      <c r="AA247" t="s">
        <v>833</v>
      </c>
      <c r="AC247" s="751">
        <v>0.3</v>
      </c>
      <c r="BA247" t="s">
        <v>833</v>
      </c>
      <c r="BC247" s="751">
        <v>0.3</v>
      </c>
      <c r="CA247" t="s">
        <v>833</v>
      </c>
      <c r="CC247" s="751">
        <v>0.3</v>
      </c>
      <c r="DA247" t="s">
        <v>833</v>
      </c>
      <c r="DC247" s="751">
        <v>0.3</v>
      </c>
      <c r="EA247" t="s">
        <v>833</v>
      </c>
      <c r="EC247" s="751">
        <v>0.3</v>
      </c>
      <c r="FA247" s="1185" t="s">
        <v>833</v>
      </c>
      <c r="FB247" s="1185"/>
      <c r="FC247" s="1185"/>
      <c r="FD247" s="1185"/>
    </row>
    <row r="248" spans="27:160">
      <c r="AA248" t="s">
        <v>834</v>
      </c>
      <c r="AC248" s="748">
        <v>3</v>
      </c>
      <c r="BA248" t="s">
        <v>834</v>
      </c>
      <c r="BC248" s="748">
        <v>3</v>
      </c>
      <c r="CA248" t="s">
        <v>834</v>
      </c>
      <c r="CC248" s="748">
        <v>3</v>
      </c>
      <c r="DA248" t="s">
        <v>834</v>
      </c>
      <c r="DC248" s="748">
        <v>3</v>
      </c>
      <c r="EA248" t="s">
        <v>834</v>
      </c>
      <c r="EC248" s="748">
        <v>3</v>
      </c>
      <c r="FA248" s="1185" t="s">
        <v>834</v>
      </c>
      <c r="FB248" s="1185"/>
      <c r="FC248" s="1185"/>
      <c r="FD248" s="1185"/>
    </row>
    <row r="249" spans="27:160">
      <c r="AA249" t="s">
        <v>835</v>
      </c>
      <c r="AC249" s="758" t="e">
        <f ca="1">AC203*AC247*AC248</f>
        <v>#DIV/0!</v>
      </c>
      <c r="AD249" t="s">
        <v>742</v>
      </c>
      <c r="BA249" t="s">
        <v>835</v>
      </c>
      <c r="BC249" s="758" t="e">
        <f ca="1">BC203*BC247*BC248</f>
        <v>#DIV/0!</v>
      </c>
      <c r="BD249" t="s">
        <v>742</v>
      </c>
      <c r="CA249" t="s">
        <v>835</v>
      </c>
      <c r="CC249" s="758" t="e">
        <f ca="1">CC203*CC247*CC248</f>
        <v>#DIV/0!</v>
      </c>
      <c r="CD249" t="s">
        <v>742</v>
      </c>
      <c r="DA249" t="s">
        <v>835</v>
      </c>
      <c r="DC249" s="758" t="e">
        <f ca="1">DC203*DC247*DC248</f>
        <v>#DIV/0!</v>
      </c>
      <c r="DD249" t="s">
        <v>742</v>
      </c>
      <c r="EA249" t="s">
        <v>835</v>
      </c>
      <c r="EC249" s="758" t="e">
        <f ca="1">EC203*EC247*EC248</f>
        <v>#DIV/0!</v>
      </c>
      <c r="ED249" t="s">
        <v>742</v>
      </c>
      <c r="FA249" s="1185" t="s">
        <v>835</v>
      </c>
      <c r="FB249" s="1185"/>
      <c r="FC249" s="1185"/>
      <c r="FD249" s="1185" t="s">
        <v>742</v>
      </c>
    </row>
    <row r="250" spans="27:160">
      <c r="AC250" s="10" t="e">
        <f ca="1">AC249/3.785</f>
        <v>#DIV/0!</v>
      </c>
      <c r="AD250" t="s">
        <v>760</v>
      </c>
      <c r="BC250" s="10" t="e">
        <f ca="1">BC249/3.785</f>
        <v>#DIV/0!</v>
      </c>
      <c r="BD250" t="s">
        <v>760</v>
      </c>
      <c r="CC250" s="10" t="e">
        <f ca="1">CC249/3.785</f>
        <v>#DIV/0!</v>
      </c>
      <c r="CD250" t="s">
        <v>760</v>
      </c>
      <c r="DC250" s="10" t="e">
        <f ca="1">DC249/3.785</f>
        <v>#DIV/0!</v>
      </c>
      <c r="DD250" t="s">
        <v>760</v>
      </c>
      <c r="EC250" s="10" t="e">
        <f ca="1">EC249/3.785</f>
        <v>#DIV/0!</v>
      </c>
      <c r="ED250" t="s">
        <v>760</v>
      </c>
      <c r="FA250" s="1185"/>
      <c r="FB250" s="1185"/>
      <c r="FC250" s="1185"/>
      <c r="FD250" s="1185" t="s">
        <v>760</v>
      </c>
    </row>
    <row r="251" spans="27:160" ht="16">
      <c r="AA251" t="s">
        <v>836</v>
      </c>
      <c r="AC251" s="763">
        <v>0.98</v>
      </c>
      <c r="BA251" t="s">
        <v>836</v>
      </c>
      <c r="BC251" s="763">
        <v>0.98</v>
      </c>
      <c r="CA251" t="s">
        <v>836</v>
      </c>
      <c r="CC251" s="763">
        <v>0.98</v>
      </c>
      <c r="DA251" t="s">
        <v>836</v>
      </c>
      <c r="DC251" s="763">
        <v>0.98</v>
      </c>
      <c r="EA251" t="s">
        <v>836</v>
      </c>
      <c r="EC251" s="763">
        <v>0.98</v>
      </c>
      <c r="FA251" s="1185" t="s">
        <v>1343</v>
      </c>
      <c r="FB251" s="1185"/>
      <c r="FC251" s="1185"/>
      <c r="FD251" s="1185"/>
    </row>
    <row r="252" spans="27:160" ht="16">
      <c r="AA252" t="s">
        <v>837</v>
      </c>
      <c r="AC252" s="763">
        <v>0.98</v>
      </c>
      <c r="BA252" t="s">
        <v>837</v>
      </c>
      <c r="BC252" s="763">
        <v>0.98</v>
      </c>
      <c r="CA252" t="s">
        <v>837</v>
      </c>
      <c r="CC252" s="763">
        <v>0.98</v>
      </c>
      <c r="DA252" t="s">
        <v>837</v>
      </c>
      <c r="DC252" s="763">
        <v>0.98</v>
      </c>
      <c r="EA252" s="881" t="s">
        <v>1048</v>
      </c>
      <c r="EC252" s="763">
        <v>0.98</v>
      </c>
      <c r="FA252" s="1185" t="s">
        <v>1344</v>
      </c>
      <c r="FB252" s="1185"/>
      <c r="FC252" s="1185"/>
      <c r="FD252" s="1185"/>
    </row>
    <row r="253" spans="27:160" ht="16">
      <c r="AA253" t="s">
        <v>838</v>
      </c>
      <c r="AC253" s="763">
        <v>0.98</v>
      </c>
      <c r="BA253" t="s">
        <v>838</v>
      </c>
      <c r="BC253" s="763">
        <v>0.98</v>
      </c>
      <c r="CA253" t="s">
        <v>838</v>
      </c>
      <c r="CC253" s="763">
        <v>0.98</v>
      </c>
      <c r="DA253" t="s">
        <v>838</v>
      </c>
      <c r="DC253" s="763">
        <v>0.98</v>
      </c>
      <c r="EA253" t="s">
        <v>838</v>
      </c>
      <c r="EC253" s="763">
        <v>0.98</v>
      </c>
      <c r="FA253" s="1185" t="s">
        <v>1345</v>
      </c>
      <c r="FB253" s="1185"/>
      <c r="FC253" s="1185"/>
      <c r="FD253" s="1185"/>
    </row>
    <row r="254" spans="27:160">
      <c r="AA254" t="s">
        <v>839</v>
      </c>
      <c r="AC254" s="763">
        <v>0.1</v>
      </c>
      <c r="BA254" t="s">
        <v>839</v>
      </c>
      <c r="BC254" s="763">
        <v>0.1</v>
      </c>
      <c r="CA254" t="s">
        <v>839</v>
      </c>
      <c r="CC254" s="763">
        <v>0.1</v>
      </c>
      <c r="DA254" t="s">
        <v>839</v>
      </c>
      <c r="DC254" s="763">
        <v>0.1</v>
      </c>
      <c r="EA254" t="s">
        <v>839</v>
      </c>
      <c r="EC254" s="763">
        <v>0.1</v>
      </c>
      <c r="FA254" s="1185" t="s">
        <v>839</v>
      </c>
      <c r="FB254" s="1185"/>
      <c r="FC254" s="1185"/>
      <c r="FD254" s="1185"/>
    </row>
    <row r="255" spans="27:160">
      <c r="FA255" s="1185"/>
      <c r="FB255" s="1185"/>
      <c r="FC255" s="1185"/>
      <c r="FD255" s="1185"/>
    </row>
    <row r="256" spans="27:160">
      <c r="AA256" t="s">
        <v>840</v>
      </c>
      <c r="BA256" t="s">
        <v>840</v>
      </c>
      <c r="CA256" t="s">
        <v>840</v>
      </c>
      <c r="DA256" t="s">
        <v>840</v>
      </c>
      <c r="EA256" t="s">
        <v>840</v>
      </c>
      <c r="FA256" s="1185" t="s">
        <v>840</v>
      </c>
      <c r="FB256" s="1185"/>
      <c r="FC256" s="1185"/>
      <c r="FD256" s="1185"/>
    </row>
    <row r="257" spans="27:160" ht="16">
      <c r="AA257" t="s">
        <v>841</v>
      </c>
      <c r="AC257" s="10" t="e">
        <f>AC191*AC251*(1-AC254)</f>
        <v>#DIV/0!</v>
      </c>
      <c r="AD257" t="s">
        <v>736</v>
      </c>
      <c r="BA257" t="s">
        <v>841</v>
      </c>
      <c r="BC257" s="10" t="e">
        <f>BC191*BC251*(1-BC254)</f>
        <v>#DIV/0!</v>
      </c>
      <c r="BD257" t="s">
        <v>736</v>
      </c>
      <c r="CA257" t="s">
        <v>841</v>
      </c>
      <c r="CC257" s="10" t="e">
        <f>CC191*CC251*(1-CC254)</f>
        <v>#DIV/0!</v>
      </c>
      <c r="CD257" t="s">
        <v>736</v>
      </c>
      <c r="DA257" t="s">
        <v>841</v>
      </c>
      <c r="DC257" s="10" t="e">
        <f>DC191*DC251*(1-DC254)</f>
        <v>#DIV/0!</v>
      </c>
      <c r="DD257" t="s">
        <v>736</v>
      </c>
      <c r="EA257" t="s">
        <v>841</v>
      </c>
      <c r="EC257" s="10" t="e">
        <f>EC191*EC251*(1-EC254)</f>
        <v>#DIV/0!</v>
      </c>
      <c r="ED257" t="s">
        <v>736</v>
      </c>
      <c r="FA257" s="1185" t="s">
        <v>1346</v>
      </c>
      <c r="FB257" s="1185"/>
      <c r="FC257" s="1185"/>
      <c r="FD257" s="1185" t="s">
        <v>736</v>
      </c>
    </row>
    <row r="258" spans="27:160" ht="16">
      <c r="AA258" t="s">
        <v>842</v>
      </c>
      <c r="AC258" s="10" t="e">
        <f>AC193*AC252*(1-AC254)</f>
        <v>#DIV/0!</v>
      </c>
      <c r="AD258" t="s">
        <v>736</v>
      </c>
      <c r="BA258" t="s">
        <v>842</v>
      </c>
      <c r="BC258" s="10" t="e">
        <f>BC193*BC252*(1-BC254)</f>
        <v>#DIV/0!</v>
      </c>
      <c r="BD258" t="s">
        <v>736</v>
      </c>
      <c r="CA258" t="s">
        <v>842</v>
      </c>
      <c r="CC258" s="10" t="e">
        <f>CC193*CC252*(1-CC254)</f>
        <v>#DIV/0!</v>
      </c>
      <c r="CD258" t="s">
        <v>736</v>
      </c>
      <c r="DA258" t="s">
        <v>842</v>
      </c>
      <c r="DC258" s="10" t="e">
        <f>DC193*DC252*(1-DC254)</f>
        <v>#DIV/0!</v>
      </c>
      <c r="DD258" t="s">
        <v>736</v>
      </c>
      <c r="EA258" s="881" t="s">
        <v>1049</v>
      </c>
      <c r="EC258" s="10" t="e">
        <f>EC193*EC252*(1-EC254)</f>
        <v>#DIV/0!</v>
      </c>
      <c r="ED258" t="s">
        <v>736</v>
      </c>
      <c r="FA258" s="1185" t="s">
        <v>1347</v>
      </c>
      <c r="FB258" s="1185"/>
      <c r="FC258" s="1185"/>
      <c r="FD258" s="1185" t="s">
        <v>736</v>
      </c>
    </row>
    <row r="259" spans="27:160" ht="16">
      <c r="AA259" t="s">
        <v>843</v>
      </c>
      <c r="AC259" s="10" t="e">
        <f>AC195*AC253*(1-AC254)</f>
        <v>#DIV/0!</v>
      </c>
      <c r="AD259" t="s">
        <v>736</v>
      </c>
      <c r="BA259" t="s">
        <v>843</v>
      </c>
      <c r="BC259" s="10" t="e">
        <f>BC195*BC253*(1-BC254)</f>
        <v>#DIV/0!</v>
      </c>
      <c r="BD259" t="s">
        <v>736</v>
      </c>
      <c r="CA259" t="s">
        <v>843</v>
      </c>
      <c r="CC259" s="10" t="e">
        <f>CC195*CC253*(1-CC254)</f>
        <v>#DIV/0!</v>
      </c>
      <c r="CD259" t="s">
        <v>736</v>
      </c>
      <c r="DA259" t="s">
        <v>843</v>
      </c>
      <c r="DC259" s="10" t="e">
        <f>DC195*DC253*(1-DC254)</f>
        <v>#DIV/0!</v>
      </c>
      <c r="DD259" t="s">
        <v>736</v>
      </c>
      <c r="EA259" t="s">
        <v>843</v>
      </c>
      <c r="EC259" s="10" t="e">
        <f>EC195*EC253*(1-EC254)</f>
        <v>#DIV/0!</v>
      </c>
      <c r="ED259" t="s">
        <v>736</v>
      </c>
      <c r="FA259" s="1185" t="s">
        <v>1348</v>
      </c>
      <c r="FB259" s="1185"/>
      <c r="FC259" s="1185"/>
      <c r="FD259" s="1185" t="s">
        <v>736</v>
      </c>
    </row>
    <row r="260" spans="27:160">
      <c r="AA260" t="s">
        <v>193</v>
      </c>
      <c r="AC260" s="10" t="e">
        <f>SUM(AC257:AC259)</f>
        <v>#DIV/0!</v>
      </c>
      <c r="AD260" t="s">
        <v>736</v>
      </c>
      <c r="BA260" t="s">
        <v>193</v>
      </c>
      <c r="BC260" s="10" t="e">
        <f>SUM(BC257:BC259)</f>
        <v>#DIV/0!</v>
      </c>
      <c r="BD260" t="s">
        <v>736</v>
      </c>
      <c r="CA260" t="s">
        <v>193</v>
      </c>
      <c r="CC260" s="10" t="e">
        <f>SUM(CC257:CC259)</f>
        <v>#DIV/0!</v>
      </c>
      <c r="CD260" t="s">
        <v>736</v>
      </c>
      <c r="DA260" t="s">
        <v>193</v>
      </c>
      <c r="DC260" s="10" t="e">
        <f>SUM(DC257:DC259)</f>
        <v>#DIV/0!</v>
      </c>
      <c r="DD260" t="s">
        <v>736</v>
      </c>
      <c r="EA260" t="s">
        <v>193</v>
      </c>
      <c r="EC260" s="10" t="e">
        <f>SUM(EC257:EC259)</f>
        <v>#DIV/0!</v>
      </c>
      <c r="ED260" t="s">
        <v>736</v>
      </c>
      <c r="FA260" s="1185" t="s">
        <v>193</v>
      </c>
      <c r="FB260" s="1185"/>
      <c r="FC260" s="1185"/>
      <c r="FD260" s="1185" t="s">
        <v>736</v>
      </c>
    </row>
    <row r="261" spans="27:160">
      <c r="AC261" s="10" t="e">
        <f>(AC257*(58.69+12+48) + AC258*(54.93+12+48) + AC259*(58.93+12+48))/1000</f>
        <v>#DIV/0!</v>
      </c>
      <c r="AD261" t="s">
        <v>576</v>
      </c>
      <c r="BC261" s="10" t="e">
        <f>(BC257*(58.69+12+48) + BC258*(54.93+12+48) + BC259*(58.93+12+48))/1000</f>
        <v>#DIV/0!</v>
      </c>
      <c r="BD261" t="s">
        <v>576</v>
      </c>
      <c r="CC261" s="10" t="e">
        <f>(CC257*(58.69+12+48) + CC258*(54.93+12+48) + CC259*(58.93+12+48))/1000</f>
        <v>#DIV/0!</v>
      </c>
      <c r="CD261" t="s">
        <v>576</v>
      </c>
      <c r="DC261" s="10" t="e">
        <f>(DC257*(58.69+12+48) + DC258*(54.93+12+48) + DC259*(58.93+12+48))/1000</f>
        <v>#DIV/0!</v>
      </c>
      <c r="DD261" t="s">
        <v>576</v>
      </c>
      <c r="EC261" s="882" t="e">
        <f>(EC257*(58.69+12+48) + EC258*(26.98*2+60*3) + EC259*(58.93+12+48))/1000</f>
        <v>#DIV/0!</v>
      </c>
      <c r="ED261" t="s">
        <v>576</v>
      </c>
      <c r="FA261" s="1185"/>
      <c r="FB261" s="1185"/>
      <c r="FC261" s="1185"/>
      <c r="FD261" s="1185" t="s">
        <v>576</v>
      </c>
    </row>
    <row r="262" spans="27:160" ht="16.5">
      <c r="AA262" t="s">
        <v>844</v>
      </c>
      <c r="AC262" s="750" t="e">
        <f ca="1" xml:space="preserve"> IF(AC244&lt;13, 31832*AC244^0.5926, ROUND(AC244/13,0)*31832*AC244^0.5926)</f>
        <v>#DIV/0!</v>
      </c>
      <c r="AD262" t="s">
        <v>845</v>
      </c>
      <c r="BA262" t="s">
        <v>844</v>
      </c>
      <c r="BC262" s="750" t="e">
        <f ca="1" xml:space="preserve"> IF(BC244&lt;13, 31832*BC244^0.5926, ROUND(BC244/13,0)*31832*BC244^0.5926)</f>
        <v>#DIV/0!</v>
      </c>
      <c r="BD262" t="s">
        <v>845</v>
      </c>
      <c r="CA262" t="s">
        <v>844</v>
      </c>
      <c r="CC262" s="750" t="e">
        <f ca="1" xml:space="preserve"> IF(CC244&lt;13, 31832*CC244^0.5926, ROUND(CC244/13,0)*31832*CC244^0.5926)</f>
        <v>#DIV/0!</v>
      </c>
      <c r="CD262" t="s">
        <v>845</v>
      </c>
      <c r="DA262" t="s">
        <v>844</v>
      </c>
      <c r="DC262" s="750" t="e">
        <f ca="1" xml:space="preserve"> IF(DC244&lt;13, 31832*DC244^0.5926, ROUND(DC244/13,0)*31832*DC244^0.5926)</f>
        <v>#DIV/0!</v>
      </c>
      <c r="DD262" t="s">
        <v>845</v>
      </c>
      <c r="EA262" t="s">
        <v>844</v>
      </c>
      <c r="EC262" s="750" t="e">
        <f ca="1" xml:space="preserve"> IF(EC244&lt;13, 31832*EC244^0.5926, ROUND(EC244/13,0)*31832*EC244^0.5926)</f>
        <v>#DIV/0!</v>
      </c>
      <c r="ED262" t="s">
        <v>845</v>
      </c>
      <c r="FA262" s="1185" t="s">
        <v>1349</v>
      </c>
      <c r="FB262" s="1185"/>
      <c r="FC262" s="1185"/>
      <c r="FD262" s="1185" t="s">
        <v>845</v>
      </c>
    </row>
    <row r="263" spans="27:160">
      <c r="AC263" s="750" t="e">
        <f ca="1">AC262*'Unit Ops'!$G$133/'Unit Ops'!$V$133</f>
        <v>#DIV/0!</v>
      </c>
      <c r="AD263" t="s">
        <v>845</v>
      </c>
      <c r="BC263" s="750" t="e">
        <f ca="1">BC262*'Unit Ops'!$G$133/'Unit Ops'!$V$133</f>
        <v>#DIV/0!</v>
      </c>
      <c r="BD263" t="s">
        <v>845</v>
      </c>
      <c r="CC263" s="750" t="e">
        <f ca="1">CC262*'Unit Ops'!$G$133/'Unit Ops'!$V$133</f>
        <v>#DIV/0!</v>
      </c>
      <c r="CD263" t="s">
        <v>845</v>
      </c>
      <c r="DC263" s="750" t="e">
        <f ca="1">DC262*'Unit Ops'!$G$133/'Unit Ops'!$V$133</f>
        <v>#DIV/0!</v>
      </c>
      <c r="DD263" t="s">
        <v>845</v>
      </c>
      <c r="EC263" s="750" t="e">
        <f ca="1">EC262*'Unit Ops'!$G$133/'Unit Ops'!$V$133</f>
        <v>#DIV/0!</v>
      </c>
      <c r="ED263" t="s">
        <v>845</v>
      </c>
      <c r="EE263" s="905" t="s">
        <v>1430</v>
      </c>
      <c r="FA263" s="1185"/>
      <c r="FB263" s="1185"/>
      <c r="FC263" s="1185"/>
      <c r="FD263" s="1185" t="s">
        <v>845</v>
      </c>
    </row>
    <row r="264" spans="27:160">
      <c r="AC264" s="750" t="e">
        <f ca="1">AC263*AC248</f>
        <v>#DIV/0!</v>
      </c>
      <c r="BC264" s="750" t="e">
        <f ca="1">BC263*BC248</f>
        <v>#DIV/0!</v>
      </c>
      <c r="CC264" s="750" t="e">
        <f ca="1">CC263*CC248</f>
        <v>#DIV/0!</v>
      </c>
      <c r="DC264" s="750" t="e">
        <f ca="1">DC263*DC248</f>
        <v>#DIV/0!</v>
      </c>
      <c r="EC264" s="750" t="e">
        <f ca="1">EC263*EC248</f>
        <v>#DIV/0!</v>
      </c>
      <c r="FA264" s="1185"/>
      <c r="FB264" s="1185"/>
      <c r="FC264" s="1185"/>
      <c r="FD264" s="1185"/>
    </row>
    <row r="265" spans="27:160">
      <c r="AA265" t="s">
        <v>846</v>
      </c>
      <c r="AC265" s="765" t="e">
        <f ca="1">1.67*(   (AC177+AC249)/1000/24/60   )*5/0.9</f>
        <v>#DIV/0!</v>
      </c>
      <c r="AD265" t="s">
        <v>454</v>
      </c>
      <c r="BA265" t="s">
        <v>846</v>
      </c>
      <c r="BC265" s="765" t="e">
        <f ca="1">1.67*(   (BC177+BC249)/1000/24/60   )*5/0.9</f>
        <v>#DIV/0!</v>
      </c>
      <c r="BD265" t="s">
        <v>454</v>
      </c>
      <c r="CA265" t="s">
        <v>846</v>
      </c>
      <c r="CC265" s="765" t="e">
        <f ca="1">1.67*(   (CC177+CC249)/1000/24/60   )*5/0.9</f>
        <v>#DIV/0!</v>
      </c>
      <c r="CD265" t="s">
        <v>454</v>
      </c>
      <c r="DA265" t="s">
        <v>846</v>
      </c>
      <c r="DC265" s="765" t="e">
        <f ca="1">1.67*(   (DC177+DC249)/1000/24/60   )*5/0.9</f>
        <v>#DIV/0!</v>
      </c>
      <c r="DD265" t="s">
        <v>454</v>
      </c>
      <c r="EA265" t="s">
        <v>846</v>
      </c>
      <c r="EC265" s="765" t="e">
        <f ca="1">1.67*(   (EC177+EC249)/1000/24/60   )*5/0.9</f>
        <v>#DIV/0!</v>
      </c>
      <c r="ED265" t="s">
        <v>454</v>
      </c>
      <c r="FA265" s="1185" t="s">
        <v>846</v>
      </c>
      <c r="FB265" s="1185"/>
      <c r="FC265" s="1185"/>
      <c r="FD265" s="1185" t="s">
        <v>454</v>
      </c>
    </row>
    <row r="266" spans="27:160">
      <c r="AA266" t="s">
        <v>847</v>
      </c>
      <c r="AC266" s="750" t="e">
        <f ca="1">18576*( (AC177+AC249)/1000/24/3600  )^0.3866</f>
        <v>#DIV/0!</v>
      </c>
      <c r="BA266" t="s">
        <v>847</v>
      </c>
      <c r="BC266" s="750" t="e">
        <f ca="1">18576*( (BC177+BC249)/1000/24/3600  )^0.3866</f>
        <v>#DIV/0!</v>
      </c>
      <c r="CA266" t="s">
        <v>847</v>
      </c>
      <c r="CC266" s="750" t="e">
        <f ca="1">18576*( (CC177+CC249)/1000/24/3600  )^0.3866</f>
        <v>#DIV/0!</v>
      </c>
      <c r="DA266" t="s">
        <v>847</v>
      </c>
      <c r="DC266" s="750" t="e">
        <f ca="1">18576*( (DC177+DC249)/1000/24/3600  )^0.3866</f>
        <v>#DIV/0!</v>
      </c>
      <c r="EA266" t="s">
        <v>847</v>
      </c>
      <c r="EC266" s="750" t="e">
        <f ca="1">18576*( (EC177+EC249)/1000/24/3600  )^0.3866</f>
        <v>#DIV/0!</v>
      </c>
      <c r="FA266" s="1185" t="s">
        <v>847</v>
      </c>
      <c r="FB266" s="1185"/>
      <c r="FC266" s="1185"/>
      <c r="FD266" s="1185"/>
    </row>
    <row r="267" spans="27:160">
      <c r="AC267" s="750" t="e">
        <f ca="1">AC266*'Unit Ops'!$G$133/'Unit Ops'!$V$133</f>
        <v>#DIV/0!</v>
      </c>
      <c r="BC267" s="750" t="e">
        <f ca="1">BC266*'Unit Ops'!$G$133/'Unit Ops'!$V$133</f>
        <v>#DIV/0!</v>
      </c>
      <c r="CC267" s="750" t="e">
        <f ca="1">CC266*'Unit Ops'!$G$133/'Unit Ops'!$V$133</f>
        <v>#DIV/0!</v>
      </c>
      <c r="DC267" s="750" t="e">
        <f ca="1">DC266*'Unit Ops'!$G$133/'Unit Ops'!$V$133</f>
        <v>#DIV/0!</v>
      </c>
      <c r="EC267" s="750" t="e">
        <f ca="1">EC266*'Unit Ops'!$G$133/'Unit Ops'!$V$133</f>
        <v>#DIV/0!</v>
      </c>
      <c r="EE267" s="905" t="s">
        <v>1430</v>
      </c>
    </row>
    <row r="268" spans="27:160">
      <c r="AC268" s="10"/>
      <c r="BC268" s="10"/>
      <c r="CC268" s="10"/>
      <c r="DC268" s="10"/>
      <c r="EC268" s="10"/>
      <c r="FC268" s="10"/>
    </row>
    <row r="269" spans="27:160">
      <c r="AA269" s="742" t="s">
        <v>848</v>
      </c>
      <c r="AB269" s="742"/>
      <c r="AC269" s="10"/>
      <c r="BA269" s="742" t="s">
        <v>848</v>
      </c>
      <c r="BB269" s="742"/>
      <c r="BC269" s="10"/>
      <c r="CA269" s="742" t="s">
        <v>848</v>
      </c>
      <c r="CB269" s="742"/>
      <c r="CC269" s="10"/>
      <c r="DA269" s="742" t="s">
        <v>848</v>
      </c>
      <c r="DB269" s="742"/>
      <c r="DC269" s="10"/>
      <c r="EA269" s="742" t="s">
        <v>848</v>
      </c>
      <c r="EB269" s="742"/>
      <c r="EC269" s="10"/>
      <c r="FA269" s="1184" t="s">
        <v>848</v>
      </c>
      <c r="FB269" s="742"/>
      <c r="FC269" s="10"/>
    </row>
    <row r="270" spans="27:160">
      <c r="AA270" s="759" t="s">
        <v>849</v>
      </c>
      <c r="AB270" s="759"/>
      <c r="AC270" s="906" t="e">
        <f>(AC257/AC260)*Materials!$F$228 + (AC258/AC260)*Materials!$F$229 + (AC259/AC260)*Materials!$F$230 + (AC261*AC275*0.995/AC261)</f>
        <v>#DIV/0!</v>
      </c>
      <c r="AD270" t="s">
        <v>850</v>
      </c>
      <c r="BA270" s="759" t="s">
        <v>849</v>
      </c>
      <c r="BB270" s="759"/>
      <c r="BC270" s="906" t="e">
        <f>(BC257/BC260)*Materials!$F$228 + (BC258/BC260)*Materials!$F$229 + (BC259/BC260)*Materials!$F$230 + (BC261*BC275*0.995/BC261)</f>
        <v>#DIV/0!</v>
      </c>
      <c r="BD270" t="s">
        <v>850</v>
      </c>
      <c r="CA270" s="759" t="s">
        <v>849</v>
      </c>
      <c r="CB270" s="759"/>
      <c r="CC270" s="906" t="e">
        <f>(CC257/CC260)*Materials!$F$228 + (CC258/CC260)*Materials!$F$229 + (CC259/CC260)*Materials!$F$230 + (CC261*CC275*0.995/CC261)</f>
        <v>#DIV/0!</v>
      </c>
      <c r="CD270" t="s">
        <v>850</v>
      </c>
      <c r="DA270" s="759" t="s">
        <v>849</v>
      </c>
      <c r="DB270" s="759"/>
      <c r="DC270" s="906" t="e">
        <f>(DC257/DC260)*Materials!$F$228 + (DC258/DC260)*Materials!$F$229 + (DC259/DC260)*Materials!$F$230 + (DC261*DC275*0.995/DC261)</f>
        <v>#DIV/0!</v>
      </c>
      <c r="DD270" t="s">
        <v>850</v>
      </c>
      <c r="EA270" s="759" t="s">
        <v>849</v>
      </c>
      <c r="EB270" s="759"/>
      <c r="EC270" s="1044" t="e">
        <f>(EC257/EC260)*Materials!$F$228 + (EC258/EC260)*Materials!$F$231 + (EC259/EC260)*Materials!$F$230 + (EC261*EC275*0.995/EC261)</f>
        <v>#DIV/0!</v>
      </c>
      <c r="ED270" t="s">
        <v>850</v>
      </c>
      <c r="FA270" s="1185" t="s">
        <v>849</v>
      </c>
      <c r="FB270" s="1185"/>
      <c r="FC270" s="1185"/>
      <c r="FD270" s="1185" t="s">
        <v>850</v>
      </c>
    </row>
    <row r="271" spans="27:160">
      <c r="AA271" s="759" t="s">
        <v>851</v>
      </c>
      <c r="AB271" s="759"/>
      <c r="AC271" s="10" t="e">
        <f xml:space="preserve"> (AC257*(58.69+12+48) + AC258*(54.93+12+48) + AC259*(58.93+12+48)) / 1000 /AC270</f>
        <v>#DIV/0!</v>
      </c>
      <c r="AD271" t="s">
        <v>742</v>
      </c>
      <c r="BA271" s="759" t="s">
        <v>851</v>
      </c>
      <c r="BB271" s="759"/>
      <c r="BC271" s="10" t="e">
        <f xml:space="preserve"> (BC257*(58.69+12+48) + BC258*(54.93+12+48) + BC259*(58.93+12+48)) / 1000 /BC270</f>
        <v>#DIV/0!</v>
      </c>
      <c r="BD271" t="s">
        <v>742</v>
      </c>
      <c r="CA271" s="759" t="s">
        <v>851</v>
      </c>
      <c r="CB271" s="759"/>
      <c r="CC271" s="10" t="e">
        <f xml:space="preserve"> (CC257*(58.69+12+48) + CC258*(54.93+12+48) + CC259*(58.93+12+48)) / 1000 /CC270</f>
        <v>#DIV/0!</v>
      </c>
      <c r="CD271" t="s">
        <v>742</v>
      </c>
      <c r="DA271" s="759" t="s">
        <v>851</v>
      </c>
      <c r="DB271" s="759"/>
      <c r="DC271" s="10" t="e">
        <f xml:space="preserve"> (DC257*(58.69+12+48) + DC258*(54.93+12+48) + DC259*(58.93+12+48)) / 1000 /DC270</f>
        <v>#DIV/0!</v>
      </c>
      <c r="DD271" t="s">
        <v>742</v>
      </c>
      <c r="EA271" s="759" t="s">
        <v>851</v>
      </c>
      <c r="EB271" s="759"/>
      <c r="EC271" s="882" t="e">
        <f xml:space="preserve"> (EC257*(58.69+12+48) + EC258*(26.98*2+60*3) + EC259*(58.93+12+48)) / 1000 /EC270</f>
        <v>#DIV/0!</v>
      </c>
      <c r="ED271" t="s">
        <v>742</v>
      </c>
      <c r="FA271" s="1185" t="s">
        <v>851</v>
      </c>
      <c r="FB271" s="1185"/>
      <c r="FC271" s="1185"/>
      <c r="FD271" s="1185" t="s">
        <v>742</v>
      </c>
    </row>
    <row r="272" spans="27:160">
      <c r="AA272" t="s">
        <v>852</v>
      </c>
      <c r="AC272" s="751">
        <v>2</v>
      </c>
      <c r="BA272" t="s">
        <v>852</v>
      </c>
      <c r="BC272" s="751">
        <v>2</v>
      </c>
      <c r="CA272" t="s">
        <v>852</v>
      </c>
      <c r="CC272" s="751">
        <v>2</v>
      </c>
      <c r="DA272" t="s">
        <v>852</v>
      </c>
      <c r="DC272" s="751">
        <v>2</v>
      </c>
      <c r="EA272" t="s">
        <v>852</v>
      </c>
      <c r="EC272" s="751">
        <v>2</v>
      </c>
      <c r="FA272" s="1185" t="s">
        <v>852</v>
      </c>
      <c r="FB272" s="1185"/>
      <c r="FC272" s="1185"/>
      <c r="FD272" s="1185"/>
    </row>
    <row r="273" spans="27:164">
      <c r="AA273" t="s">
        <v>761</v>
      </c>
      <c r="AC273" s="749">
        <v>1</v>
      </c>
      <c r="BA273" t="s">
        <v>761</v>
      </c>
      <c r="BC273" s="749">
        <v>1</v>
      </c>
      <c r="CA273" t="s">
        <v>761</v>
      </c>
      <c r="CC273" s="749">
        <v>1</v>
      </c>
      <c r="DA273" t="s">
        <v>761</v>
      </c>
      <c r="DC273" s="749">
        <v>1</v>
      </c>
      <c r="EA273" t="s">
        <v>761</v>
      </c>
      <c r="EC273" s="749">
        <v>1</v>
      </c>
      <c r="FA273" s="1185" t="s">
        <v>761</v>
      </c>
      <c r="FB273" s="1185"/>
      <c r="FC273" s="1185"/>
      <c r="FD273" s="1185"/>
    </row>
    <row r="274" spans="27:164" ht="16.5">
      <c r="AA274" t="s">
        <v>853</v>
      </c>
      <c r="AC274" s="754" t="e">
        <f>AC271*AC272*(1+AC273)/1000</f>
        <v>#DIV/0!</v>
      </c>
      <c r="AD274" t="s">
        <v>763</v>
      </c>
      <c r="BA274" t="s">
        <v>853</v>
      </c>
      <c r="BC274" s="754" t="e">
        <f>BC271*BC272*(1+BC273)/1000</f>
        <v>#DIV/0!</v>
      </c>
      <c r="BD274" t="s">
        <v>763</v>
      </c>
      <c r="CA274" t="s">
        <v>853</v>
      </c>
      <c r="CC274" s="754" t="e">
        <f>CC271*CC272*(1+CC273)/1000</f>
        <v>#DIV/0!</v>
      </c>
      <c r="CD274" t="s">
        <v>763</v>
      </c>
      <c r="DA274" t="s">
        <v>853</v>
      </c>
      <c r="DC274" s="754" t="e">
        <f>DC271*DC272*(1+DC273)/1000</f>
        <v>#DIV/0!</v>
      </c>
      <c r="DD274" t="s">
        <v>763</v>
      </c>
      <c r="EA274" t="s">
        <v>853</v>
      </c>
      <c r="EC274" s="754" t="e">
        <f>EC271*EC272*(1+EC273)/1000</f>
        <v>#DIV/0!</v>
      </c>
      <c r="ED274" t="s">
        <v>763</v>
      </c>
      <c r="FA274" s="1185" t="s">
        <v>853</v>
      </c>
      <c r="FB274" s="1185"/>
      <c r="FC274" s="1185"/>
      <c r="FD274" s="1185" t="s">
        <v>1319</v>
      </c>
    </row>
    <row r="275" spans="27:164">
      <c r="AA275" t="s">
        <v>854</v>
      </c>
      <c r="AC275" s="763">
        <v>0.1</v>
      </c>
      <c r="AD275" t="s">
        <v>855</v>
      </c>
      <c r="BA275" t="s">
        <v>854</v>
      </c>
      <c r="BC275" s="763">
        <v>0.1</v>
      </c>
      <c r="BD275" t="s">
        <v>855</v>
      </c>
      <c r="CA275" t="s">
        <v>854</v>
      </c>
      <c r="CC275" s="763">
        <v>0.1</v>
      </c>
      <c r="CD275" t="s">
        <v>855</v>
      </c>
      <c r="DA275" t="s">
        <v>854</v>
      </c>
      <c r="DC275" s="763">
        <v>0.1</v>
      </c>
      <c r="DD275" t="s">
        <v>855</v>
      </c>
      <c r="EA275" t="s">
        <v>854</v>
      </c>
      <c r="EC275" s="763">
        <v>0.1</v>
      </c>
      <c r="ED275" t="s">
        <v>855</v>
      </c>
      <c r="FA275" s="1185" t="s">
        <v>854</v>
      </c>
      <c r="FB275" s="1185"/>
      <c r="FC275" s="1185"/>
      <c r="FD275" s="1185" t="s">
        <v>855</v>
      </c>
    </row>
    <row r="276" spans="27:164">
      <c r="AA276" t="s">
        <v>856</v>
      </c>
      <c r="AC276" s="10" t="e">
        <f>(AC261/(1-AC275))*AC275</f>
        <v>#DIV/0!</v>
      </c>
      <c r="AD276" t="s">
        <v>576</v>
      </c>
      <c r="BA276" t="s">
        <v>856</v>
      </c>
      <c r="BC276" s="10" t="e">
        <f>(BC261/(1-BC275))*BC275</f>
        <v>#DIV/0!</v>
      </c>
      <c r="BD276" t="s">
        <v>576</v>
      </c>
      <c r="CA276" t="s">
        <v>856</v>
      </c>
      <c r="CC276" s="10" t="e">
        <f>(CC261/(1-CC275))*CC275</f>
        <v>#DIV/0!</v>
      </c>
      <c r="CD276" t="s">
        <v>576</v>
      </c>
      <c r="DA276" t="s">
        <v>856</v>
      </c>
      <c r="DC276" s="10" t="e">
        <f>(DC261/(1-DC275))*DC275</f>
        <v>#DIV/0!</v>
      </c>
      <c r="DD276" t="s">
        <v>576</v>
      </c>
      <c r="EA276" t="s">
        <v>856</v>
      </c>
      <c r="EC276" s="10" t="e">
        <f>(EC261/(1-EC275))*EC275</f>
        <v>#DIV/0!</v>
      </c>
      <c r="ED276" t="s">
        <v>733</v>
      </c>
      <c r="FA276" s="1185" t="s">
        <v>856</v>
      </c>
      <c r="FB276" s="1185"/>
      <c r="FC276" s="1185"/>
      <c r="FD276" s="1185" t="s">
        <v>576</v>
      </c>
    </row>
    <row r="277" spans="27:164">
      <c r="AC277" s="777" t="e">
        <f>AC276/24</f>
        <v>#DIV/0!</v>
      </c>
      <c r="AD277" t="s">
        <v>857</v>
      </c>
      <c r="BC277" s="777" t="e">
        <f>BC276/24</f>
        <v>#DIV/0!</v>
      </c>
      <c r="BD277" t="s">
        <v>857</v>
      </c>
      <c r="CC277" s="777" t="e">
        <f>CC276/24</f>
        <v>#DIV/0!</v>
      </c>
      <c r="CD277" t="s">
        <v>857</v>
      </c>
      <c r="DC277" s="777" t="e">
        <f>DC276/24</f>
        <v>#DIV/0!</v>
      </c>
      <c r="DD277" t="s">
        <v>857</v>
      </c>
      <c r="EC277" s="777" t="e">
        <f>EC276/24</f>
        <v>#DIV/0!</v>
      </c>
      <c r="ED277" t="s">
        <v>857</v>
      </c>
      <c r="FA277" s="1185"/>
      <c r="FB277" s="1185"/>
      <c r="FC277" s="1185"/>
      <c r="FD277" s="1185" t="s">
        <v>857</v>
      </c>
    </row>
    <row r="278" spans="27:164">
      <c r="AC278" s="777" t="e">
        <f>AC277/3600</f>
        <v>#DIV/0!</v>
      </c>
      <c r="AD278" t="s">
        <v>858</v>
      </c>
      <c r="BC278" s="777" t="e">
        <f>BC277/3600</f>
        <v>#DIV/0!</v>
      </c>
      <c r="BD278" t="s">
        <v>858</v>
      </c>
      <c r="CC278" s="777" t="e">
        <f>CC277/3600</f>
        <v>#DIV/0!</v>
      </c>
      <c r="CD278" t="s">
        <v>858</v>
      </c>
      <c r="DC278" s="777" t="e">
        <f>DC277/3600</f>
        <v>#DIV/0!</v>
      </c>
      <c r="DD278" t="s">
        <v>858</v>
      </c>
      <c r="EC278" s="777" t="e">
        <f>EC277/3600</f>
        <v>#DIV/0!</v>
      </c>
      <c r="ED278" t="s">
        <v>858</v>
      </c>
      <c r="FA278" s="1185"/>
      <c r="FB278" s="1185"/>
      <c r="FC278" s="1185"/>
      <c r="FD278" s="1185" t="s">
        <v>858</v>
      </c>
    </row>
    <row r="279" spans="27:164">
      <c r="AA279" s="738" t="s">
        <v>859</v>
      </c>
      <c r="AB279" s="738"/>
      <c r="AC279" s="750" t="e">
        <f xml:space="preserve"> 38421*AC274^0.5816</f>
        <v>#DIV/0!</v>
      </c>
      <c r="AD279" s="767"/>
      <c r="BA279" s="738" t="s">
        <v>859</v>
      </c>
      <c r="BB279" s="738"/>
      <c r="BC279" s="750" t="e">
        <f xml:space="preserve"> 38421*BC274^0.5816</f>
        <v>#DIV/0!</v>
      </c>
      <c r="BD279" s="767"/>
      <c r="CA279" s="738" t="s">
        <v>859</v>
      </c>
      <c r="CB279" s="738"/>
      <c r="CC279" s="750" t="e">
        <f xml:space="preserve"> 38421*CC274^0.5816</f>
        <v>#DIV/0!</v>
      </c>
      <c r="CD279" s="767"/>
      <c r="DA279" s="738" t="s">
        <v>859</v>
      </c>
      <c r="DB279" s="738"/>
      <c r="DC279" s="750" t="e">
        <f xml:space="preserve"> 38421*DC274^0.5816</f>
        <v>#DIV/0!</v>
      </c>
      <c r="DD279" s="767"/>
      <c r="EA279" s="738" t="s">
        <v>859</v>
      </c>
      <c r="EB279" s="738"/>
      <c r="EC279" s="750" t="e">
        <f xml:space="preserve"> 38421*EC274^0.5816</f>
        <v>#DIV/0!</v>
      </c>
      <c r="ED279" s="767"/>
      <c r="FA279" s="1185" t="s">
        <v>859</v>
      </c>
      <c r="FB279" s="1185"/>
      <c r="FC279" s="1185"/>
      <c r="FD279" s="1185"/>
    </row>
    <row r="280" spans="27:164">
      <c r="AA280" s="767"/>
      <c r="AB280" s="767"/>
      <c r="AC280" s="750" t="e">
        <f>AC279*'Unit Ops'!$G$133/'Unit Ops'!$V$133</f>
        <v>#DIV/0!</v>
      </c>
      <c r="AD280" s="767"/>
      <c r="BA280" s="767"/>
      <c r="BB280" s="767"/>
      <c r="BC280" s="750" t="e">
        <f>BC279*'Unit Ops'!$G$133/'Unit Ops'!$V$133</f>
        <v>#DIV/0!</v>
      </c>
      <c r="BD280" s="767"/>
      <c r="CA280" s="767"/>
      <c r="CB280" s="767"/>
      <c r="CC280" s="750" t="e">
        <f>CC279*'Unit Ops'!$G$133/'Unit Ops'!$V$133</f>
        <v>#DIV/0!</v>
      </c>
      <c r="CD280" s="767"/>
      <c r="DA280" s="767"/>
      <c r="DB280" s="767"/>
      <c r="DC280" s="750" t="e">
        <f>DC279*'Unit Ops'!$G$133/'Unit Ops'!$V$133</f>
        <v>#DIV/0!</v>
      </c>
      <c r="DD280" s="767"/>
      <c r="EA280" s="767"/>
      <c r="EB280" s="767"/>
      <c r="EC280" s="750" t="e">
        <f>EC279*'Unit Ops'!$G$133/'Unit Ops'!$V$133</f>
        <v>#DIV/0!</v>
      </c>
      <c r="ED280" s="767"/>
      <c r="EE280" s="905" t="s">
        <v>1430</v>
      </c>
      <c r="FA280" s="1185"/>
      <c r="FB280" s="1185"/>
      <c r="FC280" s="1185"/>
      <c r="FD280" s="1185"/>
    </row>
    <row r="281" spans="27:164">
      <c r="AA281" s="738" t="s">
        <v>860</v>
      </c>
      <c r="AB281" s="767"/>
      <c r="AC281" s="750" t="e">
        <f xml:space="preserve"> IF(AC277/3600&lt;0.4, 598277, 736942*AC278^0.2275)</f>
        <v>#DIV/0!</v>
      </c>
      <c r="AD281" s="767"/>
      <c r="BA281" s="738" t="s">
        <v>860</v>
      </c>
      <c r="BB281" s="767"/>
      <c r="BC281" s="750" t="e">
        <f xml:space="preserve"> IF(BC277/3600&lt;0.4, 598277, 736942*BC278^0.2275)</f>
        <v>#DIV/0!</v>
      </c>
      <c r="BD281" s="767"/>
      <c r="CA281" s="738" t="s">
        <v>860</v>
      </c>
      <c r="CB281" s="767"/>
      <c r="CC281" s="750" t="e">
        <f xml:space="preserve"> IF(CC277/3600&lt;0.4, 598277, 736942*CC278^0.2275)</f>
        <v>#DIV/0!</v>
      </c>
      <c r="CD281" s="767"/>
      <c r="DA281" s="738" t="s">
        <v>860</v>
      </c>
      <c r="DB281" s="767"/>
      <c r="DC281" s="750" t="e">
        <f xml:space="preserve"> IF(DC277/3600&lt;0.4, 598277, 736942*DC278^0.2275)</f>
        <v>#DIV/0!</v>
      </c>
      <c r="DD281" s="767"/>
      <c r="EA281" s="738" t="s">
        <v>860</v>
      </c>
      <c r="EB281" s="767"/>
      <c r="EC281" s="750" t="e">
        <f xml:space="preserve"> IF(EC277/3600&lt;0.4, 598277, 736942*EC278^0.2275)</f>
        <v>#DIV/0!</v>
      </c>
      <c r="ED281" s="767"/>
      <c r="FA281" s="1185" t="s">
        <v>860</v>
      </c>
      <c r="FB281" s="1185"/>
      <c r="FC281" s="1185"/>
      <c r="FD281" s="1185"/>
    </row>
    <row r="282" spans="27:164">
      <c r="AA282" s="738"/>
      <c r="AB282" s="767"/>
      <c r="AC282" s="750" t="e">
        <f>AC281*'Unit Ops'!$G$133/'Unit Ops'!$V$133</f>
        <v>#DIV/0!</v>
      </c>
      <c r="AD282" s="767"/>
      <c r="BA282" s="738"/>
      <c r="BB282" s="767"/>
      <c r="BC282" s="750" t="e">
        <f>BC281*'Unit Ops'!$G$133/'Unit Ops'!$V$133</f>
        <v>#DIV/0!</v>
      </c>
      <c r="BD282" s="767"/>
      <c r="CA282" s="738"/>
      <c r="CB282" s="767"/>
      <c r="CC282" s="750" t="e">
        <f>CC281*'Unit Ops'!$G$133/'Unit Ops'!$V$133</f>
        <v>#DIV/0!</v>
      </c>
      <c r="CD282" s="767"/>
      <c r="DA282" s="738"/>
      <c r="DB282" s="767"/>
      <c r="DC282" s="750" t="e">
        <f>DC281*'Unit Ops'!$G$133/'Unit Ops'!$V$133</f>
        <v>#DIV/0!</v>
      </c>
      <c r="DD282" s="767"/>
      <c r="EA282" s="738"/>
      <c r="EB282" s="767"/>
      <c r="EC282" s="750" t="e">
        <f>EC281*'Unit Ops'!$G$133/'Unit Ops'!$V$133</f>
        <v>#DIV/0!</v>
      </c>
      <c r="ED282" s="767"/>
      <c r="EE282" s="905" t="s">
        <v>1430</v>
      </c>
      <c r="FA282" s="1185"/>
      <c r="FB282" s="1185"/>
      <c r="FC282" s="1185"/>
      <c r="FD282" s="1185"/>
    </row>
    <row r="283" spans="27:164">
      <c r="AA283" t="s">
        <v>861</v>
      </c>
      <c r="AB283" s="767"/>
      <c r="AC283" s="745">
        <v>20</v>
      </c>
      <c r="AD283" s="738" t="s">
        <v>862</v>
      </c>
      <c r="BA283" t="s">
        <v>861</v>
      </c>
      <c r="BB283" s="767"/>
      <c r="BC283" s="745">
        <v>20</v>
      </c>
      <c r="BD283" s="738" t="s">
        <v>862</v>
      </c>
      <c r="CA283" t="s">
        <v>861</v>
      </c>
      <c r="CB283" s="767"/>
      <c r="CC283" s="745">
        <v>20</v>
      </c>
      <c r="CD283" s="738" t="s">
        <v>862</v>
      </c>
      <c r="DA283" t="s">
        <v>861</v>
      </c>
      <c r="DB283" s="767"/>
      <c r="DC283" s="745">
        <v>20</v>
      </c>
      <c r="DD283" s="738" t="s">
        <v>862</v>
      </c>
      <c r="EA283" t="s">
        <v>861</v>
      </c>
      <c r="EB283" s="767"/>
      <c r="EC283" s="745">
        <v>20</v>
      </c>
      <c r="ED283" s="738" t="s">
        <v>862</v>
      </c>
      <c r="FA283" s="1185" t="s">
        <v>861</v>
      </c>
      <c r="FB283" s="1185"/>
      <c r="FC283" s="1185"/>
      <c r="FD283" s="1185" t="s">
        <v>862</v>
      </c>
    </row>
    <row r="284" spans="27:164">
      <c r="AB284" s="767"/>
      <c r="AC284" s="765">
        <f>AC283*0.7457</f>
        <v>14.914000000000001</v>
      </c>
      <c r="AD284" s="753" t="s">
        <v>454</v>
      </c>
      <c r="BB284" s="767"/>
      <c r="BC284" s="765">
        <f>BC283*0.7457</f>
        <v>14.914000000000001</v>
      </c>
      <c r="BD284" s="753" t="s">
        <v>454</v>
      </c>
      <c r="CB284" s="767"/>
      <c r="CC284" s="765">
        <f>CC283*0.7457</f>
        <v>14.914000000000001</v>
      </c>
      <c r="CD284" s="753" t="s">
        <v>454</v>
      </c>
      <c r="DB284" s="767"/>
      <c r="DC284" s="765">
        <f>DC283*0.7457</f>
        <v>14.914000000000001</v>
      </c>
      <c r="DD284" s="753" t="s">
        <v>454</v>
      </c>
      <c r="EB284" s="767"/>
      <c r="EC284" s="765">
        <f>EC283*0.7457</f>
        <v>14.914000000000001</v>
      </c>
      <c r="ED284" s="753" t="s">
        <v>454</v>
      </c>
      <c r="FA284" s="1185"/>
      <c r="FB284" s="1185"/>
      <c r="FC284" s="1185"/>
      <c r="FD284" s="1185" t="s">
        <v>454</v>
      </c>
    </row>
    <row r="285" spans="27:164">
      <c r="AA285" s="767" t="s">
        <v>863</v>
      </c>
      <c r="AB285" s="767"/>
      <c r="AC285" s="903" t="e">
        <f>(AC276*1000/18)*(Materials!$E$222*(100-20)+10519)*0.004184/(24*3600) + (AC257*Materials!$E$228 + AC258*Materials!$E$229 + AC259*Materials!$E$230)*(100-20)/24/3600*0.004184</f>
        <v>#DIV/0!</v>
      </c>
      <c r="AD285" s="767" t="s">
        <v>454</v>
      </c>
      <c r="BA285" s="767" t="s">
        <v>863</v>
      </c>
      <c r="BB285" s="767"/>
      <c r="BC285" s="903" t="e">
        <f>(BC276*1000/18)*(Materials!$E$222*(100-20)+10519)*0.004184/(24*3600) + (BC257*Materials!$E$228 + BC258*Materials!$E$229 + BC259*Materials!$E$230)*(100-20)/24/3600*0.004184</f>
        <v>#DIV/0!</v>
      </c>
      <c r="BD285" s="767" t="s">
        <v>454</v>
      </c>
      <c r="CA285" s="767" t="s">
        <v>863</v>
      </c>
      <c r="CB285" s="767"/>
      <c r="CC285" s="903" t="e">
        <f>(CC276*1000/18)*(Materials!$E$222*(100-20)+10519)*0.004184/(24*3600) + (CC257*Materials!$E$228 + CC258*Materials!$E$229 + CC259*Materials!$E$230)*(100-20)/24/3600*0.004184</f>
        <v>#DIV/0!</v>
      </c>
      <c r="CD285" s="767" t="s">
        <v>454</v>
      </c>
      <c r="DA285" s="767" t="s">
        <v>863</v>
      </c>
      <c r="DB285" s="767"/>
      <c r="DC285" s="903" t="e">
        <f>(DC276*1000/18)*(Materials!$E$222*(100-20)+10519)*0.004184/(24*3600) + (DC257*Materials!$E$228 + DC258*Materials!$E$229 + DC259*Materials!$E$230)*(100-20)/24/3600*0.004184</f>
        <v>#DIV/0!</v>
      </c>
      <c r="DD285" s="767" t="s">
        <v>454</v>
      </c>
      <c r="EA285" s="767" t="s">
        <v>863</v>
      </c>
      <c r="EB285" s="767"/>
      <c r="EC285" s="1043" t="e">
        <f>(EC276*1000/18)*(Materials!$E$222*(100-20)+10519)*0.004184/(24*3600) + (EC257*Materials!$E$228 + EC258*Materials!$E$231 + EC259*Materials!$E$230)*(100-20)/24/3600*0.004184</f>
        <v>#DIV/0!</v>
      </c>
      <c r="ED285" s="767" t="s">
        <v>454</v>
      </c>
      <c r="FA285" s="1185" t="s">
        <v>863</v>
      </c>
      <c r="FB285" s="1185"/>
      <c r="FC285" s="1185"/>
      <c r="FD285" s="1185" t="s">
        <v>454</v>
      </c>
    </row>
    <row r="286" spans="27:164">
      <c r="AA286" s="767"/>
      <c r="AB286" s="767"/>
      <c r="AC286" s="10" t="e">
        <f ca="1">AC285/AC375*100</f>
        <v>#DIV/0!</v>
      </c>
      <c r="AD286" s="738" t="s">
        <v>6</v>
      </c>
      <c r="BA286" s="767"/>
      <c r="BB286" s="767"/>
      <c r="BC286" s="10" t="e">
        <f ca="1">BC285/BC375*100</f>
        <v>#DIV/0!</v>
      </c>
      <c r="BD286" s="738" t="s">
        <v>6</v>
      </c>
      <c r="CA286" s="767"/>
      <c r="CB286" s="767"/>
      <c r="CC286" s="10" t="e">
        <f ca="1">CC285/CC375*100</f>
        <v>#DIV/0!</v>
      </c>
      <c r="CD286" s="738" t="s">
        <v>6</v>
      </c>
      <c r="DA286" s="767"/>
      <c r="DB286" s="767"/>
      <c r="DC286" s="10" t="e">
        <f ca="1">DC285/DC375*100</f>
        <v>#DIV/0!</v>
      </c>
      <c r="DD286" s="738" t="s">
        <v>6</v>
      </c>
      <c r="EA286" s="767"/>
      <c r="EB286" s="767"/>
      <c r="EC286" s="10" t="e">
        <f ca="1">EC285/EC375*100</f>
        <v>#DIV/0!</v>
      </c>
      <c r="ED286" s="738" t="s">
        <v>6</v>
      </c>
      <c r="EE286" s="905" t="s">
        <v>1050</v>
      </c>
      <c r="FA286" s="1185"/>
      <c r="FB286" s="1185"/>
      <c r="FC286" s="1185"/>
      <c r="FD286" s="1185" t="s">
        <v>6</v>
      </c>
    </row>
    <row r="287" spans="27:164">
      <c r="AA287" s="742" t="s">
        <v>32</v>
      </c>
      <c r="AB287" s="742"/>
      <c r="BA287" s="742" t="s">
        <v>32</v>
      </c>
      <c r="BB287" s="742"/>
      <c r="CA287" s="742" t="s">
        <v>32</v>
      </c>
      <c r="CB287" s="742"/>
      <c r="DA287" s="742" t="s">
        <v>32</v>
      </c>
      <c r="DB287" s="742"/>
      <c r="EA287" s="742" t="s">
        <v>32</v>
      </c>
      <c r="EB287" s="742"/>
      <c r="FA287" s="742" t="s">
        <v>32</v>
      </c>
      <c r="FB287" s="742"/>
    </row>
    <row r="288" spans="27:164">
      <c r="AA288" t="s">
        <v>864</v>
      </c>
      <c r="AC288" s="769" t="e">
        <f>AC261*(1+AC206)</f>
        <v>#DIV/0!</v>
      </c>
      <c r="AD288" t="s">
        <v>576</v>
      </c>
      <c r="BA288" t="s">
        <v>864</v>
      </c>
      <c r="BC288" s="769" t="e">
        <f>BC261*(1+BC206)</f>
        <v>#DIV/0!</v>
      </c>
      <c r="BD288" t="s">
        <v>576</v>
      </c>
      <c r="CA288" t="s">
        <v>864</v>
      </c>
      <c r="CC288" s="769" t="e">
        <f>CC261*(1+CC206)</f>
        <v>#DIV/0!</v>
      </c>
      <c r="CD288" t="s">
        <v>576</v>
      </c>
      <c r="DA288" t="s">
        <v>864</v>
      </c>
      <c r="DC288" s="769" t="e">
        <f>DC261*(1+DC206)</f>
        <v>#DIV/0!</v>
      </c>
      <c r="DD288" t="s">
        <v>576</v>
      </c>
      <c r="EA288" t="s">
        <v>864</v>
      </c>
      <c r="EC288" s="769" t="e">
        <f>EC261*(1+EC206)</f>
        <v>#DIV/0!</v>
      </c>
      <c r="ED288" t="s">
        <v>576</v>
      </c>
      <c r="EE288" s="905" t="s">
        <v>1051</v>
      </c>
      <c r="FA288" t="s">
        <v>864</v>
      </c>
      <c r="FC288" s="769" t="e">
        <f>(FF289+FG289)/FH289*FC110*(1+20%)</f>
        <v>#DIV/0!</v>
      </c>
      <c r="FD288" t="s">
        <v>576</v>
      </c>
      <c r="FE288" s="905" t="s">
        <v>1051</v>
      </c>
      <c r="FF288" t="s">
        <v>670</v>
      </c>
      <c r="FG288" t="s">
        <v>1290</v>
      </c>
      <c r="FH288" t="s">
        <v>445</v>
      </c>
    </row>
    <row r="289" spans="27:164">
      <c r="AC289" s="740" t="e">
        <f>AC288/(24*3600)</f>
        <v>#DIV/0!</v>
      </c>
      <c r="AD289" t="s">
        <v>865</v>
      </c>
      <c r="BC289" s="740" t="e">
        <f>BC288/(24*3600)</f>
        <v>#DIV/0!</v>
      </c>
      <c r="BD289" t="s">
        <v>865</v>
      </c>
      <c r="CC289" s="740" t="e">
        <f>CC288/(24*3600)</f>
        <v>#DIV/0!</v>
      </c>
      <c r="CD289" t="s">
        <v>865</v>
      </c>
      <c r="DC289" s="740" t="e">
        <f>DC288/(24*3600)</f>
        <v>#DIV/0!</v>
      </c>
      <c r="DD289" t="s">
        <v>865</v>
      </c>
      <c r="EC289" s="740" t="e">
        <f>EC288/(24*3600)</f>
        <v>#DIV/0!</v>
      </c>
      <c r="ED289" t="s">
        <v>865</v>
      </c>
      <c r="FC289" s="740" t="e">
        <f>FC288/(24*3600)</f>
        <v>#DIV/0!</v>
      </c>
      <c r="FD289" t="s">
        <v>865</v>
      </c>
      <c r="FF289" s="744">
        <f>(6.94*2+12.01+48)/2</f>
        <v>36.945</v>
      </c>
      <c r="FG289" s="744">
        <f>(58.93*3+64)/3</f>
        <v>80.263333333333335</v>
      </c>
      <c r="FH289" s="744">
        <f>6.94+58.93+32</f>
        <v>97.87</v>
      </c>
    </row>
    <row r="290" spans="27:164">
      <c r="AA290" t="s">
        <v>866</v>
      </c>
      <c r="AC290" s="748">
        <v>100</v>
      </c>
      <c r="AD290" t="s">
        <v>867</v>
      </c>
      <c r="BA290" t="s">
        <v>866</v>
      </c>
      <c r="BC290" s="748">
        <v>100</v>
      </c>
      <c r="BD290" t="s">
        <v>867</v>
      </c>
      <c r="CA290" t="s">
        <v>866</v>
      </c>
      <c r="CC290" s="748">
        <v>100</v>
      </c>
      <c r="CD290" t="s">
        <v>867</v>
      </c>
      <c r="DA290" t="s">
        <v>866</v>
      </c>
      <c r="DC290" s="748">
        <v>100</v>
      </c>
      <c r="DD290" t="s">
        <v>867</v>
      </c>
      <c r="EA290" t="s">
        <v>866</v>
      </c>
      <c r="EC290" s="748">
        <v>100</v>
      </c>
      <c r="ED290" t="s">
        <v>867</v>
      </c>
      <c r="FA290" t="s">
        <v>866</v>
      </c>
      <c r="FC290" s="748">
        <v>100</v>
      </c>
      <c r="FD290" t="s">
        <v>867</v>
      </c>
    </row>
    <row r="291" spans="27:164">
      <c r="AA291" s="759" t="s">
        <v>868</v>
      </c>
      <c r="AB291" s="759"/>
      <c r="AC291" s="765" t="e">
        <f>0.008*AC289/(AC290*0.000001)</f>
        <v>#DIV/0!</v>
      </c>
      <c r="AD291" s="753" t="s">
        <v>454</v>
      </c>
      <c r="BA291" s="759" t="s">
        <v>868</v>
      </c>
      <c r="BB291" s="759"/>
      <c r="BC291" s="765" t="e">
        <f>0.008*BC289/(BC290*0.000001)</f>
        <v>#DIV/0!</v>
      </c>
      <c r="BD291" s="753" t="s">
        <v>454</v>
      </c>
      <c r="CA291" s="759" t="s">
        <v>868</v>
      </c>
      <c r="CB291" s="759"/>
      <c r="CC291" s="765" t="e">
        <f>0.008*CC289/(CC290*0.000001)</f>
        <v>#DIV/0!</v>
      </c>
      <c r="CD291" s="753" t="s">
        <v>454</v>
      </c>
      <c r="DA291" s="759" t="s">
        <v>868</v>
      </c>
      <c r="DB291" s="759"/>
      <c r="DC291" s="765" t="e">
        <f>0.008*DC289/(DC290*0.000001)</f>
        <v>#DIV/0!</v>
      </c>
      <c r="DD291" s="753" t="s">
        <v>454</v>
      </c>
      <c r="EA291" s="759" t="s">
        <v>868</v>
      </c>
      <c r="EB291" s="759"/>
      <c r="EC291" s="765" t="e">
        <f>0.008*EC289/(EC290*0.000001)</f>
        <v>#DIV/0!</v>
      </c>
      <c r="ED291" s="753" t="s">
        <v>454</v>
      </c>
      <c r="FA291" s="759" t="s">
        <v>868</v>
      </c>
      <c r="FB291" s="759"/>
      <c r="FC291" s="765" t="e">
        <f>0.008*FC289/(FC290*0.000001)</f>
        <v>#DIV/0!</v>
      </c>
      <c r="FD291" s="753" t="s">
        <v>454</v>
      </c>
    </row>
    <row r="292" spans="27:164">
      <c r="AC292" s="740" t="e">
        <f>(AC288/1000)*7.4/24</f>
        <v>#DIV/0!</v>
      </c>
      <c r="AD292" t="s">
        <v>454</v>
      </c>
      <c r="BC292" s="740" t="e">
        <f>(BC288/1000)*7.4/24</f>
        <v>#DIV/0!</v>
      </c>
      <c r="BD292" t="s">
        <v>454</v>
      </c>
      <c r="CC292" s="740" t="e">
        <f>(CC288/1000)*7.4/24</f>
        <v>#DIV/0!</v>
      </c>
      <c r="CD292" t="s">
        <v>454</v>
      </c>
      <c r="DC292" s="740" t="e">
        <f>(DC288/1000)*7.4/24</f>
        <v>#DIV/0!</v>
      </c>
      <c r="DD292" t="s">
        <v>454</v>
      </c>
      <c r="EC292" s="740" t="e">
        <f>(EC288/1000)*7.4/24</f>
        <v>#DIV/0!</v>
      </c>
      <c r="ED292" t="s">
        <v>454</v>
      </c>
      <c r="FC292" s="740" t="e">
        <f>(FC288/1000)*7.4/24</f>
        <v>#DIV/0!</v>
      </c>
      <c r="FD292" t="s">
        <v>454</v>
      </c>
    </row>
    <row r="293" spans="27:164">
      <c r="AA293" t="s">
        <v>869</v>
      </c>
      <c r="AC293" s="750" t="e">
        <f>273971*AC289^0.5617</f>
        <v>#DIV/0!</v>
      </c>
      <c r="BA293" t="s">
        <v>869</v>
      </c>
      <c r="BC293" s="750" t="e">
        <f>273971*BC289^0.5617</f>
        <v>#DIV/0!</v>
      </c>
      <c r="CA293" t="s">
        <v>869</v>
      </c>
      <c r="CC293" s="750" t="e">
        <f>273971*CC289^0.5617</f>
        <v>#DIV/0!</v>
      </c>
      <c r="DA293" t="s">
        <v>869</v>
      </c>
      <c r="DC293" s="750" t="e">
        <f>273971*DC289^0.5617</f>
        <v>#DIV/0!</v>
      </c>
      <c r="EA293" t="s">
        <v>869</v>
      </c>
      <c r="EC293" s="750" t="e">
        <f>273971*EC289^0.5617</f>
        <v>#DIV/0!</v>
      </c>
      <c r="FA293" t="s">
        <v>869</v>
      </c>
      <c r="FC293" s="750" t="e">
        <f>273971*FC289^0.5617</f>
        <v>#DIV/0!</v>
      </c>
    </row>
    <row r="294" spans="27:164">
      <c r="AC294" s="750" t="e">
        <f>AC293*'Unit Ops'!$G$133/'Unit Ops'!$V$133</f>
        <v>#DIV/0!</v>
      </c>
      <c r="BC294" s="750" t="e">
        <f>BC293*'Unit Ops'!$G$133/'Unit Ops'!$V$133</f>
        <v>#DIV/0!</v>
      </c>
      <c r="CC294" s="750" t="e">
        <f>CC293*'Unit Ops'!$G$133/'Unit Ops'!$V$133</f>
        <v>#DIV/0!</v>
      </c>
      <c r="DC294" s="750" t="e">
        <f>DC293*'Unit Ops'!$G$133/'Unit Ops'!$V$133</f>
        <v>#DIV/0!</v>
      </c>
      <c r="EC294" s="750" t="e">
        <f>EC293*'Unit Ops'!$G$133/'Unit Ops'!$V$133</f>
        <v>#DIV/0!</v>
      </c>
      <c r="EE294" s="905" t="s">
        <v>1430</v>
      </c>
      <c r="FC294" s="750" t="e">
        <f>FC293*'Unit Ops'!$G$133/'Unit Ops'!$V$133</f>
        <v>#DIV/0!</v>
      </c>
    </row>
    <row r="295" spans="27:164">
      <c r="AC295" s="740"/>
      <c r="BC295" s="740"/>
      <c r="CC295" s="740"/>
      <c r="DC295" s="740"/>
      <c r="EC295" s="740"/>
      <c r="FC295" s="740"/>
    </row>
    <row r="296" spans="27:164">
      <c r="AA296" s="742" t="s">
        <v>870</v>
      </c>
      <c r="AB296" s="742"/>
      <c r="AC296" s="740"/>
      <c r="BA296" s="742" t="s">
        <v>870</v>
      </c>
      <c r="BB296" s="742"/>
      <c r="BC296" s="740"/>
      <c r="CA296" s="742" t="s">
        <v>870</v>
      </c>
      <c r="CB296" s="742"/>
      <c r="CC296" s="740"/>
      <c r="DA296" s="742" t="s">
        <v>870</v>
      </c>
      <c r="DB296" s="742"/>
      <c r="DC296" s="740"/>
      <c r="EA296" s="742" t="s">
        <v>870</v>
      </c>
      <c r="EB296" s="742"/>
      <c r="EC296" s="740"/>
      <c r="FA296" s="742" t="s">
        <v>870</v>
      </c>
      <c r="FB296" s="742"/>
      <c r="FC296" s="740"/>
    </row>
    <row r="297" spans="27:164" ht="16">
      <c r="AA297" t="s">
        <v>871</v>
      </c>
      <c r="AC297" s="778">
        <v>1.05</v>
      </c>
      <c r="BA297" t="s">
        <v>871</v>
      </c>
      <c r="BC297" s="778">
        <v>1.05</v>
      </c>
      <c r="CA297" t="s">
        <v>871</v>
      </c>
      <c r="CC297" s="778">
        <v>1.05</v>
      </c>
      <c r="DA297" t="s">
        <v>871</v>
      </c>
      <c r="DC297" s="778">
        <v>1.05</v>
      </c>
      <c r="EA297" s="881" t="s">
        <v>1052</v>
      </c>
      <c r="EC297" s="778">
        <v>1.05</v>
      </c>
      <c r="FA297" t="s">
        <v>1350</v>
      </c>
      <c r="FC297" s="778">
        <v>1</v>
      </c>
    </row>
    <row r="298" spans="27:164" ht="16">
      <c r="AA298" t="s">
        <v>343</v>
      </c>
      <c r="AC298" s="10" t="e">
        <f>AC297*(AC260/2)</f>
        <v>#DIV/0!</v>
      </c>
      <c r="AD298" t="s">
        <v>736</v>
      </c>
      <c r="BA298" t="s">
        <v>343</v>
      </c>
      <c r="BC298" s="10" t="e">
        <f>BC297*(BC260/2)</f>
        <v>#DIV/0!</v>
      </c>
      <c r="BD298" t="s">
        <v>736</v>
      </c>
      <c r="CA298" t="s">
        <v>343</v>
      </c>
      <c r="CC298" s="10" t="e">
        <f>CC297*(CC260/2)</f>
        <v>#DIV/0!</v>
      </c>
      <c r="CD298" t="s">
        <v>736</v>
      </c>
      <c r="DA298" t="s">
        <v>343</v>
      </c>
      <c r="DC298" s="10" t="e">
        <f>DC297*(DC260/2)</f>
        <v>#DIV/0!</v>
      </c>
      <c r="DD298" t="s">
        <v>736</v>
      </c>
      <c r="EA298" t="s">
        <v>343</v>
      </c>
      <c r="EC298" s="1042" t="e">
        <f>EC297*(EC257+EC258*2+EC259)/2</f>
        <v>#DIV/0!</v>
      </c>
      <c r="ED298" t="s">
        <v>736</v>
      </c>
      <c r="FA298" t="s">
        <v>343</v>
      </c>
      <c r="FC298" s="10" t="e">
        <f>FC297*(FC113/2)</f>
        <v>#DIV/0!</v>
      </c>
      <c r="FD298" t="s">
        <v>736</v>
      </c>
    </row>
    <row r="299" spans="27:164">
      <c r="AC299" s="10" t="e">
        <f>AC298*(2*6.94+12+3*16)/1000</f>
        <v>#DIV/0!</v>
      </c>
      <c r="AD299" t="s">
        <v>576</v>
      </c>
      <c r="BC299" s="10" t="e">
        <f>BC298*(2*6.94+12+3*16)/1000</f>
        <v>#DIV/0!</v>
      </c>
      <c r="BD299" t="s">
        <v>576</v>
      </c>
      <c r="CC299" s="10" t="e">
        <f>CC298*(2*6.94+12+3*16)/1000</f>
        <v>#DIV/0!</v>
      </c>
      <c r="CD299" t="s">
        <v>576</v>
      </c>
      <c r="DC299" s="10" t="e">
        <f>DC298*(2*6.94+12+3*16)/1000</f>
        <v>#DIV/0!</v>
      </c>
      <c r="DD299" t="s">
        <v>576</v>
      </c>
      <c r="EC299" s="10" t="e">
        <f>EC298*(2*6.94+12+3*16)/1000</f>
        <v>#DIV/0!</v>
      </c>
      <c r="ED299" t="s">
        <v>576</v>
      </c>
      <c r="FC299" s="10" t="e">
        <f>FC298*(2*6.94+12+3*16)/1000</f>
        <v>#DIV/0!</v>
      </c>
      <c r="FD299" t="s">
        <v>576</v>
      </c>
    </row>
    <row r="300" spans="27:164" ht="16.5">
      <c r="AA300" t="s">
        <v>872</v>
      </c>
      <c r="AC300" s="907" t="e">
        <f>( (AC257*(58.69+12+3*16)/Materials!$F$228 + AC258*(54.94+12+3*16)/Materials!$F$229 + AC259*(58.93+12+3*16)/Materials!$F$230 + AC298*(2*6.94+12+3*16)/Materials!$F$233)*(1+AC254)/1000000 )/24</f>
        <v>#DIV/0!</v>
      </c>
      <c r="AD300" t="s">
        <v>827</v>
      </c>
      <c r="BA300" t="s">
        <v>872</v>
      </c>
      <c r="BC300" s="907" t="e">
        <f>( (BC257*(58.69+12+3*16)/Materials!$F$228 + BC258*(54.94+12+3*16)/Materials!$F$229 + BC259*(58.93+12+3*16)/Materials!$F$230 + BC298*(2*6.94+12+3*16)/Materials!$F$233)*(1+BC254)/1000000 )/24</f>
        <v>#DIV/0!</v>
      </c>
      <c r="BD300" t="s">
        <v>827</v>
      </c>
      <c r="CA300" t="s">
        <v>872</v>
      </c>
      <c r="CC300" s="907" t="e">
        <f>( (CC257*(58.69+12+3*16)/Materials!$F$228 + CC258*(54.94+12+3*16)/Materials!$F$229 + CC259*(58.93+12+3*16)/Materials!$F$230 + CC298*(2*6.94+12+3*16)/Materials!$F$233)*(1+CC254)/1000000 )/24</f>
        <v>#DIV/0!</v>
      </c>
      <c r="CD300" t="s">
        <v>827</v>
      </c>
      <c r="DA300" t="s">
        <v>872</v>
      </c>
      <c r="DC300" s="907" t="e">
        <f>( (DC257*(58.69+12+3*16)/Materials!$F$228 + DC258*(54.94+12+3*16)/Materials!$F$229 + DC259*(58.93+12+3*16)/Materials!$F$230 + DC298*(2*6.94+12+3*16)/Materials!$F$233)*(1+DC254)/1000000 )/24</f>
        <v>#DIV/0!</v>
      </c>
      <c r="DD300" t="s">
        <v>827</v>
      </c>
      <c r="EA300" t="s">
        <v>872</v>
      </c>
      <c r="EC300" s="908" t="e">
        <f>( (EC257*(58.69+12+3*16)/Materials!$F$228 + EC258*(26.98*2+3*60)/Materials!$F$231 + EC259*(58.93+12+3*16)/Materials!$F$230 + EC298*(2*6.94+12+3*16)/Materials!$F$233)*(1+EC254)/1000000 )/24</f>
        <v>#DIV/0!</v>
      </c>
      <c r="ED300" t="s">
        <v>827</v>
      </c>
      <c r="FA300" t="s">
        <v>872</v>
      </c>
      <c r="FC300" s="907" t="e">
        <f>( (FG289/FH289*FC110/Materials!$F$241 + FC298*(2*6.94+12+3*16)/1000/Materials!$F$233)*(1+10%)/1000)/24</f>
        <v>#DIV/0!</v>
      </c>
      <c r="FD300" t="s">
        <v>827</v>
      </c>
      <c r="FE300" s="905" t="s">
        <v>1351</v>
      </c>
    </row>
    <row r="301" spans="27:164">
      <c r="AA301" t="s">
        <v>873</v>
      </c>
      <c r="AC301" s="751">
        <v>24</v>
      </c>
      <c r="AD301" t="s">
        <v>874</v>
      </c>
      <c r="BA301" t="s">
        <v>873</v>
      </c>
      <c r="BC301" s="751">
        <v>24</v>
      </c>
      <c r="BD301" t="s">
        <v>874</v>
      </c>
      <c r="CA301" t="s">
        <v>873</v>
      </c>
      <c r="CC301" s="751">
        <v>24</v>
      </c>
      <c r="CD301" t="s">
        <v>874</v>
      </c>
      <c r="DA301" t="s">
        <v>873</v>
      </c>
      <c r="DC301" s="751">
        <v>24</v>
      </c>
      <c r="DD301" t="s">
        <v>874</v>
      </c>
      <c r="EA301" t="s">
        <v>873</v>
      </c>
      <c r="EC301" s="751">
        <v>24</v>
      </c>
      <c r="ED301" t="s">
        <v>874</v>
      </c>
      <c r="FA301" t="s">
        <v>873</v>
      </c>
      <c r="FC301" s="751">
        <v>24</v>
      </c>
      <c r="FD301" t="s">
        <v>874</v>
      </c>
    </row>
    <row r="302" spans="27:164">
      <c r="AA302" t="s">
        <v>875</v>
      </c>
      <c r="AC302" s="749">
        <v>0.5</v>
      </c>
      <c r="BA302" t="s">
        <v>875</v>
      </c>
      <c r="BC302" s="749">
        <v>0.5</v>
      </c>
      <c r="CA302" t="s">
        <v>875</v>
      </c>
      <c r="CC302" s="749">
        <v>0.5</v>
      </c>
      <c r="DA302" t="s">
        <v>875</v>
      </c>
      <c r="DC302" s="749">
        <v>0.5</v>
      </c>
      <c r="EA302" t="s">
        <v>875</v>
      </c>
      <c r="EC302" s="749">
        <v>0.5</v>
      </c>
      <c r="FA302" t="s">
        <v>875</v>
      </c>
      <c r="FC302" s="749">
        <v>0.5</v>
      </c>
    </row>
    <row r="303" spans="27:164" ht="16.5">
      <c r="AA303" t="s">
        <v>876</v>
      </c>
      <c r="AC303" s="746" t="e">
        <f>AC300*AC301/AC302</f>
        <v>#DIV/0!</v>
      </c>
      <c r="AD303" t="s">
        <v>763</v>
      </c>
      <c r="BA303" t="s">
        <v>876</v>
      </c>
      <c r="BC303" s="746" t="e">
        <f>BC300*BC301/BC302</f>
        <v>#DIV/0!</v>
      </c>
      <c r="BD303" t="s">
        <v>763</v>
      </c>
      <c r="CA303" t="s">
        <v>876</v>
      </c>
      <c r="CC303" s="746" t="e">
        <f>CC300*CC301/CC302</f>
        <v>#DIV/0!</v>
      </c>
      <c r="CD303" t="s">
        <v>763</v>
      </c>
      <c r="DA303" t="s">
        <v>876</v>
      </c>
      <c r="DC303" s="746" t="e">
        <f>DC300*DC301/DC302</f>
        <v>#DIV/0!</v>
      </c>
      <c r="DD303" t="s">
        <v>763</v>
      </c>
      <c r="EA303" t="s">
        <v>876</v>
      </c>
      <c r="EC303" s="746" t="e">
        <f>EC300*EC301/EC302</f>
        <v>#DIV/0!</v>
      </c>
      <c r="ED303" t="s">
        <v>763</v>
      </c>
      <c r="FA303" t="s">
        <v>876</v>
      </c>
      <c r="FC303" s="746" t="e">
        <f>FC300*FC301/FC302</f>
        <v>#DIV/0!</v>
      </c>
      <c r="FD303" t="s">
        <v>763</v>
      </c>
    </row>
    <row r="304" spans="27:164" ht="16.5">
      <c r="AA304" t="s">
        <v>877</v>
      </c>
      <c r="AC304" s="751">
        <v>5</v>
      </c>
      <c r="AD304" t="s">
        <v>767</v>
      </c>
      <c r="BA304" t="s">
        <v>877</v>
      </c>
      <c r="BC304" s="751">
        <v>5</v>
      </c>
      <c r="BD304" t="s">
        <v>767</v>
      </c>
      <c r="CA304" t="s">
        <v>877</v>
      </c>
      <c r="CC304" s="751">
        <v>5</v>
      </c>
      <c r="CD304" t="s">
        <v>767</v>
      </c>
      <c r="DA304" t="s">
        <v>877</v>
      </c>
      <c r="DC304" s="751">
        <v>5</v>
      </c>
      <c r="DD304" t="s">
        <v>767</v>
      </c>
      <c r="EA304" t="s">
        <v>877</v>
      </c>
      <c r="EC304" s="751">
        <v>5</v>
      </c>
      <c r="ED304" t="s">
        <v>767</v>
      </c>
      <c r="FA304" t="s">
        <v>877</v>
      </c>
      <c r="FC304" s="751">
        <v>5</v>
      </c>
      <c r="FD304" t="s">
        <v>767</v>
      </c>
    </row>
    <row r="305" spans="27:160">
      <c r="AA305" t="s">
        <v>868</v>
      </c>
      <c r="AC305" s="754" t="e">
        <f>AC304*AC303</f>
        <v>#DIV/0!</v>
      </c>
      <c r="AD305" t="s">
        <v>454</v>
      </c>
      <c r="BA305" t="s">
        <v>868</v>
      </c>
      <c r="BC305" s="754" t="e">
        <f>BC304*BC303</f>
        <v>#DIV/0!</v>
      </c>
      <c r="BD305" t="s">
        <v>454</v>
      </c>
      <c r="CA305" t="s">
        <v>868</v>
      </c>
      <c r="CC305" s="754" t="e">
        <f>CC304*CC303</f>
        <v>#DIV/0!</v>
      </c>
      <c r="CD305" t="s">
        <v>454</v>
      </c>
      <c r="DA305" t="s">
        <v>868</v>
      </c>
      <c r="DC305" s="754" t="e">
        <f>DC304*DC303</f>
        <v>#DIV/0!</v>
      </c>
      <c r="DD305" t="s">
        <v>454</v>
      </c>
      <c r="EA305" t="s">
        <v>868</v>
      </c>
      <c r="EC305" s="754" t="e">
        <f>EC304*EC303</f>
        <v>#DIV/0!</v>
      </c>
      <c r="ED305" t="s">
        <v>454</v>
      </c>
      <c r="FA305" t="s">
        <v>868</v>
      </c>
      <c r="FC305" s="754" t="e">
        <f>FC304*FC303</f>
        <v>#DIV/0!</v>
      </c>
      <c r="FD305" t="s">
        <v>454</v>
      </c>
    </row>
    <row r="306" spans="27:160">
      <c r="AA306" t="s">
        <v>878</v>
      </c>
      <c r="AC306" s="750" t="e">
        <f>2380.5*AC303 + 10263</f>
        <v>#DIV/0!</v>
      </c>
      <c r="BA306" t="s">
        <v>878</v>
      </c>
      <c r="BC306" s="750" t="e">
        <f>2380.5*BC303 + 10263</f>
        <v>#DIV/0!</v>
      </c>
      <c r="CA306" t="s">
        <v>878</v>
      </c>
      <c r="CC306" s="750" t="e">
        <f>2380.5*CC303 + 10263</f>
        <v>#DIV/0!</v>
      </c>
      <c r="DA306" t="s">
        <v>878</v>
      </c>
      <c r="DC306" s="750" t="e">
        <f>2380.5*DC303 + 10263</f>
        <v>#DIV/0!</v>
      </c>
      <c r="EA306" t="s">
        <v>878</v>
      </c>
      <c r="EC306" s="750" t="e">
        <f>2380.5*EC303 + 10263</f>
        <v>#DIV/0!</v>
      </c>
      <c r="FA306" t="s">
        <v>878</v>
      </c>
      <c r="FC306" s="750" t="e">
        <f>2380.5*FC303 + 10263</f>
        <v>#DIV/0!</v>
      </c>
    </row>
    <row r="307" spans="27:160">
      <c r="AC307" s="750" t="e">
        <f>AC306*'Unit Ops'!$G$133/'Unit Ops'!$V$133</f>
        <v>#DIV/0!</v>
      </c>
      <c r="BC307" s="750" t="e">
        <f>BC306*'Unit Ops'!$G$133/'Unit Ops'!$V$133</f>
        <v>#DIV/0!</v>
      </c>
      <c r="CC307" s="750" t="e">
        <f>CC306*'Unit Ops'!$G$133/'Unit Ops'!$V$133</f>
        <v>#DIV/0!</v>
      </c>
      <c r="DC307" s="750" t="e">
        <f>DC306*'Unit Ops'!$G$133/'Unit Ops'!$V$133</f>
        <v>#DIV/0!</v>
      </c>
      <c r="EC307" s="750" t="e">
        <f>EC306*'Unit Ops'!$G$133/'Unit Ops'!$V$133</f>
        <v>#DIV/0!</v>
      </c>
      <c r="EE307" s="905" t="s">
        <v>1430</v>
      </c>
      <c r="FC307" s="750" t="e">
        <f>FC306*'Unit Ops'!$G$133/'Unit Ops'!$V$133</f>
        <v>#DIV/0!</v>
      </c>
    </row>
    <row r="308" spans="27:160">
      <c r="AC308" s="740"/>
      <c r="BC308" s="740"/>
      <c r="CC308" s="740"/>
      <c r="DC308" s="740"/>
      <c r="EC308" s="740"/>
      <c r="FC308" s="740"/>
    </row>
    <row r="309" spans="27:160">
      <c r="AA309" s="742" t="s">
        <v>879</v>
      </c>
      <c r="AB309" s="742"/>
      <c r="BA309" s="742" t="s">
        <v>879</v>
      </c>
      <c r="BB309" s="742"/>
      <c r="CA309" s="742" t="s">
        <v>879</v>
      </c>
      <c r="CB309" s="742"/>
      <c r="DA309" s="742" t="s">
        <v>879</v>
      </c>
      <c r="DB309" s="742"/>
      <c r="EA309" s="742" t="s">
        <v>879</v>
      </c>
      <c r="EB309" s="742"/>
      <c r="FA309" s="742" t="s">
        <v>879</v>
      </c>
      <c r="FB309" s="742"/>
    </row>
    <row r="310" spans="27:160">
      <c r="AA310" t="s">
        <v>347</v>
      </c>
      <c r="BA310" t="s">
        <v>347</v>
      </c>
      <c r="CA310" t="s">
        <v>347</v>
      </c>
      <c r="DA310" t="s">
        <v>347</v>
      </c>
      <c r="EA310" t="s">
        <v>347</v>
      </c>
      <c r="FA310" t="s">
        <v>347</v>
      </c>
    </row>
    <row r="311" spans="27:160" ht="16">
      <c r="AA311" t="s">
        <v>880</v>
      </c>
      <c r="AB311" s="10"/>
      <c r="AC311" s="10" t="e">
        <f>AC257+AC258+AC259</f>
        <v>#DIV/0!</v>
      </c>
      <c r="AD311" t="s">
        <v>736</v>
      </c>
      <c r="BA311" t="s">
        <v>880</v>
      </c>
      <c r="BB311" s="10"/>
      <c r="BC311" s="10" t="e">
        <f>BC257+BC258+BC259</f>
        <v>#DIV/0!</v>
      </c>
      <c r="BD311" t="s">
        <v>736</v>
      </c>
      <c r="CA311" t="s">
        <v>880</v>
      </c>
      <c r="CB311" s="10"/>
      <c r="CC311" s="10" t="e">
        <f>CC257+CC258+CC259</f>
        <v>#DIV/0!</v>
      </c>
      <c r="CD311" t="s">
        <v>736</v>
      </c>
      <c r="DA311" t="s">
        <v>880</v>
      </c>
      <c r="DB311" s="10"/>
      <c r="DC311" s="10" t="e">
        <f>DC257+DC258+DC259</f>
        <v>#DIV/0!</v>
      </c>
      <c r="DD311" t="s">
        <v>736</v>
      </c>
      <c r="EA311" s="881" t="s">
        <v>1053</v>
      </c>
      <c r="EB311" s="10"/>
      <c r="EC311" s="882" t="e">
        <f>EC257/0.8</f>
        <v>#DIV/0!</v>
      </c>
      <c r="ED311" t="s">
        <v>736</v>
      </c>
      <c r="FA311" t="s">
        <v>445</v>
      </c>
      <c r="FB311" s="10"/>
      <c r="FC311" s="10" t="e">
        <f>FC113</f>
        <v>#DIV/0!</v>
      </c>
      <c r="FD311" t="s">
        <v>736</v>
      </c>
    </row>
    <row r="312" spans="27:160">
      <c r="AC312" s="10" t="e">
        <f>AC311*AC112/1000</f>
        <v>#DIV/0!</v>
      </c>
      <c r="AD312" t="s">
        <v>576</v>
      </c>
      <c r="BC312" s="10" t="e">
        <f>BC311*BC112/1000</f>
        <v>#DIV/0!</v>
      </c>
      <c r="BD312" t="s">
        <v>576</v>
      </c>
      <c r="CC312" s="10" t="e">
        <f>CC311*CC112/1000</f>
        <v>#DIV/0!</v>
      </c>
      <c r="CD312" t="s">
        <v>576</v>
      </c>
      <c r="DC312" s="10" t="e">
        <f>DC311*DC112/1000</f>
        <v>#DIV/0!</v>
      </c>
      <c r="DD312" t="s">
        <v>576</v>
      </c>
      <c r="EC312" s="10" t="e">
        <f>EC311*EC112/1000</f>
        <v>#DIV/0!</v>
      </c>
      <c r="ED312" t="s">
        <v>576</v>
      </c>
      <c r="FC312" s="10" t="e">
        <f>FC311*FC112/1000</f>
        <v>#DIV/0!</v>
      </c>
      <c r="FD312" t="s">
        <v>576</v>
      </c>
    </row>
    <row r="314" spans="27:160">
      <c r="AA314" t="s">
        <v>881</v>
      </c>
      <c r="BA314" t="s">
        <v>881</v>
      </c>
      <c r="CA314" t="s">
        <v>881</v>
      </c>
      <c r="DA314" t="s">
        <v>881</v>
      </c>
      <c r="EA314" t="s">
        <v>881</v>
      </c>
      <c r="FA314" t="s">
        <v>881</v>
      </c>
    </row>
    <row r="315" spans="27:160" ht="16">
      <c r="AA315" t="s">
        <v>882</v>
      </c>
      <c r="AC315" s="10" t="e">
        <f>AC311+AC298</f>
        <v>#DIV/0!</v>
      </c>
      <c r="AD315" t="s">
        <v>736</v>
      </c>
      <c r="BA315" t="s">
        <v>882</v>
      </c>
      <c r="BC315" s="10" t="e">
        <f>BC311+BC298</f>
        <v>#DIV/0!</v>
      </c>
      <c r="BD315" t="s">
        <v>736</v>
      </c>
      <c r="CA315" t="s">
        <v>882</v>
      </c>
      <c r="CC315" s="10" t="e">
        <f>CC311+CC298</f>
        <v>#DIV/0!</v>
      </c>
      <c r="CD315" t="s">
        <v>736</v>
      </c>
      <c r="DA315" t="s">
        <v>882</v>
      </c>
      <c r="DC315" s="10" t="e">
        <f>DC311+DC298</f>
        <v>#DIV/0!</v>
      </c>
      <c r="DD315" t="s">
        <v>736</v>
      </c>
      <c r="EA315" t="s">
        <v>882</v>
      </c>
      <c r="EC315" s="882" t="e">
        <f>EC257+EC258*3+EC259+EC298</f>
        <v>#DIV/0!</v>
      </c>
      <c r="ED315" t="s">
        <v>736</v>
      </c>
      <c r="FA315" t="s">
        <v>882</v>
      </c>
      <c r="FC315" s="10" t="e">
        <f>FC298</f>
        <v>#DIV/0!</v>
      </c>
      <c r="FD315" t="s">
        <v>736</v>
      </c>
    </row>
    <row r="316" spans="27:160" ht="16">
      <c r="AA316" t="s">
        <v>751</v>
      </c>
      <c r="AC316" s="10" t="e">
        <f>AC197</f>
        <v>#DIV/0!</v>
      </c>
      <c r="AD316" t="s">
        <v>736</v>
      </c>
      <c r="BA316" t="s">
        <v>751</v>
      </c>
      <c r="BC316" s="10" t="e">
        <f>BC197</f>
        <v>#DIV/0!</v>
      </c>
      <c r="BD316" t="s">
        <v>736</v>
      </c>
      <c r="CA316" t="s">
        <v>751</v>
      </c>
      <c r="CC316" s="10" t="e">
        <f>CC197</f>
        <v>#DIV/0!</v>
      </c>
      <c r="CD316" t="s">
        <v>736</v>
      </c>
      <c r="DA316" t="s">
        <v>751</v>
      </c>
      <c r="DC316" s="10" t="e">
        <f>DC197</f>
        <v>#DIV/0!</v>
      </c>
      <c r="DD316" t="s">
        <v>736</v>
      </c>
      <c r="EA316" t="s">
        <v>751</v>
      </c>
      <c r="EC316" s="10" t="e">
        <f>EC197</f>
        <v>#DIV/0!</v>
      </c>
      <c r="ED316" t="s">
        <v>736</v>
      </c>
      <c r="FA316" s="1185" t="s">
        <v>1316</v>
      </c>
      <c r="FB316" s="1185"/>
      <c r="FC316" s="1186">
        <f>FC197</f>
        <v>0</v>
      </c>
      <c r="FD316" s="1185" t="s">
        <v>736</v>
      </c>
    </row>
    <row r="317" spans="27:160" ht="16">
      <c r="AA317" t="s">
        <v>752</v>
      </c>
      <c r="AC317" s="10" t="e">
        <f>AC198</f>
        <v>#DIV/0!</v>
      </c>
      <c r="AD317" t="s">
        <v>736</v>
      </c>
      <c r="BA317" t="s">
        <v>752</v>
      </c>
      <c r="BC317" s="10" t="e">
        <f>BC198</f>
        <v>#DIV/0!</v>
      </c>
      <c r="BD317" t="s">
        <v>736</v>
      </c>
      <c r="CA317" t="s">
        <v>752</v>
      </c>
      <c r="CC317" s="10" t="e">
        <f>CC198</f>
        <v>#DIV/0!</v>
      </c>
      <c r="CD317" t="s">
        <v>736</v>
      </c>
      <c r="DA317" t="s">
        <v>752</v>
      </c>
      <c r="DC317" s="10" t="e">
        <f>DC198</f>
        <v>#DIV/0!</v>
      </c>
      <c r="DD317" t="s">
        <v>736</v>
      </c>
      <c r="EA317" s="881" t="s">
        <v>1038</v>
      </c>
      <c r="EC317" s="10" t="e">
        <f>EC198</f>
        <v>#DIV/0!</v>
      </c>
      <c r="ED317" t="s">
        <v>736</v>
      </c>
      <c r="FA317" s="1185" t="s">
        <v>1317</v>
      </c>
      <c r="FB317" s="1185"/>
      <c r="FC317" s="1186">
        <f>FC198</f>
        <v>0</v>
      </c>
      <c r="FD317" s="1185" t="s">
        <v>736</v>
      </c>
    </row>
    <row r="318" spans="27:160" ht="16">
      <c r="AA318" t="s">
        <v>753</v>
      </c>
      <c r="AC318" s="10" t="e">
        <f>AC199</f>
        <v>#DIV/0!</v>
      </c>
      <c r="AD318" t="s">
        <v>736</v>
      </c>
      <c r="BA318" t="s">
        <v>753</v>
      </c>
      <c r="BC318" s="10" t="e">
        <f>BC199</f>
        <v>#DIV/0!</v>
      </c>
      <c r="BD318" t="s">
        <v>736</v>
      </c>
      <c r="CA318" t="s">
        <v>753</v>
      </c>
      <c r="CC318" s="10" t="e">
        <f>CC199</f>
        <v>#DIV/0!</v>
      </c>
      <c r="CD318" t="s">
        <v>736</v>
      </c>
      <c r="DA318" t="s">
        <v>753</v>
      </c>
      <c r="DC318" s="10" t="e">
        <f>DC199</f>
        <v>#DIV/0!</v>
      </c>
      <c r="DD318" t="s">
        <v>736</v>
      </c>
      <c r="EA318" t="s">
        <v>753</v>
      </c>
      <c r="EC318" s="10" t="e">
        <f>EC199</f>
        <v>#DIV/0!</v>
      </c>
      <c r="ED318" t="s">
        <v>736</v>
      </c>
      <c r="FA318" s="1185" t="s">
        <v>1318</v>
      </c>
      <c r="FB318" s="1185"/>
      <c r="FC318" s="1186">
        <f>FC199</f>
        <v>0</v>
      </c>
      <c r="FD318" s="1185" t="s">
        <v>736</v>
      </c>
    </row>
    <row r="319" spans="27:160" ht="16">
      <c r="AA319" t="s">
        <v>800</v>
      </c>
      <c r="AC319" s="10" t="e">
        <f ca="1">AC202</f>
        <v>#DIV/0!</v>
      </c>
      <c r="AD319" t="s">
        <v>736</v>
      </c>
      <c r="BA319" t="s">
        <v>800</v>
      </c>
      <c r="BC319" s="10" t="e">
        <f ca="1">BC202</f>
        <v>#DIV/0!</v>
      </c>
      <c r="BD319" t="s">
        <v>736</v>
      </c>
      <c r="CA319" t="s">
        <v>800</v>
      </c>
      <c r="CC319" s="10" t="e">
        <f ca="1">CC202</f>
        <v>#DIV/0!</v>
      </c>
      <c r="CD319" t="s">
        <v>736</v>
      </c>
      <c r="DA319" t="s">
        <v>800</v>
      </c>
      <c r="DC319" s="10" t="e">
        <f ca="1">DC202</f>
        <v>#DIV/0!</v>
      </c>
      <c r="DD319" t="s">
        <v>736</v>
      </c>
      <c r="EA319" t="s">
        <v>800</v>
      </c>
      <c r="EC319" s="10" t="e">
        <f ca="1">EC202</f>
        <v>#DIV/0!</v>
      </c>
      <c r="ED319" t="s">
        <v>736</v>
      </c>
      <c r="FA319" s="1185" t="s">
        <v>1338</v>
      </c>
      <c r="FB319" s="1185"/>
      <c r="FC319" s="1186">
        <f>FC202</f>
        <v>0</v>
      </c>
      <c r="FD319" s="1185" t="s">
        <v>736</v>
      </c>
    </row>
    <row r="320" spans="27:160" ht="16">
      <c r="AA320" t="s">
        <v>883</v>
      </c>
      <c r="AC320" s="10" t="e">
        <f>AC191*(1-AC251)+AC257*AC254</f>
        <v>#DIV/0!</v>
      </c>
      <c r="AD320" t="s">
        <v>736</v>
      </c>
      <c r="BA320" t="s">
        <v>883</v>
      </c>
      <c r="BC320" s="10" t="e">
        <f>BC191*(1-BC251)+BC257*BC254</f>
        <v>#DIV/0!</v>
      </c>
      <c r="BD320" t="s">
        <v>736</v>
      </c>
      <c r="CA320" t="s">
        <v>883</v>
      </c>
      <c r="CC320" s="10" t="e">
        <f>CC191*(1-CC251)+CC257*CC254</f>
        <v>#DIV/0!</v>
      </c>
      <c r="CD320" t="s">
        <v>736</v>
      </c>
      <c r="DA320" t="s">
        <v>883</v>
      </c>
      <c r="DC320" s="10" t="e">
        <f>DC191*(1-DC251)+DC257*DC254</f>
        <v>#DIV/0!</v>
      </c>
      <c r="DD320" t="s">
        <v>736</v>
      </c>
      <c r="EA320" t="s">
        <v>883</v>
      </c>
      <c r="EC320" s="10" t="e">
        <f>EC191*(1-EC251)+EC257*EC254</f>
        <v>#DIV/0!</v>
      </c>
      <c r="ED320" t="s">
        <v>736</v>
      </c>
      <c r="FA320" s="1185" t="s">
        <v>1353</v>
      </c>
      <c r="FB320" s="1185"/>
      <c r="FC320" s="1186">
        <f>FC191*(1-FC251)+FC257*FC254</f>
        <v>0</v>
      </c>
      <c r="FD320" s="1185" t="s">
        <v>736</v>
      </c>
    </row>
    <row r="321" spans="27:160" ht="16">
      <c r="AA321" t="s">
        <v>884</v>
      </c>
      <c r="AC321" s="10" t="e">
        <f>AC193*(1-AC252)+AC258*AC254</f>
        <v>#DIV/0!</v>
      </c>
      <c r="AD321" t="s">
        <v>736</v>
      </c>
      <c r="BA321" t="s">
        <v>884</v>
      </c>
      <c r="BC321" s="10" t="e">
        <f>BC193*(1-BC252)+BC258*BC254</f>
        <v>#DIV/0!</v>
      </c>
      <c r="BD321" t="s">
        <v>736</v>
      </c>
      <c r="CA321" t="s">
        <v>884</v>
      </c>
      <c r="CC321" s="10" t="e">
        <f>CC193*(1-CC252)+CC258*CC254</f>
        <v>#DIV/0!</v>
      </c>
      <c r="CD321" t="s">
        <v>736</v>
      </c>
      <c r="DA321" t="s">
        <v>884</v>
      </c>
      <c r="DC321" s="10" t="e">
        <f>DC193*(1-DC252)+DC258*DC254</f>
        <v>#DIV/0!</v>
      </c>
      <c r="DD321" t="s">
        <v>736</v>
      </c>
      <c r="EA321" s="881" t="s">
        <v>1055</v>
      </c>
      <c r="EC321" s="10" t="e">
        <f>EC193*(1-EC252)+EC258*EC254</f>
        <v>#DIV/0!</v>
      </c>
      <c r="ED321" t="s">
        <v>736</v>
      </c>
      <c r="FA321" s="1185" t="s">
        <v>1354</v>
      </c>
      <c r="FB321" s="1185"/>
      <c r="FC321" s="1186">
        <f>FC193*(1-FC252)+FC258*FC254</f>
        <v>0</v>
      </c>
      <c r="FD321" s="1185" t="s">
        <v>736</v>
      </c>
    </row>
    <row r="322" spans="27:160" ht="16">
      <c r="AA322" t="s">
        <v>885</v>
      </c>
      <c r="AC322" s="10" t="e">
        <f>AC195*(1-AC253)+AC259*AC254</f>
        <v>#DIV/0!</v>
      </c>
      <c r="AD322" t="s">
        <v>736</v>
      </c>
      <c r="BA322" t="s">
        <v>885</v>
      </c>
      <c r="BC322" s="10" t="e">
        <f>BC195*(1-BC253)+BC259*BC254</f>
        <v>#DIV/0!</v>
      </c>
      <c r="BD322" t="s">
        <v>736</v>
      </c>
      <c r="CA322" t="s">
        <v>885</v>
      </c>
      <c r="CC322" s="10" t="e">
        <f>CC195*(1-CC253)+CC259*CC254</f>
        <v>#DIV/0!</v>
      </c>
      <c r="CD322" t="s">
        <v>736</v>
      </c>
      <c r="DA322" t="s">
        <v>885</v>
      </c>
      <c r="DC322" s="10" t="e">
        <f>DC195*(1-DC253)+DC259*DC254</f>
        <v>#DIV/0!</v>
      </c>
      <c r="DD322" t="s">
        <v>736</v>
      </c>
      <c r="EA322" t="s">
        <v>885</v>
      </c>
      <c r="EC322" s="10" t="e">
        <f>EC195*(1-EC253)+EC259*EC254</f>
        <v>#DIV/0!</v>
      </c>
      <c r="ED322" t="s">
        <v>736</v>
      </c>
      <c r="FA322" s="1185" t="s">
        <v>1355</v>
      </c>
      <c r="FB322" s="1185"/>
      <c r="FC322" s="1186">
        <f>FC195*(1-FC253)+FC259*FC254</f>
        <v>0</v>
      </c>
      <c r="FD322" s="1185" t="s">
        <v>736</v>
      </c>
    </row>
    <row r="324" spans="27:160">
      <c r="AA324" t="s">
        <v>886</v>
      </c>
      <c r="AC324" s="736">
        <v>950</v>
      </c>
      <c r="AD324" t="s">
        <v>805</v>
      </c>
      <c r="BA324" t="s">
        <v>886</v>
      </c>
      <c r="BC324" s="736">
        <v>950</v>
      </c>
      <c r="BD324" t="s">
        <v>805</v>
      </c>
      <c r="CA324" t="s">
        <v>886</v>
      </c>
      <c r="CC324" s="736">
        <v>950</v>
      </c>
      <c r="CD324" t="s">
        <v>805</v>
      </c>
      <c r="DA324" t="s">
        <v>886</v>
      </c>
      <c r="DC324" s="736">
        <v>950</v>
      </c>
      <c r="DD324" t="s">
        <v>805</v>
      </c>
      <c r="EA324" t="s">
        <v>886</v>
      </c>
      <c r="EC324" s="736">
        <v>950</v>
      </c>
      <c r="ED324" t="s">
        <v>805</v>
      </c>
      <c r="FA324" t="s">
        <v>886</v>
      </c>
      <c r="FC324" s="736">
        <v>950</v>
      </c>
      <c r="FD324" t="s">
        <v>805</v>
      </c>
    </row>
    <row r="325" spans="27:160" ht="16">
      <c r="AA325" s="767" t="s">
        <v>887</v>
      </c>
      <c r="AB325" s="767"/>
      <c r="AC325" s="909" t="e">
        <f>( (AC257*Materials!$E$228 + AC258*Materials!$E$229+ AC259*Materials!$E$230 + AC298*Materials!$E$233) * (AC324-20) ) / 1000</f>
        <v>#DIV/0!</v>
      </c>
      <c r="AD325" s="767" t="s">
        <v>888</v>
      </c>
      <c r="BA325" s="767" t="s">
        <v>887</v>
      </c>
      <c r="BB325" s="767"/>
      <c r="BC325" s="909" t="e">
        <f>( (BC257*Materials!$E$228 + BC258*Materials!$E$229+ BC259*Materials!$E$230 + BC298*Materials!$E$233) * (BC324-20) ) / 1000</f>
        <v>#DIV/0!</v>
      </c>
      <c r="BD325" s="767" t="s">
        <v>888</v>
      </c>
      <c r="CA325" s="767" t="s">
        <v>887</v>
      </c>
      <c r="CB325" s="767"/>
      <c r="CC325" s="909" t="e">
        <f>( (CC257*Materials!$E$228 + CC258*Materials!$E$229+ CC259*Materials!$E$230 + CC298*Materials!$E$233) * (CC324-20) ) / 1000</f>
        <v>#DIV/0!</v>
      </c>
      <c r="CD325" s="767" t="s">
        <v>888</v>
      </c>
      <c r="DA325" s="767" t="s">
        <v>887</v>
      </c>
      <c r="DB325" s="767"/>
      <c r="DC325" s="909" t="e">
        <f>( (DC257*Materials!$E$228 + DC258*Materials!$E$229+ DC259*Materials!$E$230 + DC298*Materials!$E$233) * (DC324-20) ) / 1000</f>
        <v>#DIV/0!</v>
      </c>
      <c r="DD325" s="767" t="s">
        <v>888</v>
      </c>
      <c r="EA325" s="767" t="s">
        <v>887</v>
      </c>
      <c r="EB325" s="767"/>
      <c r="EC325" s="1045" t="e">
        <f>( (EC257*Materials!$E$228 + EC258*Materials!$E$231+ EC259*Materials!$E$230 + EC298*Materials!$E$233) * (EC324-20) ) / 1000</f>
        <v>#DIV/0!</v>
      </c>
      <c r="ED325" s="767" t="s">
        <v>888</v>
      </c>
      <c r="FA325" s="767" t="s">
        <v>1356</v>
      </c>
      <c r="FB325" s="767"/>
      <c r="FC325" s="909" t="e">
        <f>( (FC113/3*Materials!$E$241 + FC298*Materials!$E$233) * (FC324-20) ) / 1000</f>
        <v>#DIV/0!</v>
      </c>
      <c r="FD325" s="767" t="s">
        <v>888</v>
      </c>
    </row>
    <row r="326" spans="27:160">
      <c r="AA326" s="767"/>
      <c r="AB326" s="767"/>
      <c r="AC326" s="780" t="e">
        <f>AC325*4.184/(24*3600)</f>
        <v>#DIV/0!</v>
      </c>
      <c r="AD326" s="767" t="s">
        <v>454</v>
      </c>
      <c r="BA326" s="767"/>
      <c r="BB326" s="767"/>
      <c r="BC326" s="780" t="e">
        <f>BC325*4.184/(24*3600)</f>
        <v>#DIV/0!</v>
      </c>
      <c r="BD326" s="767" t="s">
        <v>454</v>
      </c>
      <c r="CA326" s="767"/>
      <c r="CB326" s="767"/>
      <c r="CC326" s="780" t="e">
        <f>CC325*4.184/(24*3600)</f>
        <v>#DIV/0!</v>
      </c>
      <c r="CD326" s="767" t="s">
        <v>454</v>
      </c>
      <c r="DA326" s="767"/>
      <c r="DB326" s="767"/>
      <c r="DC326" s="780" t="e">
        <f>DC325*4.184/(24*3600)</f>
        <v>#DIV/0!</v>
      </c>
      <c r="DD326" s="767" t="s">
        <v>454</v>
      </c>
      <c r="EA326" s="767"/>
      <c r="EB326" s="767"/>
      <c r="EC326" s="780" t="e">
        <f>EC325*4.184/(24*3600)</f>
        <v>#DIV/0!</v>
      </c>
      <c r="ED326" s="767" t="s">
        <v>454</v>
      </c>
      <c r="FA326" s="767"/>
      <c r="FB326" s="767"/>
      <c r="FC326" s="780" t="e">
        <f>FC325*4.184/(24*3600)</f>
        <v>#DIV/0!</v>
      </c>
      <c r="FD326" s="767" t="s">
        <v>454</v>
      </c>
    </row>
    <row r="327" spans="27:160">
      <c r="AA327" s="767" t="s">
        <v>889</v>
      </c>
      <c r="AB327" s="781"/>
      <c r="AC327" s="782">
        <f>Materials!$B$266*(AC324-20)/24/3600</f>
        <v>0</v>
      </c>
      <c r="AD327" s="767" t="s">
        <v>454</v>
      </c>
      <c r="BA327" s="767" t="s">
        <v>889</v>
      </c>
      <c r="BB327" s="781"/>
      <c r="BC327" s="782">
        <f>Materials!$B$266*(BC324-20)/24/3600</f>
        <v>0</v>
      </c>
      <c r="BD327" s="767" t="s">
        <v>454</v>
      </c>
      <c r="CA327" s="767" t="s">
        <v>889</v>
      </c>
      <c r="CB327" s="781"/>
      <c r="CC327" s="782">
        <f>Materials!$B$266*(CC324-20)/24/3600</f>
        <v>0</v>
      </c>
      <c r="CD327" s="767" t="s">
        <v>454</v>
      </c>
      <c r="DA327" s="767" t="s">
        <v>889</v>
      </c>
      <c r="DB327" s="781"/>
      <c r="DC327" s="782">
        <f>Materials!$B$266*(DC324-20)/24/3600</f>
        <v>0</v>
      </c>
      <c r="DD327" s="767" t="s">
        <v>454</v>
      </c>
      <c r="EA327" s="767" t="s">
        <v>889</v>
      </c>
      <c r="EB327" s="781"/>
      <c r="EC327" s="1048">
        <f>Materials!$B$266*(EC324-20)/24/3600</f>
        <v>0</v>
      </c>
      <c r="ED327" s="767" t="s">
        <v>454</v>
      </c>
      <c r="FA327" s="767" t="s">
        <v>889</v>
      </c>
      <c r="FB327" s="781"/>
      <c r="FC327" s="782">
        <f>Materials!$B$266*(FC324-20)/24/3600</f>
        <v>0</v>
      </c>
      <c r="FD327" s="767" t="s">
        <v>454</v>
      </c>
    </row>
    <row r="328" spans="27:160" ht="17.5">
      <c r="AA328" s="783" t="s">
        <v>890</v>
      </c>
      <c r="AB328" s="767"/>
      <c r="AC328" s="779" t="e">
        <f xml:space="preserve"> AC257 * (Materials!$B$234+Materials!$B$239-Materials!$B$228)</f>
        <v>#DIV/0!</v>
      </c>
      <c r="AD328" s="767" t="s">
        <v>888</v>
      </c>
      <c r="BA328" s="783" t="s">
        <v>890</v>
      </c>
      <c r="BB328" s="767"/>
      <c r="BC328" s="779" t="e">
        <f xml:space="preserve"> BC257 * (Materials!$B$234+Materials!$B$239-Materials!$B$228)</f>
        <v>#DIV/0!</v>
      </c>
      <c r="BD328" s="767" t="s">
        <v>888</v>
      </c>
      <c r="CA328" s="783" t="s">
        <v>890</v>
      </c>
      <c r="CB328" s="767"/>
      <c r="CC328" s="779" t="e">
        <f xml:space="preserve"> CC257 * (Materials!$B$234+Materials!$B$239-Materials!$B$228)</f>
        <v>#DIV/0!</v>
      </c>
      <c r="CD328" s="767" t="s">
        <v>888</v>
      </c>
      <c r="DA328" s="783" t="s">
        <v>890</v>
      </c>
      <c r="DB328" s="767"/>
      <c r="DC328" s="779" t="e">
        <f xml:space="preserve"> DC257 * (Materials!$B$234+Materials!$B$239-Materials!$B$228)</f>
        <v>#DIV/0!</v>
      </c>
      <c r="DD328" s="767" t="s">
        <v>888</v>
      </c>
      <c r="EA328" s="783" t="s">
        <v>890</v>
      </c>
      <c r="EB328" s="767"/>
      <c r="EC328" s="779" t="e">
        <f xml:space="preserve"> EC257 * (Materials!$B$234+Materials!$B$239-Materials!$B$228)</f>
        <v>#DIV/0!</v>
      </c>
      <c r="ED328" s="767" t="s">
        <v>888</v>
      </c>
      <c r="FA328" s="1191" t="s">
        <v>1357</v>
      </c>
      <c r="FB328" s="1185"/>
      <c r="FC328" s="1192">
        <f xml:space="preserve"> FC257 * (Materials!$B$234+Materials!$B$239-Materials!$B$228)</f>
        <v>0</v>
      </c>
      <c r="FD328" s="1185" t="s">
        <v>888</v>
      </c>
    </row>
    <row r="329" spans="27:160" ht="17.5">
      <c r="AA329" s="783" t="s">
        <v>891</v>
      </c>
      <c r="AB329" s="767"/>
      <c r="AC329" s="779" t="e">
        <f xml:space="preserve"> AC258 * (Materials!$B$235+Materials!$B$239-Materials!$B$229)</f>
        <v>#DIV/0!</v>
      </c>
      <c r="AD329" s="767" t="s">
        <v>888</v>
      </c>
      <c r="BA329" s="783" t="s">
        <v>891</v>
      </c>
      <c r="BB329" s="767"/>
      <c r="BC329" s="779" t="e">
        <f xml:space="preserve"> BC258 * (Materials!$B$235+Materials!$B$239-Materials!$B$229)</f>
        <v>#DIV/0!</v>
      </c>
      <c r="BD329" s="767" t="s">
        <v>888</v>
      </c>
      <c r="CA329" s="783" t="s">
        <v>891</v>
      </c>
      <c r="CB329" s="767"/>
      <c r="CC329" s="779" t="e">
        <f xml:space="preserve"> CC258 * (Materials!$B$235+Materials!$B$239-Materials!$B$229)</f>
        <v>#DIV/0!</v>
      </c>
      <c r="CD329" s="767" t="s">
        <v>888</v>
      </c>
      <c r="DA329" s="783" t="s">
        <v>891</v>
      </c>
      <c r="DB329" s="767"/>
      <c r="DC329" s="779" t="e">
        <f xml:space="preserve"> DC258 * (Materials!$B$235+Materials!$B$239-Materials!$B$229)</f>
        <v>#DIV/0!</v>
      </c>
      <c r="DD329" s="767" t="s">
        <v>888</v>
      </c>
      <c r="EA329" s="1049" t="s">
        <v>1254</v>
      </c>
      <c r="EB329" s="767"/>
      <c r="EC329" s="1045" t="e">
        <f xml:space="preserve"> EC258 * (Materials!B238+Materials!B239*3-Materials!B231)</f>
        <v>#DIV/0!</v>
      </c>
      <c r="ED329" s="767" t="s">
        <v>888</v>
      </c>
      <c r="FA329" s="1191" t="s">
        <v>1358</v>
      </c>
      <c r="FB329" s="1185"/>
      <c r="FC329" s="1192">
        <f xml:space="preserve"> FC258 * (Materials!$B$235+Materials!$B$239-Materials!$B$229)</f>
        <v>0</v>
      </c>
      <c r="FD329" s="1185" t="s">
        <v>888</v>
      </c>
    </row>
    <row r="330" spans="27:160" ht="17.5">
      <c r="AA330" s="783" t="s">
        <v>892</v>
      </c>
      <c r="AB330" s="767"/>
      <c r="AC330" s="779" t="e">
        <f xml:space="preserve"> AC259 * (Materials!$B$236+Materials!$B$239-Materials!$B$230)</f>
        <v>#DIV/0!</v>
      </c>
      <c r="AD330" s="767" t="s">
        <v>888</v>
      </c>
      <c r="BA330" s="783" t="s">
        <v>892</v>
      </c>
      <c r="BB330" s="767"/>
      <c r="BC330" s="779" t="e">
        <f xml:space="preserve"> BC259 * (Materials!$B$236+Materials!$B$239-Materials!$B$230)</f>
        <v>#DIV/0!</v>
      </c>
      <c r="BD330" s="767" t="s">
        <v>888</v>
      </c>
      <c r="CA330" s="783" t="s">
        <v>892</v>
      </c>
      <c r="CB330" s="767"/>
      <c r="CC330" s="779" t="e">
        <f xml:space="preserve"> CC259 * (Materials!$B$236+Materials!$B$239-Materials!$B$230)</f>
        <v>#DIV/0!</v>
      </c>
      <c r="CD330" s="767" t="s">
        <v>888</v>
      </c>
      <c r="DA330" s="783" t="s">
        <v>892</v>
      </c>
      <c r="DB330" s="767"/>
      <c r="DC330" s="779" t="e">
        <f xml:space="preserve"> DC259 * (Materials!$B$236+Materials!$B$239-Materials!$B$230)</f>
        <v>#DIV/0!</v>
      </c>
      <c r="DD330" s="767" t="s">
        <v>888</v>
      </c>
      <c r="EA330" s="783" t="s">
        <v>892</v>
      </c>
      <c r="EB330" s="767"/>
      <c r="EC330" s="779" t="e">
        <f xml:space="preserve"> EC259 * (Materials!$B$236+Materials!$B$239-Materials!$B$230)</f>
        <v>#DIV/0!</v>
      </c>
      <c r="ED330" s="767" t="s">
        <v>888</v>
      </c>
      <c r="FA330" s="1191" t="s">
        <v>1359</v>
      </c>
      <c r="FB330" s="1185"/>
      <c r="FC330" s="1192">
        <f xml:space="preserve"> FC259 * (Materials!$B$236+Materials!$B$239-Materials!$B$230)</f>
        <v>0</v>
      </c>
      <c r="FD330" s="1185" t="s">
        <v>888</v>
      </c>
    </row>
    <row r="331" spans="27:160" ht="17.5">
      <c r="AA331" s="783" t="s">
        <v>893</v>
      </c>
      <c r="AB331" s="767"/>
      <c r="AC331" s="779" t="e">
        <f>AC298 * (Materials!$B$237+Materials!$B$239-Materials!$B$233)</f>
        <v>#DIV/0!</v>
      </c>
      <c r="AD331" s="767" t="s">
        <v>888</v>
      </c>
      <c r="BA331" s="783" t="s">
        <v>893</v>
      </c>
      <c r="BB331" s="767"/>
      <c r="BC331" s="779" t="e">
        <f>BC298 * (Materials!$B$237+Materials!$B$239-Materials!$B$233)</f>
        <v>#DIV/0!</v>
      </c>
      <c r="BD331" s="767" t="s">
        <v>888</v>
      </c>
      <c r="CA331" s="783" t="s">
        <v>893</v>
      </c>
      <c r="CB331" s="767"/>
      <c r="CC331" s="779" t="e">
        <f>CC298 * (Materials!$B$237+Materials!$B$239-Materials!$B$233)</f>
        <v>#DIV/0!</v>
      </c>
      <c r="CD331" s="767" t="s">
        <v>888</v>
      </c>
      <c r="DA331" s="783" t="s">
        <v>893</v>
      </c>
      <c r="DB331" s="767"/>
      <c r="DC331" s="779" t="e">
        <f>DC298 * (Materials!$B$237+Materials!$B$239-Materials!$B$233)</f>
        <v>#DIV/0!</v>
      </c>
      <c r="DD331" s="767" t="s">
        <v>888</v>
      </c>
      <c r="EA331" s="783" t="s">
        <v>893</v>
      </c>
      <c r="EB331" s="767"/>
      <c r="EC331" s="779" t="e">
        <f>EC298 * (Materials!$B$237+Materials!$B$239-Materials!$B$233)</f>
        <v>#DIV/0!</v>
      </c>
      <c r="ED331" s="767" t="s">
        <v>888</v>
      </c>
      <c r="FA331" s="783" t="s">
        <v>893</v>
      </c>
      <c r="FB331" s="767"/>
      <c r="FC331" s="779" t="e">
        <f>FC298 * (Materials!$B$237+Materials!$B$239-Materials!$B$233)</f>
        <v>#DIV/0!</v>
      </c>
      <c r="FD331" s="767" t="s">
        <v>888</v>
      </c>
    </row>
    <row r="332" spans="27:160" ht="17.5">
      <c r="AA332" s="783" t="s">
        <v>894</v>
      </c>
      <c r="AB332" s="767"/>
      <c r="AC332" s="779" t="e">
        <f>AC311*Materials!$B$240</f>
        <v>#DIV/0!</v>
      </c>
      <c r="AD332" s="767" t="s">
        <v>888</v>
      </c>
      <c r="BA332" s="783" t="s">
        <v>894</v>
      </c>
      <c r="BB332" s="767"/>
      <c r="BC332" s="779" t="e">
        <f>BC311*Materials!$B$240</f>
        <v>#DIV/0!</v>
      </c>
      <c r="BD332" s="767" t="s">
        <v>888</v>
      </c>
      <c r="CA332" s="783" t="s">
        <v>894</v>
      </c>
      <c r="CB332" s="767"/>
      <c r="CC332" s="779" t="e">
        <f>CC311*Materials!$B$240</f>
        <v>#DIV/0!</v>
      </c>
      <c r="CD332" s="767" t="s">
        <v>888</v>
      </c>
      <c r="DA332" s="783" t="s">
        <v>894</v>
      </c>
      <c r="DB332" s="767"/>
      <c r="DC332" s="779" t="e">
        <f>DC311*Materials!$B$240</f>
        <v>#DIV/0!</v>
      </c>
      <c r="DD332" s="767" t="s">
        <v>888</v>
      </c>
      <c r="EA332" s="783" t="s">
        <v>894</v>
      </c>
      <c r="EB332" s="767"/>
      <c r="EC332" s="909" t="e">
        <f>EC311*Materials!$B$240</f>
        <v>#DIV/0!</v>
      </c>
      <c r="ED332" s="767" t="s">
        <v>888</v>
      </c>
      <c r="FA332" s="783" t="s">
        <v>1360</v>
      </c>
      <c r="FB332" s="767"/>
      <c r="FC332" s="909" t="e">
        <f>FC311*Materials!$B$240</f>
        <v>#DIV/0!</v>
      </c>
      <c r="FD332" s="767" t="s">
        <v>888</v>
      </c>
    </row>
    <row r="333" spans="27:160">
      <c r="AA333" s="767" t="s">
        <v>895</v>
      </c>
      <c r="AB333" s="767"/>
      <c r="AC333" s="779" t="e">
        <f>AC328+AC329+AC330+AC331+AC332</f>
        <v>#DIV/0!</v>
      </c>
      <c r="AD333" s="767" t="s">
        <v>888</v>
      </c>
      <c r="BA333" s="767" t="s">
        <v>895</v>
      </c>
      <c r="BB333" s="767"/>
      <c r="BC333" s="779" t="e">
        <f>BC328+BC329+BC330+BC331+BC332</f>
        <v>#DIV/0!</v>
      </c>
      <c r="BD333" s="767" t="s">
        <v>888</v>
      </c>
      <c r="CA333" s="767" t="s">
        <v>895</v>
      </c>
      <c r="CB333" s="767"/>
      <c r="CC333" s="779" t="e">
        <f>CC328+CC329+CC330+CC331+CC332</f>
        <v>#DIV/0!</v>
      </c>
      <c r="CD333" s="767" t="s">
        <v>888</v>
      </c>
      <c r="DA333" s="767" t="s">
        <v>895</v>
      </c>
      <c r="DB333" s="767"/>
      <c r="DC333" s="779" t="e">
        <f>DC328+DC329+DC330+DC331+DC332</f>
        <v>#DIV/0!</v>
      </c>
      <c r="DD333" s="767" t="s">
        <v>888</v>
      </c>
      <c r="EA333" s="767" t="s">
        <v>895</v>
      </c>
      <c r="EB333" s="767"/>
      <c r="EC333" s="779" t="e">
        <f>EC328+EC329+EC330+EC331+EC332</f>
        <v>#DIV/0!</v>
      </c>
      <c r="ED333" s="767" t="s">
        <v>888</v>
      </c>
      <c r="FA333" s="767" t="s">
        <v>895</v>
      </c>
      <c r="FB333" s="767"/>
      <c r="FC333" s="779" t="e">
        <f>FC328+FC329+FC330+FC331+FC332</f>
        <v>#DIV/0!</v>
      </c>
      <c r="FD333" s="767" t="s">
        <v>888</v>
      </c>
    </row>
    <row r="334" spans="27:160">
      <c r="AA334" s="767"/>
      <c r="AB334" s="767"/>
      <c r="AC334" s="766" t="e">
        <f>AC333*4.184/(24*3600)</f>
        <v>#DIV/0!</v>
      </c>
      <c r="AD334" s="767" t="s">
        <v>454</v>
      </c>
      <c r="BA334" s="767"/>
      <c r="BB334" s="767"/>
      <c r="BC334" s="766" t="e">
        <f>BC333*4.184/(24*3600)</f>
        <v>#DIV/0!</v>
      </c>
      <c r="BD334" s="767" t="s">
        <v>454</v>
      </c>
      <c r="CA334" s="767"/>
      <c r="CB334" s="767"/>
      <c r="CC334" s="766" t="e">
        <f>CC333*4.184/(24*3600)</f>
        <v>#DIV/0!</v>
      </c>
      <c r="CD334" s="767" t="s">
        <v>454</v>
      </c>
      <c r="DA334" s="767"/>
      <c r="DB334" s="767"/>
      <c r="DC334" s="766" t="e">
        <f>DC333*4.184/(24*3600)</f>
        <v>#DIV/0!</v>
      </c>
      <c r="DD334" s="767" t="s">
        <v>454</v>
      </c>
      <c r="EA334" s="767"/>
      <c r="EB334" s="767"/>
      <c r="EC334" s="766" t="e">
        <f>EC333*4.184/(24*3600)</f>
        <v>#DIV/0!</v>
      </c>
      <c r="ED334" s="767" t="s">
        <v>454</v>
      </c>
      <c r="FA334" s="767"/>
      <c r="FB334" s="767"/>
      <c r="FC334" s="766" t="e">
        <f>FC333*4.184/(24*3600)</f>
        <v>#DIV/0!</v>
      </c>
      <c r="FD334" s="767" t="s">
        <v>454</v>
      </c>
    </row>
    <row r="335" spans="27:160">
      <c r="AA335" s="767" t="s">
        <v>896</v>
      </c>
      <c r="AB335" s="767"/>
      <c r="AC335" s="766" t="e">
        <f>AC326+AC327+AC334</f>
        <v>#DIV/0!</v>
      </c>
      <c r="AD335" s="767" t="s">
        <v>454</v>
      </c>
      <c r="BA335" s="767" t="s">
        <v>896</v>
      </c>
      <c r="BB335" s="767"/>
      <c r="BC335" s="766" t="e">
        <f>BC326+BC327+BC334</f>
        <v>#DIV/0!</v>
      </c>
      <c r="BD335" s="767" t="s">
        <v>454</v>
      </c>
      <c r="CA335" s="767" t="s">
        <v>896</v>
      </c>
      <c r="CB335" s="767"/>
      <c r="CC335" s="766" t="e">
        <f>CC326+CC327+CC334</f>
        <v>#DIV/0!</v>
      </c>
      <c r="CD335" s="767" t="s">
        <v>454</v>
      </c>
      <c r="DA335" s="767" t="s">
        <v>896</v>
      </c>
      <c r="DB335" s="767"/>
      <c r="DC335" s="766" t="e">
        <f>DC326+DC327+DC334</f>
        <v>#DIV/0!</v>
      </c>
      <c r="DD335" s="767" t="s">
        <v>454</v>
      </c>
      <c r="EA335" s="767" t="s">
        <v>896</v>
      </c>
      <c r="EB335" s="767"/>
      <c r="EC335" s="766" t="e">
        <f>EC326+EC327+EC334</f>
        <v>#DIV/0!</v>
      </c>
      <c r="ED335" s="767" t="s">
        <v>454</v>
      </c>
      <c r="FA335" s="767" t="s">
        <v>896</v>
      </c>
      <c r="FB335" s="767"/>
      <c r="FC335" s="766" t="e">
        <f>FC326+FC327+FC334</f>
        <v>#DIV/0!</v>
      </c>
      <c r="FD335" s="767" t="s">
        <v>454</v>
      </c>
    </row>
    <row r="336" spans="27:160">
      <c r="AA336" s="767" t="s">
        <v>897</v>
      </c>
      <c r="AB336" s="767"/>
      <c r="AC336" s="766">
        <v>800</v>
      </c>
      <c r="AD336" s="767" t="s">
        <v>454</v>
      </c>
      <c r="BA336" s="767" t="s">
        <v>897</v>
      </c>
      <c r="BB336" s="767"/>
      <c r="BC336" s="766">
        <v>800</v>
      </c>
      <c r="BD336" s="767" t="s">
        <v>454</v>
      </c>
      <c r="CA336" s="767" t="s">
        <v>897</v>
      </c>
      <c r="CB336" s="767"/>
      <c r="CC336" s="766">
        <v>800</v>
      </c>
      <c r="CD336" s="767" t="s">
        <v>454</v>
      </c>
      <c r="DA336" s="767" t="s">
        <v>897</v>
      </c>
      <c r="DB336" s="767"/>
      <c r="DC336" s="766">
        <v>800</v>
      </c>
      <c r="DD336" s="767" t="s">
        <v>454</v>
      </c>
      <c r="EA336" s="767" t="s">
        <v>897</v>
      </c>
      <c r="EB336" s="767"/>
      <c r="EC336" s="766">
        <v>800</v>
      </c>
      <c r="ED336" s="767" t="s">
        <v>454</v>
      </c>
      <c r="FA336" s="767" t="s">
        <v>897</v>
      </c>
      <c r="FB336" s="767"/>
      <c r="FC336" s="766">
        <v>800</v>
      </c>
      <c r="FD336" s="767" t="s">
        <v>454</v>
      </c>
    </row>
    <row r="337" spans="27:160">
      <c r="AA337" s="767" t="s">
        <v>898</v>
      </c>
      <c r="AB337" s="767"/>
      <c r="AC337" s="766"/>
      <c r="AD337" s="767"/>
      <c r="BA337" s="767" t="s">
        <v>898</v>
      </c>
      <c r="BB337" s="767"/>
      <c r="BC337" s="766"/>
      <c r="BD337" s="767"/>
      <c r="CA337" s="767" t="s">
        <v>898</v>
      </c>
      <c r="CB337" s="767"/>
      <c r="CC337" s="766"/>
      <c r="CD337" s="767"/>
      <c r="DA337" s="767" t="s">
        <v>898</v>
      </c>
      <c r="DB337" s="767"/>
      <c r="DC337" s="766"/>
      <c r="DD337" s="767"/>
      <c r="EA337" s="767" t="s">
        <v>898</v>
      </c>
      <c r="EB337" s="767"/>
      <c r="EC337" s="766"/>
      <c r="ED337" s="767"/>
      <c r="FA337" s="767" t="s">
        <v>898</v>
      </c>
      <c r="FB337" s="767"/>
      <c r="FC337" s="766"/>
      <c r="FD337" s="767"/>
    </row>
    <row r="338" spans="27:160">
      <c r="AA338" s="767" t="s">
        <v>899</v>
      </c>
      <c r="AB338" s="738"/>
      <c r="AC338" s="750">
        <v>2600000</v>
      </c>
      <c r="BA338" s="767" t="s">
        <v>899</v>
      </c>
      <c r="BB338" s="738"/>
      <c r="BC338" s="750">
        <v>2600000</v>
      </c>
      <c r="CA338" s="767" t="s">
        <v>899</v>
      </c>
      <c r="CB338" s="738"/>
      <c r="CC338" s="750">
        <v>2600000</v>
      </c>
      <c r="DA338" s="767" t="s">
        <v>899</v>
      </c>
      <c r="DB338" s="738"/>
      <c r="DC338" s="750">
        <v>2600000</v>
      </c>
      <c r="EA338" s="767" t="s">
        <v>899</v>
      </c>
      <c r="EB338" s="738"/>
      <c r="EC338" s="750">
        <v>2600000</v>
      </c>
      <c r="FA338" s="767" t="s">
        <v>899</v>
      </c>
      <c r="FB338" s="738"/>
      <c r="FC338" s="750">
        <v>2600000</v>
      </c>
    </row>
    <row r="339" spans="27:160">
      <c r="AA339" s="767" t="s">
        <v>900</v>
      </c>
      <c r="AC339" s="750">
        <v>1200000</v>
      </c>
      <c r="BA339" s="767" t="s">
        <v>900</v>
      </c>
      <c r="BC339" s="750">
        <v>1200000</v>
      </c>
      <c r="CA339" s="767" t="s">
        <v>900</v>
      </c>
      <c r="CC339" s="750">
        <v>1200000</v>
      </c>
      <c r="DA339" s="767" t="s">
        <v>900</v>
      </c>
      <c r="DC339" s="750">
        <v>1200000</v>
      </c>
      <c r="EA339" s="767" t="s">
        <v>900</v>
      </c>
      <c r="EC339" s="750">
        <v>1200000</v>
      </c>
      <c r="FA339" s="767" t="s">
        <v>900</v>
      </c>
      <c r="FC339" s="750">
        <v>1200000</v>
      </c>
    </row>
    <row r="340" spans="27:160">
      <c r="AA340" s="767" t="s">
        <v>901</v>
      </c>
      <c r="AC340" s="750">
        <f>AC338+AC339</f>
        <v>3800000</v>
      </c>
      <c r="BA340" s="767" t="s">
        <v>901</v>
      </c>
      <c r="BC340" s="750">
        <f>BC338+BC339</f>
        <v>3800000</v>
      </c>
      <c r="CA340" s="767" t="s">
        <v>901</v>
      </c>
      <c r="CC340" s="750">
        <f>CC338+CC339</f>
        <v>3800000</v>
      </c>
      <c r="DA340" s="767" t="s">
        <v>901</v>
      </c>
      <c r="DC340" s="750">
        <f>DC338+DC339</f>
        <v>3800000</v>
      </c>
      <c r="EA340" s="767" t="s">
        <v>901</v>
      </c>
      <c r="EC340" s="750">
        <f>EC338+EC339</f>
        <v>3800000</v>
      </c>
      <c r="FA340" s="767" t="s">
        <v>901</v>
      </c>
      <c r="FC340" s="750">
        <f>FC338+FC339</f>
        <v>3800000</v>
      </c>
    </row>
    <row r="341" spans="27:160">
      <c r="AA341" t="s">
        <v>902</v>
      </c>
      <c r="AC341" s="750" t="e">
        <f>AC294</f>
        <v>#DIV/0!</v>
      </c>
      <c r="BA341" t="s">
        <v>902</v>
      </c>
      <c r="BC341" s="750" t="e">
        <f>BC294</f>
        <v>#DIV/0!</v>
      </c>
      <c r="CA341" t="s">
        <v>902</v>
      </c>
      <c r="CC341" s="750" t="e">
        <f>CC294</f>
        <v>#DIV/0!</v>
      </c>
      <c r="DA341" t="s">
        <v>902</v>
      </c>
      <c r="DC341" s="750" t="e">
        <f>DC294</f>
        <v>#DIV/0!</v>
      </c>
      <c r="EA341" t="s">
        <v>902</v>
      </c>
      <c r="EC341" s="750" t="e">
        <f>EC294</f>
        <v>#DIV/0!</v>
      </c>
      <c r="FA341" t="s">
        <v>902</v>
      </c>
      <c r="FC341" s="750" t="e">
        <f>FC294</f>
        <v>#DIV/0!</v>
      </c>
    </row>
    <row r="342" spans="27:160">
      <c r="AA342" s="767" t="s">
        <v>903</v>
      </c>
      <c r="AC342" s="750">
        <v>50000</v>
      </c>
      <c r="BA342" s="767" t="s">
        <v>903</v>
      </c>
      <c r="BC342" s="750">
        <v>50000</v>
      </c>
      <c r="CA342" s="767" t="s">
        <v>903</v>
      </c>
      <c r="CC342" s="750">
        <v>50000</v>
      </c>
      <c r="DA342" s="767" t="s">
        <v>903</v>
      </c>
      <c r="DC342" s="750">
        <v>50000</v>
      </c>
      <c r="EA342" s="767" t="s">
        <v>903</v>
      </c>
      <c r="EC342" s="750">
        <v>50000</v>
      </c>
      <c r="FA342" s="767" t="s">
        <v>903</v>
      </c>
      <c r="FC342" s="750">
        <v>50000</v>
      </c>
    </row>
    <row r="343" spans="27:160">
      <c r="AA343" s="767" t="s">
        <v>904</v>
      </c>
      <c r="AC343" s="750">
        <v>50000</v>
      </c>
      <c r="BA343" s="767" t="s">
        <v>904</v>
      </c>
      <c r="BC343" s="750">
        <v>50000</v>
      </c>
      <c r="CA343" s="767" t="s">
        <v>904</v>
      </c>
      <c r="CC343" s="750">
        <v>50000</v>
      </c>
      <c r="DA343" s="767" t="s">
        <v>904</v>
      </c>
      <c r="DC343" s="750">
        <v>50000</v>
      </c>
      <c r="EA343" s="767" t="s">
        <v>904</v>
      </c>
      <c r="EC343" s="750">
        <v>50000</v>
      </c>
      <c r="FA343" s="767" t="s">
        <v>904</v>
      </c>
      <c r="FC343" s="750">
        <v>50000</v>
      </c>
    </row>
    <row r="344" spans="27:160">
      <c r="AC344" s="750"/>
      <c r="BC344" s="750"/>
      <c r="CC344" s="750"/>
      <c r="DC344" s="750"/>
      <c r="EC344" s="750"/>
      <c r="FC344" s="750"/>
    </row>
    <row r="346" spans="27:160">
      <c r="AA346" s="784" t="s">
        <v>905</v>
      </c>
      <c r="AB346" s="784"/>
      <c r="BA346" s="784" t="s">
        <v>905</v>
      </c>
      <c r="BB346" s="784"/>
      <c r="CA346" s="784" t="s">
        <v>905</v>
      </c>
      <c r="CB346" s="784"/>
      <c r="DA346" s="784" t="s">
        <v>905</v>
      </c>
      <c r="DB346" s="784"/>
      <c r="EA346" s="784" t="s">
        <v>905</v>
      </c>
      <c r="EB346" s="784"/>
      <c r="FA346" s="1184" t="s">
        <v>905</v>
      </c>
      <c r="FB346" s="784"/>
    </row>
    <row r="347" spans="27:160">
      <c r="AA347" s="738" t="s">
        <v>906</v>
      </c>
      <c r="AB347" s="738"/>
      <c r="AC347" s="739" t="e">
        <f ca="1">AC203</f>
        <v>#DIV/0!</v>
      </c>
      <c r="AD347" s="738" t="s">
        <v>907</v>
      </c>
      <c r="BA347" s="738" t="s">
        <v>906</v>
      </c>
      <c r="BB347" s="738"/>
      <c r="BC347" s="739" t="e">
        <f ca="1">BC203</f>
        <v>#DIV/0!</v>
      </c>
      <c r="BD347" s="738" t="s">
        <v>907</v>
      </c>
      <c r="CA347" s="738" t="s">
        <v>906</v>
      </c>
      <c r="CB347" s="738"/>
      <c r="CC347" s="739" t="e">
        <f ca="1">CC203</f>
        <v>#DIV/0!</v>
      </c>
      <c r="CD347" s="738" t="s">
        <v>907</v>
      </c>
      <c r="DA347" s="738" t="s">
        <v>906</v>
      </c>
      <c r="DB347" s="738"/>
      <c r="DC347" s="739" t="e">
        <f ca="1">DC203</f>
        <v>#DIV/0!</v>
      </c>
      <c r="DD347" s="738" t="s">
        <v>907</v>
      </c>
      <c r="EA347" s="738" t="s">
        <v>906</v>
      </c>
      <c r="EB347" s="738"/>
      <c r="EC347" s="739" t="e">
        <f ca="1">EC203</f>
        <v>#DIV/0!</v>
      </c>
      <c r="ED347" s="738" t="s">
        <v>907</v>
      </c>
      <c r="FA347" s="1185" t="s">
        <v>906</v>
      </c>
      <c r="FB347" s="1185"/>
      <c r="FC347" s="1192">
        <f>FC203</f>
        <v>0</v>
      </c>
      <c r="FD347" s="1185" t="s">
        <v>907</v>
      </c>
    </row>
    <row r="348" spans="27:160">
      <c r="AA348" s="738"/>
      <c r="AB348" s="738"/>
      <c r="AC348" s="785" t="e">
        <f ca="1">AC347/3.785/(24*60)</f>
        <v>#DIV/0!</v>
      </c>
      <c r="AD348" s="738" t="s">
        <v>908</v>
      </c>
      <c r="BA348" s="738"/>
      <c r="BB348" s="738"/>
      <c r="BC348" s="785" t="e">
        <f ca="1">BC347/3.785/(24*60)</f>
        <v>#DIV/0!</v>
      </c>
      <c r="BD348" s="738" t="s">
        <v>908</v>
      </c>
      <c r="CA348" s="738"/>
      <c r="CB348" s="738"/>
      <c r="CC348" s="785" t="e">
        <f ca="1">CC347/3.785/(24*60)</f>
        <v>#DIV/0!</v>
      </c>
      <c r="CD348" s="738" t="s">
        <v>908</v>
      </c>
      <c r="DA348" s="738"/>
      <c r="DB348" s="738"/>
      <c r="DC348" s="785" t="e">
        <f ca="1">DC347/3.785/(24*60)</f>
        <v>#DIV/0!</v>
      </c>
      <c r="DD348" s="738" t="s">
        <v>908</v>
      </c>
      <c r="EA348" s="738"/>
      <c r="EB348" s="738"/>
      <c r="EC348" s="785" t="e">
        <f ca="1">EC347/3.785/(24*60)</f>
        <v>#DIV/0!</v>
      </c>
      <c r="ED348" s="738" t="s">
        <v>908</v>
      </c>
      <c r="FA348" s="1185"/>
      <c r="FB348" s="1185"/>
      <c r="FC348" s="1193">
        <f>FC347/3.785/(24*60)</f>
        <v>0</v>
      </c>
      <c r="FD348" s="1185" t="s">
        <v>908</v>
      </c>
    </row>
    <row r="349" spans="27:160" ht="16.5">
      <c r="AA349" s="738"/>
      <c r="AB349" s="738"/>
      <c r="AC349" s="786" t="e">
        <f ca="1">AC347/1000/24/3600</f>
        <v>#DIV/0!</v>
      </c>
      <c r="AD349" s="738" t="s">
        <v>909</v>
      </c>
      <c r="BA349" s="738"/>
      <c r="BB349" s="738"/>
      <c r="BC349" s="786" t="e">
        <f ca="1">BC347/1000/24/3600</f>
        <v>#DIV/0!</v>
      </c>
      <c r="BD349" s="738" t="s">
        <v>909</v>
      </c>
      <c r="CA349" s="738"/>
      <c r="CB349" s="738"/>
      <c r="CC349" s="786" t="e">
        <f ca="1">CC347/1000/24/3600</f>
        <v>#DIV/0!</v>
      </c>
      <c r="CD349" s="738" t="s">
        <v>909</v>
      </c>
      <c r="DA349" s="738"/>
      <c r="DB349" s="738"/>
      <c r="DC349" s="786" t="e">
        <f ca="1">DC347/1000/24/3600</f>
        <v>#DIV/0!</v>
      </c>
      <c r="DD349" s="738" t="s">
        <v>909</v>
      </c>
      <c r="EA349" s="738"/>
      <c r="EB349" s="738"/>
      <c r="EC349" s="786" t="e">
        <f ca="1">EC347/1000/24/3600</f>
        <v>#DIV/0!</v>
      </c>
      <c r="ED349" s="738" t="s">
        <v>909</v>
      </c>
      <c r="FA349" s="1185"/>
      <c r="FB349" s="1185"/>
      <c r="FC349" s="1194">
        <f>FC347/1000/24/3600</f>
        <v>0</v>
      </c>
      <c r="FD349" s="1185" t="s">
        <v>1361</v>
      </c>
    </row>
    <row r="350" spans="27:160">
      <c r="AA350" t="s">
        <v>910</v>
      </c>
      <c r="AC350" s="739" t="e">
        <f ca="1">AC249</f>
        <v>#DIV/0!</v>
      </c>
      <c r="AD350" t="s">
        <v>907</v>
      </c>
      <c r="BA350" t="s">
        <v>910</v>
      </c>
      <c r="BC350" s="739" t="e">
        <f ca="1">BC249</f>
        <v>#DIV/0!</v>
      </c>
      <c r="BD350" t="s">
        <v>907</v>
      </c>
      <c r="CA350" t="s">
        <v>910</v>
      </c>
      <c r="CC350" s="739" t="e">
        <f ca="1">CC249</f>
        <v>#DIV/0!</v>
      </c>
      <c r="CD350" t="s">
        <v>907</v>
      </c>
      <c r="DA350" t="s">
        <v>910</v>
      </c>
      <c r="DC350" s="739" t="e">
        <f ca="1">DC249</f>
        <v>#DIV/0!</v>
      </c>
      <c r="DD350" t="s">
        <v>907</v>
      </c>
      <c r="EA350" t="s">
        <v>910</v>
      </c>
      <c r="EC350" s="739" t="e">
        <f ca="1">EC249</f>
        <v>#DIV/0!</v>
      </c>
      <c r="ED350" t="s">
        <v>907</v>
      </c>
      <c r="FA350" s="1185" t="s">
        <v>910</v>
      </c>
      <c r="FB350" s="1185"/>
      <c r="FC350" s="1192">
        <f>FC249</f>
        <v>0</v>
      </c>
      <c r="FD350" s="1185" t="s">
        <v>907</v>
      </c>
    </row>
    <row r="351" spans="27:160" ht="16.5">
      <c r="AC351" s="786" t="e">
        <f ca="1">AC350/1000/24/3600</f>
        <v>#DIV/0!</v>
      </c>
      <c r="AD351" s="738" t="s">
        <v>909</v>
      </c>
      <c r="BC351" s="786" t="e">
        <f ca="1">BC350/1000/24/3600</f>
        <v>#DIV/0!</v>
      </c>
      <c r="BD351" s="738" t="s">
        <v>909</v>
      </c>
      <c r="CC351" s="786" t="e">
        <f ca="1">CC350/1000/24/3600</f>
        <v>#DIV/0!</v>
      </c>
      <c r="CD351" s="738" t="s">
        <v>909</v>
      </c>
      <c r="DC351" s="786" t="e">
        <f ca="1">DC350/1000/24/3600</f>
        <v>#DIV/0!</v>
      </c>
      <c r="DD351" s="738" t="s">
        <v>909</v>
      </c>
      <c r="EC351" s="786" t="e">
        <f ca="1">EC350/1000/24/3600</f>
        <v>#DIV/0!</v>
      </c>
      <c r="ED351" s="738" t="s">
        <v>909</v>
      </c>
      <c r="FA351" s="1185"/>
      <c r="FB351" s="1185"/>
      <c r="FC351" s="1194">
        <f>FC350/1000/24/3600</f>
        <v>0</v>
      </c>
      <c r="FD351" s="1185" t="s">
        <v>1361</v>
      </c>
    </row>
    <row r="352" spans="27:160">
      <c r="AA352" t="s">
        <v>761</v>
      </c>
      <c r="AC352" s="749">
        <v>1</v>
      </c>
      <c r="AD352" s="738"/>
      <c r="BA352" t="s">
        <v>761</v>
      </c>
      <c r="BC352" s="749">
        <v>1</v>
      </c>
      <c r="BD352" s="738"/>
      <c r="CA352" t="s">
        <v>761</v>
      </c>
      <c r="CC352" s="749">
        <v>1</v>
      </c>
      <c r="CD352" s="738"/>
      <c r="DA352" t="s">
        <v>761</v>
      </c>
      <c r="DC352" s="749">
        <v>1</v>
      </c>
      <c r="DD352" s="738"/>
      <c r="EA352" t="s">
        <v>761</v>
      </c>
      <c r="EC352" s="749">
        <v>1</v>
      </c>
      <c r="ED352" s="738"/>
      <c r="FA352" s="1185" t="s">
        <v>761</v>
      </c>
      <c r="FB352" s="1185"/>
      <c r="FC352" s="1195">
        <v>1</v>
      </c>
      <c r="FD352" s="1185"/>
    </row>
    <row r="353" spans="27:160" ht="16.5">
      <c r="AA353" t="s">
        <v>911</v>
      </c>
      <c r="AC353" s="786" t="e">
        <f ca="1">(AC349+AC351)* (1+AC352)</f>
        <v>#DIV/0!</v>
      </c>
      <c r="AD353" s="738" t="s">
        <v>909</v>
      </c>
      <c r="BA353" t="s">
        <v>911</v>
      </c>
      <c r="BC353" s="786" t="e">
        <f ca="1">(BC349+BC351)* (1+BC352)</f>
        <v>#DIV/0!</v>
      </c>
      <c r="BD353" s="738" t="s">
        <v>909</v>
      </c>
      <c r="CA353" t="s">
        <v>911</v>
      </c>
      <c r="CC353" s="786" t="e">
        <f ca="1">(CC349+CC351)* (1+CC352)</f>
        <v>#DIV/0!</v>
      </c>
      <c r="CD353" s="738" t="s">
        <v>909</v>
      </c>
      <c r="DA353" t="s">
        <v>911</v>
      </c>
      <c r="DC353" s="786" t="e">
        <f ca="1">(DC349+DC351)* (1+DC352)</f>
        <v>#DIV/0!</v>
      </c>
      <c r="DD353" s="738" t="s">
        <v>909</v>
      </c>
      <c r="EA353" t="s">
        <v>911</v>
      </c>
      <c r="EC353" s="786" t="e">
        <f ca="1">(EC349+EC351)* (1+EC352)</f>
        <v>#DIV/0!</v>
      </c>
      <c r="ED353" s="738" t="s">
        <v>909</v>
      </c>
      <c r="FA353" s="1185" t="s">
        <v>911</v>
      </c>
      <c r="FB353" s="1185"/>
      <c r="FC353" s="1194">
        <f>(FC349+FC351)* (1+FC352)</f>
        <v>0</v>
      </c>
      <c r="FD353" s="1185" t="s">
        <v>1361</v>
      </c>
    </row>
    <row r="354" spans="27:160">
      <c r="AA354" t="s">
        <v>912</v>
      </c>
      <c r="AC354" s="766" t="e">
        <f ca="1">1.67*((AC353*60)+AC238)*5/0.9</f>
        <v>#DIV/0!</v>
      </c>
      <c r="AD354" s="767" t="s">
        <v>454</v>
      </c>
      <c r="BA354" t="s">
        <v>912</v>
      </c>
      <c r="BC354" s="766" t="e">
        <f ca="1">1.67*((BC353*60)+BC238)*5/0.9</f>
        <v>#DIV/0!</v>
      </c>
      <c r="BD354" s="767" t="s">
        <v>454</v>
      </c>
      <c r="CA354" t="s">
        <v>912</v>
      </c>
      <c r="CC354" s="766" t="e">
        <f ca="1">1.67*((CC353*60)+CC238)*5/0.9</f>
        <v>#DIV/0!</v>
      </c>
      <c r="CD354" s="767" t="s">
        <v>454</v>
      </c>
      <c r="DA354" t="s">
        <v>912</v>
      </c>
      <c r="DC354" s="766" t="e">
        <f ca="1">1.67*((DC353*60)+DC238)*5/0.9</f>
        <v>#DIV/0!</v>
      </c>
      <c r="DD354" s="767" t="s">
        <v>454</v>
      </c>
      <c r="EA354" t="s">
        <v>912</v>
      </c>
      <c r="EC354" s="766" t="e">
        <f ca="1">1.67*((EC353*60)+EC238)*5/0.9</f>
        <v>#DIV/0!</v>
      </c>
      <c r="ED354" s="767" t="s">
        <v>454</v>
      </c>
      <c r="FA354" s="1185" t="s">
        <v>912</v>
      </c>
      <c r="FB354" s="1185"/>
      <c r="FC354" s="1186">
        <f>1.67*((FC353*60)+FC238)*5/0.9</f>
        <v>0</v>
      </c>
      <c r="FD354" s="1185" t="s">
        <v>454</v>
      </c>
    </row>
    <row r="355" spans="27:160">
      <c r="AC355" s="786"/>
      <c r="AD355" s="738"/>
      <c r="BC355" s="786"/>
      <c r="BD355" s="738"/>
      <c r="CC355" s="786"/>
      <c r="CD355" s="738"/>
      <c r="DC355" s="786"/>
      <c r="DD355" s="738"/>
      <c r="EC355" s="786"/>
      <c r="ED355" s="738"/>
      <c r="FA355" s="1185"/>
      <c r="FB355" s="1185"/>
      <c r="FC355" s="1194"/>
      <c r="FD355" s="1185"/>
    </row>
    <row r="356" spans="27:160">
      <c r="AA356" t="s">
        <v>913</v>
      </c>
      <c r="AC356" s="750" t="e">
        <f ca="1">18576*AC353^0.3866</f>
        <v>#DIV/0!</v>
      </c>
      <c r="AD356" s="738"/>
      <c r="BA356" t="s">
        <v>913</v>
      </c>
      <c r="BC356" s="750" t="e">
        <f ca="1">18576*BC353^0.3866</f>
        <v>#DIV/0!</v>
      </c>
      <c r="BD356" s="738"/>
      <c r="CA356" t="s">
        <v>913</v>
      </c>
      <c r="CC356" s="750" t="e">
        <f ca="1">18576*CC353^0.3866</f>
        <v>#DIV/0!</v>
      </c>
      <c r="CD356" s="738"/>
      <c r="DA356" t="s">
        <v>913</v>
      </c>
      <c r="DC356" s="750" t="e">
        <f ca="1">18576*DC353^0.3866</f>
        <v>#DIV/0!</v>
      </c>
      <c r="DD356" s="738"/>
      <c r="EA356" t="s">
        <v>913</v>
      </c>
      <c r="EC356" s="750" t="e">
        <f ca="1">18576*EC353^0.3866</f>
        <v>#DIV/0!</v>
      </c>
      <c r="ED356" s="738"/>
      <c r="FA356" s="1185" t="s">
        <v>913</v>
      </c>
      <c r="FB356" s="1185"/>
      <c r="FC356" s="1196">
        <f>18576*FC353^0.3866</f>
        <v>0</v>
      </c>
      <c r="FD356" s="1185"/>
    </row>
    <row r="357" spans="27:160">
      <c r="AC357" s="750" t="e">
        <f ca="1">AC356*'Unit Ops'!$G$133/'Unit Ops'!$V$133</f>
        <v>#DIV/0!</v>
      </c>
      <c r="AD357" s="738"/>
      <c r="BC357" s="750" t="e">
        <f ca="1">BC356*'Unit Ops'!$G$133/'Unit Ops'!$V$133</f>
        <v>#DIV/0!</v>
      </c>
      <c r="BD357" s="738"/>
      <c r="CC357" s="750" t="e">
        <f ca="1">CC356*'Unit Ops'!$G$133/'Unit Ops'!$V$133</f>
        <v>#DIV/0!</v>
      </c>
      <c r="CD357" s="738"/>
      <c r="DC357" s="750" t="e">
        <f ca="1">DC356*'Unit Ops'!$G$133/'Unit Ops'!$V$133</f>
        <v>#DIV/0!</v>
      </c>
      <c r="DD357" s="738"/>
      <c r="EC357" s="750" t="e">
        <f ca="1">EC356*'Unit Ops'!$G$133/'Unit Ops'!$V$133</f>
        <v>#DIV/0!</v>
      </c>
      <c r="ED357" s="738"/>
      <c r="EE357" s="905" t="s">
        <v>1430</v>
      </c>
      <c r="FA357" s="1185"/>
      <c r="FB357" s="1185"/>
      <c r="FC357" s="1196">
        <f>FC356*567.3/381.1</f>
        <v>0</v>
      </c>
      <c r="FD357" s="1185"/>
    </row>
    <row r="358" spans="27:160">
      <c r="AC358" s="786"/>
      <c r="AD358" s="738"/>
      <c r="BC358" s="786"/>
      <c r="BD358" s="738"/>
      <c r="CC358" s="786"/>
      <c r="CD358" s="738"/>
      <c r="DC358" s="786"/>
      <c r="DD358" s="738"/>
      <c r="EC358" s="786"/>
      <c r="ED358" s="738"/>
      <c r="FC358" s="786"/>
      <c r="FD358" s="738"/>
    </row>
    <row r="359" spans="27:160">
      <c r="AA359" t="s">
        <v>1434</v>
      </c>
      <c r="AC359" s="1260">
        <v>1000000</v>
      </c>
      <c r="AD359" s="738"/>
      <c r="BA359" t="s">
        <v>1434</v>
      </c>
      <c r="BC359" s="1260">
        <v>1000000</v>
      </c>
      <c r="BD359" s="738"/>
      <c r="CA359" t="s">
        <v>1434</v>
      </c>
      <c r="CC359" s="1260">
        <v>1000000</v>
      </c>
      <c r="CD359" s="738"/>
      <c r="DA359" t="s">
        <v>1434</v>
      </c>
      <c r="DC359" s="1260">
        <v>1000000</v>
      </c>
      <c r="DD359" s="738"/>
      <c r="EA359" t="s">
        <v>1434</v>
      </c>
      <c r="EC359" s="1260">
        <v>1000000</v>
      </c>
      <c r="ED359" s="738"/>
      <c r="FA359" s="1185" t="s">
        <v>1434</v>
      </c>
      <c r="FB359" s="1185"/>
      <c r="FC359" s="1196">
        <v>0</v>
      </c>
      <c r="FD359" s="738"/>
    </row>
    <row r="361" spans="27:160">
      <c r="AA361" s="767" t="s">
        <v>914</v>
      </c>
      <c r="AB361" s="767"/>
      <c r="AC361" s="766" t="e">
        <f ca="1">MAX(AC216+AC218+AC224-AC226,0) + AC285</f>
        <v>#DIV/0!</v>
      </c>
      <c r="AD361" s="767" t="s">
        <v>454</v>
      </c>
      <c r="BA361" s="767" t="s">
        <v>914</v>
      </c>
      <c r="BB361" s="767"/>
      <c r="BC361" s="766" t="e">
        <f ca="1">MAX(BC216+BC218+BC224-BC226,0) + BC285</f>
        <v>#DIV/0!</v>
      </c>
      <c r="BD361" s="767" t="s">
        <v>454</v>
      </c>
      <c r="CA361" s="767" t="s">
        <v>914</v>
      </c>
      <c r="CB361" s="767"/>
      <c r="CC361" s="766" t="e">
        <f ca="1">MAX(CC216+CC218+CC224-CC226,0) + CC285</f>
        <v>#DIV/0!</v>
      </c>
      <c r="CD361" s="767" t="s">
        <v>454</v>
      </c>
      <c r="DA361" s="767" t="s">
        <v>914</v>
      </c>
      <c r="DB361" s="767"/>
      <c r="DC361" s="766" t="e">
        <f ca="1">MAX(DC216+DC218+DC224-DC226,0) + DC285</f>
        <v>#DIV/0!</v>
      </c>
      <c r="DD361" s="767" t="s">
        <v>454</v>
      </c>
      <c r="EA361" s="767" t="s">
        <v>914</v>
      </c>
      <c r="EB361" s="767"/>
      <c r="EC361" s="766" t="e">
        <f ca="1">MAX(EC216+EC218+EC224-EC226,0) + EC285</f>
        <v>#DIV/0!</v>
      </c>
      <c r="ED361" s="767" t="s">
        <v>454</v>
      </c>
      <c r="FA361" s="767" t="s">
        <v>914</v>
      </c>
      <c r="FB361" s="767"/>
      <c r="FC361" s="766">
        <f>MAX(FC216+FC218+FC224-FC226,0) + FC285</f>
        <v>0</v>
      </c>
      <c r="FD361" s="767" t="s">
        <v>454</v>
      </c>
    </row>
    <row r="362" spans="27:160">
      <c r="AA362" s="767" t="s">
        <v>915</v>
      </c>
      <c r="AB362" s="767"/>
      <c r="AC362" s="787">
        <v>1</v>
      </c>
      <c r="AD362" s="767"/>
      <c r="BA362" s="767" t="s">
        <v>915</v>
      </c>
      <c r="BB362" s="767"/>
      <c r="BC362" s="787">
        <v>1</v>
      </c>
      <c r="BD362" s="767"/>
      <c r="CA362" s="767" t="s">
        <v>915</v>
      </c>
      <c r="CB362" s="767"/>
      <c r="CC362" s="787">
        <v>1</v>
      </c>
      <c r="CD362" s="767"/>
      <c r="DA362" s="767" t="s">
        <v>915</v>
      </c>
      <c r="DB362" s="767"/>
      <c r="DC362" s="787">
        <v>1</v>
      </c>
      <c r="DD362" s="767"/>
      <c r="EA362" s="767" t="s">
        <v>915</v>
      </c>
      <c r="EB362" s="767"/>
      <c r="EC362" s="787">
        <v>1</v>
      </c>
      <c r="ED362" s="767"/>
      <c r="FA362" s="767" t="s">
        <v>915</v>
      </c>
      <c r="FB362" s="767"/>
      <c r="FC362" s="787">
        <v>1</v>
      </c>
      <c r="FD362" s="767"/>
    </row>
    <row r="363" spans="27:160">
      <c r="AA363" s="767" t="s">
        <v>916</v>
      </c>
      <c r="AB363" s="767"/>
      <c r="AC363" s="766" t="e">
        <f ca="1">(AC361)/AC362</f>
        <v>#DIV/0!</v>
      </c>
      <c r="AD363" s="767" t="s">
        <v>454</v>
      </c>
      <c r="BA363" s="767" t="s">
        <v>916</v>
      </c>
      <c r="BB363" s="767"/>
      <c r="BC363" s="766" t="e">
        <f ca="1">(BC361)/BC362</f>
        <v>#DIV/0!</v>
      </c>
      <c r="BD363" s="767" t="s">
        <v>454</v>
      </c>
      <c r="CA363" s="767" t="s">
        <v>916</v>
      </c>
      <c r="CB363" s="767"/>
      <c r="CC363" s="766" t="e">
        <f ca="1">(CC361)/CC362</f>
        <v>#DIV/0!</v>
      </c>
      <c r="CD363" s="767" t="s">
        <v>454</v>
      </c>
      <c r="DA363" s="767" t="s">
        <v>916</v>
      </c>
      <c r="DB363" s="767"/>
      <c r="DC363" s="766" t="e">
        <f ca="1">(DC361)/DC362</f>
        <v>#DIV/0!</v>
      </c>
      <c r="DD363" s="767" t="s">
        <v>454</v>
      </c>
      <c r="EA363" s="767" t="s">
        <v>916</v>
      </c>
      <c r="EB363" s="767"/>
      <c r="EC363" s="766" t="e">
        <f ca="1">(EC361)/EC362</f>
        <v>#DIV/0!</v>
      </c>
      <c r="ED363" s="767" t="s">
        <v>454</v>
      </c>
      <c r="FA363" s="767" t="s">
        <v>916</v>
      </c>
      <c r="FB363" s="767"/>
      <c r="FC363" s="766">
        <f>(FC361)/FC362</f>
        <v>0</v>
      </c>
      <c r="FD363" s="767" t="s">
        <v>454</v>
      </c>
    </row>
    <row r="364" spans="27:160">
      <c r="AA364" s="767"/>
      <c r="AB364" s="767"/>
      <c r="AC364" s="779" t="e">
        <f ca="1">AC363*24</f>
        <v>#DIV/0!</v>
      </c>
      <c r="AD364" s="767" t="s">
        <v>917</v>
      </c>
      <c r="BA364" s="767"/>
      <c r="BB364" s="767"/>
      <c r="BC364" s="779" t="e">
        <f ca="1">BC363*24</f>
        <v>#DIV/0!</v>
      </c>
      <c r="BD364" s="767" t="s">
        <v>917</v>
      </c>
      <c r="CA364" s="767"/>
      <c r="CB364" s="767"/>
      <c r="CC364" s="779" t="e">
        <f ca="1">CC363*24</f>
        <v>#DIV/0!</v>
      </c>
      <c r="CD364" s="767" t="s">
        <v>917</v>
      </c>
      <c r="DA364" s="767"/>
      <c r="DB364" s="767"/>
      <c r="DC364" s="779" t="e">
        <f ca="1">DC363*24</f>
        <v>#DIV/0!</v>
      </c>
      <c r="DD364" s="767" t="s">
        <v>917</v>
      </c>
      <c r="EA364" s="767"/>
      <c r="EB364" s="767"/>
      <c r="EC364" s="779" t="e">
        <f ca="1">EC363*24</f>
        <v>#DIV/0!</v>
      </c>
      <c r="ED364" s="767" t="s">
        <v>917</v>
      </c>
      <c r="FA364" s="767"/>
      <c r="FB364" s="767"/>
      <c r="FC364" s="779">
        <f>FC363*24</f>
        <v>0</v>
      </c>
      <c r="FD364" s="767" t="s">
        <v>917</v>
      </c>
    </row>
    <row r="365" spans="27:160">
      <c r="AA365" s="767"/>
      <c r="AB365" s="767"/>
      <c r="AC365" s="780" t="e">
        <f ca="1">AC364*AC103/1000000</f>
        <v>#DIV/0!</v>
      </c>
      <c r="AD365" s="767" t="s">
        <v>918</v>
      </c>
      <c r="BA365" s="767"/>
      <c r="BB365" s="767"/>
      <c r="BC365" s="780" t="e">
        <f ca="1">BC364*BC103/1000000</f>
        <v>#DIV/0!</v>
      </c>
      <c r="BD365" s="767" t="s">
        <v>918</v>
      </c>
      <c r="CA365" s="767"/>
      <c r="CB365" s="767"/>
      <c r="CC365" s="780" t="e">
        <f ca="1">CC364*CC103/1000000</f>
        <v>#DIV/0!</v>
      </c>
      <c r="CD365" s="767" t="s">
        <v>918</v>
      </c>
      <c r="DA365" s="767"/>
      <c r="DB365" s="767"/>
      <c r="DC365" s="780" t="e">
        <f ca="1">DC364*DC103/1000000</f>
        <v>#DIV/0!</v>
      </c>
      <c r="DD365" s="767" t="s">
        <v>918</v>
      </c>
      <c r="EA365" s="767"/>
      <c r="EB365" s="767"/>
      <c r="EC365" s="780" t="e">
        <f ca="1">EC364*EC103/1000000</f>
        <v>#DIV/0!</v>
      </c>
      <c r="ED365" s="767" t="s">
        <v>918</v>
      </c>
      <c r="FA365" s="767"/>
      <c r="FB365" s="767"/>
      <c r="FC365" s="780">
        <f>FC364*FC103/1000000</f>
        <v>0</v>
      </c>
      <c r="FD365" s="767" t="s">
        <v>918</v>
      </c>
    </row>
    <row r="366" spans="27:160">
      <c r="AA366" s="767"/>
      <c r="AB366" s="767"/>
      <c r="AC366" s="788" t="e">
        <f ca="1">AC364*0.0034095</f>
        <v>#DIV/0!</v>
      </c>
      <c r="AD366" s="767" t="s">
        <v>919</v>
      </c>
      <c r="BA366" s="767"/>
      <c r="BB366" s="767"/>
      <c r="BC366" s="788" t="e">
        <f ca="1">BC364*0.0034095</f>
        <v>#DIV/0!</v>
      </c>
      <c r="BD366" s="767" t="s">
        <v>919</v>
      </c>
      <c r="CA366" s="767"/>
      <c r="CB366" s="767"/>
      <c r="CC366" s="788" t="e">
        <f ca="1">CC364*0.0034095</f>
        <v>#DIV/0!</v>
      </c>
      <c r="CD366" s="767" t="s">
        <v>919</v>
      </c>
      <c r="DA366" s="767"/>
      <c r="DB366" s="767"/>
      <c r="DC366" s="788" t="e">
        <f ca="1">DC364*0.0034095</f>
        <v>#DIV/0!</v>
      </c>
      <c r="DD366" s="767" t="s">
        <v>919</v>
      </c>
      <c r="EA366" s="767"/>
      <c r="EB366" s="767"/>
      <c r="EC366" s="788" t="e">
        <f ca="1">EC364*0.0034095</f>
        <v>#DIV/0!</v>
      </c>
      <c r="ED366" s="767" t="s">
        <v>919</v>
      </c>
      <c r="FA366" s="767"/>
      <c r="FB366" s="767"/>
      <c r="FC366" s="788">
        <f>FC364*0.0034095</f>
        <v>0</v>
      </c>
      <c r="FD366" s="767" t="s">
        <v>919</v>
      </c>
    </row>
    <row r="367" spans="27:160">
      <c r="AA367" s="767"/>
      <c r="AB367" s="767"/>
      <c r="AC367" s="846" t="e">
        <f ca="1">AC364/AC110</f>
        <v>#DIV/0!</v>
      </c>
      <c r="AD367" s="847" t="s">
        <v>920</v>
      </c>
      <c r="AE367" s="2"/>
      <c r="BA367" s="767"/>
      <c r="BB367" s="767"/>
      <c r="BC367" s="788" t="e">
        <f ca="1">BC364/BC110</f>
        <v>#DIV/0!</v>
      </c>
      <c r="BD367" s="767" t="s">
        <v>920</v>
      </c>
      <c r="CA367" s="767"/>
      <c r="CB367" s="767"/>
      <c r="CC367" s="788" t="e">
        <f ca="1">CC364/CC110</f>
        <v>#DIV/0!</v>
      </c>
      <c r="CD367" s="767" t="s">
        <v>920</v>
      </c>
      <c r="DA367" s="767"/>
      <c r="DB367" s="767"/>
      <c r="DC367" s="788" t="e">
        <f ca="1">DC364/DC110</f>
        <v>#DIV/0!</v>
      </c>
      <c r="DD367" s="767" t="s">
        <v>920</v>
      </c>
      <c r="EA367" s="767"/>
      <c r="EB367" s="767"/>
      <c r="EC367" s="788" t="e">
        <f ca="1">EC364/EC110</f>
        <v>#DIV/0!</v>
      </c>
      <c r="ED367" s="767" t="s">
        <v>920</v>
      </c>
      <c r="FA367" s="767"/>
      <c r="FB367" s="767"/>
      <c r="FC367" s="846" t="e">
        <f>FC364/FC110</f>
        <v>#DIV/0!</v>
      </c>
      <c r="FD367" s="847" t="s">
        <v>1362</v>
      </c>
    </row>
    <row r="368" spans="27:160">
      <c r="AA368" s="767"/>
      <c r="AB368" s="767"/>
      <c r="AC368" s="788" t="e">
        <f ca="1">(AC364/293.3)/(AC110/1000)</f>
        <v>#DIV/0!</v>
      </c>
      <c r="AD368" s="767" t="s">
        <v>921</v>
      </c>
      <c r="BA368" s="767"/>
      <c r="BB368" s="767"/>
      <c r="BC368" s="788" t="e">
        <f ca="1">(BC364/293.3)/(BC110/1000)</f>
        <v>#DIV/0!</v>
      </c>
      <c r="BD368" s="767" t="s">
        <v>921</v>
      </c>
      <c r="CA368" s="767"/>
      <c r="CB368" s="767"/>
      <c r="CC368" s="788" t="e">
        <f ca="1">(CC364/293.3)/(CC110/1000)</f>
        <v>#DIV/0!</v>
      </c>
      <c r="CD368" s="767" t="s">
        <v>921</v>
      </c>
      <c r="DA368" s="767"/>
      <c r="DB368" s="767"/>
      <c r="DC368" s="788" t="e">
        <f ca="1">(DC364/293.3)/(DC110/1000)</f>
        <v>#DIV/0!</v>
      </c>
      <c r="DD368" s="767" t="s">
        <v>921</v>
      </c>
      <c r="EA368" s="767"/>
      <c r="EB368" s="767"/>
      <c r="EC368" s="788" t="e">
        <f ca="1">(EC364/293.3)/(EC110/1000)</f>
        <v>#DIV/0!</v>
      </c>
      <c r="ED368" s="767" t="s">
        <v>921</v>
      </c>
      <c r="FA368" s="767"/>
      <c r="FB368" s="767"/>
      <c r="FC368" s="788" t="e">
        <f>(FC364/293.3)/(FC110/1000)</f>
        <v>#DIV/0!</v>
      </c>
      <c r="FD368" s="767" t="s">
        <v>1363</v>
      </c>
    </row>
    <row r="369" spans="27:162">
      <c r="AA369" s="770" t="s">
        <v>922</v>
      </c>
      <c r="AB369" s="770"/>
      <c r="AC369" s="778">
        <f>C76/1055*3.6</f>
        <v>4.0947867298578196E-2</v>
      </c>
      <c r="AD369" s="770" t="s">
        <v>457</v>
      </c>
      <c r="BA369" s="770" t="s">
        <v>922</v>
      </c>
      <c r="BB369" s="770"/>
      <c r="BC369" s="745">
        <f>C76/1055*3.6</f>
        <v>4.0947867298578196E-2</v>
      </c>
      <c r="BD369" s="770" t="s">
        <v>457</v>
      </c>
      <c r="CA369" s="770" t="s">
        <v>922</v>
      </c>
      <c r="CB369" s="770"/>
      <c r="CC369" s="745">
        <f>C76/1055*3.6</f>
        <v>4.0947867298578196E-2</v>
      </c>
      <c r="CD369" s="770" t="s">
        <v>457</v>
      </c>
      <c r="DA369" s="770" t="s">
        <v>922</v>
      </c>
      <c r="DB369" s="770"/>
      <c r="DC369" s="745">
        <f>C76/1055*3.6</f>
        <v>4.0947867298578196E-2</v>
      </c>
      <c r="DD369" s="770" t="s">
        <v>457</v>
      </c>
      <c r="EA369" s="770" t="s">
        <v>922</v>
      </c>
      <c r="EB369" s="770"/>
      <c r="EC369" s="745">
        <f>C76/1055*3.6</f>
        <v>4.0947867298578196E-2</v>
      </c>
      <c r="ED369" s="770" t="s">
        <v>457</v>
      </c>
      <c r="FA369" s="770" t="s">
        <v>922</v>
      </c>
      <c r="FB369" s="770"/>
      <c r="FC369" s="778">
        <f>C76/1055*3.6</f>
        <v>4.0947867298578196E-2</v>
      </c>
      <c r="FD369" s="770" t="s">
        <v>457</v>
      </c>
    </row>
    <row r="370" spans="27:162">
      <c r="AA370" t="s">
        <v>923</v>
      </c>
      <c r="AC370" s="750" t="e">
        <f ca="1">AC365*1000000*AC369</f>
        <v>#DIV/0!</v>
      </c>
      <c r="AD370" t="s">
        <v>458</v>
      </c>
      <c r="BA370" t="s">
        <v>923</v>
      </c>
      <c r="BC370" s="750" t="e">
        <f ca="1">BC365*1000000*BC369</f>
        <v>#DIV/0!</v>
      </c>
      <c r="BD370" t="s">
        <v>458</v>
      </c>
      <c r="CA370" t="s">
        <v>923</v>
      </c>
      <c r="CC370" s="750" t="e">
        <f ca="1">CC365*1000000*CC369</f>
        <v>#DIV/0!</v>
      </c>
      <c r="CD370" t="s">
        <v>458</v>
      </c>
      <c r="DA370" t="s">
        <v>923</v>
      </c>
      <c r="DC370" s="750" t="e">
        <f ca="1">DC365*1000000*DC369</f>
        <v>#DIV/0!</v>
      </c>
      <c r="DD370" t="s">
        <v>458</v>
      </c>
      <c r="EA370" t="s">
        <v>923</v>
      </c>
      <c r="EC370" s="750" t="e">
        <f ca="1">EC365*1000000*EC369</f>
        <v>#DIV/0!</v>
      </c>
      <c r="ED370" t="s">
        <v>458</v>
      </c>
      <c r="FA370" t="s">
        <v>923</v>
      </c>
      <c r="FC370" s="750">
        <f>FC365*1000000*FC369</f>
        <v>0</v>
      </c>
      <c r="FD370" t="s">
        <v>458</v>
      </c>
    </row>
    <row r="371" spans="27:162">
      <c r="AA371" t="s">
        <v>924</v>
      </c>
      <c r="AC371" s="765" t="e">
        <f ca="1">(AC148+AC164+AC212+AC265+AC284+AC291+AC305+AC336+AC354) * 1.1</f>
        <v>#DIV/0!</v>
      </c>
      <c r="AD371" s="753" t="s">
        <v>454</v>
      </c>
      <c r="BA371" t="s">
        <v>924</v>
      </c>
      <c r="BC371" s="765" t="e">
        <f ca="1">(BC148+BC164+BC212+BC265+BC284+BC291+BC305+BC336+BC354) * 1.1</f>
        <v>#DIV/0!</v>
      </c>
      <c r="BD371" s="753" t="s">
        <v>454</v>
      </c>
      <c r="CA371" t="s">
        <v>924</v>
      </c>
      <c r="CC371" s="765" t="e">
        <f ca="1">(CC148+CC164+CC212+CC265+CC284+CC291+CC305+CC336+CC354) * 1.1</f>
        <v>#DIV/0!</v>
      </c>
      <c r="CD371" s="753" t="s">
        <v>454</v>
      </c>
      <c r="DA371" t="s">
        <v>924</v>
      </c>
      <c r="DC371" s="765" t="e">
        <f ca="1">(DC148+DC164+DC212+DC265+DC284+DC291+DC305+DC336+DC354) * 1.1</f>
        <v>#DIV/0!</v>
      </c>
      <c r="DD371" s="753" t="s">
        <v>454</v>
      </c>
      <c r="EA371" t="s">
        <v>924</v>
      </c>
      <c r="EC371" s="765" t="e">
        <f ca="1">(EC148+EC164+EC212+EC265+EC284+EC291+EC305+EC336+EC354) * 1.1</f>
        <v>#DIV/0!</v>
      </c>
      <c r="ED371" s="753" t="s">
        <v>454</v>
      </c>
      <c r="FA371" t="s">
        <v>924</v>
      </c>
      <c r="FC371" s="765" t="e">
        <f>(FC148+FC164+FC212+FC265+FC284+FC291+FC305+FC336+FC354) * 1.1</f>
        <v>#DIV/0!</v>
      </c>
      <c r="FD371" s="753" t="s">
        <v>454</v>
      </c>
      <c r="FE371" s="2"/>
      <c r="FF371" s="2"/>
    </row>
    <row r="372" spans="27:162">
      <c r="AC372" s="739" t="e">
        <f ca="1">AC371*24*AC103</f>
        <v>#DIV/0!</v>
      </c>
      <c r="AD372" s="770" t="s">
        <v>925</v>
      </c>
      <c r="BC372" s="739" t="e">
        <f ca="1">BC371*24*BC103</f>
        <v>#DIV/0!</v>
      </c>
      <c r="BD372" s="770" t="s">
        <v>925</v>
      </c>
      <c r="CC372" s="739" t="e">
        <f ca="1">CC371*24*CC103</f>
        <v>#DIV/0!</v>
      </c>
      <c r="CD372" s="770" t="s">
        <v>925</v>
      </c>
      <c r="DC372" s="739" t="e">
        <f ca="1">DC371*24*DC103</f>
        <v>#DIV/0!</v>
      </c>
      <c r="DD372" s="770" t="s">
        <v>925</v>
      </c>
      <c r="EC372" s="739" t="e">
        <f ca="1">EC371*24*EC103</f>
        <v>#DIV/0!</v>
      </c>
      <c r="ED372" s="770" t="s">
        <v>925</v>
      </c>
      <c r="FC372" s="739" t="e">
        <f>FC371*24*FC103</f>
        <v>#DIV/0!</v>
      </c>
      <c r="FD372" s="770" t="s">
        <v>925</v>
      </c>
    </row>
    <row r="373" spans="27:162">
      <c r="AA373" s="738" t="s">
        <v>926</v>
      </c>
      <c r="AB373" s="770"/>
      <c r="AC373" s="745">
        <f>C77</f>
        <v>8.7999999999999995E-2</v>
      </c>
      <c r="AD373" s="770" t="s">
        <v>457</v>
      </c>
      <c r="BA373" s="738" t="s">
        <v>926</v>
      </c>
      <c r="BB373" s="770"/>
      <c r="BC373" s="745">
        <f>C77</f>
        <v>8.7999999999999995E-2</v>
      </c>
      <c r="BD373" s="770" t="s">
        <v>457</v>
      </c>
      <c r="CA373" s="738" t="s">
        <v>926</v>
      </c>
      <c r="CB373" s="770"/>
      <c r="CC373" s="745">
        <f>C77</f>
        <v>8.7999999999999995E-2</v>
      </c>
      <c r="CD373" s="770" t="s">
        <v>457</v>
      </c>
      <c r="DA373" s="738" t="s">
        <v>926</v>
      </c>
      <c r="DB373" s="770"/>
      <c r="DC373" s="745">
        <f>C77</f>
        <v>8.7999999999999995E-2</v>
      </c>
      <c r="DD373" s="770" t="s">
        <v>457</v>
      </c>
      <c r="EA373" s="738" t="s">
        <v>926</v>
      </c>
      <c r="EB373" s="770"/>
      <c r="EC373" s="745">
        <f>C77</f>
        <v>8.7999999999999995E-2</v>
      </c>
      <c r="ED373" s="770" t="s">
        <v>457</v>
      </c>
      <c r="FA373" s="738" t="s">
        <v>926</v>
      </c>
      <c r="FB373" s="770"/>
      <c r="FC373" s="745">
        <f>C77</f>
        <v>8.7999999999999995E-2</v>
      </c>
      <c r="FD373" s="770" t="s">
        <v>457</v>
      </c>
    </row>
    <row r="374" spans="27:162">
      <c r="AA374" s="738" t="s">
        <v>927</v>
      </c>
      <c r="AC374" s="750" t="e">
        <f ca="1">AC372*AC373</f>
        <v>#DIV/0!</v>
      </c>
      <c r="AD374" t="s">
        <v>458</v>
      </c>
      <c r="BA374" s="738" t="s">
        <v>927</v>
      </c>
      <c r="BC374" s="750" t="e">
        <f ca="1">BC372*BC373</f>
        <v>#DIV/0!</v>
      </c>
      <c r="BD374" t="s">
        <v>458</v>
      </c>
      <c r="CA374" s="738" t="s">
        <v>927</v>
      </c>
      <c r="CC374" s="750" t="e">
        <f ca="1">CC372*CC373</f>
        <v>#DIV/0!</v>
      </c>
      <c r="CD374" t="s">
        <v>458</v>
      </c>
      <c r="DA374" s="738" t="s">
        <v>927</v>
      </c>
      <c r="DC374" s="750" t="e">
        <f ca="1">DC372*DC373</f>
        <v>#DIV/0!</v>
      </c>
      <c r="DD374" t="s">
        <v>458</v>
      </c>
      <c r="EA374" s="738" t="s">
        <v>927</v>
      </c>
      <c r="EC374" s="750" t="e">
        <f ca="1">EC372*EC373</f>
        <v>#DIV/0!</v>
      </c>
      <c r="ED374" t="s">
        <v>458</v>
      </c>
      <c r="FA374" s="738" t="s">
        <v>927</v>
      </c>
      <c r="FC374" s="750" t="e">
        <f>FC372*FC373</f>
        <v>#DIV/0!</v>
      </c>
      <c r="FD374" t="s">
        <v>458</v>
      </c>
    </row>
    <row r="375" spans="27:162" ht="15.5">
      <c r="AA375" s="789" t="s">
        <v>928</v>
      </c>
      <c r="AC375" s="790" t="e">
        <f ca="1">AC363+AC371</f>
        <v>#DIV/0!</v>
      </c>
      <c r="AD375" s="738" t="s">
        <v>454</v>
      </c>
      <c r="BA375" s="789" t="s">
        <v>928</v>
      </c>
      <c r="BC375" s="790" t="e">
        <f ca="1">BC363+BC371</f>
        <v>#DIV/0!</v>
      </c>
      <c r="BD375" s="738" t="s">
        <v>454</v>
      </c>
      <c r="CA375" s="789" t="s">
        <v>928</v>
      </c>
      <c r="CC375" s="790" t="e">
        <f ca="1">CC363+CC371</f>
        <v>#DIV/0!</v>
      </c>
      <c r="CD375" s="738" t="s">
        <v>454</v>
      </c>
      <c r="DA375" s="789" t="s">
        <v>928</v>
      </c>
      <c r="DC375" s="790" t="e">
        <f ca="1">DC363+DC371</f>
        <v>#DIV/0!</v>
      </c>
      <c r="DD375" s="738" t="s">
        <v>454</v>
      </c>
      <c r="EA375" s="789" t="s">
        <v>928</v>
      </c>
      <c r="EC375" s="790" t="e">
        <f ca="1">EC363+EC371</f>
        <v>#DIV/0!</v>
      </c>
      <c r="ED375" s="738" t="s">
        <v>454</v>
      </c>
      <c r="FA375" s="789" t="s">
        <v>928</v>
      </c>
      <c r="FC375" s="790" t="e">
        <f>FC363+FC371</f>
        <v>#DIV/0!</v>
      </c>
      <c r="FD375" s="738" t="s">
        <v>454</v>
      </c>
    </row>
    <row r="376" spans="27:162">
      <c r="AC376" s="791" t="e">
        <f ca="1">AC375*24/AC110</f>
        <v>#DIV/0!</v>
      </c>
      <c r="AD376" s="738" t="s">
        <v>920</v>
      </c>
      <c r="BC376" s="791" t="e">
        <f ca="1">BC375*24/BC110</f>
        <v>#DIV/0!</v>
      </c>
      <c r="BD376" s="738" t="s">
        <v>920</v>
      </c>
      <c r="CC376" s="791" t="e">
        <f ca="1">CC375*24/CC110</f>
        <v>#DIV/0!</v>
      </c>
      <c r="CD376" s="738" t="s">
        <v>920</v>
      </c>
      <c r="DC376" s="791" t="e">
        <f ca="1">DC375*24/DC110</f>
        <v>#DIV/0!</v>
      </c>
      <c r="DD376" s="738" t="s">
        <v>920</v>
      </c>
      <c r="EC376" s="791" t="e">
        <f ca="1">EC375*24/EC110</f>
        <v>#DIV/0!</v>
      </c>
      <c r="ED376" s="738" t="s">
        <v>920</v>
      </c>
      <c r="FC376" s="791" t="e">
        <f>FC375*24/FC110</f>
        <v>#DIV/0!</v>
      </c>
      <c r="FD376" s="738" t="s">
        <v>1362</v>
      </c>
    </row>
    <row r="377" spans="27:162">
      <c r="AC377" s="768" t="e">
        <f ca="1">AC376*1000</f>
        <v>#DIV/0!</v>
      </c>
      <c r="AD377" s="738" t="s">
        <v>929</v>
      </c>
      <c r="BC377" s="768" t="e">
        <f ca="1">BC376*1000</f>
        <v>#DIV/0!</v>
      </c>
      <c r="BD377" s="738" t="s">
        <v>929</v>
      </c>
      <c r="CC377" s="768" t="e">
        <f ca="1">CC376*1000</f>
        <v>#DIV/0!</v>
      </c>
      <c r="CD377" s="738" t="s">
        <v>929</v>
      </c>
      <c r="DC377" s="768" t="e">
        <f ca="1">DC376*1000</f>
        <v>#DIV/0!</v>
      </c>
      <c r="DD377" s="738" t="s">
        <v>929</v>
      </c>
      <c r="EC377" s="768" t="e">
        <f ca="1">EC376*1000</f>
        <v>#DIV/0!</v>
      </c>
      <c r="ED377" s="738" t="s">
        <v>929</v>
      </c>
      <c r="FC377" s="768" t="e">
        <f>FC376*1000</f>
        <v>#DIV/0!</v>
      </c>
      <c r="FD377" s="738" t="s">
        <v>1364</v>
      </c>
    </row>
    <row r="378" spans="27:162">
      <c r="AC378" s="766" t="e">
        <f ca="1">AC377*0.0034095</f>
        <v>#DIV/0!</v>
      </c>
      <c r="AD378" s="738" t="s">
        <v>921</v>
      </c>
      <c r="BC378" s="766" t="e">
        <f ca="1">BC377*0.0034095</f>
        <v>#DIV/0!</v>
      </c>
      <c r="BD378" s="738" t="s">
        <v>921</v>
      </c>
      <c r="CC378" s="766" t="e">
        <f ca="1">CC377*0.0034095</f>
        <v>#DIV/0!</v>
      </c>
      <c r="CD378" s="738" t="s">
        <v>921</v>
      </c>
      <c r="DC378" s="766" t="e">
        <f ca="1">DC377*0.0034095</f>
        <v>#DIV/0!</v>
      </c>
      <c r="DD378" s="738" t="s">
        <v>921</v>
      </c>
      <c r="EC378" s="766" t="e">
        <f ca="1">EC377*0.0034095</f>
        <v>#DIV/0!</v>
      </c>
      <c r="ED378" s="738" t="s">
        <v>921</v>
      </c>
      <c r="FC378" s="766" t="e">
        <f>FC377*0.0034095</f>
        <v>#DIV/0!</v>
      </c>
      <c r="FD378" s="738" t="s">
        <v>1363</v>
      </c>
    </row>
    <row r="379" spans="27:162">
      <c r="AA379" t="s">
        <v>930</v>
      </c>
      <c r="AC379" s="739" t="e">
        <f ca="1">((AC203+AC249)/3.785)*AC103</f>
        <v>#DIV/0!</v>
      </c>
      <c r="AD379" s="738" t="s">
        <v>824</v>
      </c>
      <c r="BA379" t="s">
        <v>930</v>
      </c>
      <c r="BC379" s="739" t="e">
        <f ca="1">((BC203+BC249)/3.785)*BC103</f>
        <v>#DIV/0!</v>
      </c>
      <c r="BD379" s="738" t="s">
        <v>824</v>
      </c>
      <c r="CA379" t="s">
        <v>930</v>
      </c>
      <c r="CC379" s="739" t="e">
        <f ca="1">((CC203+CC249)/3.785)*CC103</f>
        <v>#DIV/0!</v>
      </c>
      <c r="CD379" s="738" t="s">
        <v>824</v>
      </c>
      <c r="DA379" t="s">
        <v>930</v>
      </c>
      <c r="DC379" s="739" t="e">
        <f ca="1">((DC203+DC249)/3.785)*DC103</f>
        <v>#DIV/0!</v>
      </c>
      <c r="DD379" s="738" t="s">
        <v>824</v>
      </c>
      <c r="EA379" t="s">
        <v>930</v>
      </c>
      <c r="EC379" s="739" t="e">
        <f ca="1">((EC203+EC249)/3.785)*EC103</f>
        <v>#DIV/0!</v>
      </c>
      <c r="ED379" s="738" t="s">
        <v>824</v>
      </c>
      <c r="FA379" t="s">
        <v>930</v>
      </c>
      <c r="FC379" s="739">
        <f>((FC203+FC249)/3.785)*FC103</f>
        <v>0</v>
      </c>
      <c r="FD379" s="738" t="s">
        <v>824</v>
      </c>
    </row>
    <row r="380" spans="27:162">
      <c r="AC380" s="739" t="e">
        <f ca="1">AC379/AC103</f>
        <v>#DIV/0!</v>
      </c>
      <c r="AD380" s="738" t="s">
        <v>456</v>
      </c>
      <c r="BC380" s="739" t="e">
        <f ca="1">BC379/BC103</f>
        <v>#DIV/0!</v>
      </c>
      <c r="BD380" s="738" t="s">
        <v>456</v>
      </c>
      <c r="CC380" s="739" t="e">
        <f ca="1">CC379/CC103</f>
        <v>#DIV/0!</v>
      </c>
      <c r="CD380" s="738" t="s">
        <v>456</v>
      </c>
      <c r="DC380" s="739" t="e">
        <f ca="1">DC379/DC103</f>
        <v>#DIV/0!</v>
      </c>
      <c r="DD380" s="738" t="s">
        <v>456</v>
      </c>
      <c r="EC380" s="739" t="e">
        <f ca="1">EC379/EC103</f>
        <v>#DIV/0!</v>
      </c>
      <c r="ED380" s="738" t="s">
        <v>456</v>
      </c>
      <c r="FC380" s="739">
        <f>FC379/FC103</f>
        <v>0</v>
      </c>
      <c r="FD380" s="738" t="s">
        <v>456</v>
      </c>
    </row>
    <row r="381" spans="27:162">
      <c r="AC381" s="741" t="e">
        <f ca="1">AC380*3.785/AC110</f>
        <v>#DIV/0!</v>
      </c>
      <c r="AD381" s="738" t="s">
        <v>931</v>
      </c>
      <c r="BC381" s="741" t="e">
        <f ca="1">BC380*3.785/BC110</f>
        <v>#DIV/0!</v>
      </c>
      <c r="BD381" s="738" t="s">
        <v>931</v>
      </c>
      <c r="CC381" s="741" t="e">
        <f ca="1">CC380*3.785/CC110</f>
        <v>#DIV/0!</v>
      </c>
      <c r="CD381" s="738" t="s">
        <v>931</v>
      </c>
      <c r="DC381" s="741" t="e">
        <f ca="1">DC380*3.785/DC110</f>
        <v>#DIV/0!</v>
      </c>
      <c r="DD381" s="738" t="s">
        <v>931</v>
      </c>
      <c r="EC381" s="741" t="e">
        <f ca="1">EC380*3.785/EC110</f>
        <v>#DIV/0!</v>
      </c>
      <c r="ED381" s="738" t="s">
        <v>931</v>
      </c>
      <c r="FC381" s="741" t="e">
        <f>FC380*3.785/FC110</f>
        <v>#DIV/0!</v>
      </c>
      <c r="FD381" s="738" t="s">
        <v>931</v>
      </c>
    </row>
    <row r="382" spans="27:162">
      <c r="AA382" t="s">
        <v>932</v>
      </c>
      <c r="AC382" s="792">
        <f>C78</f>
        <v>2E-3</v>
      </c>
      <c r="AD382" s="738" t="s">
        <v>459</v>
      </c>
      <c r="BA382" t="s">
        <v>932</v>
      </c>
      <c r="BC382" s="792">
        <f>C78</f>
        <v>2E-3</v>
      </c>
      <c r="BD382" s="738" t="s">
        <v>459</v>
      </c>
      <c r="CA382" t="s">
        <v>932</v>
      </c>
      <c r="CC382" s="792">
        <f>C78</f>
        <v>2E-3</v>
      </c>
      <c r="CD382" s="738" t="s">
        <v>459</v>
      </c>
      <c r="DA382" t="s">
        <v>932</v>
      </c>
      <c r="DC382" s="792">
        <f>C78</f>
        <v>2E-3</v>
      </c>
      <c r="DD382" s="738" t="s">
        <v>459</v>
      </c>
      <c r="EA382" t="s">
        <v>932</v>
      </c>
      <c r="EC382" s="792">
        <f>C78</f>
        <v>2E-3</v>
      </c>
      <c r="ED382" s="738" t="s">
        <v>459</v>
      </c>
      <c r="FA382" t="s">
        <v>932</v>
      </c>
      <c r="FC382" s="792">
        <f>FC77</f>
        <v>0</v>
      </c>
      <c r="FD382" s="738" t="s">
        <v>459</v>
      </c>
    </row>
    <row r="383" spans="27:162">
      <c r="AA383" t="s">
        <v>933</v>
      </c>
      <c r="AC383" s="750" t="e">
        <f ca="1">AC379*AC382</f>
        <v>#DIV/0!</v>
      </c>
      <c r="AD383" s="738" t="s">
        <v>458</v>
      </c>
      <c r="BA383" t="s">
        <v>933</v>
      </c>
      <c r="BC383" s="750" t="e">
        <f ca="1">BC379*BC382</f>
        <v>#DIV/0!</v>
      </c>
      <c r="BD383" s="738" t="s">
        <v>458</v>
      </c>
      <c r="CA383" t="s">
        <v>933</v>
      </c>
      <c r="CC383" s="750" t="e">
        <f ca="1">CC379*CC382</f>
        <v>#DIV/0!</v>
      </c>
      <c r="CD383" s="738" t="s">
        <v>458</v>
      </c>
      <c r="DA383" t="s">
        <v>933</v>
      </c>
      <c r="DC383" s="750" t="e">
        <f ca="1">DC379*DC382</f>
        <v>#DIV/0!</v>
      </c>
      <c r="DD383" s="738" t="s">
        <v>458</v>
      </c>
      <c r="EA383" t="s">
        <v>933</v>
      </c>
      <c r="EC383" s="750" t="e">
        <f ca="1">EC379*EC382</f>
        <v>#DIV/0!</v>
      </c>
      <c r="ED383" s="738" t="s">
        <v>458</v>
      </c>
      <c r="FA383" t="s">
        <v>933</v>
      </c>
      <c r="FC383" s="750">
        <f>FC379*FC382</f>
        <v>0</v>
      </c>
      <c r="FD383" s="738" t="s">
        <v>458</v>
      </c>
    </row>
    <row r="384" spans="27:162">
      <c r="AA384" t="s">
        <v>934</v>
      </c>
      <c r="AC384" s="739" t="e">
        <f ca="1">AC240</f>
        <v>#DIV/0!</v>
      </c>
      <c r="AD384" s="738" t="s">
        <v>824</v>
      </c>
      <c r="BA384" t="s">
        <v>934</v>
      </c>
      <c r="BC384" s="739" t="e">
        <f ca="1">BC240</f>
        <v>#DIV/0!</v>
      </c>
      <c r="BD384" s="738" t="s">
        <v>824</v>
      </c>
      <c r="CA384" t="s">
        <v>934</v>
      </c>
      <c r="CC384" s="739" t="e">
        <f ca="1">CC240</f>
        <v>#DIV/0!</v>
      </c>
      <c r="CD384" s="738" t="s">
        <v>824</v>
      </c>
      <c r="DA384" t="s">
        <v>934</v>
      </c>
      <c r="DC384" s="739" t="e">
        <f ca="1">DC240</f>
        <v>#DIV/0!</v>
      </c>
      <c r="DD384" s="738" t="s">
        <v>824</v>
      </c>
      <c r="EA384" t="s">
        <v>934</v>
      </c>
      <c r="EC384" s="739" t="e">
        <f ca="1">EC240</f>
        <v>#DIV/0!</v>
      </c>
      <c r="ED384" s="738" t="s">
        <v>824</v>
      </c>
      <c r="FA384" t="s">
        <v>934</v>
      </c>
      <c r="FC384" s="739">
        <f>FC240</f>
        <v>0</v>
      </c>
      <c r="FD384" s="738" t="s">
        <v>824</v>
      </c>
    </row>
    <row r="385" spans="27:160">
      <c r="AA385" t="s">
        <v>935</v>
      </c>
      <c r="AC385" s="792">
        <f>C78</f>
        <v>2E-3</v>
      </c>
      <c r="AD385" s="738" t="s">
        <v>459</v>
      </c>
      <c r="BA385" t="s">
        <v>935</v>
      </c>
      <c r="BC385" s="792">
        <f>C78</f>
        <v>2E-3</v>
      </c>
      <c r="BD385" s="738" t="s">
        <v>459</v>
      </c>
      <c r="CA385" t="s">
        <v>935</v>
      </c>
      <c r="CC385" s="792">
        <f>C78</f>
        <v>2E-3</v>
      </c>
      <c r="CD385" s="738" t="s">
        <v>459</v>
      </c>
      <c r="DA385" t="s">
        <v>935</v>
      </c>
      <c r="DC385" s="792">
        <f>C78</f>
        <v>2E-3</v>
      </c>
      <c r="DD385" s="738" t="s">
        <v>459</v>
      </c>
      <c r="EA385" t="s">
        <v>935</v>
      </c>
      <c r="EC385" s="792">
        <f>C78</f>
        <v>2E-3</v>
      </c>
      <c r="ED385" s="738" t="s">
        <v>459</v>
      </c>
      <c r="FA385" t="s">
        <v>935</v>
      </c>
      <c r="FC385" s="792">
        <f>FC77</f>
        <v>0</v>
      </c>
      <c r="FD385" s="738" t="s">
        <v>459</v>
      </c>
    </row>
    <row r="386" spans="27:160">
      <c r="AA386" t="s">
        <v>936</v>
      </c>
      <c r="AC386" s="750" t="e">
        <f ca="1">AC384*AC385</f>
        <v>#DIV/0!</v>
      </c>
      <c r="AD386" s="738" t="s">
        <v>458</v>
      </c>
      <c r="BA386" t="s">
        <v>936</v>
      </c>
      <c r="BC386" s="750" t="e">
        <f ca="1">BC384*BC385</f>
        <v>#DIV/0!</v>
      </c>
      <c r="BD386" s="738" t="s">
        <v>458</v>
      </c>
      <c r="CA386" t="s">
        <v>936</v>
      </c>
      <c r="CC386" s="750" t="e">
        <f ca="1">CC384*CC385</f>
        <v>#DIV/0!</v>
      </c>
      <c r="CD386" s="738" t="s">
        <v>458</v>
      </c>
      <c r="DA386" t="s">
        <v>936</v>
      </c>
      <c r="DC386" s="750" t="e">
        <f ca="1">DC384*DC385</f>
        <v>#DIV/0!</v>
      </c>
      <c r="DD386" s="738" t="s">
        <v>458</v>
      </c>
      <c r="EA386" t="s">
        <v>936</v>
      </c>
      <c r="EC386" s="750" t="e">
        <f ca="1">EC384*EC385</f>
        <v>#DIV/0!</v>
      </c>
      <c r="ED386" s="738" t="s">
        <v>458</v>
      </c>
      <c r="FA386" t="s">
        <v>936</v>
      </c>
      <c r="FC386" s="750">
        <f>FC384*FC385</f>
        <v>0</v>
      </c>
      <c r="FD386" s="738" t="s">
        <v>458</v>
      </c>
    </row>
    <row r="387" spans="27:160">
      <c r="AA387" s="2" t="s">
        <v>937</v>
      </c>
      <c r="AC387" s="793" t="e">
        <f ca="1">AC370+AC374+AC383+AC386</f>
        <v>#DIV/0!</v>
      </c>
      <c r="AD387" s="738" t="s">
        <v>458</v>
      </c>
      <c r="BA387" s="2" t="s">
        <v>937</v>
      </c>
      <c r="BC387" s="793" t="e">
        <f ca="1">BC370+BC374+BC383+BC386</f>
        <v>#DIV/0!</v>
      </c>
      <c r="BD387" s="738" t="s">
        <v>458</v>
      </c>
      <c r="CA387" s="2" t="s">
        <v>937</v>
      </c>
      <c r="CC387" s="793" t="e">
        <f ca="1">CC370+CC374+CC383+CC386</f>
        <v>#DIV/0!</v>
      </c>
      <c r="CD387" s="738" t="s">
        <v>458</v>
      </c>
      <c r="DA387" s="2" t="s">
        <v>937</v>
      </c>
      <c r="DC387" s="793" t="e">
        <f ca="1">DC370+DC374+DC383+DC386</f>
        <v>#DIV/0!</v>
      </c>
      <c r="DD387" s="738" t="s">
        <v>458</v>
      </c>
      <c r="EA387" s="2" t="s">
        <v>937</v>
      </c>
      <c r="EC387" s="793" t="e">
        <f ca="1">EC370+EC374+EC383+EC386</f>
        <v>#DIV/0!</v>
      </c>
      <c r="ED387" s="738" t="s">
        <v>458</v>
      </c>
      <c r="FA387" s="2" t="s">
        <v>937</v>
      </c>
      <c r="FC387" s="793" t="e">
        <f>FC370+FC374+FC383+FC386</f>
        <v>#DIV/0!</v>
      </c>
      <c r="FD387" s="738" t="s">
        <v>458</v>
      </c>
    </row>
    <row r="388" spans="27:160">
      <c r="AC388" s="794" t="e">
        <f ca="1">AC387/AC526</f>
        <v>#DIV/0!</v>
      </c>
      <c r="AD388" s="770" t="s">
        <v>938</v>
      </c>
      <c r="BC388" s="794" t="e">
        <f ca="1">BC387/BC526</f>
        <v>#DIV/0!</v>
      </c>
      <c r="BD388" s="770" t="s">
        <v>938</v>
      </c>
      <c r="CC388" s="794" t="e">
        <f ca="1">CC387/CC526</f>
        <v>#DIV/0!</v>
      </c>
      <c r="CD388" s="770" t="s">
        <v>938</v>
      </c>
      <c r="DC388" s="794" t="e">
        <f ca="1">DC387/DC526</f>
        <v>#DIV/0!</v>
      </c>
      <c r="DD388" s="770" t="s">
        <v>938</v>
      </c>
      <c r="EC388" s="794" t="e">
        <f ca="1">EC387/EC526</f>
        <v>#DIV/0!</v>
      </c>
      <c r="ED388" s="770" t="s">
        <v>938</v>
      </c>
      <c r="FC388" s="794" t="e">
        <f ca="1">FC387/FC526</f>
        <v>#DIV/0!</v>
      </c>
      <c r="FD388" s="770" t="s">
        <v>938</v>
      </c>
    </row>
    <row r="389" spans="27:160">
      <c r="AC389" s="750"/>
      <c r="BC389" s="750"/>
      <c r="CC389" s="750"/>
      <c r="DC389" s="750"/>
      <c r="EC389" s="750"/>
      <c r="FC389" s="750"/>
    </row>
    <row r="390" spans="27:160">
      <c r="AA390" t="s">
        <v>939</v>
      </c>
      <c r="AC390" s="750" t="e">
        <f ca="1">AC145+AC161+AC209+AC264+AC267+AC282+AC294+AC307+AC340+AC341+AC342+AC343+AC357+AC359</f>
        <v>#DIV/0!</v>
      </c>
      <c r="BA390" t="s">
        <v>939</v>
      </c>
      <c r="BC390" s="750" t="e">
        <f ca="1">BC145+BC161+BC209+BC264+BC267+BC282+BC294+BC307+BC340+BC341+BC342+BC343+BC357+BC359</f>
        <v>#DIV/0!</v>
      </c>
      <c r="CA390" t="s">
        <v>939</v>
      </c>
      <c r="CC390" s="750" t="e">
        <f ca="1">CC145+CC161+CC209+CC264+CC267+CC282+CC294+CC307+CC340+CC341+CC342+CC343+CC357+CC359</f>
        <v>#DIV/0!</v>
      </c>
      <c r="DA390" t="s">
        <v>939</v>
      </c>
      <c r="DC390" s="750" t="e">
        <f ca="1">DC145+DC161+DC209+DC264+DC267+DC282+DC294+DC307+DC340+DC341+DC342+DC343+DC357+DC359</f>
        <v>#DIV/0!</v>
      </c>
      <c r="EA390" t="s">
        <v>939</v>
      </c>
      <c r="EC390" s="750" t="e">
        <f ca="1">EC145+EC161+EC209+EC264+EC267+EC282+EC294+EC307+EC340+EC341+EC342+EC343+EC357+EC359</f>
        <v>#DIV/0!</v>
      </c>
      <c r="FA390" t="s">
        <v>939</v>
      </c>
      <c r="FC390" s="750" t="e">
        <f>FC145+FC161+FC209+FC264+FC267+FC282+FC294+FC307+FC340+FC341+FC342+FC343+FC357+FC359</f>
        <v>#DIV/0!</v>
      </c>
    </row>
    <row r="391" spans="27:160">
      <c r="AA391" t="s">
        <v>940</v>
      </c>
      <c r="AC391" s="763">
        <v>0.1</v>
      </c>
      <c r="BA391" t="s">
        <v>940</v>
      </c>
      <c r="BC391" s="763">
        <v>0.1</v>
      </c>
      <c r="CA391" t="s">
        <v>940</v>
      </c>
      <c r="CC391" s="763">
        <v>0.1</v>
      </c>
      <c r="DA391" t="s">
        <v>940</v>
      </c>
      <c r="DC391" s="763">
        <v>0.1</v>
      </c>
      <c r="EA391" t="s">
        <v>940</v>
      </c>
      <c r="EC391" s="763">
        <v>0.1</v>
      </c>
      <c r="FA391" t="s">
        <v>940</v>
      </c>
      <c r="FC391" s="763">
        <v>0.1</v>
      </c>
    </row>
    <row r="392" spans="27:160">
      <c r="AA392" s="2" t="s">
        <v>941</v>
      </c>
      <c r="AB392" s="2"/>
      <c r="AC392" s="793" t="e">
        <f ca="1">AC390*(1+AC391)*'Geographic Par.'!C42</f>
        <v>#DIV/0!</v>
      </c>
      <c r="BA392" s="2" t="s">
        <v>941</v>
      </c>
      <c r="BB392" s="2"/>
      <c r="BC392" s="793" t="e">
        <f ca="1">BC390*(1+BC391)*'Geographic Par.'!C42</f>
        <v>#DIV/0!</v>
      </c>
      <c r="CA392" s="2" t="s">
        <v>941</v>
      </c>
      <c r="CB392" s="2"/>
      <c r="CC392" s="793" t="e">
        <f ca="1">CC390*(1+CC391)*'Geographic Par.'!C42</f>
        <v>#DIV/0!</v>
      </c>
      <c r="DA392" s="2" t="s">
        <v>941</v>
      </c>
      <c r="DB392" s="2"/>
      <c r="DC392" s="793" t="e">
        <f ca="1">DC390*(1+DC391)*'Geographic Par.'!C42</f>
        <v>#DIV/0!</v>
      </c>
      <c r="EA392" s="2" t="s">
        <v>941</v>
      </c>
      <c r="EB392" s="2"/>
      <c r="EC392" s="793" t="e">
        <f ca="1">EC390*(1+EC391)*'Geographic Par.'!C42</f>
        <v>#DIV/0!</v>
      </c>
      <c r="FA392" s="2" t="s">
        <v>941</v>
      </c>
      <c r="FB392" s="2"/>
      <c r="FC392" s="793" t="e">
        <f>FC390*(1+FC391)*'Geographic Par.'!C42</f>
        <v>#DIV/0!</v>
      </c>
    </row>
    <row r="393" spans="27:160">
      <c r="AC393" s="750"/>
      <c r="BC393" s="750"/>
      <c r="CC393" s="750"/>
      <c r="DC393" s="750"/>
      <c r="EC393" s="750"/>
      <c r="FC393" s="750"/>
    </row>
    <row r="394" spans="27:160">
      <c r="AA394" t="s">
        <v>942</v>
      </c>
      <c r="AC394" s="750"/>
      <c r="BA394" t="s">
        <v>942</v>
      </c>
      <c r="BC394" s="750"/>
      <c r="CA394" t="s">
        <v>942</v>
      </c>
      <c r="CC394" s="750"/>
      <c r="DA394" t="s">
        <v>942</v>
      </c>
      <c r="DC394" s="750"/>
      <c r="EA394" t="s">
        <v>942</v>
      </c>
      <c r="EC394" s="750"/>
      <c r="FA394" t="s">
        <v>942</v>
      </c>
      <c r="FC394" s="750"/>
    </row>
    <row r="395" spans="27:160">
      <c r="AA395" t="s">
        <v>717</v>
      </c>
      <c r="AC395" s="795">
        <v>300</v>
      </c>
      <c r="AD395" t="s">
        <v>943</v>
      </c>
      <c r="BA395" t="s">
        <v>717</v>
      </c>
      <c r="BC395" s="795">
        <v>300</v>
      </c>
      <c r="BD395" t="s">
        <v>943</v>
      </c>
      <c r="CA395" t="s">
        <v>717</v>
      </c>
      <c r="CC395" s="795">
        <v>300</v>
      </c>
      <c r="CD395" t="s">
        <v>943</v>
      </c>
      <c r="DA395" t="s">
        <v>717</v>
      </c>
      <c r="DC395" s="795">
        <v>300</v>
      </c>
      <c r="DD395" t="s">
        <v>943</v>
      </c>
      <c r="EA395" t="s">
        <v>717</v>
      </c>
      <c r="EC395" s="795">
        <v>300</v>
      </c>
      <c r="ED395" t="s">
        <v>943</v>
      </c>
      <c r="FA395" t="s">
        <v>717</v>
      </c>
      <c r="FC395" s="795">
        <v>300</v>
      </c>
      <c r="FD395" t="s">
        <v>943</v>
      </c>
    </row>
    <row r="396" spans="27:160">
      <c r="AA396" t="s">
        <v>540</v>
      </c>
      <c r="AC396" s="795">
        <v>390</v>
      </c>
      <c r="AD396" t="s">
        <v>943</v>
      </c>
      <c r="BA396" t="s">
        <v>540</v>
      </c>
      <c r="BC396" s="795">
        <v>390</v>
      </c>
      <c r="BD396" t="s">
        <v>943</v>
      </c>
      <c r="CA396" t="s">
        <v>540</v>
      </c>
      <c r="CC396" s="795">
        <v>390</v>
      </c>
      <c r="CD396" t="s">
        <v>943</v>
      </c>
      <c r="DA396" t="s">
        <v>540</v>
      </c>
      <c r="DC396" s="795">
        <v>390</v>
      </c>
      <c r="DD396" t="s">
        <v>943</v>
      </c>
      <c r="EA396" t="s">
        <v>540</v>
      </c>
      <c r="EC396" s="795">
        <v>390</v>
      </c>
      <c r="ED396" t="s">
        <v>943</v>
      </c>
      <c r="FA396" t="s">
        <v>540</v>
      </c>
      <c r="FC396" s="795">
        <v>390</v>
      </c>
      <c r="FD396" t="s">
        <v>943</v>
      </c>
    </row>
    <row r="397" spans="27:160">
      <c r="AA397" t="s">
        <v>944</v>
      </c>
      <c r="AC397" s="795">
        <v>7903</v>
      </c>
      <c r="AD397" t="s">
        <v>943</v>
      </c>
      <c r="BA397" t="s">
        <v>944</v>
      </c>
      <c r="BC397" s="795">
        <v>7903</v>
      </c>
      <c r="BD397" t="s">
        <v>943</v>
      </c>
      <c r="CA397" t="s">
        <v>944</v>
      </c>
      <c r="CC397" s="795">
        <v>7903</v>
      </c>
      <c r="CD397" t="s">
        <v>943</v>
      </c>
      <c r="DA397" t="s">
        <v>944</v>
      </c>
      <c r="DC397" s="795">
        <v>7903</v>
      </c>
      <c r="DD397" t="s">
        <v>943</v>
      </c>
      <c r="EA397" t="s">
        <v>944</v>
      </c>
      <c r="EC397" s="795">
        <v>7903</v>
      </c>
      <c r="ED397" t="s">
        <v>943</v>
      </c>
      <c r="FA397" t="s">
        <v>944</v>
      </c>
      <c r="FC397" s="795">
        <v>7903</v>
      </c>
      <c r="FD397" t="s">
        <v>943</v>
      </c>
    </row>
    <row r="398" spans="27:160">
      <c r="AC398" s="750"/>
      <c r="BC398" s="750"/>
      <c r="CC398" s="750"/>
      <c r="DC398" s="750"/>
      <c r="EC398" s="750"/>
      <c r="FC398" s="750"/>
    </row>
    <row r="399" spans="27:160">
      <c r="AA399" t="s">
        <v>945</v>
      </c>
      <c r="BA399" t="s">
        <v>945</v>
      </c>
      <c r="CA399" t="s">
        <v>945</v>
      </c>
      <c r="DA399" t="s">
        <v>945</v>
      </c>
      <c r="EA399" t="s">
        <v>945</v>
      </c>
      <c r="FA399" t="s">
        <v>945</v>
      </c>
    </row>
    <row r="400" spans="27:160">
      <c r="AA400" t="s">
        <v>946</v>
      </c>
      <c r="AC400" s="744" t="e">
        <f>AC117/1000</f>
        <v>#DIV/0!</v>
      </c>
      <c r="AD400" t="s">
        <v>947</v>
      </c>
      <c r="BA400" t="s">
        <v>946</v>
      </c>
      <c r="BC400" s="744" t="e">
        <f>BC117/1000</f>
        <v>#DIV/0!</v>
      </c>
      <c r="BD400" t="s">
        <v>947</v>
      </c>
      <c r="BE400" s="50" t="e">
        <f>BC400*1000/BC$110</f>
        <v>#DIV/0!</v>
      </c>
      <c r="CA400" t="s">
        <v>946</v>
      </c>
      <c r="CC400" s="744" t="e">
        <f>CC117/1000</f>
        <v>#DIV/0!</v>
      </c>
      <c r="CD400" t="s">
        <v>947</v>
      </c>
      <c r="CE400" s="50" t="e">
        <f>CC400*1000/CC$110</f>
        <v>#DIV/0!</v>
      </c>
      <c r="DA400" t="s">
        <v>946</v>
      </c>
      <c r="DC400" s="744" t="e">
        <f>DC117/1000</f>
        <v>#DIV/0!</v>
      </c>
      <c r="DD400" t="s">
        <v>947</v>
      </c>
      <c r="EA400" t="s">
        <v>946</v>
      </c>
      <c r="EC400" s="744" t="e">
        <f>EC117/1000</f>
        <v>#DIV/0!</v>
      </c>
      <c r="ED400" t="s">
        <v>947</v>
      </c>
      <c r="FA400" s="1185" t="s">
        <v>946</v>
      </c>
      <c r="FB400" s="1185"/>
      <c r="FC400" s="1197">
        <f>FC117/1000</f>
        <v>0</v>
      </c>
      <c r="FD400" s="1185" t="s">
        <v>947</v>
      </c>
    </row>
    <row r="401" spans="27:160">
      <c r="AA401" t="s">
        <v>948</v>
      </c>
      <c r="AC401" s="744" t="e">
        <f>AC121/1000</f>
        <v>#DIV/0!</v>
      </c>
      <c r="AD401" t="s">
        <v>947</v>
      </c>
      <c r="BA401" t="s">
        <v>948</v>
      </c>
      <c r="BC401" s="744" t="e">
        <f>BC121/1000</f>
        <v>#DIV/0!</v>
      </c>
      <c r="BD401" t="s">
        <v>947</v>
      </c>
      <c r="BE401" s="50" t="e">
        <f>BC401*1000/BC$110</f>
        <v>#DIV/0!</v>
      </c>
      <c r="CA401" t="s">
        <v>948</v>
      </c>
      <c r="CC401" s="744" t="e">
        <f>CC121/1000</f>
        <v>#DIV/0!</v>
      </c>
      <c r="CD401" t="s">
        <v>947</v>
      </c>
      <c r="CE401" s="50" t="e">
        <f>CC401*1000/CC$110</f>
        <v>#DIV/0!</v>
      </c>
      <c r="DA401" t="s">
        <v>948</v>
      </c>
      <c r="DC401" s="744" t="e">
        <f>DC121/1000</f>
        <v>#DIV/0!</v>
      </c>
      <c r="DD401" t="s">
        <v>947</v>
      </c>
      <c r="EA401" t="s">
        <v>1257</v>
      </c>
      <c r="EC401" s="744" t="e">
        <f>EC121/1000</f>
        <v>#DIV/0!</v>
      </c>
      <c r="ED401" t="s">
        <v>947</v>
      </c>
      <c r="FA401" s="1185" t="s">
        <v>948</v>
      </c>
      <c r="FB401" s="1185"/>
      <c r="FC401" s="1197">
        <f>FC121/1000</f>
        <v>0</v>
      </c>
      <c r="FD401" s="1185" t="s">
        <v>947</v>
      </c>
    </row>
    <row r="402" spans="27:160">
      <c r="AA402" t="s">
        <v>949</v>
      </c>
      <c r="AC402" s="744" t="e">
        <f>AC125/1000</f>
        <v>#DIV/0!</v>
      </c>
      <c r="AD402" t="s">
        <v>947</v>
      </c>
      <c r="BA402" t="s">
        <v>949</v>
      </c>
      <c r="BC402" s="744" t="e">
        <f>BC125/1000</f>
        <v>#DIV/0!</v>
      </c>
      <c r="BD402" t="s">
        <v>947</v>
      </c>
      <c r="BE402" s="50" t="e">
        <f>BC402*1000/BC$110</f>
        <v>#DIV/0!</v>
      </c>
      <c r="CA402" t="s">
        <v>949</v>
      </c>
      <c r="CC402" s="744" t="e">
        <f>CC125/1000</f>
        <v>#DIV/0!</v>
      </c>
      <c r="CD402" t="s">
        <v>947</v>
      </c>
      <c r="CE402" s="50" t="e">
        <f>CC402*1000/CC$110</f>
        <v>#DIV/0!</v>
      </c>
      <c r="DA402" t="s">
        <v>949</v>
      </c>
      <c r="DC402" s="744" t="e">
        <f>DC125/1000</f>
        <v>#DIV/0!</v>
      </c>
      <c r="DD402" t="s">
        <v>947</v>
      </c>
      <c r="EA402" t="s">
        <v>949</v>
      </c>
      <c r="EC402" s="744" t="e">
        <f>EC125/1000</f>
        <v>#DIV/0!</v>
      </c>
      <c r="ED402" t="s">
        <v>947</v>
      </c>
      <c r="FA402" t="s">
        <v>1365</v>
      </c>
      <c r="FC402" s="744" t="e">
        <f>FC113/3*240.79/1000000</f>
        <v>#DIV/0!</v>
      </c>
      <c r="FD402" t="s">
        <v>947</v>
      </c>
    </row>
    <row r="403" spans="27:160">
      <c r="AA403" t="s">
        <v>950</v>
      </c>
      <c r="AC403" s="744" t="e">
        <f>AC152/1000</f>
        <v>#DIV/0!</v>
      </c>
      <c r="AD403" t="s">
        <v>947</v>
      </c>
      <c r="BA403" t="s">
        <v>950</v>
      </c>
      <c r="BC403" s="744" t="e">
        <f>BC152/1000</f>
        <v>#DIV/0!</v>
      </c>
      <c r="BD403" t="s">
        <v>947</v>
      </c>
      <c r="BE403" s="50" t="e">
        <f>BC403*1000/BC$110</f>
        <v>#DIV/0!</v>
      </c>
      <c r="CA403" t="s">
        <v>950</v>
      </c>
      <c r="CC403" s="744" t="e">
        <f>CC152/1000</f>
        <v>#DIV/0!</v>
      </c>
      <c r="CD403" t="s">
        <v>947</v>
      </c>
      <c r="CE403" s="50" t="e">
        <f>CC403*1000/CC$110</f>
        <v>#DIV/0!</v>
      </c>
      <c r="DA403" t="s">
        <v>950</v>
      </c>
      <c r="DC403" s="744" t="e">
        <f>DC152/1000</f>
        <v>#DIV/0!</v>
      </c>
      <c r="DD403" t="s">
        <v>947</v>
      </c>
      <c r="EA403" t="s">
        <v>950</v>
      </c>
      <c r="EC403" s="744" t="e">
        <f>EC152/1000</f>
        <v>#DIV/0!</v>
      </c>
      <c r="ED403" t="s">
        <v>947</v>
      </c>
      <c r="FA403" s="1185" t="s">
        <v>950</v>
      </c>
      <c r="FB403" s="1185"/>
      <c r="FC403" s="1197">
        <f>FC152/1000</f>
        <v>0</v>
      </c>
      <c r="FD403" s="1185" t="s">
        <v>947</v>
      </c>
    </row>
    <row r="404" spans="27:160">
      <c r="AA404" t="s">
        <v>951</v>
      </c>
      <c r="AC404" s="740" t="e">
        <f ca="1">(AC170*(14+16+4)/1000) /1000</f>
        <v>#DIV/0!</v>
      </c>
      <c r="AD404" t="s">
        <v>947</v>
      </c>
      <c r="BA404" t="s">
        <v>951</v>
      </c>
      <c r="BC404" s="740" t="e">
        <f ca="1">(BC170*(14+16+4)/1000) /1000</f>
        <v>#DIV/0!</v>
      </c>
      <c r="BD404" t="s">
        <v>947</v>
      </c>
      <c r="CA404" t="s">
        <v>951</v>
      </c>
      <c r="CC404" s="740" t="e">
        <f ca="1">(CC170*(14+16+4)/1000) /1000</f>
        <v>#DIV/0!</v>
      </c>
      <c r="CD404" t="s">
        <v>947</v>
      </c>
      <c r="DA404" t="s">
        <v>951</v>
      </c>
      <c r="DC404" s="740" t="e">
        <f ca="1">(DC170*(14+16+4)/1000) /1000</f>
        <v>#DIV/0!</v>
      </c>
      <c r="DD404" t="s">
        <v>947</v>
      </c>
      <c r="EA404" t="s">
        <v>951</v>
      </c>
      <c r="EC404" s="740" t="e">
        <f ca="1">(EC170*(14+16+4)/1000) /1000</f>
        <v>#DIV/0!</v>
      </c>
      <c r="ED404" t="s">
        <v>947</v>
      </c>
      <c r="FA404" s="1185" t="s">
        <v>951</v>
      </c>
      <c r="FB404" s="1185"/>
      <c r="FC404" s="1198">
        <f>(FC170*(14+16+4)/1000) /1000</f>
        <v>0</v>
      </c>
      <c r="FD404" s="1185" t="s">
        <v>947</v>
      </c>
    </row>
    <row r="405" spans="27:160">
      <c r="AA405" t="s">
        <v>952</v>
      </c>
      <c r="AC405" s="744" t="e">
        <f>AC299/1000</f>
        <v>#DIV/0!</v>
      </c>
      <c r="AD405" t="s">
        <v>947</v>
      </c>
      <c r="BA405" t="s">
        <v>952</v>
      </c>
      <c r="BC405" s="744" t="e">
        <f>BC299/1000</f>
        <v>#DIV/0!</v>
      </c>
      <c r="BD405" t="s">
        <v>947</v>
      </c>
      <c r="BE405" s="50"/>
      <c r="CA405" t="s">
        <v>952</v>
      </c>
      <c r="CC405" s="744" t="e">
        <f>CC299/1000</f>
        <v>#DIV/0!</v>
      </c>
      <c r="CD405" t="s">
        <v>947</v>
      </c>
      <c r="CE405" s="50"/>
      <c r="DA405" t="s">
        <v>952</v>
      </c>
      <c r="DC405" s="744" t="e">
        <f>DC299/1000</f>
        <v>#DIV/0!</v>
      </c>
      <c r="DD405" t="s">
        <v>947</v>
      </c>
      <c r="EA405" t="s">
        <v>952</v>
      </c>
      <c r="EC405" s="744" t="e">
        <f>EC299/1000</f>
        <v>#DIV/0!</v>
      </c>
      <c r="ED405" t="s">
        <v>947</v>
      </c>
      <c r="FA405" t="s">
        <v>952</v>
      </c>
      <c r="FC405" s="744" t="e">
        <f>FC299/1000</f>
        <v>#DIV/0!</v>
      </c>
      <c r="FD405" t="s">
        <v>947</v>
      </c>
    </row>
    <row r="406" spans="27:160">
      <c r="AA406" t="s">
        <v>953</v>
      </c>
      <c r="AC406" s="739" t="e">
        <f ca="1">((AC119+AC123+AC127+AC128+AC154+AC173+AC249)/3.785/1000)</f>
        <v>#DIV/0!</v>
      </c>
      <c r="AD406" t="s">
        <v>954</v>
      </c>
      <c r="BA406" t="s">
        <v>953</v>
      </c>
      <c r="BC406" s="739" t="e">
        <f ca="1">((BC119+BC123+BC127+BC128+BC154+BC173+BC249)/3.785/1000)</f>
        <v>#DIV/0!</v>
      </c>
      <c r="BD406" t="s">
        <v>954</v>
      </c>
      <c r="CA406" t="s">
        <v>953</v>
      </c>
      <c r="CC406" s="739" t="e">
        <f ca="1">((CC119+CC123+CC127+CC128+CC154+CC173+CC249)/3.785/1000)</f>
        <v>#DIV/0!</v>
      </c>
      <c r="CD406" t="s">
        <v>954</v>
      </c>
      <c r="DA406" t="s">
        <v>953</v>
      </c>
      <c r="DC406" s="739" t="e">
        <f ca="1">((DC119+DC123+DC127+DC128+DC154+DC173+DC249)/3.785/1000)</f>
        <v>#DIV/0!</v>
      </c>
      <c r="DD406" t="s">
        <v>954</v>
      </c>
      <c r="EA406" t="s">
        <v>953</v>
      </c>
      <c r="EC406" s="739" t="e">
        <f ca="1">((EC119+EC123+EC127+EC128+EC154+EC173+EC249)/3.785/1000)</f>
        <v>#DIV/0!</v>
      </c>
      <c r="ED406" t="s">
        <v>954</v>
      </c>
      <c r="FA406" t="s">
        <v>953</v>
      </c>
      <c r="FC406" s="739">
        <f>((FC119+FC123+FC127+FC128+FC154+FC173+FC249)/3.785/1000)</f>
        <v>0</v>
      </c>
      <c r="FD406" t="s">
        <v>954</v>
      </c>
    </row>
    <row r="407" spans="27:160">
      <c r="AC407" s="739"/>
      <c r="BC407" s="739"/>
      <c r="CC407" s="739"/>
      <c r="DC407" s="739"/>
      <c r="EC407" s="739"/>
      <c r="FC407" s="739"/>
    </row>
    <row r="408" spans="27:160">
      <c r="AA408" t="s">
        <v>955</v>
      </c>
      <c r="BA408" t="s">
        <v>955</v>
      </c>
      <c r="CA408" t="s">
        <v>955</v>
      </c>
      <c r="DA408" t="s">
        <v>955</v>
      </c>
      <c r="EA408" t="s">
        <v>955</v>
      </c>
      <c r="FA408" t="s">
        <v>955</v>
      </c>
    </row>
    <row r="409" spans="27:160">
      <c r="AA409" t="s">
        <v>956</v>
      </c>
      <c r="AB409" s="796"/>
      <c r="AC409" s="797">
        <f>'BatPaC IO'!B8</f>
        <v>16.853000000000002</v>
      </c>
      <c r="AD409" s="798" t="s">
        <v>460</v>
      </c>
      <c r="BA409" t="s">
        <v>956</v>
      </c>
      <c r="BB409" s="796"/>
      <c r="BC409" s="797">
        <f>'BatPaC IO'!B8</f>
        <v>16.853000000000002</v>
      </c>
      <c r="BD409" s="798" t="s">
        <v>460</v>
      </c>
      <c r="CA409" t="s">
        <v>956</v>
      </c>
      <c r="CB409" s="796"/>
      <c r="CC409" s="797">
        <f>'BatPaC IO'!B8</f>
        <v>16.853000000000002</v>
      </c>
      <c r="CD409" s="798" t="s">
        <v>460</v>
      </c>
      <c r="DA409" t="s">
        <v>956</v>
      </c>
      <c r="DB409" s="796"/>
      <c r="DC409" s="797">
        <f>'BatPaC IO'!B8</f>
        <v>16.853000000000002</v>
      </c>
      <c r="DD409" s="798" t="s">
        <v>460</v>
      </c>
      <c r="EA409" t="s">
        <v>956</v>
      </c>
      <c r="EB409" s="796"/>
      <c r="EC409" s="797">
        <f>'BatPaC IO'!B8</f>
        <v>16.853000000000002</v>
      </c>
      <c r="ED409" s="798" t="s">
        <v>460</v>
      </c>
      <c r="FA409" t="s">
        <v>956</v>
      </c>
      <c r="FB409" s="796"/>
      <c r="FC409" s="797">
        <f>'BatPaC IO'!B8</f>
        <v>16.853000000000002</v>
      </c>
      <c r="FD409" s="798" t="s">
        <v>460</v>
      </c>
    </row>
    <row r="410" spans="27:160">
      <c r="AB410" s="745"/>
      <c r="AC410" s="739">
        <f>AC409*1000</f>
        <v>16853</v>
      </c>
      <c r="AD410" s="799" t="s">
        <v>943</v>
      </c>
      <c r="BB410" s="745"/>
      <c r="BC410" s="739">
        <f>BC409*1000</f>
        <v>16853</v>
      </c>
      <c r="BD410" s="799" t="s">
        <v>943</v>
      </c>
      <c r="CB410" s="745"/>
      <c r="CC410" s="739">
        <f>CC409*1000</f>
        <v>16853</v>
      </c>
      <c r="CD410" s="799" t="s">
        <v>943</v>
      </c>
      <c r="DB410" s="745"/>
      <c r="DC410" s="739">
        <f>DC409*1000</f>
        <v>16853</v>
      </c>
      <c r="DD410" s="799" t="s">
        <v>943</v>
      </c>
      <c r="EB410" s="745"/>
      <c r="EC410" s="739">
        <f>EC409*1000</f>
        <v>16853</v>
      </c>
      <c r="ED410" s="799" t="s">
        <v>943</v>
      </c>
      <c r="FB410" s="745"/>
      <c r="FC410" s="739">
        <f>FC409*1000</f>
        <v>16853</v>
      </c>
      <c r="FD410" s="799" t="s">
        <v>943</v>
      </c>
    </row>
    <row r="411" spans="27:160">
      <c r="AA411" t="s">
        <v>957</v>
      </c>
      <c r="AB411" s="796"/>
      <c r="AC411" s="797">
        <f>'BatPaC IO'!C8</f>
        <v>3.1492555776</v>
      </c>
      <c r="AD411" s="798" t="s">
        <v>460</v>
      </c>
      <c r="BA411" t="s">
        <v>957</v>
      </c>
      <c r="BB411" s="796"/>
      <c r="BC411" s="797">
        <f>'BatPaC IO'!C8</f>
        <v>3.1492555776</v>
      </c>
      <c r="BD411" s="798" t="s">
        <v>460</v>
      </c>
      <c r="CA411" t="s">
        <v>957</v>
      </c>
      <c r="CB411" s="796"/>
      <c r="CC411" s="797">
        <f>'BatPaC IO'!C8</f>
        <v>3.1492555776</v>
      </c>
      <c r="CD411" s="798" t="s">
        <v>460</v>
      </c>
      <c r="DA411" t="s">
        <v>957</v>
      </c>
      <c r="DB411" s="796"/>
      <c r="DC411" s="797">
        <f>'BatPaC IO'!C8</f>
        <v>3.1492555776</v>
      </c>
      <c r="DD411" s="798" t="s">
        <v>460</v>
      </c>
      <c r="EA411" s="881" t="s">
        <v>1033</v>
      </c>
      <c r="EB411" s="881"/>
      <c r="EC411" s="1050">
        <v>2.0299999999999998</v>
      </c>
      <c r="ED411" s="798" t="s">
        <v>460</v>
      </c>
      <c r="FA411" t="s">
        <v>957</v>
      </c>
      <c r="FB411" s="796"/>
      <c r="FC411" s="797">
        <f>'BatPaC IO'!C8</f>
        <v>3.1492555776</v>
      </c>
      <c r="FD411" s="798" t="s">
        <v>460</v>
      </c>
    </row>
    <row r="412" spans="27:160">
      <c r="AB412" s="745"/>
      <c r="AC412" s="739">
        <f>AC411*1000</f>
        <v>3149.2555775999999</v>
      </c>
      <c r="AD412" s="799" t="s">
        <v>943</v>
      </c>
      <c r="BB412" s="745"/>
      <c r="BC412" s="739">
        <f>BC411*1000</f>
        <v>3149.2555775999999</v>
      </c>
      <c r="BD412" s="799" t="s">
        <v>943</v>
      </c>
      <c r="CB412" s="745"/>
      <c r="CC412" s="739">
        <f>CC411*1000</f>
        <v>3149.2555775999999</v>
      </c>
      <c r="CD412" s="799" t="s">
        <v>943</v>
      </c>
      <c r="DB412" s="745"/>
      <c r="DC412" s="739">
        <f>DC411*1000</f>
        <v>3149.2555775999999</v>
      </c>
      <c r="DD412" s="799" t="s">
        <v>943</v>
      </c>
      <c r="EB412" s="745"/>
      <c r="EC412" s="739">
        <f>EC411*1000</f>
        <v>2029.9999999999998</v>
      </c>
      <c r="ED412" s="799" t="s">
        <v>943</v>
      </c>
      <c r="FB412" s="745"/>
      <c r="FC412" s="739">
        <f>FC411*1000</f>
        <v>3149.2555775999999</v>
      </c>
      <c r="FD412" s="799" t="s">
        <v>943</v>
      </c>
    </row>
    <row r="413" spans="27:160">
      <c r="AA413" t="s">
        <v>958</v>
      </c>
      <c r="AB413" s="796"/>
      <c r="AC413" s="797">
        <f>'BatPaC IO'!D8</f>
        <v>50.353520799999998</v>
      </c>
      <c r="AD413" s="798" t="s">
        <v>460</v>
      </c>
      <c r="BA413" t="s">
        <v>958</v>
      </c>
      <c r="BB413" s="796"/>
      <c r="BC413" s="797">
        <f>'BatPaC IO'!D8</f>
        <v>50.353520799999998</v>
      </c>
      <c r="BD413" s="798" t="s">
        <v>460</v>
      </c>
      <c r="CA413" t="s">
        <v>958</v>
      </c>
      <c r="CB413" s="796"/>
      <c r="CC413" s="797">
        <f>'BatPaC IO'!D8</f>
        <v>50.353520799999998</v>
      </c>
      <c r="CD413" s="798" t="s">
        <v>460</v>
      </c>
      <c r="DA413" t="s">
        <v>958</v>
      </c>
      <c r="DB413" s="796"/>
      <c r="DC413" s="797">
        <f>'BatPaC IO'!D8</f>
        <v>50.353520799999998</v>
      </c>
      <c r="DD413" s="798" t="s">
        <v>460</v>
      </c>
      <c r="EA413" t="s">
        <v>958</v>
      </c>
      <c r="EB413" s="796"/>
      <c r="EC413" s="797">
        <f>'BatPaC IO'!D8</f>
        <v>50.353520799999998</v>
      </c>
      <c r="ED413" s="798" t="s">
        <v>460</v>
      </c>
      <c r="FA413" t="s">
        <v>958</v>
      </c>
      <c r="FB413" s="796"/>
      <c r="FC413" s="797">
        <f>'BatPaC IO'!D8</f>
        <v>50.353520799999998</v>
      </c>
      <c r="FD413" s="798" t="s">
        <v>460</v>
      </c>
    </row>
    <row r="414" spans="27:160">
      <c r="AB414" s="745"/>
      <c r="AC414" s="739">
        <f>AC413*1000</f>
        <v>50353.520799999998</v>
      </c>
      <c r="AD414" s="799" t="s">
        <v>943</v>
      </c>
      <c r="BB414" s="745"/>
      <c r="BC414" s="739">
        <f>BC413*1000</f>
        <v>50353.520799999998</v>
      </c>
      <c r="BD414" s="799" t="s">
        <v>943</v>
      </c>
      <c r="CB414" s="745"/>
      <c r="CC414" s="739">
        <f>CC413*1000</f>
        <v>50353.520799999998</v>
      </c>
      <c r="CD414" s="799" t="s">
        <v>943</v>
      </c>
      <c r="DB414" s="745"/>
      <c r="DC414" s="739">
        <f>DC413*1000</f>
        <v>50353.520799999998</v>
      </c>
      <c r="DD414" s="799" t="s">
        <v>943</v>
      </c>
      <c r="EB414" s="745"/>
      <c r="EC414" s="739">
        <f>EC413*1000</f>
        <v>50353.520799999998</v>
      </c>
      <c r="ED414" s="799" t="s">
        <v>943</v>
      </c>
      <c r="FB414" s="745"/>
      <c r="FC414" s="739">
        <f>FC413*1000</f>
        <v>50353.520799999998</v>
      </c>
      <c r="FD414" s="799" t="s">
        <v>943</v>
      </c>
    </row>
    <row r="415" spans="27:160">
      <c r="AA415" t="s">
        <v>959</v>
      </c>
      <c r="AB415" s="739"/>
      <c r="AC415" s="800" t="s">
        <v>947</v>
      </c>
      <c r="BA415" t="s">
        <v>959</v>
      </c>
      <c r="BB415" s="739"/>
      <c r="BC415" s="800" t="s">
        <v>947</v>
      </c>
      <c r="CA415" t="s">
        <v>959</v>
      </c>
      <c r="CB415" s="739"/>
      <c r="CC415" s="800" t="s">
        <v>947</v>
      </c>
      <c r="DA415" t="s">
        <v>959</v>
      </c>
      <c r="DB415" s="739"/>
      <c r="DC415" s="800" t="s">
        <v>947</v>
      </c>
      <c r="EA415" t="s">
        <v>959</v>
      </c>
      <c r="EB415" s="739"/>
      <c r="EC415" s="800" t="s">
        <v>947</v>
      </c>
      <c r="FA415" t="s">
        <v>959</v>
      </c>
      <c r="FB415" s="739"/>
      <c r="FC415" s="800" t="s">
        <v>947</v>
      </c>
    </row>
    <row r="416" spans="27:160">
      <c r="AA416" t="s">
        <v>960</v>
      </c>
      <c r="AC416" s="785" t="e">
        <f>AC400*(58.69/154.69)</f>
        <v>#DIV/0!</v>
      </c>
      <c r="BA416" t="s">
        <v>960</v>
      </c>
      <c r="BC416" s="785" t="e">
        <f>BC400*(58.69/154.69)</f>
        <v>#DIV/0!</v>
      </c>
      <c r="CA416" t="s">
        <v>960</v>
      </c>
      <c r="CC416" s="785" t="e">
        <f>CC400*(58.69/154.69)</f>
        <v>#DIV/0!</v>
      </c>
      <c r="DA416" t="s">
        <v>960</v>
      </c>
      <c r="DC416" s="785" t="e">
        <f>DC400*(58.69/154.69)</f>
        <v>#DIV/0!</v>
      </c>
      <c r="EA416" t="s">
        <v>960</v>
      </c>
      <c r="EC416" s="880" t="e">
        <f>EC400*(58.69/154.69)</f>
        <v>#DIV/0!</v>
      </c>
      <c r="FA416" t="s">
        <v>960</v>
      </c>
      <c r="FC416" s="785">
        <f>FC400*(58.69/154.69)</f>
        <v>0</v>
      </c>
    </row>
    <row r="417" spans="27:160">
      <c r="AA417" t="s">
        <v>961</v>
      </c>
      <c r="AC417" s="785" t="e">
        <f>AC401*(54.93/150.93)</f>
        <v>#DIV/0!</v>
      </c>
      <c r="BA417" t="s">
        <v>961</v>
      </c>
      <c r="BC417" s="785" t="e">
        <f>BC401*(54.93/150.93)</f>
        <v>#DIV/0!</v>
      </c>
      <c r="CA417" t="s">
        <v>961</v>
      </c>
      <c r="CC417" s="785" t="e">
        <f>CC401*(54.93/150.93)</f>
        <v>#DIV/0!</v>
      </c>
      <c r="DA417" t="s">
        <v>961</v>
      </c>
      <c r="DC417" s="785" t="e">
        <f>DC401*(54.93/150.93)</f>
        <v>#DIV/0!</v>
      </c>
      <c r="EA417" s="881" t="s">
        <v>1034</v>
      </c>
      <c r="EB417" s="881"/>
      <c r="EC417" s="1051" t="e">
        <f>EC401*(26.98*2/341.96)</f>
        <v>#DIV/0!</v>
      </c>
      <c r="FA417" t="s">
        <v>961</v>
      </c>
      <c r="FC417" s="785">
        <f>FC401*(54.93/150.93)</f>
        <v>0</v>
      </c>
    </row>
    <row r="418" spans="27:160">
      <c r="AA418" t="s">
        <v>962</v>
      </c>
      <c r="AC418" s="785" t="e">
        <f>AC402*(58.93/154.93)</f>
        <v>#DIV/0!</v>
      </c>
      <c r="BA418" t="s">
        <v>962</v>
      </c>
      <c r="BC418" s="785" t="e">
        <f>BC402*(58.93/154.93)</f>
        <v>#DIV/0!</v>
      </c>
      <c r="CA418" t="s">
        <v>962</v>
      </c>
      <c r="CC418" s="785" t="e">
        <f>CC402*(58.93/154.93)</f>
        <v>#DIV/0!</v>
      </c>
      <c r="DA418" t="s">
        <v>962</v>
      </c>
      <c r="DC418" s="785" t="e">
        <f>DC402*(58.93/154.93)</f>
        <v>#DIV/0!</v>
      </c>
      <c r="EA418" t="s">
        <v>962</v>
      </c>
      <c r="EC418" s="880" t="e">
        <f>EC402*(58.93/154.93)</f>
        <v>#DIV/0!</v>
      </c>
      <c r="FA418" t="s">
        <v>962</v>
      </c>
      <c r="FC418" s="785" t="e">
        <f>FC402*(58.93*3/240.79)</f>
        <v>#DIV/0!</v>
      </c>
    </row>
    <row r="419" spans="27:160">
      <c r="AA419" t="s">
        <v>963</v>
      </c>
      <c r="AC419" s="801" t="s">
        <v>575</v>
      </c>
      <c r="BA419" t="s">
        <v>963</v>
      </c>
      <c r="BC419" s="801" t="s">
        <v>575</v>
      </c>
      <c r="CA419" t="s">
        <v>963</v>
      </c>
      <c r="CC419" s="801" t="s">
        <v>575</v>
      </c>
      <c r="DA419" t="s">
        <v>963</v>
      </c>
      <c r="DC419" s="801" t="s">
        <v>575</v>
      </c>
      <c r="EA419" t="s">
        <v>963</v>
      </c>
      <c r="EC419" s="801" t="s">
        <v>575</v>
      </c>
      <c r="FA419" t="s">
        <v>1366</v>
      </c>
      <c r="FC419" s="801" t="s">
        <v>575</v>
      </c>
    </row>
    <row r="420" spans="27:160">
      <c r="AA420" t="s">
        <v>956</v>
      </c>
      <c r="AC420" s="739" t="e">
        <f>AC410*AC416</f>
        <v>#DIV/0!</v>
      </c>
      <c r="BA420" t="s">
        <v>956</v>
      </c>
      <c r="BC420" s="739" t="e">
        <f>BC410*BC416</f>
        <v>#DIV/0!</v>
      </c>
      <c r="CA420" t="s">
        <v>956</v>
      </c>
      <c r="CC420" s="739" t="e">
        <f>CC410*CC416</f>
        <v>#DIV/0!</v>
      </c>
      <c r="DA420" t="s">
        <v>956</v>
      </c>
      <c r="DC420" s="739" t="e">
        <f>DC410*DC416</f>
        <v>#DIV/0!</v>
      </c>
      <c r="EA420" t="s">
        <v>956</v>
      </c>
      <c r="EC420" s="739" t="e">
        <f>EC410*EC416</f>
        <v>#DIV/0!</v>
      </c>
      <c r="FA420" t="s">
        <v>956</v>
      </c>
      <c r="FC420" s="739">
        <f>FC410*FC416</f>
        <v>0</v>
      </c>
    </row>
    <row r="421" spans="27:160">
      <c r="AA421" t="s">
        <v>957</v>
      </c>
      <c r="AC421" s="739" t="e">
        <f>AC412*AC417</f>
        <v>#DIV/0!</v>
      </c>
      <c r="BA421" t="s">
        <v>957</v>
      </c>
      <c r="BC421" s="739" t="e">
        <f>BC412*BC417</f>
        <v>#DIV/0!</v>
      </c>
      <c r="CA421" t="s">
        <v>957</v>
      </c>
      <c r="CC421" s="739" t="e">
        <f>CC412*CC417</f>
        <v>#DIV/0!</v>
      </c>
      <c r="DA421" t="s">
        <v>957</v>
      </c>
      <c r="DC421" s="739" t="e">
        <f>DC412*DC417</f>
        <v>#DIV/0!</v>
      </c>
      <c r="EA421" s="881" t="s">
        <v>1034</v>
      </c>
      <c r="EC421" s="739" t="e">
        <f>EC412*EC417</f>
        <v>#DIV/0!</v>
      </c>
      <c r="FA421" t="s">
        <v>957</v>
      </c>
      <c r="FC421" s="739">
        <f>FC412*FC417</f>
        <v>0</v>
      </c>
    </row>
    <row r="422" spans="27:160">
      <c r="AA422" t="s">
        <v>958</v>
      </c>
      <c r="AC422" s="739" t="e">
        <f>AC414*AC418</f>
        <v>#DIV/0!</v>
      </c>
      <c r="BA422" t="s">
        <v>958</v>
      </c>
      <c r="BC422" s="739" t="e">
        <f>BC414*BC418</f>
        <v>#DIV/0!</v>
      </c>
      <c r="CA422" t="s">
        <v>958</v>
      </c>
      <c r="CC422" s="739" t="e">
        <f>CC414*CC418</f>
        <v>#DIV/0!</v>
      </c>
      <c r="DA422" t="s">
        <v>958</v>
      </c>
      <c r="DC422" s="739" t="e">
        <f>DC414*DC418</f>
        <v>#DIV/0!</v>
      </c>
      <c r="EA422" t="s">
        <v>958</v>
      </c>
      <c r="EC422" s="739" t="e">
        <f>EC414*EC418</f>
        <v>#DIV/0!</v>
      </c>
      <c r="FA422" t="s">
        <v>958</v>
      </c>
      <c r="FC422" s="739" t="e">
        <f>FC414*FC418</f>
        <v>#DIV/0!</v>
      </c>
    </row>
    <row r="423" spans="27:160">
      <c r="AA423" t="s">
        <v>964</v>
      </c>
      <c r="AC423" s="739" t="e">
        <f>SUM(AC420:AC422)</f>
        <v>#DIV/0!</v>
      </c>
      <c r="BA423" t="s">
        <v>964</v>
      </c>
      <c r="BC423" s="739" t="e">
        <f>SUM(BC420:BC422)</f>
        <v>#DIV/0!</v>
      </c>
      <c r="BD423" s="50" t="e">
        <f>BC423/BC110</f>
        <v>#DIV/0!</v>
      </c>
      <c r="CA423" t="s">
        <v>964</v>
      </c>
      <c r="CC423" s="739" t="e">
        <f>SUM(CC420:CC422)</f>
        <v>#DIV/0!</v>
      </c>
      <c r="CD423" s="50" t="e">
        <f>CC423/CC110</f>
        <v>#DIV/0!</v>
      </c>
      <c r="DA423" t="s">
        <v>964</v>
      </c>
      <c r="DC423" s="739" t="e">
        <f>SUM(DC420:DC422)</f>
        <v>#DIV/0!</v>
      </c>
      <c r="EA423" t="s">
        <v>964</v>
      </c>
      <c r="EC423" s="739" t="e">
        <f>SUM(EC420:EC422)</f>
        <v>#DIV/0!</v>
      </c>
      <c r="FA423" t="s">
        <v>964</v>
      </c>
      <c r="FC423" s="739" t="e">
        <f>SUM(FC420:FC422)</f>
        <v>#DIV/0!</v>
      </c>
    </row>
    <row r="424" spans="27:160" ht="16">
      <c r="AA424" t="s">
        <v>965</v>
      </c>
      <c r="AC424" s="739" t="e">
        <f>AC395*AC403</f>
        <v>#DIV/0!</v>
      </c>
      <c r="BA424" t="s">
        <v>965</v>
      </c>
      <c r="BC424" s="739" t="e">
        <f>BC395*BC403</f>
        <v>#DIV/0!</v>
      </c>
      <c r="CA424" t="s">
        <v>965</v>
      </c>
      <c r="CC424" s="739" t="e">
        <f>CC395*CC403</f>
        <v>#DIV/0!</v>
      </c>
      <c r="DA424" t="s">
        <v>965</v>
      </c>
      <c r="DC424" s="739" t="e">
        <f>DC395*DC403</f>
        <v>#DIV/0!</v>
      </c>
      <c r="EA424" t="s">
        <v>965</v>
      </c>
      <c r="EC424" s="739" t="e">
        <f>EC395*EC403</f>
        <v>#DIV/0!</v>
      </c>
      <c r="FA424" t="s">
        <v>965</v>
      </c>
      <c r="FC424" s="739">
        <f>FC395*FC403</f>
        <v>0</v>
      </c>
    </row>
    <row r="425" spans="27:160" ht="16">
      <c r="AA425" t="s">
        <v>966</v>
      </c>
      <c r="AC425" s="739" t="e">
        <f>AC397*AC405</f>
        <v>#DIV/0!</v>
      </c>
      <c r="BA425" t="s">
        <v>966</v>
      </c>
      <c r="BC425" s="739" t="e">
        <f>BC397*BC405</f>
        <v>#DIV/0!</v>
      </c>
      <c r="BD425" s="50"/>
      <c r="CA425" t="s">
        <v>966</v>
      </c>
      <c r="CC425" s="739" t="e">
        <f>CC397*CC405</f>
        <v>#DIV/0!</v>
      </c>
      <c r="CD425" s="50"/>
      <c r="DA425" t="s">
        <v>966</v>
      </c>
      <c r="DC425" s="739" t="e">
        <f>DC397*DC405</f>
        <v>#DIV/0!</v>
      </c>
      <c r="EA425" t="s">
        <v>966</v>
      </c>
      <c r="EC425" s="739" t="e">
        <f>EC397*EC405</f>
        <v>#DIV/0!</v>
      </c>
      <c r="FA425" t="s">
        <v>966</v>
      </c>
      <c r="FC425" s="739" t="e">
        <f>FC397*FC405</f>
        <v>#DIV/0!</v>
      </c>
    </row>
    <row r="426" spans="27:160">
      <c r="AA426" t="s">
        <v>967</v>
      </c>
      <c r="AC426" s="802" t="e">
        <f ca="1">AC396*AC404</f>
        <v>#DIV/0!</v>
      </c>
      <c r="BA426" t="s">
        <v>967</v>
      </c>
      <c r="BC426" s="802" t="e">
        <f ca="1">BC396*BC404</f>
        <v>#DIV/0!</v>
      </c>
      <c r="CA426" t="s">
        <v>967</v>
      </c>
      <c r="CC426" s="802" t="e">
        <f ca="1">CC396*CC404</f>
        <v>#DIV/0!</v>
      </c>
      <c r="DA426" t="s">
        <v>967</v>
      </c>
      <c r="DC426" s="802" t="e">
        <f ca="1">DC396*DC404</f>
        <v>#DIV/0!</v>
      </c>
      <c r="EA426" t="s">
        <v>967</v>
      </c>
      <c r="EC426" s="802" t="e">
        <f ca="1">EC396*EC404</f>
        <v>#DIV/0!</v>
      </c>
      <c r="FA426" t="s">
        <v>967</v>
      </c>
      <c r="FC426" s="802">
        <f>FC396*FC404</f>
        <v>0</v>
      </c>
    </row>
    <row r="427" spans="27:160">
      <c r="AA427" t="s">
        <v>968</v>
      </c>
      <c r="AC427" s="739" t="e">
        <f ca="1">AC423+AC424+AC425+AC426</f>
        <v>#DIV/0!</v>
      </c>
      <c r="BA427" t="s">
        <v>968</v>
      </c>
      <c r="BC427" s="739" t="e">
        <f ca="1">BC423+BC424+BC425+BC426</f>
        <v>#DIV/0!</v>
      </c>
      <c r="CA427" t="s">
        <v>968</v>
      </c>
      <c r="CC427" s="739" t="e">
        <f ca="1">CC423+CC424+CC425+CC426</f>
        <v>#DIV/0!</v>
      </c>
      <c r="DA427" t="s">
        <v>968</v>
      </c>
      <c r="DC427" s="739" t="e">
        <f ca="1">DC423+DC424+DC425+DC426</f>
        <v>#DIV/0!</v>
      </c>
      <c r="EA427" t="s">
        <v>968</v>
      </c>
      <c r="EC427" s="739" t="e">
        <f ca="1">EC423+EC424+EC425+EC426</f>
        <v>#DIV/0!</v>
      </c>
      <c r="FA427" t="s">
        <v>968</v>
      </c>
      <c r="FC427" s="739" t="e">
        <f>FC423+FC424+FC425+FC426</f>
        <v>#DIV/0!</v>
      </c>
    </row>
    <row r="428" spans="27:160">
      <c r="AC428" s="739"/>
      <c r="BC428" s="739"/>
      <c r="CC428" s="739"/>
      <c r="DC428" s="739"/>
      <c r="EC428" s="739"/>
      <c r="FC428" s="739"/>
    </row>
    <row r="429" spans="27:160">
      <c r="AA429" t="s">
        <v>968</v>
      </c>
      <c r="AC429" s="750" t="e">
        <f ca="1">AC427</f>
        <v>#DIV/0!</v>
      </c>
      <c r="AD429" t="s">
        <v>575</v>
      </c>
      <c r="BA429" t="s">
        <v>968</v>
      </c>
      <c r="BC429" s="750" t="e">
        <f ca="1">BC427</f>
        <v>#DIV/0!</v>
      </c>
      <c r="BD429" t="s">
        <v>575</v>
      </c>
      <c r="CA429" t="s">
        <v>968</v>
      </c>
      <c r="CC429" s="750" t="e">
        <f ca="1">CC427</f>
        <v>#DIV/0!</v>
      </c>
      <c r="CD429" t="s">
        <v>575</v>
      </c>
      <c r="DA429" t="s">
        <v>968</v>
      </c>
      <c r="DC429" s="750" t="e">
        <f ca="1">DC427</f>
        <v>#DIV/0!</v>
      </c>
      <c r="DD429" t="s">
        <v>575</v>
      </c>
      <c r="EA429" t="s">
        <v>968</v>
      </c>
      <c r="EC429" s="750" t="e">
        <f ca="1">EC427</f>
        <v>#DIV/0!</v>
      </c>
      <c r="ED429" t="s">
        <v>575</v>
      </c>
      <c r="FA429" t="s">
        <v>968</v>
      </c>
      <c r="FC429" s="750" t="e">
        <f>FC427</f>
        <v>#DIV/0!</v>
      </c>
      <c r="FD429" t="s">
        <v>575</v>
      </c>
    </row>
    <row r="430" spans="27:160">
      <c r="AC430" s="750" t="e">
        <f ca="1">AC429*AC103</f>
        <v>#DIV/0!</v>
      </c>
      <c r="AD430" t="s">
        <v>458</v>
      </c>
      <c r="BC430" s="750" t="e">
        <f ca="1">BC429*BC103</f>
        <v>#DIV/0!</v>
      </c>
      <c r="BD430" t="s">
        <v>458</v>
      </c>
      <c r="CC430" s="750" t="e">
        <f ca="1">CC429*CC103</f>
        <v>#DIV/0!</v>
      </c>
      <c r="CD430" t="s">
        <v>458</v>
      </c>
      <c r="DC430" s="750" t="e">
        <f ca="1">DC429*DC103</f>
        <v>#DIV/0!</v>
      </c>
      <c r="DD430" t="s">
        <v>458</v>
      </c>
      <c r="EC430" s="750" t="e">
        <f ca="1">EC429*EC103</f>
        <v>#DIV/0!</v>
      </c>
      <c r="ED430" t="s">
        <v>458</v>
      </c>
      <c r="FC430" s="750" t="e">
        <f>FC429*FC103</f>
        <v>#DIV/0!</v>
      </c>
      <c r="FD430" t="s">
        <v>458</v>
      </c>
    </row>
    <row r="431" spans="27:160">
      <c r="AA431" t="s">
        <v>969</v>
      </c>
      <c r="AC431" s="750" t="e">
        <f ca="1">AC103*AC104*AC429</f>
        <v>#DIV/0!</v>
      </c>
      <c r="BA431" t="s">
        <v>969</v>
      </c>
      <c r="BC431" s="750" t="e">
        <f ca="1">BC103*BC104*BC429</f>
        <v>#DIV/0!</v>
      </c>
      <c r="CA431" t="s">
        <v>969</v>
      </c>
      <c r="CC431" s="750" t="e">
        <f ca="1">CC103*CC104*CC429</f>
        <v>#DIV/0!</v>
      </c>
      <c r="DA431" t="s">
        <v>969</v>
      </c>
      <c r="DC431" s="750" t="e">
        <f ca="1">DC103*DC104*DC429</f>
        <v>#DIV/0!</v>
      </c>
      <c r="EA431" t="s">
        <v>969</v>
      </c>
      <c r="EC431" s="750" t="e">
        <f ca="1">EC103*EC104*EC429</f>
        <v>#DIV/0!</v>
      </c>
      <c r="FA431" t="s">
        <v>969</v>
      </c>
      <c r="FC431" s="750" t="e">
        <f>FC103*FC104*FC429</f>
        <v>#DIV/0!</v>
      </c>
    </row>
    <row r="433" spans="27:160">
      <c r="AA433" s="2" t="s">
        <v>461</v>
      </c>
      <c r="BA433" s="2" t="s">
        <v>461</v>
      </c>
      <c r="CA433" s="2" t="s">
        <v>461</v>
      </c>
      <c r="DA433" s="2" t="s">
        <v>461</v>
      </c>
      <c r="EA433" s="2" t="s">
        <v>461</v>
      </c>
      <c r="FA433" s="2" t="s">
        <v>461</v>
      </c>
    </row>
    <row r="434" spans="27:160">
      <c r="AA434" t="s">
        <v>970</v>
      </c>
      <c r="AC434" s="736">
        <v>6500</v>
      </c>
      <c r="AD434" t="s">
        <v>733</v>
      </c>
      <c r="BA434" t="s">
        <v>970</v>
      </c>
      <c r="BC434" s="736">
        <v>6500</v>
      </c>
      <c r="BD434" t="s">
        <v>733</v>
      </c>
      <c r="CA434" t="s">
        <v>970</v>
      </c>
      <c r="CC434" s="736">
        <v>6500</v>
      </c>
      <c r="CD434" t="s">
        <v>733</v>
      </c>
      <c r="DA434" t="s">
        <v>970</v>
      </c>
      <c r="DC434" s="736">
        <v>6500</v>
      </c>
      <c r="DD434" t="s">
        <v>733</v>
      </c>
      <c r="EA434" t="s">
        <v>970</v>
      </c>
      <c r="EC434" s="736">
        <v>6500</v>
      </c>
      <c r="ED434" t="s">
        <v>733</v>
      </c>
      <c r="FA434" t="s">
        <v>970</v>
      </c>
      <c r="FC434" s="736">
        <v>6500</v>
      </c>
      <c r="FD434" t="s">
        <v>733</v>
      </c>
    </row>
    <row r="435" spans="27:160">
      <c r="AA435" t="s">
        <v>971</v>
      </c>
      <c r="AC435" s="736">
        <v>4</v>
      </c>
      <c r="AD435" t="s">
        <v>972</v>
      </c>
      <c r="BA435" t="s">
        <v>971</v>
      </c>
      <c r="BC435" s="736">
        <v>4</v>
      </c>
      <c r="BD435" t="s">
        <v>972</v>
      </c>
      <c r="CA435" t="s">
        <v>971</v>
      </c>
      <c r="CC435" s="736">
        <v>4</v>
      </c>
      <c r="CD435" t="s">
        <v>972</v>
      </c>
      <c r="DA435" t="s">
        <v>971</v>
      </c>
      <c r="DC435" s="736">
        <v>4</v>
      </c>
      <c r="DD435" t="s">
        <v>972</v>
      </c>
      <c r="EA435" t="s">
        <v>971</v>
      </c>
      <c r="EC435" s="736">
        <v>4</v>
      </c>
      <c r="ED435" t="s">
        <v>972</v>
      </c>
      <c r="FA435" t="s">
        <v>971</v>
      </c>
      <c r="FC435" s="736">
        <v>4</v>
      </c>
      <c r="FD435" t="s">
        <v>972</v>
      </c>
    </row>
    <row r="436" spans="27:160">
      <c r="AA436" t="s">
        <v>973</v>
      </c>
      <c r="AC436" s="736">
        <v>0.5</v>
      </c>
      <c r="AD436" t="s">
        <v>972</v>
      </c>
      <c r="BA436" t="s">
        <v>973</v>
      </c>
      <c r="BC436" s="736">
        <v>0.5</v>
      </c>
      <c r="BD436" t="s">
        <v>972</v>
      </c>
      <c r="CA436" t="s">
        <v>973</v>
      </c>
      <c r="CC436" s="736">
        <v>0.5</v>
      </c>
      <c r="CD436" t="s">
        <v>972</v>
      </c>
      <c r="DA436" t="s">
        <v>973</v>
      </c>
      <c r="DC436" s="736">
        <v>0.5</v>
      </c>
      <c r="DD436" t="s">
        <v>972</v>
      </c>
      <c r="EA436" t="s">
        <v>973</v>
      </c>
      <c r="EC436" s="736">
        <v>0.5</v>
      </c>
      <c r="ED436" t="s">
        <v>972</v>
      </c>
      <c r="FA436" s="1185" t="s">
        <v>973</v>
      </c>
      <c r="FB436" s="1185"/>
      <c r="FC436" s="1185">
        <v>0</v>
      </c>
      <c r="FD436" s="1185" t="s">
        <v>972</v>
      </c>
    </row>
    <row r="437" spans="27:160">
      <c r="AA437" t="s">
        <v>974</v>
      </c>
      <c r="AC437" s="736">
        <v>0.5</v>
      </c>
      <c r="AD437" t="s">
        <v>972</v>
      </c>
      <c r="BA437" t="s">
        <v>974</v>
      </c>
      <c r="BC437" s="736">
        <v>0.5</v>
      </c>
      <c r="BD437" t="s">
        <v>972</v>
      </c>
      <c r="CA437" t="s">
        <v>974</v>
      </c>
      <c r="CC437" s="736">
        <v>0.5</v>
      </c>
      <c r="CD437" t="s">
        <v>972</v>
      </c>
      <c r="DA437" t="s">
        <v>974</v>
      </c>
      <c r="DC437" s="736">
        <v>0.5</v>
      </c>
      <c r="DD437" t="s">
        <v>972</v>
      </c>
      <c r="EA437" t="s">
        <v>974</v>
      </c>
      <c r="EC437" s="736">
        <v>0.5</v>
      </c>
      <c r="ED437" t="s">
        <v>972</v>
      </c>
      <c r="FA437" s="1185" t="s">
        <v>974</v>
      </c>
      <c r="FB437" s="1185"/>
      <c r="FC437" s="1185">
        <v>0</v>
      </c>
      <c r="FD437" s="1185" t="s">
        <v>972</v>
      </c>
    </row>
    <row r="438" spans="27:160">
      <c r="AA438" t="s">
        <v>975</v>
      </c>
      <c r="AC438" s="736">
        <v>1</v>
      </c>
      <c r="AD438" t="s">
        <v>972</v>
      </c>
      <c r="BA438" t="s">
        <v>975</v>
      </c>
      <c r="BC438" s="736">
        <v>1</v>
      </c>
      <c r="BD438" t="s">
        <v>972</v>
      </c>
      <c r="CA438" t="s">
        <v>975</v>
      </c>
      <c r="CC438" s="736">
        <v>1</v>
      </c>
      <c r="CD438" t="s">
        <v>972</v>
      </c>
      <c r="DA438" t="s">
        <v>975</v>
      </c>
      <c r="DC438" s="736">
        <v>1</v>
      </c>
      <c r="DD438" t="s">
        <v>972</v>
      </c>
      <c r="EA438" t="s">
        <v>975</v>
      </c>
      <c r="EC438" s="736">
        <v>1</v>
      </c>
      <c r="ED438" t="s">
        <v>972</v>
      </c>
      <c r="FA438" s="1185" t="s">
        <v>975</v>
      </c>
      <c r="FB438" s="1185"/>
      <c r="FC438" s="1185">
        <v>0</v>
      </c>
      <c r="FD438" s="1185" t="s">
        <v>972</v>
      </c>
    </row>
    <row r="439" spans="27:160">
      <c r="AA439" t="s">
        <v>611</v>
      </c>
      <c r="AC439" s="736">
        <v>1</v>
      </c>
      <c r="AD439" t="s">
        <v>972</v>
      </c>
      <c r="BA439" t="s">
        <v>611</v>
      </c>
      <c r="BC439" s="736">
        <v>1</v>
      </c>
      <c r="BD439" t="s">
        <v>972</v>
      </c>
      <c r="CA439" t="s">
        <v>611</v>
      </c>
      <c r="CC439" s="736">
        <v>1</v>
      </c>
      <c r="CD439" t="s">
        <v>972</v>
      </c>
      <c r="DA439" t="s">
        <v>611</v>
      </c>
      <c r="DC439" s="736">
        <v>1</v>
      </c>
      <c r="DD439" t="s">
        <v>972</v>
      </c>
      <c r="EA439" t="s">
        <v>611</v>
      </c>
      <c r="EC439" s="736">
        <v>1</v>
      </c>
      <c r="ED439" t="s">
        <v>972</v>
      </c>
      <c r="FA439" s="1185" t="s">
        <v>611</v>
      </c>
      <c r="FB439" s="1185"/>
      <c r="FC439" s="1185">
        <v>0</v>
      </c>
      <c r="FD439" s="1185" t="s">
        <v>972</v>
      </c>
    </row>
    <row r="440" spans="27:160">
      <c r="AA440" t="s">
        <v>32</v>
      </c>
      <c r="AC440" s="736">
        <v>0.5</v>
      </c>
      <c r="AD440" t="s">
        <v>972</v>
      </c>
      <c r="BA440" t="s">
        <v>32</v>
      </c>
      <c r="BC440" s="736">
        <v>0.5</v>
      </c>
      <c r="BD440" t="s">
        <v>972</v>
      </c>
      <c r="CA440" t="s">
        <v>32</v>
      </c>
      <c r="CC440" s="736">
        <v>0.5</v>
      </c>
      <c r="CD440" t="s">
        <v>972</v>
      </c>
      <c r="DA440" t="s">
        <v>32</v>
      </c>
      <c r="DC440" s="736">
        <v>0.5</v>
      </c>
      <c r="DD440" t="s">
        <v>972</v>
      </c>
      <c r="EA440" t="s">
        <v>32</v>
      </c>
      <c r="EC440" s="736">
        <v>0.5</v>
      </c>
      <c r="ED440" t="s">
        <v>972</v>
      </c>
      <c r="FA440" t="s">
        <v>32</v>
      </c>
      <c r="FC440" s="736">
        <v>0.5</v>
      </c>
      <c r="FD440" t="s">
        <v>972</v>
      </c>
    </row>
    <row r="441" spans="27:160">
      <c r="AA441" t="s">
        <v>976</v>
      </c>
      <c r="AC441" s="736">
        <v>0.5</v>
      </c>
      <c r="AD441" t="s">
        <v>972</v>
      </c>
      <c r="BA441" t="s">
        <v>976</v>
      </c>
      <c r="BC441" s="736">
        <v>0.5</v>
      </c>
      <c r="BD441" t="s">
        <v>972</v>
      </c>
      <c r="CA441" t="s">
        <v>976</v>
      </c>
      <c r="CC441" s="736">
        <v>0.5</v>
      </c>
      <c r="CD441" t="s">
        <v>972</v>
      </c>
      <c r="DA441" t="s">
        <v>976</v>
      </c>
      <c r="DC441" s="736">
        <v>0.5</v>
      </c>
      <c r="DD441" t="s">
        <v>972</v>
      </c>
      <c r="EA441" t="s">
        <v>976</v>
      </c>
      <c r="EC441" s="736">
        <v>0.5</v>
      </c>
      <c r="ED441" t="s">
        <v>972</v>
      </c>
      <c r="FA441" s="1185" t="s">
        <v>976</v>
      </c>
      <c r="FB441" s="1185"/>
      <c r="FC441" s="1185">
        <v>0</v>
      </c>
      <c r="FD441" s="1185" t="s">
        <v>972</v>
      </c>
    </row>
    <row r="442" spans="27:160">
      <c r="AA442" t="s">
        <v>977</v>
      </c>
      <c r="AC442" s="736">
        <v>0.5</v>
      </c>
      <c r="AD442" t="s">
        <v>972</v>
      </c>
      <c r="BA442" t="s">
        <v>977</v>
      </c>
      <c r="BC442" s="736">
        <v>0.5</v>
      </c>
      <c r="BD442" t="s">
        <v>972</v>
      </c>
      <c r="CA442" t="s">
        <v>977</v>
      </c>
      <c r="CC442" s="736">
        <v>0.5</v>
      </c>
      <c r="CD442" t="s">
        <v>972</v>
      </c>
      <c r="DA442" t="s">
        <v>977</v>
      </c>
      <c r="DC442" s="736">
        <v>0.5</v>
      </c>
      <c r="DD442" t="s">
        <v>972</v>
      </c>
      <c r="EA442" t="s">
        <v>977</v>
      </c>
      <c r="EC442" s="736">
        <v>0.5</v>
      </c>
      <c r="ED442" t="s">
        <v>972</v>
      </c>
      <c r="FA442" t="s">
        <v>977</v>
      </c>
      <c r="FC442" s="736">
        <v>0.5</v>
      </c>
      <c r="FD442" t="s">
        <v>972</v>
      </c>
    </row>
    <row r="443" spans="27:160">
      <c r="AA443" t="s">
        <v>978</v>
      </c>
      <c r="AC443" s="736">
        <v>0.5</v>
      </c>
      <c r="AD443" t="s">
        <v>972</v>
      </c>
      <c r="BA443" t="s">
        <v>978</v>
      </c>
      <c r="BC443" s="736">
        <v>0.5</v>
      </c>
      <c r="BD443" t="s">
        <v>972</v>
      </c>
      <c r="CA443" t="s">
        <v>978</v>
      </c>
      <c r="CC443" s="736">
        <v>0.5</v>
      </c>
      <c r="CD443" t="s">
        <v>972</v>
      </c>
      <c r="DA443" t="s">
        <v>978</v>
      </c>
      <c r="DC443" s="736">
        <v>0.5</v>
      </c>
      <c r="DD443" t="s">
        <v>972</v>
      </c>
      <c r="EA443" t="s">
        <v>978</v>
      </c>
      <c r="EC443" s="736">
        <v>0.5</v>
      </c>
      <c r="ED443" t="s">
        <v>972</v>
      </c>
      <c r="FA443" t="s">
        <v>978</v>
      </c>
      <c r="FC443" s="736">
        <v>0.5</v>
      </c>
      <c r="FD443" t="s">
        <v>972</v>
      </c>
    </row>
    <row r="444" spans="27:160">
      <c r="AA444" t="s">
        <v>225</v>
      </c>
      <c r="AC444" s="736">
        <v>3</v>
      </c>
      <c r="AD444" t="s">
        <v>972</v>
      </c>
      <c r="BA444" t="s">
        <v>225</v>
      </c>
      <c r="BC444" s="736">
        <v>3</v>
      </c>
      <c r="BD444" t="s">
        <v>972</v>
      </c>
      <c r="CA444" t="s">
        <v>225</v>
      </c>
      <c r="CC444" s="736">
        <v>3</v>
      </c>
      <c r="CD444" t="s">
        <v>972</v>
      </c>
      <c r="DA444" t="s">
        <v>225</v>
      </c>
      <c r="DC444" s="736">
        <v>3</v>
      </c>
      <c r="DD444" t="s">
        <v>972</v>
      </c>
      <c r="EA444" t="s">
        <v>225</v>
      </c>
      <c r="EC444" s="736">
        <v>3</v>
      </c>
      <c r="ED444" t="s">
        <v>972</v>
      </c>
      <c r="FA444" t="s">
        <v>225</v>
      </c>
      <c r="FC444" s="736">
        <v>3</v>
      </c>
      <c r="FD444" t="s">
        <v>972</v>
      </c>
    </row>
    <row r="445" spans="27:160">
      <c r="AA445" t="s">
        <v>979</v>
      </c>
      <c r="AC445" s="736">
        <v>5</v>
      </c>
      <c r="AD445" t="s">
        <v>972</v>
      </c>
      <c r="BA445" t="s">
        <v>979</v>
      </c>
      <c r="BC445" s="736">
        <v>5</v>
      </c>
      <c r="BD445" t="s">
        <v>972</v>
      </c>
      <c r="CA445" t="s">
        <v>979</v>
      </c>
      <c r="CC445" s="736">
        <v>5</v>
      </c>
      <c r="CD445" t="s">
        <v>972</v>
      </c>
      <c r="DA445" t="s">
        <v>979</v>
      </c>
      <c r="DC445" s="736">
        <v>5</v>
      </c>
      <c r="DD445" t="s">
        <v>972</v>
      </c>
      <c r="EA445" t="s">
        <v>979</v>
      </c>
      <c r="EC445" s="736">
        <v>5</v>
      </c>
      <c r="ED445" t="s">
        <v>972</v>
      </c>
      <c r="FA445" t="s">
        <v>979</v>
      </c>
      <c r="FC445" s="736">
        <v>5</v>
      </c>
      <c r="FD445" t="s">
        <v>972</v>
      </c>
    </row>
    <row r="446" spans="27:160">
      <c r="AA446" t="s">
        <v>193</v>
      </c>
      <c r="AC446">
        <f>SUM(AC435:AC445)</f>
        <v>17</v>
      </c>
      <c r="AD446" t="s">
        <v>972</v>
      </c>
      <c r="BA446" t="s">
        <v>193</v>
      </c>
      <c r="BC446">
        <f>SUM(BC435:BC445)</f>
        <v>17</v>
      </c>
      <c r="BD446" t="s">
        <v>972</v>
      </c>
      <c r="CA446" t="s">
        <v>193</v>
      </c>
      <c r="CC446">
        <f>SUM(CC435:CC445)</f>
        <v>17</v>
      </c>
      <c r="CD446" t="s">
        <v>972</v>
      </c>
      <c r="DA446" t="s">
        <v>193</v>
      </c>
      <c r="DC446">
        <f>SUM(DC435:DC445)</f>
        <v>17</v>
      </c>
      <c r="DD446" t="s">
        <v>972</v>
      </c>
      <c r="EA446" t="s">
        <v>193</v>
      </c>
      <c r="EC446">
        <f>SUM(EC435:EC445)</f>
        <v>17</v>
      </c>
      <c r="ED446" t="s">
        <v>972</v>
      </c>
      <c r="FA446" t="s">
        <v>193</v>
      </c>
      <c r="FC446">
        <f>SUM(FC435:FC445)</f>
        <v>13.5</v>
      </c>
      <c r="FD446" t="s">
        <v>972</v>
      </c>
    </row>
    <row r="447" spans="27:160">
      <c r="AA447" t="s">
        <v>462</v>
      </c>
      <c r="AC447" s="959">
        <f>'Geographic Par.'!C43</f>
        <v>3</v>
      </c>
      <c r="AD447" t="s">
        <v>574</v>
      </c>
      <c r="BA447" t="s">
        <v>462</v>
      </c>
      <c r="BC447" s="959">
        <f>'Geographic Par.'!C43</f>
        <v>3</v>
      </c>
      <c r="BD447" t="s">
        <v>574</v>
      </c>
      <c r="CA447" t="s">
        <v>462</v>
      </c>
      <c r="CC447" s="959">
        <f>'Geographic Par.'!C43</f>
        <v>3</v>
      </c>
      <c r="CD447" t="s">
        <v>574</v>
      </c>
      <c r="DA447" t="s">
        <v>462</v>
      </c>
      <c r="DC447" s="959">
        <f>'Geographic Par.'!C43</f>
        <v>3</v>
      </c>
      <c r="DD447" t="s">
        <v>574</v>
      </c>
      <c r="EA447" t="s">
        <v>462</v>
      </c>
      <c r="EC447" s="959">
        <f>'Geographic Par.'!C43</f>
        <v>3</v>
      </c>
      <c r="ED447" t="s">
        <v>574</v>
      </c>
      <c r="FA447" t="s">
        <v>462</v>
      </c>
      <c r="FC447" s="959">
        <f>'Geographic Par.'!C43</f>
        <v>3</v>
      </c>
      <c r="FD447" t="s">
        <v>574</v>
      </c>
    </row>
    <row r="448" spans="27:160">
      <c r="AA448" t="s">
        <v>463</v>
      </c>
      <c r="AC448">
        <f>AC446*24*AC447</f>
        <v>1224</v>
      </c>
      <c r="AD448" t="s">
        <v>575</v>
      </c>
      <c r="BA448" t="s">
        <v>463</v>
      </c>
      <c r="BC448">
        <f>BC446*24*BC447</f>
        <v>1224</v>
      </c>
      <c r="BD448" t="s">
        <v>575</v>
      </c>
      <c r="CA448" t="s">
        <v>463</v>
      </c>
      <c r="CC448">
        <f>CC446*24*CC447</f>
        <v>1224</v>
      </c>
      <c r="CD448" t="s">
        <v>575</v>
      </c>
      <c r="DA448" t="s">
        <v>463</v>
      </c>
      <c r="DC448">
        <f>DC446*24*DC447</f>
        <v>1224</v>
      </c>
      <c r="DD448" t="s">
        <v>575</v>
      </c>
      <c r="EA448" t="s">
        <v>463</v>
      </c>
      <c r="EC448">
        <f>EC446*24*EC447</f>
        <v>1224</v>
      </c>
      <c r="ED448" t="s">
        <v>575</v>
      </c>
      <c r="FA448" t="s">
        <v>463</v>
      </c>
      <c r="FC448">
        <f>FC446*24*FC447</f>
        <v>972</v>
      </c>
      <c r="FD448" t="s">
        <v>575</v>
      </c>
    </row>
    <row r="449" spans="27:160">
      <c r="AC449">
        <f>AC448*AC103</f>
        <v>391680</v>
      </c>
      <c r="AD449" t="s">
        <v>458</v>
      </c>
      <c r="BC449">
        <f>BC448*BC103</f>
        <v>391680</v>
      </c>
      <c r="BD449" t="s">
        <v>458</v>
      </c>
      <c r="CC449">
        <f>CC448*CC103</f>
        <v>391680</v>
      </c>
      <c r="CD449" t="s">
        <v>458</v>
      </c>
      <c r="DC449">
        <f>DC448*DC103</f>
        <v>391680</v>
      </c>
      <c r="DD449" t="s">
        <v>458</v>
      </c>
      <c r="EC449">
        <f>EC448*EC103</f>
        <v>391680</v>
      </c>
      <c r="ED449" t="s">
        <v>458</v>
      </c>
      <c r="FC449">
        <f>FC448*FC103</f>
        <v>311040</v>
      </c>
      <c r="FD449" t="s">
        <v>458</v>
      </c>
    </row>
    <row r="450" spans="27:160">
      <c r="AA450" t="s">
        <v>464</v>
      </c>
      <c r="AC450" s="736">
        <v>0.25</v>
      </c>
      <c r="BA450" t="s">
        <v>464</v>
      </c>
      <c r="BC450" s="736">
        <v>0.25</v>
      </c>
      <c r="CA450" t="s">
        <v>464</v>
      </c>
      <c r="CC450" s="736">
        <v>0.25</v>
      </c>
      <c r="DA450" t="s">
        <v>464</v>
      </c>
      <c r="DC450" s="736">
        <v>0.25</v>
      </c>
      <c r="EA450" t="s">
        <v>464</v>
      </c>
      <c r="EC450" s="736">
        <v>0.25</v>
      </c>
      <c r="FA450" t="s">
        <v>464</v>
      </c>
      <c r="FC450" s="736">
        <v>0.25</v>
      </c>
    </row>
    <row r="451" spans="27:160">
      <c r="AA451" t="s">
        <v>463</v>
      </c>
      <c r="AC451" t="e">
        <f>AC449*(AC110/AC434)^AC450</f>
        <v>#DIV/0!</v>
      </c>
      <c r="AD451" t="s">
        <v>458</v>
      </c>
      <c r="BA451" t="s">
        <v>463</v>
      </c>
      <c r="BC451" t="e">
        <f>BC449*(BC110/BC434)^BC450</f>
        <v>#DIV/0!</v>
      </c>
      <c r="BD451" t="s">
        <v>458</v>
      </c>
      <c r="CA451" t="s">
        <v>463</v>
      </c>
      <c r="CC451" t="e">
        <f>CC449*(CC110/CC434)^CC450</f>
        <v>#DIV/0!</v>
      </c>
      <c r="CD451" t="s">
        <v>458</v>
      </c>
      <c r="DA451" t="s">
        <v>463</v>
      </c>
      <c r="DC451" t="e">
        <f>DC449*(DC110/DC434)^DC450</f>
        <v>#DIV/0!</v>
      </c>
      <c r="DD451" t="s">
        <v>458</v>
      </c>
      <c r="EA451" t="s">
        <v>463</v>
      </c>
      <c r="EC451" t="e">
        <f>EC449*(EC110/EC434)^EC450</f>
        <v>#DIV/0!</v>
      </c>
      <c r="ED451" t="s">
        <v>458</v>
      </c>
      <c r="FA451" t="s">
        <v>463</v>
      </c>
      <c r="FC451" t="e">
        <f>FC449*(FC110/FC434)^FC450</f>
        <v>#DIV/0!</v>
      </c>
      <c r="FD451" t="s">
        <v>458</v>
      </c>
    </row>
    <row r="453" spans="27:160" ht="20">
      <c r="AA453" s="803" t="s">
        <v>465</v>
      </c>
      <c r="AB453" s="803"/>
      <c r="AC453" s="804" t="e">
        <f ca="1">IF(AC531=0, 0, AC456+AC458+AC460+AC462+AC464+AC466+AC468+AC470)</f>
        <v>#DIV/0!</v>
      </c>
      <c r="AD453" s="805"/>
      <c r="BA453" s="803" t="s">
        <v>465</v>
      </c>
      <c r="BB453" s="803"/>
      <c r="BC453" s="804" t="e">
        <f ca="1">IF(BC531=0, 0, BC456+BC458+BC460+BC462+BC464+BC466+BC468+BC470)</f>
        <v>#DIV/0!</v>
      </c>
      <c r="BD453" s="805"/>
      <c r="CA453" s="803" t="s">
        <v>465</v>
      </c>
      <c r="CB453" s="803"/>
      <c r="CC453" s="804" t="e">
        <f ca="1">IF(CC531=0, 0, CC456+CC458+CC460+CC462+CC464+CC466+CC468+CC470)</f>
        <v>#DIV/0!</v>
      </c>
      <c r="CD453" s="805"/>
      <c r="DA453" s="803" t="s">
        <v>465</v>
      </c>
      <c r="DB453" s="803"/>
      <c r="DC453" s="804" t="e">
        <f ca="1">IF(DC531=0, 0, DC456+DC458+DC460+DC462+DC464+DC466+DC468+DC470)</f>
        <v>#DIV/0!</v>
      </c>
      <c r="DD453" s="805"/>
      <c r="EA453" s="803" t="s">
        <v>465</v>
      </c>
      <c r="EB453" s="803"/>
      <c r="EC453" s="804" t="e">
        <f ca="1">IF(EC531=0, 0, EC456+EC458+EC460+EC462+EC464+EC466+EC468+EC470)</f>
        <v>#DIV/0!</v>
      </c>
      <c r="ED453" s="805"/>
      <c r="FA453" s="803" t="s">
        <v>465</v>
      </c>
      <c r="FB453" s="803"/>
      <c r="FC453" s="804" t="e">
        <f>IF(FC531=0, 0, FC456+FC458+FC460+FC462+FC464+FC466+FC468+FC470)</f>
        <v>#DIV/0!</v>
      </c>
      <c r="FD453" s="805"/>
    </row>
    <row r="454" spans="27:160">
      <c r="AA454" t="s">
        <v>980</v>
      </c>
      <c r="AD454" s="805"/>
      <c r="BA454" t="s">
        <v>980</v>
      </c>
      <c r="BD454" s="805"/>
      <c r="CA454" t="s">
        <v>980</v>
      </c>
      <c r="CD454" s="805"/>
      <c r="DA454" t="s">
        <v>980</v>
      </c>
      <c r="DD454" s="805"/>
      <c r="EA454" t="s">
        <v>980</v>
      </c>
      <c r="ED454" s="805"/>
      <c r="FA454" t="s">
        <v>980</v>
      </c>
      <c r="FD454" s="805"/>
    </row>
    <row r="455" spans="27:160">
      <c r="AA455" s="806" t="s">
        <v>981</v>
      </c>
      <c r="AC455" s="807">
        <v>1</v>
      </c>
      <c r="BA455" s="806" t="s">
        <v>981</v>
      </c>
      <c r="BC455" s="807">
        <v>1</v>
      </c>
      <c r="CA455" s="806" t="s">
        <v>981</v>
      </c>
      <c r="CC455" s="807">
        <v>1</v>
      </c>
      <c r="DA455" s="806" t="s">
        <v>981</v>
      </c>
      <c r="DC455" s="807">
        <v>1</v>
      </c>
      <c r="EA455" s="806" t="s">
        <v>981</v>
      </c>
      <c r="EC455" s="807">
        <v>1</v>
      </c>
      <c r="FA455" s="806" t="s">
        <v>981</v>
      </c>
      <c r="FC455" s="807">
        <v>1</v>
      </c>
    </row>
    <row r="456" spans="27:160">
      <c r="AA456" s="806"/>
      <c r="AB456" s="807"/>
      <c r="AC456" s="805" t="e">
        <f ca="1">AC455*AC392</f>
        <v>#DIV/0!</v>
      </c>
      <c r="AD456" s="777"/>
      <c r="BA456" s="806"/>
      <c r="BB456" s="807"/>
      <c r="BC456" s="805" t="e">
        <f ca="1">BC455*BC392</f>
        <v>#DIV/0!</v>
      </c>
      <c r="BD456" s="777"/>
      <c r="CA456" s="806"/>
      <c r="CB456" s="807"/>
      <c r="CC456" s="805" t="e">
        <f ca="1">CC455*CC392</f>
        <v>#DIV/0!</v>
      </c>
      <c r="CD456" s="777"/>
      <c r="DA456" s="806"/>
      <c r="DB456" s="807"/>
      <c r="DC456" s="805" t="e">
        <f ca="1">DC455*DC392</f>
        <v>#DIV/0!</v>
      </c>
      <c r="EA456" s="806"/>
      <c r="EB456" s="807"/>
      <c r="EC456" s="805" t="e">
        <f ca="1">EC455*EC392</f>
        <v>#DIV/0!</v>
      </c>
      <c r="ED456" s="777"/>
      <c r="FA456" s="806"/>
      <c r="FB456" s="807"/>
      <c r="FC456" s="805" t="e">
        <f>FC455*FC392</f>
        <v>#DIV/0!</v>
      </c>
      <c r="FD456" s="777"/>
    </row>
    <row r="457" spans="27:160">
      <c r="AA457" s="806" t="s">
        <v>982</v>
      </c>
      <c r="AC457" s="807">
        <v>0.4</v>
      </c>
      <c r="AD457" s="805"/>
      <c r="BA457" s="806" t="s">
        <v>982</v>
      </c>
      <c r="BC457" s="807">
        <v>0.4</v>
      </c>
      <c r="BD457" s="805"/>
      <c r="CA457" s="806" t="s">
        <v>982</v>
      </c>
      <c r="CC457" s="807">
        <v>0.4</v>
      </c>
      <c r="CD457" s="805"/>
      <c r="DA457" s="806" t="s">
        <v>982</v>
      </c>
      <c r="DC457" s="807">
        <v>0.4</v>
      </c>
      <c r="DD457" s="805"/>
      <c r="EA457" s="806" t="s">
        <v>982</v>
      </c>
      <c r="EC457" s="807">
        <v>0.4</v>
      </c>
      <c r="ED457" s="805"/>
      <c r="FA457" s="806" t="s">
        <v>982</v>
      </c>
      <c r="FC457" s="807">
        <v>0.4</v>
      </c>
      <c r="FD457" s="805"/>
    </row>
    <row r="458" spans="27:160">
      <c r="AA458" s="806"/>
      <c r="AB458" s="807"/>
      <c r="AC458" s="805" t="e">
        <f ca="1">AC457*AC392</f>
        <v>#DIV/0!</v>
      </c>
      <c r="AD458" s="805"/>
      <c r="BA458" s="806"/>
      <c r="BB458" s="807"/>
      <c r="BC458" s="805" t="e">
        <f ca="1">BC457*BC392</f>
        <v>#DIV/0!</v>
      </c>
      <c r="BD458" s="805"/>
      <c r="CA458" s="806"/>
      <c r="CB458" s="807"/>
      <c r="CC458" s="805" t="e">
        <f ca="1">CC457*CC392</f>
        <v>#DIV/0!</v>
      </c>
      <c r="CD458" s="805"/>
      <c r="DA458" s="806"/>
      <c r="DB458" s="807"/>
      <c r="DC458" s="805" t="e">
        <f ca="1">DC457*DC392</f>
        <v>#DIV/0!</v>
      </c>
      <c r="DD458" s="805"/>
      <c r="EA458" s="806"/>
      <c r="EB458" s="807"/>
      <c r="EC458" s="805" t="e">
        <f ca="1">EC457*EC392</f>
        <v>#DIV/0!</v>
      </c>
      <c r="ED458" s="805"/>
      <c r="FA458" s="806"/>
      <c r="FB458" s="807"/>
      <c r="FC458" s="805" t="e">
        <f>FC457*FC392</f>
        <v>#DIV/0!</v>
      </c>
      <c r="FD458" s="805"/>
    </row>
    <row r="459" spans="27:160">
      <c r="AA459" s="806" t="s">
        <v>983</v>
      </c>
      <c r="AC459" s="807">
        <v>0.2</v>
      </c>
      <c r="BA459" s="806" t="s">
        <v>983</v>
      </c>
      <c r="BC459" s="807">
        <v>0.2</v>
      </c>
      <c r="CA459" s="806" t="s">
        <v>983</v>
      </c>
      <c r="CC459" s="807">
        <v>0.2</v>
      </c>
      <c r="DA459" s="806" t="s">
        <v>983</v>
      </c>
      <c r="DC459" s="807">
        <v>0.2</v>
      </c>
      <c r="EA459" s="806" t="s">
        <v>983</v>
      </c>
      <c r="EC459" s="807">
        <v>0.2</v>
      </c>
      <c r="FA459" s="806" t="s">
        <v>983</v>
      </c>
      <c r="FC459" s="807">
        <v>0.2</v>
      </c>
    </row>
    <row r="460" spans="27:160">
      <c r="AA460" s="806"/>
      <c r="AB460" s="807"/>
      <c r="AC460" s="805" t="e">
        <f ca="1">AC459*AC392</f>
        <v>#DIV/0!</v>
      </c>
      <c r="BA460" s="806"/>
      <c r="BB460" s="807"/>
      <c r="BC460" s="805" t="e">
        <f ca="1">BC459*BC392</f>
        <v>#DIV/0!</v>
      </c>
      <c r="CA460" s="806"/>
      <c r="CB460" s="807"/>
      <c r="CC460" s="805" t="e">
        <f ca="1">CC459*CC392</f>
        <v>#DIV/0!</v>
      </c>
      <c r="DA460" s="806"/>
      <c r="DB460" s="807"/>
      <c r="DC460" s="805" t="e">
        <f ca="1">DC459*DC392</f>
        <v>#DIV/0!</v>
      </c>
      <c r="EA460" s="806"/>
      <c r="EB460" s="807"/>
      <c r="EC460" s="805" t="e">
        <f ca="1">EC459*EC392</f>
        <v>#DIV/0!</v>
      </c>
      <c r="FA460" s="806"/>
      <c r="FB460" s="807"/>
      <c r="FC460" s="805" t="e">
        <f>FC459*FC392</f>
        <v>#DIV/0!</v>
      </c>
    </row>
    <row r="461" spans="27:160">
      <c r="AA461" s="806" t="s">
        <v>984</v>
      </c>
      <c r="AC461" s="807">
        <v>0.2</v>
      </c>
      <c r="BA461" s="806" t="s">
        <v>984</v>
      </c>
      <c r="BC461" s="807">
        <v>0.2</v>
      </c>
      <c r="CA461" s="806" t="s">
        <v>984</v>
      </c>
      <c r="CC461" s="807">
        <v>0.2</v>
      </c>
      <c r="DA461" s="806" t="s">
        <v>984</v>
      </c>
      <c r="DC461" s="807">
        <v>0.2</v>
      </c>
      <c r="EA461" s="806" t="s">
        <v>984</v>
      </c>
      <c r="EC461" s="807">
        <v>0.2</v>
      </c>
      <c r="FA461" s="806" t="s">
        <v>984</v>
      </c>
      <c r="FC461" s="807">
        <v>0.2</v>
      </c>
    </row>
    <row r="462" spans="27:160">
      <c r="AA462" s="806"/>
      <c r="AB462" s="807"/>
      <c r="AC462" s="805" t="e">
        <f ca="1">AC461*AC392</f>
        <v>#DIV/0!</v>
      </c>
      <c r="BA462" s="806"/>
      <c r="BB462" s="807"/>
      <c r="BC462" s="805" t="e">
        <f ca="1">BC461*BC392</f>
        <v>#DIV/0!</v>
      </c>
      <c r="CA462" s="806"/>
      <c r="CB462" s="807"/>
      <c r="CC462" s="805" t="e">
        <f ca="1">CC461*CC392</f>
        <v>#DIV/0!</v>
      </c>
      <c r="DA462" s="806"/>
      <c r="DB462" s="807"/>
      <c r="DC462" s="805" t="e">
        <f ca="1">DC461*DC392</f>
        <v>#DIV/0!</v>
      </c>
      <c r="EA462" s="806"/>
      <c r="EB462" s="807"/>
      <c r="EC462" s="805" t="e">
        <f ca="1">EC461*EC392</f>
        <v>#DIV/0!</v>
      </c>
      <c r="FA462" s="806"/>
      <c r="FB462" s="807"/>
      <c r="FC462" s="805" t="e">
        <f>FC461*FC392</f>
        <v>#DIV/0!</v>
      </c>
    </row>
    <row r="463" spans="27:160">
      <c r="AA463" s="806" t="s">
        <v>985</v>
      </c>
      <c r="AC463" s="807">
        <v>0.1</v>
      </c>
      <c r="BA463" s="806" t="s">
        <v>985</v>
      </c>
      <c r="BC463" s="807">
        <v>0.1</v>
      </c>
      <c r="CA463" s="806" t="s">
        <v>985</v>
      </c>
      <c r="CC463" s="807">
        <v>0.1</v>
      </c>
      <c r="DA463" s="806" t="s">
        <v>985</v>
      </c>
      <c r="DC463" s="807">
        <v>0.1</v>
      </c>
      <c r="EA463" s="806" t="s">
        <v>985</v>
      </c>
      <c r="EC463" s="807">
        <v>0.1</v>
      </c>
      <c r="FA463" s="806" t="s">
        <v>985</v>
      </c>
      <c r="FC463" s="807">
        <v>0.1</v>
      </c>
    </row>
    <row r="464" spans="27:160">
      <c r="AA464" s="806"/>
      <c r="AB464" s="807"/>
      <c r="AC464" s="805" t="e">
        <f ca="1">AC463*AC392</f>
        <v>#DIV/0!</v>
      </c>
      <c r="BA464" s="806"/>
      <c r="BB464" s="807"/>
      <c r="BC464" s="805" t="e">
        <f ca="1">BC463*BC392</f>
        <v>#DIV/0!</v>
      </c>
      <c r="CA464" s="806"/>
      <c r="CB464" s="807"/>
      <c r="CC464" s="805" t="e">
        <f ca="1">CC463*CC392</f>
        <v>#DIV/0!</v>
      </c>
      <c r="DA464" s="806"/>
      <c r="DB464" s="807"/>
      <c r="DC464" s="805" t="e">
        <f ca="1">DC463*DC392</f>
        <v>#DIV/0!</v>
      </c>
      <c r="EA464" s="806"/>
      <c r="EB464" s="807"/>
      <c r="EC464" s="805" t="e">
        <f ca="1">EC463*EC392</f>
        <v>#DIV/0!</v>
      </c>
      <c r="FA464" s="806"/>
      <c r="FB464" s="807"/>
      <c r="FC464" s="805" t="e">
        <f>FC463*FC392</f>
        <v>#DIV/0!</v>
      </c>
    </row>
    <row r="465" spans="27:160">
      <c r="AA465" t="s">
        <v>986</v>
      </c>
      <c r="AC465" s="807">
        <v>0.25</v>
      </c>
      <c r="BA465" t="s">
        <v>986</v>
      </c>
      <c r="BC465" s="807">
        <v>0.25</v>
      </c>
      <c r="CA465" t="s">
        <v>986</v>
      </c>
      <c r="CC465" s="807">
        <v>0.25</v>
      </c>
      <c r="DA465" t="s">
        <v>986</v>
      </c>
      <c r="DC465" s="807">
        <v>0.25</v>
      </c>
      <c r="EA465" t="s">
        <v>986</v>
      </c>
      <c r="EC465" s="807">
        <v>0.25</v>
      </c>
      <c r="FA465" t="s">
        <v>986</v>
      </c>
      <c r="FC465" s="807">
        <v>0.25</v>
      </c>
    </row>
    <row r="466" spans="27:160">
      <c r="AB466" s="807"/>
      <c r="AC466" s="805" t="e">
        <f ca="1">AC465*AC392</f>
        <v>#DIV/0!</v>
      </c>
      <c r="BB466" s="807"/>
      <c r="BC466" s="805" t="e">
        <f ca="1">BC465*BC392</f>
        <v>#DIV/0!</v>
      </c>
      <c r="CB466" s="807"/>
      <c r="CC466" s="805" t="e">
        <f ca="1">CC465*CC392</f>
        <v>#DIV/0!</v>
      </c>
      <c r="DB466" s="807"/>
      <c r="DC466" s="805" t="e">
        <f ca="1">DC465*DC392</f>
        <v>#DIV/0!</v>
      </c>
      <c r="EB466" s="807"/>
      <c r="EC466" s="805" t="e">
        <f ca="1">EC465*EC392</f>
        <v>#DIV/0!</v>
      </c>
      <c r="FB466" s="807"/>
      <c r="FC466" s="805" t="e">
        <f>FC465*FC392</f>
        <v>#DIV/0!</v>
      </c>
    </row>
    <row r="467" spans="27:160">
      <c r="AA467" t="s">
        <v>987</v>
      </c>
      <c r="AC467" s="807">
        <v>0.6</v>
      </c>
      <c r="BA467" t="s">
        <v>987</v>
      </c>
      <c r="BC467" s="807">
        <v>0.6</v>
      </c>
      <c r="CA467" t="s">
        <v>987</v>
      </c>
      <c r="CC467" s="807">
        <v>0.6</v>
      </c>
      <c r="DA467" t="s">
        <v>987</v>
      </c>
      <c r="DC467" s="807">
        <v>0.6</v>
      </c>
      <c r="EA467" t="s">
        <v>987</v>
      </c>
      <c r="EC467" s="807">
        <v>0.6</v>
      </c>
      <c r="FA467" t="s">
        <v>987</v>
      </c>
      <c r="FC467" s="807">
        <v>0.6</v>
      </c>
    </row>
    <row r="468" spans="27:160">
      <c r="AB468" s="807"/>
      <c r="AC468" s="805" t="e">
        <f ca="1">AC467*AC392</f>
        <v>#DIV/0!</v>
      </c>
      <c r="BB468" s="807"/>
      <c r="BC468" s="805" t="e">
        <f ca="1">BC467*BC392</f>
        <v>#DIV/0!</v>
      </c>
      <c r="CB468" s="807"/>
      <c r="CC468" s="805" t="e">
        <f ca="1">CC467*CC392</f>
        <v>#DIV/0!</v>
      </c>
      <c r="DB468" s="807"/>
      <c r="DC468" s="805" t="e">
        <f ca="1">DC467*DC392</f>
        <v>#DIV/0!</v>
      </c>
      <c r="EB468" s="807"/>
      <c r="EC468" s="805" t="e">
        <f ca="1">EC467*EC392</f>
        <v>#DIV/0!</v>
      </c>
      <c r="FB468" s="807"/>
      <c r="FC468" s="805" t="e">
        <f>FC467*FC392</f>
        <v>#DIV/0!</v>
      </c>
    </row>
    <row r="469" spans="27:160">
      <c r="AA469" t="s">
        <v>988</v>
      </c>
      <c r="AC469" s="807">
        <v>0.08</v>
      </c>
      <c r="BA469" t="s">
        <v>988</v>
      </c>
      <c r="BC469" s="807">
        <v>0.08</v>
      </c>
      <c r="CA469" t="s">
        <v>988</v>
      </c>
      <c r="CC469" s="807">
        <v>0.08</v>
      </c>
      <c r="DA469" t="s">
        <v>988</v>
      </c>
      <c r="DC469" s="807">
        <v>0.08</v>
      </c>
      <c r="EA469" t="s">
        <v>988</v>
      </c>
      <c r="EC469" s="807">
        <v>0.08</v>
      </c>
      <c r="FA469" t="s">
        <v>988</v>
      </c>
      <c r="FC469" s="807">
        <v>0.08</v>
      </c>
    </row>
    <row r="470" spans="27:160">
      <c r="AB470" s="807"/>
      <c r="AC470" s="805" t="e">
        <f ca="1">AC469*AC392</f>
        <v>#DIV/0!</v>
      </c>
      <c r="BB470" s="807"/>
      <c r="BC470" s="805" t="e">
        <f ca="1">BC469*BC392</f>
        <v>#DIV/0!</v>
      </c>
      <c r="CB470" s="807"/>
      <c r="CC470" s="805" t="e">
        <f ca="1">CC469*CC392</f>
        <v>#DIV/0!</v>
      </c>
      <c r="DB470" s="807"/>
      <c r="DC470" s="805" t="e">
        <f ca="1">DC469*DC392</f>
        <v>#DIV/0!</v>
      </c>
      <c r="EB470" s="807"/>
      <c r="EC470" s="805" t="e">
        <f ca="1">EC469*EC392</f>
        <v>#DIV/0!</v>
      </c>
      <c r="FB470" s="807"/>
      <c r="FC470" s="805" t="e">
        <f>FC469*FC392</f>
        <v>#DIV/0!</v>
      </c>
    </row>
    <row r="471" spans="27:160" ht="20">
      <c r="AA471" s="803" t="s">
        <v>466</v>
      </c>
      <c r="AB471" s="803"/>
      <c r="AC471" s="804" t="e">
        <f ca="1">AC473+AC475+AC477</f>
        <v>#DIV/0!</v>
      </c>
      <c r="AD471" s="805"/>
      <c r="BA471" s="803" t="s">
        <v>466</v>
      </c>
      <c r="BB471" s="803"/>
      <c r="BC471" s="804" t="e">
        <f ca="1">BC473+BC475+BC477</f>
        <v>#DIV/0!</v>
      </c>
      <c r="BD471" s="805"/>
      <c r="CA471" s="803" t="s">
        <v>466</v>
      </c>
      <c r="CB471" s="803"/>
      <c r="CC471" s="804" t="e">
        <f ca="1">CC473+CC475+CC477</f>
        <v>#DIV/0!</v>
      </c>
      <c r="CD471" s="805"/>
      <c r="DA471" s="803" t="s">
        <v>466</v>
      </c>
      <c r="DB471" s="803"/>
      <c r="DC471" s="804" t="e">
        <f ca="1">DC473+DC475+DC477</f>
        <v>#DIV/0!</v>
      </c>
      <c r="DD471" s="805"/>
      <c r="EA471" s="803" t="s">
        <v>466</v>
      </c>
      <c r="EB471" s="803"/>
      <c r="EC471" s="804" t="e">
        <f ca="1">EC473+EC475+EC477</f>
        <v>#DIV/0!</v>
      </c>
      <c r="ED471" s="805"/>
      <c r="FA471" s="803" t="s">
        <v>466</v>
      </c>
      <c r="FB471" s="803"/>
      <c r="FC471" s="804" t="e">
        <f ca="1">FC473+FC475+FC477</f>
        <v>#DIV/0!</v>
      </c>
      <c r="FD471" s="805"/>
    </row>
    <row r="472" spans="27:160">
      <c r="AA472" t="s">
        <v>989</v>
      </c>
      <c r="AC472" s="807">
        <v>0.1</v>
      </c>
      <c r="AD472" s="805"/>
      <c r="BA472" t="s">
        <v>989</v>
      </c>
      <c r="BC472" s="807">
        <v>0.1</v>
      </c>
      <c r="BD472" s="805"/>
      <c r="CA472" t="s">
        <v>989</v>
      </c>
      <c r="CC472" s="807">
        <v>0.1</v>
      </c>
      <c r="CD472" s="805"/>
      <c r="DA472" t="s">
        <v>989</v>
      </c>
      <c r="DC472" s="807">
        <v>0.1</v>
      </c>
      <c r="DD472" s="805"/>
      <c r="EA472" t="s">
        <v>989</v>
      </c>
      <c r="EC472" s="807">
        <v>0.1</v>
      </c>
      <c r="ED472" s="805"/>
      <c r="FA472" t="s">
        <v>989</v>
      </c>
      <c r="FC472" s="807">
        <v>0.1</v>
      </c>
      <c r="FD472" s="805"/>
    </row>
    <row r="473" spans="27:160">
      <c r="AB473" s="807"/>
      <c r="AC473" s="808" t="e">
        <f ca="1">AC472*AC453</f>
        <v>#DIV/0!</v>
      </c>
      <c r="AD473" s="805"/>
      <c r="BB473" s="807"/>
      <c r="BC473" s="808" t="e">
        <f ca="1">BC472*BC453</f>
        <v>#DIV/0!</v>
      </c>
      <c r="BD473" s="805"/>
      <c r="CB473" s="807"/>
      <c r="CC473" s="808" t="e">
        <f ca="1">CC472*CC453</f>
        <v>#DIV/0!</v>
      </c>
      <c r="CD473" s="805"/>
      <c r="DB473" s="807"/>
      <c r="DC473" s="808" t="e">
        <f ca="1">DC472*DC453</f>
        <v>#DIV/0!</v>
      </c>
      <c r="DD473" s="805"/>
      <c r="EB473" s="807"/>
      <c r="EC473" s="808" t="e">
        <f ca="1">EC472*EC453</f>
        <v>#DIV/0!</v>
      </c>
      <c r="ED473" s="805"/>
      <c r="FB473" s="807"/>
      <c r="FC473" s="808" t="e">
        <f>FC472*FC453</f>
        <v>#DIV/0!</v>
      </c>
      <c r="FD473" s="805"/>
    </row>
    <row r="474" spans="27:160">
      <c r="AA474" t="s">
        <v>990</v>
      </c>
      <c r="AC474" s="807">
        <v>0.1</v>
      </c>
      <c r="BA474" t="s">
        <v>990</v>
      </c>
      <c r="BC474" s="807">
        <v>0.1</v>
      </c>
      <c r="CA474" t="s">
        <v>990</v>
      </c>
      <c r="CC474" s="807">
        <v>0.1</v>
      </c>
      <c r="DA474" t="s">
        <v>990</v>
      </c>
      <c r="DC474" s="807">
        <v>0.1</v>
      </c>
      <c r="EA474" t="s">
        <v>990</v>
      </c>
      <c r="EC474" s="807">
        <v>0.1</v>
      </c>
      <c r="FA474" t="s">
        <v>990</v>
      </c>
      <c r="FC474" s="807">
        <v>0.1</v>
      </c>
    </row>
    <row r="475" spans="27:160">
      <c r="AB475" s="807"/>
      <c r="AC475" s="808" t="e">
        <f ca="1">AC474*AC453</f>
        <v>#DIV/0!</v>
      </c>
      <c r="BB475" s="807"/>
      <c r="BC475" s="808" t="e">
        <f ca="1">BC474*BC453</f>
        <v>#DIV/0!</v>
      </c>
      <c r="CB475" s="807"/>
      <c r="CC475" s="808" t="e">
        <f ca="1">CC474*CC453</f>
        <v>#DIV/0!</v>
      </c>
      <c r="DB475" s="807"/>
      <c r="DC475" s="808" t="e">
        <f ca="1">DC474*DC453</f>
        <v>#DIV/0!</v>
      </c>
      <c r="EB475" s="807"/>
      <c r="EC475" s="808" t="e">
        <f ca="1">EC474*EC453</f>
        <v>#DIV/0!</v>
      </c>
      <c r="FB475" s="807"/>
      <c r="FC475" s="808" t="e">
        <f>FC474*FC453</f>
        <v>#DIV/0!</v>
      </c>
    </row>
    <row r="476" spans="27:160">
      <c r="AA476" t="s">
        <v>991</v>
      </c>
      <c r="AC476" s="807">
        <v>0.05</v>
      </c>
      <c r="BA476" t="s">
        <v>991</v>
      </c>
      <c r="BC476" s="807">
        <v>0.05</v>
      </c>
      <c r="CA476" t="s">
        <v>991</v>
      </c>
      <c r="CC476" s="807">
        <v>0.05</v>
      </c>
      <c r="DA476" t="s">
        <v>991</v>
      </c>
      <c r="DC476" s="807">
        <v>0.05</v>
      </c>
      <c r="EA476" t="s">
        <v>991</v>
      </c>
      <c r="EC476" s="807">
        <v>0.05</v>
      </c>
      <c r="FA476" t="s">
        <v>991</v>
      </c>
      <c r="FC476" s="807">
        <v>0.05</v>
      </c>
    </row>
    <row r="477" spans="27:160">
      <c r="AB477" s="807"/>
      <c r="AC477" s="809" t="e">
        <f ca="1">IF(AC531=0, 0, AC476*AC478)</f>
        <v>#DIV/0!</v>
      </c>
      <c r="BB477" s="807"/>
      <c r="BC477" s="809" t="e">
        <f ca="1">IF(BC531=0, 0, BC476*BC478)</f>
        <v>#DIV/0!</v>
      </c>
      <c r="CB477" s="807"/>
      <c r="CC477" s="809" t="e">
        <f ca="1">IF(CC531=0, 0, CC476*CC478)</f>
        <v>#DIV/0!</v>
      </c>
      <c r="DB477" s="807"/>
      <c r="DC477" s="809" t="e">
        <f ca="1">IF(DC531=0, 0, DC476*DC478)</f>
        <v>#DIV/0!</v>
      </c>
      <c r="EB477" s="807"/>
      <c r="EC477" s="809" t="e">
        <f ca="1">IF(EC531=0, 0, EC476*EC478)</f>
        <v>#DIV/0!</v>
      </c>
      <c r="FB477" s="807"/>
      <c r="FC477" s="809" t="e">
        <f ca="1">IF(FC531=0, 0, FC476*FC478)</f>
        <v>#DIV/0!</v>
      </c>
    </row>
    <row r="478" spans="27:160" ht="20">
      <c r="AA478" s="803" t="s">
        <v>467</v>
      </c>
      <c r="AB478" s="803"/>
      <c r="AC478" s="804" t="e">
        <f ca="1">AC453+AC471</f>
        <v>#DIV/0!</v>
      </c>
      <c r="AD478" s="808"/>
      <c r="BA478" s="803" t="s">
        <v>467</v>
      </c>
      <c r="BB478" s="803"/>
      <c r="BC478" s="804" t="e">
        <f ca="1">BC453+BC471</f>
        <v>#DIV/0!</v>
      </c>
      <c r="CA478" s="803" t="s">
        <v>467</v>
      </c>
      <c r="CB478" s="803"/>
      <c r="CC478" s="804" t="e">
        <f ca="1">CC453+CC471</f>
        <v>#DIV/0!</v>
      </c>
      <c r="DA478" s="803" t="s">
        <v>467</v>
      </c>
      <c r="DB478" s="803"/>
      <c r="DC478" s="804" t="e">
        <f ca="1">DC453+DC471</f>
        <v>#DIV/0!</v>
      </c>
      <c r="EA478" s="803" t="s">
        <v>467</v>
      </c>
      <c r="EB478" s="803"/>
      <c r="EC478" s="804" t="e">
        <f ca="1">EC453+EC471</f>
        <v>#DIV/0!</v>
      </c>
      <c r="FA478" s="803" t="s">
        <v>467</v>
      </c>
      <c r="FB478" s="803"/>
      <c r="FC478" s="804" t="e">
        <f ca="1">FC453+FC471</f>
        <v>#DIV/0!</v>
      </c>
    </row>
    <row r="480" spans="27:160" ht="20">
      <c r="AA480" s="803" t="s">
        <v>468</v>
      </c>
      <c r="AB480" s="803"/>
      <c r="AC480" s="810">
        <v>0.1</v>
      </c>
      <c r="BA480" s="803" t="s">
        <v>468</v>
      </c>
      <c r="BB480" s="803"/>
      <c r="BC480" s="810">
        <v>0.1</v>
      </c>
      <c r="CA480" s="803" t="s">
        <v>468</v>
      </c>
      <c r="CB480" s="803"/>
      <c r="CC480" s="810">
        <v>0.1</v>
      </c>
      <c r="DA480" s="803" t="s">
        <v>468</v>
      </c>
      <c r="DB480" s="803"/>
      <c r="DC480" s="810">
        <v>0.1</v>
      </c>
      <c r="EA480" s="803" t="s">
        <v>468</v>
      </c>
      <c r="EB480" s="803"/>
      <c r="EC480" s="810">
        <v>0.1</v>
      </c>
      <c r="FA480" s="803" t="s">
        <v>468</v>
      </c>
      <c r="FB480" s="803"/>
      <c r="FC480" s="810">
        <v>0.1</v>
      </c>
    </row>
    <row r="481" spans="27:166" ht="20">
      <c r="AA481" s="803"/>
      <c r="AB481" s="810"/>
      <c r="AC481" s="811" t="e">
        <f ca="1">AC480*AC483</f>
        <v>#DIV/0!</v>
      </c>
      <c r="BA481" s="803"/>
      <c r="BB481" s="810"/>
      <c r="BC481" s="811" t="e">
        <f ca="1">BC480*BC483</f>
        <v>#DIV/0!</v>
      </c>
      <c r="CA481" s="803"/>
      <c r="CB481" s="810"/>
      <c r="CC481" s="811" t="e">
        <f ca="1">CC480*CC483</f>
        <v>#DIV/0!</v>
      </c>
      <c r="DA481" s="803"/>
      <c r="DB481" s="810"/>
      <c r="DC481" s="811" t="e">
        <f ca="1">DC480*DC483</f>
        <v>#DIV/0!</v>
      </c>
      <c r="EA481" s="803"/>
      <c r="EB481" s="810"/>
      <c r="EC481" s="811" t="e">
        <f ca="1">EC480*EC483</f>
        <v>#DIV/0!</v>
      </c>
      <c r="FA481" s="803"/>
      <c r="FB481" s="810"/>
      <c r="FC481" s="811" t="e">
        <f ca="1">FC480*FC483</f>
        <v>#DIV/0!</v>
      </c>
    </row>
    <row r="482" spans="27:166">
      <c r="AA482" s="806"/>
      <c r="AB482" s="806"/>
      <c r="BA482" s="806"/>
      <c r="BB482" s="806"/>
      <c r="CA482" s="806"/>
      <c r="CB482" s="806"/>
      <c r="DA482" s="806"/>
      <c r="DB482" s="806"/>
      <c r="EA482" s="806"/>
      <c r="EB482" s="806"/>
      <c r="FA482" s="806"/>
      <c r="FB482" s="806"/>
    </row>
    <row r="483" spans="27:166" ht="20">
      <c r="AA483" s="803" t="s">
        <v>469</v>
      </c>
      <c r="AB483" s="803"/>
      <c r="AC483" s="812" t="e">
        <f ca="1">IF(AC531=0, 0, AC478+AC481)</f>
        <v>#DIV/0!</v>
      </c>
      <c r="BA483" s="803" t="s">
        <v>469</v>
      </c>
      <c r="BB483" s="803"/>
      <c r="BC483" s="1254" t="e">
        <f ca="1">IF(BC531=0, 0, BC478+BC481)</f>
        <v>#DIV/0!</v>
      </c>
      <c r="CA483" s="803" t="s">
        <v>469</v>
      </c>
      <c r="CB483" s="803"/>
      <c r="CC483" s="1254" t="e">
        <f ca="1">IF(CC531=0, 0, CC478+CC481)</f>
        <v>#DIV/0!</v>
      </c>
      <c r="DA483" s="803" t="s">
        <v>469</v>
      </c>
      <c r="DB483" s="803"/>
      <c r="DC483" s="1254" t="e">
        <f ca="1">IF(DC531=0, 0, DC478+DC481)</f>
        <v>#DIV/0!</v>
      </c>
      <c r="EA483" s="803" t="s">
        <v>469</v>
      </c>
      <c r="EB483" s="803"/>
      <c r="EC483" s="1254" t="e">
        <f ca="1">IF(EC531=0, 0, EC478+EC481)</f>
        <v>#DIV/0!</v>
      </c>
      <c r="FA483" s="803" t="s">
        <v>469</v>
      </c>
      <c r="FB483" s="803"/>
      <c r="FC483" s="1254" t="e">
        <f ca="1">IF(FC531=0, 0, FC478+FC481)</f>
        <v>#DIV/0!</v>
      </c>
    </row>
    <row r="484" spans="27:166">
      <c r="AC484" t="s">
        <v>677</v>
      </c>
      <c r="AD484" t="s">
        <v>426</v>
      </c>
      <c r="AE484" t="s">
        <v>36</v>
      </c>
      <c r="AF484" t="s">
        <v>718</v>
      </c>
      <c r="AG484" t="s">
        <v>677</v>
      </c>
      <c r="AH484" t="s">
        <v>426</v>
      </c>
      <c r="AI484" t="s">
        <v>36</v>
      </c>
      <c r="AJ484" t="s">
        <v>718</v>
      </c>
      <c r="BC484" t="s">
        <v>677</v>
      </c>
      <c r="BD484" t="s">
        <v>426</v>
      </c>
      <c r="BE484" t="s">
        <v>36</v>
      </c>
      <c r="BF484" t="s">
        <v>718</v>
      </c>
      <c r="BG484" t="s">
        <v>677</v>
      </c>
      <c r="BH484" t="s">
        <v>426</v>
      </c>
      <c r="BI484" t="s">
        <v>36</v>
      </c>
      <c r="BJ484" t="s">
        <v>718</v>
      </c>
      <c r="CC484" t="s">
        <v>677</v>
      </c>
      <c r="CD484" t="s">
        <v>426</v>
      </c>
      <c r="CE484" t="s">
        <v>36</v>
      </c>
      <c r="CF484" t="s">
        <v>718</v>
      </c>
      <c r="CG484" t="s">
        <v>677</v>
      </c>
      <c r="CH484" t="s">
        <v>426</v>
      </c>
      <c r="CI484" t="s">
        <v>36</v>
      </c>
      <c r="CJ484" t="s">
        <v>718</v>
      </c>
      <c r="DC484" t="s">
        <v>677</v>
      </c>
      <c r="DD484" t="s">
        <v>426</v>
      </c>
      <c r="DE484" t="s">
        <v>36</v>
      </c>
      <c r="DF484" t="s">
        <v>718</v>
      </c>
      <c r="DG484" t="s">
        <v>677</v>
      </c>
      <c r="DH484" t="s">
        <v>426</v>
      </c>
      <c r="DI484" t="s">
        <v>36</v>
      </c>
      <c r="DJ484" t="s">
        <v>718</v>
      </c>
      <c r="EC484" t="s">
        <v>677</v>
      </c>
      <c r="ED484" t="s">
        <v>426</v>
      </c>
      <c r="EE484" t="s">
        <v>36</v>
      </c>
      <c r="EF484" t="s">
        <v>718</v>
      </c>
      <c r="EG484" t="s">
        <v>677</v>
      </c>
      <c r="EH484" t="s">
        <v>426</v>
      </c>
      <c r="EI484" t="s">
        <v>36</v>
      </c>
      <c r="EJ484" t="s">
        <v>718</v>
      </c>
      <c r="FC484" t="s">
        <v>677</v>
      </c>
      <c r="FD484" t="s">
        <v>426</v>
      </c>
      <c r="FE484" t="s">
        <v>36</v>
      </c>
      <c r="FF484" t="s">
        <v>718</v>
      </c>
      <c r="FG484" t="s">
        <v>677</v>
      </c>
      <c r="FH484" t="s">
        <v>426</v>
      </c>
      <c r="FI484" t="s">
        <v>36</v>
      </c>
      <c r="FJ484" t="s">
        <v>718</v>
      </c>
    </row>
    <row r="485" spans="27:166" ht="20">
      <c r="AA485" s="803" t="s">
        <v>992</v>
      </c>
      <c r="AB485" s="803"/>
      <c r="AC485" s="813" t="e">
        <f ca="1">AC486+AC503+AC515</f>
        <v>#DIV/0!</v>
      </c>
      <c r="AD485" s="813" t="e">
        <f ca="1">AD486+AD503+AD515</f>
        <v>#DIV/0!</v>
      </c>
      <c r="AE485" s="813" t="e">
        <f ca="1">AE486+AE503+AE515</f>
        <v>#DIV/0!</v>
      </c>
      <c r="AF485" s="813" t="e">
        <f ca="1">AF486+AF503+AF515</f>
        <v>#DIV/0!</v>
      </c>
      <c r="BA485" s="803" t="s">
        <v>992</v>
      </c>
      <c r="BB485" s="803"/>
      <c r="BC485" s="813" t="e">
        <f ca="1">BC486+BC503+BC515</f>
        <v>#DIV/0!</v>
      </c>
      <c r="BD485" s="813" t="e">
        <f ca="1">BD486+BD503+BD515</f>
        <v>#DIV/0!</v>
      </c>
      <c r="BE485" s="813" t="e">
        <f ca="1">BE486+BE503+BE515</f>
        <v>#DIV/0!</v>
      </c>
      <c r="BF485" s="813" t="e">
        <f ca="1">BF486+BF503+BF515</f>
        <v>#DIV/0!</v>
      </c>
      <c r="CA485" s="803" t="s">
        <v>992</v>
      </c>
      <c r="CB485" s="803"/>
      <c r="CC485" s="813" t="e">
        <f ca="1">CC486+CC503+CC515</f>
        <v>#DIV/0!</v>
      </c>
      <c r="CD485" s="813" t="e">
        <f ca="1">CD486+CD503+CD515</f>
        <v>#DIV/0!</v>
      </c>
      <c r="CE485" s="813" t="e">
        <f ca="1">CE486+CE503+CE515</f>
        <v>#DIV/0!</v>
      </c>
      <c r="CF485" s="813" t="e">
        <f ca="1">CF486+CF503+CF515</f>
        <v>#DIV/0!</v>
      </c>
      <c r="DA485" s="803" t="s">
        <v>992</v>
      </c>
      <c r="DB485" s="803"/>
      <c r="DC485" s="813" t="e">
        <f ca="1">DC486+DC503+DC515</f>
        <v>#DIV/0!</v>
      </c>
      <c r="DD485" s="813" t="e">
        <f ca="1">DD486+DD503+DD515</f>
        <v>#DIV/0!</v>
      </c>
      <c r="DE485" s="813" t="e">
        <f ca="1">DE486+DE503+DE515</f>
        <v>#DIV/0!</v>
      </c>
      <c r="DF485" s="813" t="e">
        <f ca="1">DF486+DF503+DF515</f>
        <v>#DIV/0!</v>
      </c>
      <c r="EA485" s="803" t="s">
        <v>992</v>
      </c>
      <c r="EB485" s="803"/>
      <c r="EC485" s="813" t="e">
        <f ca="1">EC486+EC503+EC515</f>
        <v>#DIV/0!</v>
      </c>
      <c r="ED485" s="813" t="e">
        <f ca="1">ED486+ED503+ED515</f>
        <v>#DIV/0!</v>
      </c>
      <c r="EE485" s="813" t="e">
        <f ca="1">EE486+EE503+EE515</f>
        <v>#DIV/0!</v>
      </c>
      <c r="EF485" s="813" t="e">
        <f ca="1">EF486+EF503+EF515</f>
        <v>#DIV/0!</v>
      </c>
      <c r="FA485" s="803" t="s">
        <v>992</v>
      </c>
      <c r="FB485" s="803"/>
      <c r="FC485" s="813" t="e">
        <f ca="1">FC486+FC503+FC515</f>
        <v>#DIV/0!</v>
      </c>
      <c r="FD485" s="813" t="e">
        <f ca="1">FD486+FD503+FD515</f>
        <v>#DIV/0!</v>
      </c>
      <c r="FE485" s="813" t="e">
        <f ca="1">FE486+FE503+FE515</f>
        <v>#DIV/0!</v>
      </c>
      <c r="FF485" s="813" t="e">
        <f ca="1">FF486+FF503+FF515</f>
        <v>#DIV/0!</v>
      </c>
    </row>
    <row r="486" spans="27:166">
      <c r="AA486" t="s">
        <v>993</v>
      </c>
      <c r="AC486" s="805" t="e">
        <f ca="1">AC488+AC490+AC492+AC494+AC496+AC498+AC500+AC502</f>
        <v>#DIV/0!</v>
      </c>
      <c r="AD486" s="805" t="e">
        <f ca="1">AD488+AD490+AD492+AD494+AD496+AD498+AD500+AD502</f>
        <v>#DIV/0!</v>
      </c>
      <c r="AE486" s="805" t="e">
        <f ca="1">AE488+AE490+AE492+AE494+AE496+AE498+AE500+AE502</f>
        <v>#DIV/0!</v>
      </c>
      <c r="AF486" s="805" t="e">
        <f ca="1">AF488+AF490+AF492+AF494+AF496+AF498+AF500+AF502</f>
        <v>#DIV/0!</v>
      </c>
      <c r="AG486" s="1068"/>
      <c r="AH486" s="808" t="e">
        <f ca="1">AH488*(1-AH487)</f>
        <v>#DIV/0!</v>
      </c>
      <c r="BA486" t="s">
        <v>993</v>
      </c>
      <c r="BC486" s="805" t="e">
        <f ca="1">BC488+BC490+BC492+BC494+BC496+BC498+BC500+BC502</f>
        <v>#DIV/0!</v>
      </c>
      <c r="BD486" s="805" t="e">
        <f ca="1">BD488+BD490+BD492+BD494+BD496+BD498+BD500+BD502</f>
        <v>#DIV/0!</v>
      </c>
      <c r="BE486" s="805" t="e">
        <f ca="1">BE488+BE490+BE492+BE494+BE496+BE498+BE500+BE502</f>
        <v>#DIV/0!</v>
      </c>
      <c r="BF486" s="805" t="e">
        <f ca="1">BF488+BF490+BF492+BF494+BF496+BF498+BF500+BF502</f>
        <v>#DIV/0!</v>
      </c>
      <c r="CA486" t="s">
        <v>993</v>
      </c>
      <c r="CC486" s="805" t="e">
        <f ca="1">CC488+CC490+CC492+CC494+CC496+CC498+CC500+CC502</f>
        <v>#DIV/0!</v>
      </c>
      <c r="CD486" s="805" t="e">
        <f ca="1">CD488+CD490+CD492+CD494+CD496+CD498+CD500+CD502</f>
        <v>#DIV/0!</v>
      </c>
      <c r="CE486" s="805" t="e">
        <f ca="1">CE488+CE490+CE492+CE494+CE496+CE498+CE500+CE502</f>
        <v>#DIV/0!</v>
      </c>
      <c r="CF486" s="805" t="e">
        <f ca="1">CF488+CF490+CF492+CF494+CF496+CF498+CF500+CF502</f>
        <v>#DIV/0!</v>
      </c>
      <c r="DA486" t="s">
        <v>993</v>
      </c>
      <c r="DC486" s="805" t="e">
        <f ca="1">DC488+DC490+DC492+DC494+DC496+DC498+DC500+DC502</f>
        <v>#DIV/0!</v>
      </c>
      <c r="DD486" s="805" t="e">
        <f ca="1">DD488+DD490+DD492+DD494+DD496+DD498+DD500+DD502</f>
        <v>#DIV/0!</v>
      </c>
      <c r="DE486" s="805" t="e">
        <f ca="1">DE488+DE490+DE492+DE494+DE496+DE498+DE500+DE502</f>
        <v>#DIV/0!</v>
      </c>
      <c r="DF486" s="805" t="e">
        <f ca="1">DF488+DF490+DF492+DF494+DF496+DF498+DF500+DF502</f>
        <v>#DIV/0!</v>
      </c>
      <c r="EA486" t="s">
        <v>993</v>
      </c>
      <c r="EC486" s="805" t="e">
        <f ca="1">EC488+EC490+EC492+EC494+EC496+EC498+EC500+EC502</f>
        <v>#DIV/0!</v>
      </c>
      <c r="ED486" s="805" t="e">
        <f ca="1">ED488+ED490+ED492+ED494+ED496+ED498+ED500+ED502</f>
        <v>#DIV/0!</v>
      </c>
      <c r="EE486" s="805" t="e">
        <f ca="1">EE488+EE490+EE492+EE494+EE496+EE498+EE500+EE502</f>
        <v>#DIV/0!</v>
      </c>
      <c r="EF486" s="805" t="e">
        <f ca="1">EF488+EF490+EF492+EF494+EF496+EF498+EF500+EF502</f>
        <v>#DIV/0!</v>
      </c>
      <c r="FA486" t="s">
        <v>993</v>
      </c>
      <c r="FC486" s="805" t="e">
        <f ca="1">FC488+FC490+FC492+FC494+FC496+FC498+FC500+FC502</f>
        <v>#DIV/0!</v>
      </c>
      <c r="FD486" s="805" t="e">
        <f ca="1">FD488+FD490+FD492+FD494+FD496+FD498+FD500+FD502</f>
        <v>#DIV/0!</v>
      </c>
      <c r="FE486" s="805" t="e">
        <f ca="1">FE488+FE490+FE492+FE494+FE496+FE498+FE500+FE502</f>
        <v>#DIV/0!</v>
      </c>
      <c r="FF486" s="805" t="e">
        <f ca="1">FF488+FF490+FF492+FF494+FF496+FF498+FF500+FF502</f>
        <v>#DIV/0!</v>
      </c>
    </row>
    <row r="487" spans="27:166">
      <c r="AA487" s="806" t="s">
        <v>994</v>
      </c>
      <c r="AC487" s="814">
        <v>0.1</v>
      </c>
      <c r="AD487" s="814">
        <v>0.1</v>
      </c>
      <c r="AE487" s="814">
        <v>0.1</v>
      </c>
      <c r="AF487" s="814">
        <v>0.1</v>
      </c>
      <c r="AH487" s="794" t="e">
        <f ca="1">26275080/AD488</f>
        <v>#DIV/0!</v>
      </c>
      <c r="BA487" s="806" t="s">
        <v>994</v>
      </c>
      <c r="BC487" s="814">
        <v>0.1</v>
      </c>
      <c r="BD487" s="814">
        <v>0.1</v>
      </c>
      <c r="BE487" s="814">
        <v>0.1</v>
      </c>
      <c r="BF487" s="814">
        <v>0.1</v>
      </c>
      <c r="CA487" s="806" t="s">
        <v>994</v>
      </c>
      <c r="CC487" s="814">
        <v>0.1</v>
      </c>
      <c r="CD487" s="814">
        <v>0.1</v>
      </c>
      <c r="CE487" s="814">
        <v>0.1</v>
      </c>
      <c r="CF487" s="814">
        <v>0.1</v>
      </c>
      <c r="DA487" s="806" t="s">
        <v>994</v>
      </c>
      <c r="DC487" s="814">
        <v>0.1</v>
      </c>
      <c r="DD487" s="814">
        <v>0.1</v>
      </c>
      <c r="DE487" s="814">
        <v>0.1</v>
      </c>
      <c r="DF487" s="814">
        <v>0.1</v>
      </c>
      <c r="EA487" s="806" t="s">
        <v>994</v>
      </c>
      <c r="EC487" s="814">
        <v>0.1</v>
      </c>
      <c r="ED487" s="814">
        <v>0.1</v>
      </c>
      <c r="EE487" s="814">
        <v>0.1</v>
      </c>
      <c r="EF487" s="814">
        <v>0.1</v>
      </c>
      <c r="FA487" s="806" t="s">
        <v>994</v>
      </c>
      <c r="FC487" s="814">
        <v>0.1</v>
      </c>
      <c r="FD487" s="814">
        <v>0.1</v>
      </c>
      <c r="FE487" s="814">
        <v>0.1</v>
      </c>
      <c r="FF487" s="814">
        <v>0.1</v>
      </c>
    </row>
    <row r="488" spans="27:166" ht="14.5">
      <c r="AA488" s="806"/>
      <c r="AB488" s="814"/>
      <c r="AC488" s="828" t="e">
        <f ca="1">(AC21*VLOOKUP(AA21,$B$52:$C$72,2,FALSE)+AC22*VLOOKUP(AA22,$B$52:$C$72,2,FALSE)+AC23*VLOOKUP(AA23,$B$52:$C$72,2,FALSE)+AC24*VLOOKUP(AA24,$B$52:$C$72,2,FALSE)+AC25*VLOOKUP(AA25,$B$52:$C$72,2,FALSE)+AC26*VLOOKUP(AA26,$B$52:$C$72,2,FALSE)+AC27*VLOOKUP(AA27,$B$52:$C$72,2,FALSE)+AB21*IFERROR(HLOOKUP(AA21,$C$81:$F$82,2,FALSE),0)+AB22*IFERROR(HLOOKUP(AA22,$C$81:$F$82,2,FALSE),0)+AB23*IFERROR(HLOOKUP(AA23,$C$81:$F$82,2,FALSE),0)-(AD21*VLOOKUP(AA21,$B$52:$C$72,2,FALSE)+AD22*VLOOKUP(AA22,$B$52:$C$72,2,FALSE)+AD23*VLOOKUP(AA23,$B$52:$C$72,2,FALSE)))*AC110*AC103+'Mat. Conv Par.'!$C$64*SUM(Input!$F$28:$F$32)/ROUNDUP($D$8/2000,0)*1000</f>
        <v>#DIV/0!</v>
      </c>
      <c r="AD488" s="828" t="e">
        <f ca="1">(AF21*VLOOKUP(AA21,$B$52:$C$72,2,FALSE)+AF22*VLOOKUP(AA22,$B$52:$C$72,2,FALSE)+AF23*VLOOKUP(AA23,$B$52:$C$72,2,FALSE)+AF24*VLOOKUP(AA24,$B$52:$C$72,2,FALSE)+AF25*VLOOKUP(AA25,$B$52:$C$72,2,FALSE)+AF26*VLOOKUP(AA26,$B$52:$C$72,2,FALSE)+AF27*VLOOKUP(AA27,$B$52:$C$72,2,FALSE)+(AE21*IFERROR(HLOOKUP(AA21,$C$81:$F$82,2,FALSE),0)+AE22*IFERROR(HLOOKUP(AA22,$C$81:$F$82,2,FALSE),0)+AE23*IFERROR(HLOOKUP(AA23,$C$81:$F$82,2,FALSE),0))-(AG21*VLOOKUP(AA21,$B$52:$C$72,2,FALSE)+AG22*VLOOKUP(AA22,$B$52:$C$72,2,FALSE)+AG23*VLOOKUP(AA23,$B$52:$C$72,2,FALSE)))*AC110*AC103+'Mat. Conv Par.'!$D$64*SUM(Input!$F$28:$F$32)/ROUNDUP($D$8/2000,0)*1000</f>
        <v>#DIV/0!</v>
      </c>
      <c r="AE488" s="828" t="e">
        <f ca="1">(AI21*VLOOKUP(AA21,$B$52:$C$72,2,FALSE)+AI22*VLOOKUP(AA22,$B$52:$C$72,2,FALSE)+AI23*VLOOKUP(AA23,$B$52:$C$72,2,FALSE)+AI24*VLOOKUP(AA24,$B$52:$C$72,2,FALSE)+AI25*VLOOKUP(AA25,$B$52:$C$72,2,FALSE)+AI26*VLOOKUP(AA26,$B$52:$C$72,2,FALSE)+AI27*VLOOKUP(AA27,$B$52:$C$72,2,FALSE)+(AH21*IFERROR(HLOOKUP(AA21,$C$81:$F$82,2,FALSE),0)+AH22*IFERROR(HLOOKUP(AA22,$C$81:$F$82,2,FALSE),0)+AH23*IFERROR(HLOOKUP(AA23,$C$81:$F$82,2,FALSE),0))-(AJ21*VLOOKUP(AA21,$B$52:$C$72,2,FALSE)+AJ22*VLOOKUP(AA22,$B$52:$C$72,2,FALSE)+AJ23*VLOOKUP(AA23,$B$52:$C$72,2,FALSE)))*AC110*AC103+'Mat. Conv Par.'!$F$64*SUM(Input!$F$28:$F$32)/ROUNDUP($D$8/2000,0)*1000</f>
        <v>#DIV/0!</v>
      </c>
      <c r="AF488" s="828" t="e">
        <f>(AB9*VLOOKUP(AA9,$B$52:$C$72,2,FALSE)+AB10*VLOOKUP(AA10,$B$52:$C$72,2,FALSE)+AB11*VLOOKUP(AA11,$B$52:$C$72,2,FALSE)+AB12*VLOOKUP(AA12,$B$52:$C$72,2,FALSE)+AB13*VLOOKUP(AA13,$B$52:$C$72,2,FALSE)+AB14*VLOOKUP(AA14,$B$52:$C$72,2,FALSE)+AB15*VLOOKUP(AA15,$B$52:$C$72,2,FALSE))*AC110*AC103</f>
        <v>#DIV/0!</v>
      </c>
      <c r="AG488" s="808" t="e">
        <f ca="1">AC488/$AC$111</f>
        <v>#DIV/0!</v>
      </c>
      <c r="AH488" s="808" t="e">
        <f ca="1">AD488/$AC$111</f>
        <v>#DIV/0!</v>
      </c>
      <c r="AI488" s="808" t="e">
        <f ca="1">AE488/$AC$111</f>
        <v>#DIV/0!</v>
      </c>
      <c r="AJ488" s="808" t="e">
        <f>AF488/$AC$111</f>
        <v>#DIV/0!</v>
      </c>
      <c r="BA488" s="806"/>
      <c r="BB488" s="814"/>
      <c r="BC488" s="828" t="e">
        <f ca="1">(BC21*VLOOKUP(BA21,$B$52:$C$72,2,FALSE)+BC22*VLOOKUP(BA22,$B$52:$C$72,2,FALSE)+BC23*VLOOKUP(BA23,$B$52:$C$72,2,FALSE)+BC24*VLOOKUP(BA24,$B$52:$C$72,2,FALSE)+BC25*VLOOKUP(BA25,$B$52:$C$72,2,FALSE)+BC26*VLOOKUP(BA26,$B$52:$C$72,2,FALSE)+BC27*VLOOKUP(BA27,$B$52:$C$72,2,FALSE)+BB21*IFERROR(HLOOKUP(BA21,$C$81:$F$82,2,FALSE),0)+BB22*IFERROR(HLOOKUP(BA22,$C$81:$F$82,2,FALSE),0)+BB23*IFERROR(HLOOKUP(BA23,$C$81:$F$82,2,FALSE),0)-(BD21*VLOOKUP(BA21,$B$52:$C$72,2,FALSE)+BD22*VLOOKUP(BA22,$B$52:$C$72,2,FALSE)+BD23*VLOOKUP(BA23,$B$52:$C$72,2,FALSE)))*BC110*BC103+'Mat. Conv Par.'!$C$64*SUM(Input!$F$28:$F$32)/ROUNDUP($D$8/2000,0)*1000</f>
        <v>#DIV/0!</v>
      </c>
      <c r="BD488" s="828" t="e">
        <f ca="1">(BF21*VLOOKUP(BA21,$B$52:$C$72,2,FALSE)+BF22*VLOOKUP(BA22,$B$52:$C$72,2,FALSE)+BF23*VLOOKUP(BA23,$B$52:$C$72,2,FALSE)+BF24*VLOOKUP(BA24,$B$52:$C$72,2,FALSE)+BF25*VLOOKUP(BA25,$B$52:$C$72,2,FALSE)+BF26*VLOOKUP(BA26,$B$52:$C$72,2,FALSE)+BF27*VLOOKUP(BA27,$B$52:$C$72,2,FALSE)+(BE21*IFERROR(HLOOKUP(BA21,$C$81:$F$82,2,FALSE),0)+BE22*IFERROR(HLOOKUP(BA22,$C$81:$F$82,2,FALSE),0)+BE23*IFERROR(HLOOKUP(BA23,$C$81:$F$82,2,FALSE),0))-(BG21*VLOOKUP(BA21,$B$52:$C$72,2,FALSE)+BG22*VLOOKUP(BA22,$B$52:$C$72,2,FALSE)+BG23*VLOOKUP(BA23,$B$52:$C$72,2,FALSE)))*BC110*BC103+'Mat. Conv Par.'!$D$64*SUM(Input!$F$28:$F$32)/ROUNDUP($D$8/2000,0)*1000</f>
        <v>#DIV/0!</v>
      </c>
      <c r="BE488" s="828" t="e">
        <f ca="1">(BI21*VLOOKUP(BA21,$B$52:$C$72,2,FALSE)+BI22*VLOOKUP(BA22,$B$52:$C$72,2,FALSE)+BI23*VLOOKUP(BA23,$B$52:$C$72,2,FALSE)+BI24*VLOOKUP(BA24,$B$52:$C$72,2,FALSE)+BI25*VLOOKUP(BA25,$B$52:$C$72,2,FALSE)+BI26*VLOOKUP(BA26,$B$52:$C$72,2,FALSE)+BI27*VLOOKUP(BA27,$B$52:$C$72,2,FALSE)+(BH21*IFERROR(HLOOKUP(BA21,$C$81:$F$82,2,FALSE),0)+BH22*IFERROR(HLOOKUP(BA22,$C$81:$F$82,2,FALSE),0)+BH23*IFERROR(HLOOKUP(BA23,$C$81:$F$82,2,FALSE),0))-(BJ21*VLOOKUP(BA21,$B$52:$C$72,2,FALSE)+BJ22*VLOOKUP(BA22,$B$52:$C$72,2,FALSE)+BJ23*VLOOKUP(BA23,$B$52:$C$72,2,FALSE)))*BC110*BC103+'Mat. Conv Par.'!$F$64*SUM(Input!$F$28:$F$32)/ROUNDUP($D$8/2000,0)*1000</f>
        <v>#DIV/0!</v>
      </c>
      <c r="BF488" s="828" t="e">
        <f>(BB9*VLOOKUP(BA9,$B$52:$C$72,2,FALSE)+BB10*VLOOKUP(BA10,$B$52:$C$72,2,FALSE)+BB11*VLOOKUP(BA11,$B$52:$C$72,2,FALSE)+BB12*VLOOKUP(BA12,$B$52:$C$72,2,FALSE)+BB13*VLOOKUP(BA13,$B$52:$C$72,2,FALSE)+BB14*VLOOKUP(BA14,$B$52:$C$72,2,FALSE)+BB15*VLOOKUP(BA15,$B$52:$C$72,2,FALSE))*BC110*BC103</f>
        <v>#DIV/0!</v>
      </c>
      <c r="BG488" s="808" t="e">
        <f ca="1">BC488/$CC$111</f>
        <v>#DIV/0!</v>
      </c>
      <c r="BH488" s="808" t="e">
        <f ca="1">BD488/$CC$111</f>
        <v>#DIV/0!</v>
      </c>
      <c r="BI488" s="808" t="e">
        <f ca="1">BE488/$CC$111</f>
        <v>#DIV/0!</v>
      </c>
      <c r="BJ488" s="808" t="e">
        <f>BF488/$CC$111</f>
        <v>#DIV/0!</v>
      </c>
      <c r="CA488" s="806"/>
      <c r="CB488" s="814"/>
      <c r="CC488" s="828" t="e">
        <f ca="1">(CC21*VLOOKUP(CA21,$B$52:$C$72,2,FALSE)+CC22*VLOOKUP(CA22,$B$52:$C$72,2,FALSE)+CC23*VLOOKUP(CA23,$B$52:$C$72,2,FALSE)+CC24*VLOOKUP(CA24,$B$52:$C$72,2,FALSE)+CC25*VLOOKUP(CA25,$B$52:$C$72,2,FALSE)+CC26*VLOOKUP(CA26,$B$52:$C$72,2,FALSE)+CC27*VLOOKUP(CA27,$B$52:$C$72,2,FALSE)+CB21*IFERROR(HLOOKUP(CA21,$C$81:$F$82,2,FALSE),0)+CB22*IFERROR(HLOOKUP(CA22,$C$81:$F$82,2,FALSE),0)+CB23*IFERROR(HLOOKUP(CA23,$C$81:$F$82,2,FALSE),0)-(CD21*VLOOKUP(CA21,$B$52:$C$72,2,FALSE)+CD22*VLOOKUP(CA22,$B$52:$C$72,2,FALSE)+CD23*VLOOKUP(CA23,$B$52:$C$72,2,FALSE)))*CC110*CC103+'Mat. Conv Par.'!$C$64*SUM(Input!$F$28:$F$32)/ROUNDUP($D$8/2000,0)*1000</f>
        <v>#DIV/0!</v>
      </c>
      <c r="CD488" s="828" t="e">
        <f ca="1">(CF21*VLOOKUP(CA21,$B$52:$C$72,2,FALSE)+CF22*VLOOKUP(CA22,$B$52:$C$72,2,FALSE)+CF23*VLOOKUP(CA23,$B$52:$C$72,2,FALSE)+CF24*VLOOKUP(CA24,$B$52:$C$72,2,FALSE)+CF25*VLOOKUP(CA25,$B$52:$C$72,2,FALSE)+CF26*VLOOKUP(CA26,$B$52:$C$72,2,FALSE)+CF27*VLOOKUP(CA27,$B$52:$C$72,2,FALSE)+(CE21*IFERROR(HLOOKUP(CA21,$C$81:$F$82,2,FALSE),0)+CE22*IFERROR(HLOOKUP(CA22,$C$81:$F$82,2,FALSE),0)+CE23*IFERROR(HLOOKUP(CA23,$C$81:$F$82,2,FALSE),0))-(CG21*VLOOKUP(CA21,$B$52:$C$72,2,FALSE)+CG22*VLOOKUP(CA22,$B$52:$C$72,2,FALSE)+CG23*VLOOKUP(CA23,$B$52:$C$72,2,FALSE)))*CC110*CC103+'Mat. Conv Par.'!$D$64*SUM(Input!$F$28:$F$32)/ROUNDUP($D$8/2000,0)*1000</f>
        <v>#DIV/0!</v>
      </c>
      <c r="CE488" s="828" t="e">
        <f ca="1">(CI21*VLOOKUP(CA21,$B$52:$C$72,2,FALSE)+CI22*VLOOKUP(CA22,$B$52:$C$72,2,FALSE)+CI23*VLOOKUP(CA23,$B$52:$C$72,2,FALSE)+CI24*VLOOKUP(CA24,$B$52:$C$72,2,FALSE)+CI25*VLOOKUP(CA25,$B$52:$C$72,2,FALSE)+CI26*VLOOKUP(CA26,$B$52:$C$72,2,FALSE)+CI27*VLOOKUP(CA27,$B$52:$C$72,2,FALSE)+(CH21*IFERROR(HLOOKUP(CA21,$C$81:$F$82,2,FALSE),0)+CH22*IFERROR(HLOOKUP(CA22,$C$81:$F$82,2,FALSE),0)+CH23*IFERROR(HLOOKUP(CA23,$C$81:$F$82,2,FALSE),0))-(CJ21*VLOOKUP(CA21,$B$52:$C$72,2,FALSE)+CJ22*VLOOKUP(CA22,$B$52:$C$72,2,FALSE)+CJ23*VLOOKUP(CA23,$B$52:$C$72,2,FALSE)))*CC110*CC103+'Mat. Conv Par.'!$F$64*SUM(Input!$F$28:$F$32)/ROUNDUP($D$8/2000,0)*1000</f>
        <v>#DIV/0!</v>
      </c>
      <c r="CF488" s="828" t="e">
        <f>(CB9*VLOOKUP(CA9,$B$52:$C$72,2,FALSE)+CB10*VLOOKUP(CA10,$B$52:$C$72,2,FALSE)+CB11*VLOOKUP(CA11,$B$52:$C$72,2,FALSE)+CB12*VLOOKUP(CA12,$B$52:$C$72,2,FALSE)+CB13*VLOOKUP(CA13,$B$52:$C$72,2,FALSE)+CB14*VLOOKUP(CA14,$B$52:$C$72,2,FALSE)+CB15*VLOOKUP(CA15,$B$52:$C$72,2,FALSE))*CC110*CC103</f>
        <v>#DIV/0!</v>
      </c>
      <c r="CG488" s="808" t="e">
        <f ca="1">CC488/$CC$111</f>
        <v>#DIV/0!</v>
      </c>
      <c r="CH488" s="808" t="e">
        <f ca="1">CD488/$CC$111</f>
        <v>#DIV/0!</v>
      </c>
      <c r="CI488" s="808" t="e">
        <f ca="1">CE488/$CC$111</f>
        <v>#DIV/0!</v>
      </c>
      <c r="CJ488" s="808" t="e">
        <f>CF488/$CC$111</f>
        <v>#DIV/0!</v>
      </c>
      <c r="DA488" s="806"/>
      <c r="DB488" s="814"/>
      <c r="DC488" s="828" t="e">
        <f ca="1">(DC21*VLOOKUP(DA21,$B$52:$C$72,2,FALSE)+DC22*VLOOKUP(DA22,$B$52:$C$72,2,FALSE)+DC23*VLOOKUP(DA23,$B$52:$C$72,2,FALSE)+DC24*VLOOKUP(DA24,$B$52:$C$72,2,FALSE)+DC25*VLOOKUP(DA25,$B$52:$C$72,2,FALSE)+DC26*VLOOKUP(DA26,$B$52:$C$72,2,FALSE)+DC27*VLOOKUP(DA27,$B$52:$C$72,2,FALSE)+DB21*IFERROR(HLOOKUP(DA21,$C$81:$F$82,2,FALSE),0)+DB22*IFERROR(HLOOKUP(DA22,$C$81:$F$82,2,FALSE),0)+DB23*IFERROR(HLOOKUP(DA23,$C$81:$F$82,2,FALSE),0)-(DD21*VLOOKUP(DA21,$B$52:$C$72,2,FALSE)+DD22*VLOOKUP(DA22,$B$52:$C$72,2,FALSE)+DD23*VLOOKUP(DA23,$B$52:$C$72,2,FALSE)))*DC110*DC103+'Mat. Conv Par.'!$C$64*SUM(Input!$F$28:$F$32)/ROUNDUP($D$8/2000,0)*1000</f>
        <v>#DIV/0!</v>
      </c>
      <c r="DD488" s="828" t="e">
        <f ca="1">(DF21*VLOOKUP(DA21,$B$52:$C$72,2,FALSE)+DF22*VLOOKUP(DA22,$B$52:$C$72,2,FALSE)+DF23*VLOOKUP(DA23,$B$52:$C$72,2,FALSE)+DF24*VLOOKUP(DA24,$B$52:$C$72,2,FALSE)+DF25*VLOOKUP(DA25,$B$52:$C$72,2,FALSE)+DF26*VLOOKUP(DA26,$B$52:$C$72,2,FALSE)+DF27*VLOOKUP(DA27,$B$52:$C$72,2,FALSE)+(DE21*IFERROR(HLOOKUP(DA21,$C$81:$F$82,2,FALSE),0)+DE22*IFERROR(HLOOKUP(DA22,$C$81:$F$82,2,FALSE),0)+DE23*IFERROR(HLOOKUP(DA23,$C$81:$F$82,2,FALSE),0))-(DG21*VLOOKUP(DA21,$B$52:$C$72,2,FALSE)+DG22*VLOOKUP(DA22,$B$52:$C$72,2,FALSE)+DG23*VLOOKUP(DA23,$B$52:$C$72,2,FALSE)))*DC110*DC103+'Mat. Conv Par.'!$D$64*SUM(Input!$F$28:$F$32)/ROUNDUP($D$8/2000,0)*1000</f>
        <v>#DIV/0!</v>
      </c>
      <c r="DE488" s="828" t="e">
        <f ca="1">(DI21*VLOOKUP(DA21,$B$52:$C$72,2,FALSE)+DI22*VLOOKUP(DA22,$B$52:$C$72,2,FALSE)+DI23*VLOOKUP(DA23,$B$52:$C$72,2,FALSE)+DI24*VLOOKUP(DA24,$B$52:$C$72,2,FALSE)+DI25*VLOOKUP(DA25,$B$52:$C$72,2,FALSE)+DI26*VLOOKUP(DA26,$B$52:$C$72,2,FALSE)+DI27*VLOOKUP(DA27,$B$52:$C$72,2,FALSE)+(DH21*IFERROR(HLOOKUP(DA21,$C$81:$F$82,2,FALSE),0)+DH22*IFERROR(HLOOKUP(DA22,$C$81:$F$82,2,FALSE),0)+DH23*IFERROR(HLOOKUP(DA23,$C$81:$F$82,2,FALSE),0))-(DJ21*VLOOKUP(DA21,$B$52:$C$72,2,FALSE)+DJ22*VLOOKUP(DA22,$B$52:$C$72,2,FALSE)+DJ23*VLOOKUP(DA23,$B$52:$C$72,2,FALSE)))*DC110*DC103+'Mat. Conv Par.'!$F$64*SUM(Input!$F$28:$F$32)/ROUNDUP($D$8/2000,0)*1000</f>
        <v>#DIV/0!</v>
      </c>
      <c r="DF488" s="828" t="e">
        <f>(DB9*VLOOKUP(DA9,$B$52:$C$72,2,FALSE)+DB10*VLOOKUP(DA10,$B$52:$C$72,2,FALSE)+DB11*VLOOKUP(DA11,$B$52:$C$72,2,FALSE)+DB12*VLOOKUP(DA12,$B$52:$C$72,2,FALSE)+DB13*VLOOKUP(DA13,$B$52:$C$72,2,FALSE)+DB14*VLOOKUP(DA14,$B$52:$C$72,2,FALSE)+DB15*VLOOKUP(DA15,$B$52:$C$72,2,FALSE))*DC110*DC103</f>
        <v>#DIV/0!</v>
      </c>
      <c r="DG488" s="808" t="e">
        <f ca="1">DC488/$DC$111</f>
        <v>#DIV/0!</v>
      </c>
      <c r="DH488" s="808" t="e">
        <f ca="1">DD488/$DC$111</f>
        <v>#DIV/0!</v>
      </c>
      <c r="DI488" s="808" t="e">
        <f ca="1">DE488/$DC$111</f>
        <v>#DIV/0!</v>
      </c>
      <c r="DJ488" s="808" t="e">
        <f>DF488/$DC$111</f>
        <v>#DIV/0!</v>
      </c>
      <c r="EA488" s="806"/>
      <c r="EB488" s="814"/>
      <c r="EC488" s="828" t="e">
        <f ca="1">(EC21*VLOOKUP(EA21,$B$52:$C$72,2,FALSE)+EC22*VLOOKUP(EA22,$B$52:$C$72,2,FALSE)+EC23*VLOOKUP(EA23,$B$52:$C$72,2,FALSE)+EC24*VLOOKUP(EA24,$B$52:$C$72,2,FALSE)+EC25*VLOOKUP(EA25,$B$52:$C$72,2,FALSE)+EC26*VLOOKUP(EA26,$B$52:$C$72,2,FALSE)+EC27*VLOOKUP(EA27,$B$52:$C$72,2,FALSE)+EB21*IFERROR(HLOOKUP(EA21,$C$81:$F$82,2,FALSE),0)+EB22*IFERROR(HLOOKUP(EA22,$C$81:$F$82,2,FALSE),0)+EB23*IFERROR(HLOOKUP(EA23,$C$81:$F$82,2,FALSE),0)-(ED21*VLOOKUP(EA21,$B$52:$C$72,2,FALSE)+ED22*VLOOKUP(EA22,$B$52:$C$72,2,FALSE)+ED23*VLOOKUP(EA23,$B$52:$C$72,2,FALSE)))*EC110*EC103+'Mat. Conv Par.'!$C$64*SUM(Input!$F$28:$F$32)/ROUNDUP($D$8/2000,0)*1000</f>
        <v>#DIV/0!</v>
      </c>
      <c r="ED488" s="828" t="e">
        <f ca="1">(EF21*VLOOKUP(EA21,$B$52:$C$72,2,FALSE)+EF22*VLOOKUP(EA22,$B$52:$C$72,2,FALSE)+EF23*VLOOKUP(EA23,$B$52:$C$72,2,FALSE)+EF24*VLOOKUP(EA24,$B$52:$C$72,2,FALSE)+EF25*VLOOKUP(EA25,$B$52:$C$72,2,FALSE)+EF26*VLOOKUP(EA26,$B$52:$C$72,2,FALSE)+EF27*VLOOKUP(EA27,$B$52:$C$72,2,FALSE)+(EE21*IFERROR(HLOOKUP(EA21,$C$81:$F$82,2,FALSE),0)+EE22*IFERROR(HLOOKUP(EA22,$C$81:$F$82,2,FALSE),0)+EE23*IFERROR(HLOOKUP(EA23,$C$81:$F$82,2,FALSE),0))-(EG21*VLOOKUP(EA21,$B$52:$C$72,2,FALSE)+EG22*VLOOKUP(EA22,$B$52:$C$72,2,FALSE)+EG23*VLOOKUP(EA23,$B$52:$C$72,2,FALSE)))*EC110*EC103+'Mat. Conv Par.'!$D$64*SUM(Input!$F$28:$F$32)/ROUNDUP($D$8/2000,0)*1000-D19*1000*Materials!$B$73</f>
        <v>#DIV/0!</v>
      </c>
      <c r="EE488" s="828" t="e">
        <f ca="1">(EI21*VLOOKUP(EA21,$B$52:$C$72,2,FALSE)+EI22*VLOOKUP(EA22,$B$52:$C$72,2,FALSE)+EI23*VLOOKUP(EA23,$B$52:$C$72,2,FALSE)+EI24*VLOOKUP(EA24,$B$52:$C$72,2,FALSE)+EI25*VLOOKUP(EA25,$B$52:$C$72,2,FALSE)+EI26*VLOOKUP(EA26,$B$52:$C$72,2,FALSE)+EI27*VLOOKUP(EA27,$B$52:$C$72,2,FALSE)+(EH21*IFERROR(HLOOKUP(EA21,$C$81:$F$82,2,FALSE),0)+EH22*IFERROR(HLOOKUP(EA22,$C$81:$F$82,2,FALSE),0)+EH23*IFERROR(HLOOKUP(EA23,$C$81:$F$82,2,FALSE),0))-(EJ21*VLOOKUP(EA21,$B$52:$C$72,2,FALSE)+EJ22*VLOOKUP(EA22,$B$52:$C$72,2,FALSE)+EJ23*VLOOKUP(EA23,$B$52:$C$72,2,FALSE)))*EC110*EC103+'Mat. Conv Par.'!$F$64*SUM(Input!$F$28:$F$32)/ROUNDUP($D$8/2000,0)*1000-E19*1000*Materials!$B$73</f>
        <v>#DIV/0!</v>
      </c>
      <c r="EF488" s="828" t="e">
        <f>(EB9*VLOOKUP(EA9,$B$52:$C$72,2,FALSE)+EB10*VLOOKUP(EA10,$B$52:$C$72,2,FALSE)+EB11*VLOOKUP(EA11,$B$52:$C$72,2,FALSE)+EB12*VLOOKUP(EA12,$B$52:$C$72,2,FALSE)+EB13*VLOOKUP(EA13,$B$52:$C$72,2,FALSE)+EB14*VLOOKUP(EA14,$B$52:$C$72,2,FALSE)+EB15*VLOOKUP(EA15,$B$52:$C$72,2,FALSE))*EC110*EC103</f>
        <v>#DIV/0!</v>
      </c>
      <c r="EG488" s="808" t="e">
        <f ca="1">EC488/$EC$111</f>
        <v>#DIV/0!</v>
      </c>
      <c r="EH488" s="808" t="e">
        <f ca="1">ED488/$EC$111</f>
        <v>#DIV/0!</v>
      </c>
      <c r="EI488" s="808" t="e">
        <f ca="1">EE488/$EC$111</f>
        <v>#DIV/0!</v>
      </c>
      <c r="EJ488" s="808" t="e">
        <f>EF488/$EC$111</f>
        <v>#DIV/0!</v>
      </c>
      <c r="FA488" s="806"/>
      <c r="FB488" s="814"/>
      <c r="FC488" s="828" t="e">
        <f ca="1">(FC21*VLOOKUP(FA21,$B$52:$C$72,2,FALSE)+FC22*VLOOKUP(FA22,$B$52:$C$72,2,FALSE)+FB21*IFERROR(HLOOKUP(FA21,$C$81:$F$82,2,FALSE),0)+FB22*IFERROR(HLOOKUP(FA22,$C$81:$F$82,2,FALSE),0)-(FD21*VLOOKUP(FA21,$B$52:$C$72,2,FALSE)+FD22*VLOOKUP(FA22,$B$52:$C$72,2,FALSE)))*FC110*FC103+'Mat. Conv Par.'!$C$64*SUM(Input!$F$28:$F$32)/ROUNDUP($D$8/2000,0)*1000-C16*1000*Materials!$B$74</f>
        <v>#DIV/0!</v>
      </c>
      <c r="FD488" s="828" t="e">
        <f ca="1">(FF21*VLOOKUP(FA21,$B$52:$C$72,2,FALSE)+FF22*VLOOKUP(FA22,$B$52:$C$72,2,FALSE)+(FE21*IFERROR(HLOOKUP(FA21,$C$81:$F$82,2,FALSE),0)+FE22*IFERROR(HLOOKUP(FA22,$C$81:$F$82,2,FALSE),0))-(FG21*VLOOKUP(FA21,$B$52:$C$72,2,FALSE)+FG22*VLOOKUP(FA22,$B$52:$C$72,2,FALSE)))*FC110*FC103+'Mat. Conv Par.'!$D$64*SUM(Input!$F$28:$F$32)/ROUNDUP($D$8/2000,0)*1000-D16*1000*Materials!$B$74-D19*1000*Materials!$B$73</f>
        <v>#DIV/0!</v>
      </c>
      <c r="FE488" s="828" t="e">
        <f ca="1">(FI21*VLOOKUP(FA21,$B$52:$C$72,2,FALSE)+FI22*VLOOKUP(FA22,$B$52:$C$72,2,FALSE)+(FH21*IFERROR(HLOOKUP(FA21,$C$81:$F$82,2,FALSE),0)+FH22*IFERROR(HLOOKUP(FA22,$C$81:$F$82,2,FALSE),0))-(FJ21*VLOOKUP(FA21,$B$52:$C$72,2,FALSE)+FJ22*VLOOKUP(FA22,$B$52:$C$72,2,FALSE)))*FC110*FC103+'Mat. Conv Par.'!$F$64*SUM(Input!$F$28:$F$32)/ROUNDUP($D$8/2000,0)*1000-E16*1000*Materials!$B$74-E19*1000*Materials!$B$73</f>
        <v>#DIV/0!</v>
      </c>
      <c r="FF488" s="828" t="e">
        <f>(FB9*VLOOKUP(FA9,$B$52:$C$72,2,FALSE)+FB10*VLOOKUP(FA10,$B$52:$C$72,2,FALSE))*FC110*FC103</f>
        <v>#DIV/0!</v>
      </c>
      <c r="FG488" s="808" t="e">
        <f ca="1">FC488/$FC$111</f>
        <v>#DIV/0!</v>
      </c>
      <c r="FH488" s="808" t="e">
        <f ca="1">FD488/$FC$111</f>
        <v>#DIV/0!</v>
      </c>
      <c r="FI488" s="808" t="e">
        <f ca="1">FE488/$FC$111</f>
        <v>#DIV/0!</v>
      </c>
      <c r="FJ488" s="808" t="e">
        <f>FF488/$FC$111</f>
        <v>#DIV/0!</v>
      </c>
    </row>
    <row r="489" spans="27:166">
      <c r="AA489" s="806" t="s">
        <v>995</v>
      </c>
      <c r="AC489" s="815">
        <v>0.15</v>
      </c>
      <c r="AD489" s="815">
        <v>0.15</v>
      </c>
      <c r="AE489" s="815">
        <v>0.15</v>
      </c>
      <c r="AF489" s="815">
        <v>0.15</v>
      </c>
      <c r="BA489" s="806" t="s">
        <v>995</v>
      </c>
      <c r="BC489" s="815">
        <v>0.15</v>
      </c>
      <c r="BD489" s="815">
        <v>0.15</v>
      </c>
      <c r="BE489" s="815">
        <v>0.15</v>
      </c>
      <c r="BF489" s="815">
        <v>0.15</v>
      </c>
      <c r="CA489" s="806" t="s">
        <v>995</v>
      </c>
      <c r="CC489" s="815">
        <v>0.15</v>
      </c>
      <c r="CD489" s="815">
        <v>0.15</v>
      </c>
      <c r="CE489" s="815">
        <v>0.15</v>
      </c>
      <c r="CF489" s="815">
        <v>0.15</v>
      </c>
      <c r="DA489" s="806" t="s">
        <v>995</v>
      </c>
      <c r="DC489" s="815">
        <v>0.15</v>
      </c>
      <c r="DD489" s="815">
        <v>0.15</v>
      </c>
      <c r="DE489" s="815">
        <v>0.15</v>
      </c>
      <c r="DF489" s="815">
        <v>0.15</v>
      </c>
      <c r="EA489" s="806" t="s">
        <v>995</v>
      </c>
      <c r="EC489" s="815">
        <v>0.15</v>
      </c>
      <c r="ED489" s="815">
        <v>0.15</v>
      </c>
      <c r="EE489" s="815">
        <v>0.15</v>
      </c>
      <c r="EF489" s="815">
        <v>0.15</v>
      </c>
      <c r="FA489" s="806" t="s">
        <v>995</v>
      </c>
      <c r="FC489" s="815">
        <v>0.15</v>
      </c>
      <c r="FD489" s="815">
        <v>0.15</v>
      </c>
      <c r="FE489" s="815">
        <v>0.15</v>
      </c>
      <c r="FF489" s="815">
        <v>0.15</v>
      </c>
    </row>
    <row r="490" spans="27:166">
      <c r="AA490" s="806"/>
      <c r="AB490" s="807"/>
      <c r="AC490" s="805" t="e">
        <f>AC451</f>
        <v>#DIV/0!</v>
      </c>
      <c r="AD490" s="805" t="e">
        <f>AC490</f>
        <v>#DIV/0!</v>
      </c>
      <c r="AE490" s="805" t="e">
        <f>AD490</f>
        <v>#DIV/0!</v>
      </c>
      <c r="AF490" s="805" t="e">
        <f>AE490</f>
        <v>#DIV/0!</v>
      </c>
      <c r="AG490" s="1003" t="e">
        <f>(AC490+AC492)/$AC$111</f>
        <v>#DIV/0!</v>
      </c>
      <c r="AH490" s="1003" t="e">
        <f>(AD490+AD492)/$AC$111</f>
        <v>#DIV/0!</v>
      </c>
      <c r="AI490" s="1003" t="e">
        <f>(AE490+AE492)/$AC$111</f>
        <v>#DIV/0!</v>
      </c>
      <c r="AJ490" s="1003" t="e">
        <f>(AF490+AF492)/$AC$111</f>
        <v>#DIV/0!</v>
      </c>
      <c r="BA490" s="806"/>
      <c r="BB490" s="807"/>
      <c r="BC490" s="805" t="e">
        <f>BC451</f>
        <v>#DIV/0!</v>
      </c>
      <c r="BD490" s="805" t="e">
        <f>BC490</f>
        <v>#DIV/0!</v>
      </c>
      <c r="BE490" s="805" t="e">
        <f>BD490</f>
        <v>#DIV/0!</v>
      </c>
      <c r="BF490" s="805" t="e">
        <f>BE490</f>
        <v>#DIV/0!</v>
      </c>
      <c r="BG490" s="1003" t="e">
        <f>(BC490+BC492)/$CC$111</f>
        <v>#DIV/0!</v>
      </c>
      <c r="BH490" s="1003" t="e">
        <f>(BD490+BD492)/$CC$111</f>
        <v>#DIV/0!</v>
      </c>
      <c r="BI490" s="1003" t="e">
        <f>(BE490+BE492)/$CC$111</f>
        <v>#DIV/0!</v>
      </c>
      <c r="BJ490" s="1003" t="e">
        <f>(BF490+BF492)/$CC$111</f>
        <v>#DIV/0!</v>
      </c>
      <c r="CA490" s="806"/>
      <c r="CB490" s="807"/>
      <c r="CC490" s="805" t="e">
        <f>CC451</f>
        <v>#DIV/0!</v>
      </c>
      <c r="CD490" s="805" t="e">
        <f>CC490</f>
        <v>#DIV/0!</v>
      </c>
      <c r="CE490" s="805" t="e">
        <f>CD490</f>
        <v>#DIV/0!</v>
      </c>
      <c r="CF490" s="805" t="e">
        <f>CE490</f>
        <v>#DIV/0!</v>
      </c>
      <c r="CG490" s="1003" t="e">
        <f>(CC490+CC492)/$CC$111</f>
        <v>#DIV/0!</v>
      </c>
      <c r="CH490" s="1003" t="e">
        <f>(CD490+CD492)/$CC$111</f>
        <v>#DIV/0!</v>
      </c>
      <c r="CI490" s="1003" t="e">
        <f>(CE490+CE492)/$CC$111</f>
        <v>#DIV/0!</v>
      </c>
      <c r="CJ490" s="1003" t="e">
        <f>(CF490+CF492)/$CC$111</f>
        <v>#DIV/0!</v>
      </c>
      <c r="DA490" s="806"/>
      <c r="DB490" s="807"/>
      <c r="DC490" s="805" t="e">
        <f>DC451</f>
        <v>#DIV/0!</v>
      </c>
      <c r="DD490" s="805" t="e">
        <f>DC490</f>
        <v>#DIV/0!</v>
      </c>
      <c r="DE490" s="805" t="e">
        <f>DD490</f>
        <v>#DIV/0!</v>
      </c>
      <c r="DF490" s="805" t="e">
        <f>DE490</f>
        <v>#DIV/0!</v>
      </c>
      <c r="DG490" s="1003" t="e">
        <f>(DC490+DC492)/$DC$111</f>
        <v>#DIV/0!</v>
      </c>
      <c r="DH490" s="1003" t="e">
        <f>(DD490+DD492)/$DC$111</f>
        <v>#DIV/0!</v>
      </c>
      <c r="DI490" s="1003" t="e">
        <f>(DE490+DE492)/$DC$111</f>
        <v>#DIV/0!</v>
      </c>
      <c r="DJ490" s="1003" t="e">
        <f>(DF490+DF492)/$DC$111</f>
        <v>#DIV/0!</v>
      </c>
      <c r="EA490" s="806"/>
      <c r="EB490" s="807"/>
      <c r="EC490" s="805" t="e">
        <f>EC451</f>
        <v>#DIV/0!</v>
      </c>
      <c r="ED490" s="805" t="e">
        <f>EC490</f>
        <v>#DIV/0!</v>
      </c>
      <c r="EE490" s="805" t="e">
        <f>ED490</f>
        <v>#DIV/0!</v>
      </c>
      <c r="EF490" s="805" t="e">
        <f>EE490</f>
        <v>#DIV/0!</v>
      </c>
      <c r="EG490" s="1003" t="e">
        <f>(EC490+EC492)/$EC$111</f>
        <v>#DIV/0!</v>
      </c>
      <c r="EH490" s="1003" t="e">
        <f>(ED490+ED492)/$EC$111</f>
        <v>#DIV/0!</v>
      </c>
      <c r="EI490" s="1003" t="e">
        <f>(EE490+EE492)/$EC$111</f>
        <v>#DIV/0!</v>
      </c>
      <c r="EJ490" s="1003" t="e">
        <f>(EF490+EF492)/$EC$111</f>
        <v>#DIV/0!</v>
      </c>
      <c r="FA490" s="806"/>
      <c r="FB490" s="807"/>
      <c r="FC490" s="805" t="e">
        <f>FC451</f>
        <v>#DIV/0!</v>
      </c>
      <c r="FD490" s="805" t="e">
        <f>FC490</f>
        <v>#DIV/0!</v>
      </c>
      <c r="FE490" s="805" t="e">
        <f>FD490</f>
        <v>#DIV/0!</v>
      </c>
      <c r="FF490" s="805" t="e">
        <f>FE490</f>
        <v>#DIV/0!</v>
      </c>
      <c r="FG490" s="1003" t="e">
        <f>(FC490+FC492)/$FC$111</f>
        <v>#DIV/0!</v>
      </c>
      <c r="FH490" s="1003" t="e">
        <f>(FD490+FD492)/$FC$111</f>
        <v>#DIV/0!</v>
      </c>
      <c r="FI490" s="1003" t="e">
        <f>(FE490+FE492)/$FC$111</f>
        <v>#DIV/0!</v>
      </c>
      <c r="FJ490" s="1003" t="e">
        <f>(FF490+FF492)/$FC$111</f>
        <v>#DIV/0!</v>
      </c>
    </row>
    <row r="491" spans="27:166">
      <c r="AA491" s="806" t="s">
        <v>996</v>
      </c>
      <c r="AC491" s="807">
        <v>0.15</v>
      </c>
      <c r="AD491" s="807">
        <v>0.15</v>
      </c>
      <c r="AE491" s="807">
        <v>0.15</v>
      </c>
      <c r="AF491" s="807">
        <v>0.15</v>
      </c>
      <c r="BA491" s="806" t="s">
        <v>996</v>
      </c>
      <c r="BC491" s="807">
        <v>0.15</v>
      </c>
      <c r="BD491" s="807">
        <v>0.15</v>
      </c>
      <c r="BE491" s="807">
        <v>0.15</v>
      </c>
      <c r="BF491" s="807">
        <v>0.15</v>
      </c>
      <c r="CA491" s="806" t="s">
        <v>996</v>
      </c>
      <c r="CC491" s="807">
        <v>0.15</v>
      </c>
      <c r="CD491" s="807">
        <v>0.15</v>
      </c>
      <c r="CE491" s="807">
        <v>0.15</v>
      </c>
      <c r="CF491" s="807">
        <v>0.15</v>
      </c>
      <c r="DA491" s="806" t="s">
        <v>996</v>
      </c>
      <c r="DC491" s="807">
        <v>0.15</v>
      </c>
      <c r="DD491" s="807">
        <v>0.15</v>
      </c>
      <c r="DE491" s="807">
        <v>0.15</v>
      </c>
      <c r="DF491" s="807">
        <v>0.15</v>
      </c>
      <c r="EA491" s="806" t="s">
        <v>996</v>
      </c>
      <c r="EC491" s="807">
        <v>0.15</v>
      </c>
      <c r="ED491" s="807">
        <v>0.15</v>
      </c>
      <c r="EE491" s="807">
        <v>0.15</v>
      </c>
      <c r="EF491" s="807">
        <v>0.15</v>
      </c>
      <c r="FA491" s="806" t="s">
        <v>996</v>
      </c>
      <c r="FC491" s="807">
        <v>0.15</v>
      </c>
      <c r="FD491" s="807">
        <v>0.15</v>
      </c>
      <c r="FE491" s="807">
        <v>0.15</v>
      </c>
      <c r="FF491" s="807">
        <v>0.15</v>
      </c>
    </row>
    <row r="492" spans="27:166">
      <c r="AA492" s="806"/>
      <c r="AB492" s="807"/>
      <c r="AC492" s="816" t="e">
        <f>IF(AC531=0,0, AC491*AC490)</f>
        <v>#DIV/0!</v>
      </c>
      <c r="AD492" s="816" t="e">
        <f>IF(AC531=0,0, AD491*AD490)</f>
        <v>#DIV/0!</v>
      </c>
      <c r="AE492" s="816" t="e">
        <f>IF(AC531=0,0, AE491*AE490)</f>
        <v>#DIV/0!</v>
      </c>
      <c r="AF492" s="816" t="e">
        <f>IF(AC531=0,0, AF491*AF490)</f>
        <v>#DIV/0!</v>
      </c>
      <c r="BA492" s="806"/>
      <c r="BB492" s="807"/>
      <c r="BC492" s="816" t="e">
        <f>IF(BC531=0,0, BC491*BC490)</f>
        <v>#DIV/0!</v>
      </c>
      <c r="BD492" s="816" t="e">
        <f>IF(BC531=0,0, BD491*BD490)</f>
        <v>#DIV/0!</v>
      </c>
      <c r="BE492" s="816" t="e">
        <f>IF(BC531=0,0, BE491*BE490)</f>
        <v>#DIV/0!</v>
      </c>
      <c r="BF492" s="816" t="e">
        <f>IF(BC531=0,0, BF491*BF490)</f>
        <v>#DIV/0!</v>
      </c>
      <c r="CA492" s="806"/>
      <c r="CB492" s="807"/>
      <c r="CC492" s="816" t="e">
        <f>IF(CC531=0,0, CC491*CC490)</f>
        <v>#DIV/0!</v>
      </c>
      <c r="CD492" s="816" t="e">
        <f>IF(CC531=0,0, CD491*CD490)</f>
        <v>#DIV/0!</v>
      </c>
      <c r="CE492" s="816" t="e">
        <f>IF(CC531=0,0, CE491*CE490)</f>
        <v>#DIV/0!</v>
      </c>
      <c r="CF492" s="816" t="e">
        <f>IF(CC531=0,0, CF491*CF490)</f>
        <v>#DIV/0!</v>
      </c>
      <c r="DA492" s="806"/>
      <c r="DB492" s="807"/>
      <c r="DC492" s="805" t="e">
        <f>IF(DC531=0,0, DC491*DC490)</f>
        <v>#DIV/0!</v>
      </c>
      <c r="DD492" s="805" t="e">
        <f>IF(DC531=0,0, DD491*DD490)</f>
        <v>#DIV/0!</v>
      </c>
      <c r="DE492" s="805" t="e">
        <f>IF(DC531=0,0, DE491*DE490)</f>
        <v>#DIV/0!</v>
      </c>
      <c r="DF492" s="805" t="e">
        <f>IF(DC531=0,0, DF491*DF490)</f>
        <v>#DIV/0!</v>
      </c>
      <c r="EA492" s="806"/>
      <c r="EB492" s="807"/>
      <c r="EC492" s="816" t="e">
        <f>IF(EC531=0,0, EC491*EC490)</f>
        <v>#DIV/0!</v>
      </c>
      <c r="ED492" s="816" t="e">
        <f>IF(EC531=0,0, ED491*ED490)</f>
        <v>#DIV/0!</v>
      </c>
      <c r="EE492" s="816" t="e">
        <f>IF(EC531=0,0, EE491*EE490)</f>
        <v>#DIV/0!</v>
      </c>
      <c r="EF492" s="816" t="e">
        <f>IF(EC531=0,0, EF491*EF490)</f>
        <v>#DIV/0!</v>
      </c>
      <c r="FA492" s="806"/>
      <c r="FB492" s="807"/>
      <c r="FC492" s="816" t="e">
        <f>IF(FC531=0,0, FC491*FC490)</f>
        <v>#DIV/0!</v>
      </c>
      <c r="FD492" s="816" t="e">
        <f>IF(FC531=0,0, FD491*FD490)</f>
        <v>#DIV/0!</v>
      </c>
      <c r="FE492" s="816" t="e">
        <f>IF(FC531=0,0, FE491*FE490)</f>
        <v>#DIV/0!</v>
      </c>
      <c r="FF492" s="816" t="e">
        <f>IF(FC531=0,0, FF491*FF490)</f>
        <v>#DIV/0!</v>
      </c>
    </row>
    <row r="493" spans="27:166">
      <c r="AA493" s="806" t="s">
        <v>997</v>
      </c>
      <c r="AC493" s="815">
        <v>0.15</v>
      </c>
      <c r="AD493" s="815">
        <v>0.15</v>
      </c>
      <c r="AE493" s="815">
        <v>0.15</v>
      </c>
      <c r="AF493" s="815">
        <v>0.15</v>
      </c>
      <c r="BA493" s="806" t="s">
        <v>997</v>
      </c>
      <c r="BC493" s="815">
        <v>0.15</v>
      </c>
      <c r="BD493" s="815">
        <v>0.15</v>
      </c>
      <c r="BE493" s="815">
        <v>0.15</v>
      </c>
      <c r="BF493" s="815">
        <v>0.15</v>
      </c>
      <c r="CA493" s="806" t="s">
        <v>997</v>
      </c>
      <c r="CC493" s="815">
        <v>0.15</v>
      </c>
      <c r="CD493" s="815">
        <v>0.15</v>
      </c>
      <c r="CE493" s="815">
        <v>0.15</v>
      </c>
      <c r="CF493" s="815">
        <v>0.15</v>
      </c>
      <c r="DA493" s="806" t="s">
        <v>997</v>
      </c>
      <c r="DC493" s="815">
        <v>0.15</v>
      </c>
      <c r="DD493" s="815">
        <v>0.15</v>
      </c>
      <c r="DE493" s="815">
        <v>0.15</v>
      </c>
      <c r="DF493" s="815">
        <v>0.15</v>
      </c>
      <c r="EA493" s="806" t="s">
        <v>997</v>
      </c>
      <c r="EC493" s="815">
        <v>0.15</v>
      </c>
      <c r="ED493" s="815">
        <v>0.15</v>
      </c>
      <c r="EE493" s="815">
        <v>0.15</v>
      </c>
      <c r="EF493" s="815">
        <v>0.15</v>
      </c>
      <c r="FA493" s="806" t="s">
        <v>997</v>
      </c>
      <c r="FC493" s="815">
        <v>0.15</v>
      </c>
      <c r="FD493" s="815">
        <v>0.15</v>
      </c>
      <c r="FE493" s="815">
        <v>0.15</v>
      </c>
      <c r="FF493" s="815">
        <v>0.15</v>
      </c>
    </row>
    <row r="494" spans="27:166">
      <c r="AA494" s="806"/>
      <c r="AB494" s="815"/>
      <c r="AC494" s="805" t="e">
        <f ca="1">AC387</f>
        <v>#DIV/0!</v>
      </c>
      <c r="AD494" s="805" t="e">
        <f ca="1">AC494</f>
        <v>#DIV/0!</v>
      </c>
      <c r="AE494" s="805" t="e">
        <f ca="1">AD494</f>
        <v>#DIV/0!</v>
      </c>
      <c r="AF494" s="805" t="e">
        <f ca="1">AE494</f>
        <v>#DIV/0!</v>
      </c>
      <c r="AG494" s="1003" t="e">
        <f ca="1">(AC494+AC496+AC498+AC500+AC502)/$AC$111</f>
        <v>#DIV/0!</v>
      </c>
      <c r="AH494" s="1003" t="e">
        <f ca="1">(AD494+AD496+AD498+AD500+AD502)/$AC$111</f>
        <v>#DIV/0!</v>
      </c>
      <c r="AI494" s="1003" t="e">
        <f ca="1">(AE494+AE496+AE498+AE500+AE502)/$AC$111</f>
        <v>#DIV/0!</v>
      </c>
      <c r="AJ494" s="1003" t="e">
        <f ca="1">(AF494+AF496+AF498+AF500+AF502)/$AC$111</f>
        <v>#DIV/0!</v>
      </c>
      <c r="BA494" s="806"/>
      <c r="BB494" s="815"/>
      <c r="BC494" s="805" t="e">
        <f ca="1">BC387</f>
        <v>#DIV/0!</v>
      </c>
      <c r="BD494" s="805" t="e">
        <f ca="1">BC494</f>
        <v>#DIV/0!</v>
      </c>
      <c r="BE494" s="805" t="e">
        <f ca="1">BD494</f>
        <v>#DIV/0!</v>
      </c>
      <c r="BF494" s="805" t="e">
        <f ca="1">BE494</f>
        <v>#DIV/0!</v>
      </c>
      <c r="BG494" s="1003" t="e">
        <f ca="1">(BC494+BC496+BC498+BC500+BC502)/$CC$111</f>
        <v>#DIV/0!</v>
      </c>
      <c r="BH494" s="1003" t="e">
        <f ca="1">(BD494+BD496+BD498+BD500+BD502)/$CC$111</f>
        <v>#DIV/0!</v>
      </c>
      <c r="BI494" s="1003" t="e">
        <f ca="1">(BE494+BE496+BE498+BE500+BE502)/$CC$111</f>
        <v>#DIV/0!</v>
      </c>
      <c r="BJ494" s="1003" t="e">
        <f ca="1">(BF494+BF496+BF498+BF500+BF502)/$CC$111</f>
        <v>#DIV/0!</v>
      </c>
      <c r="CA494" s="806"/>
      <c r="CB494" s="815"/>
      <c r="CC494" s="805" t="e">
        <f ca="1">CC387</f>
        <v>#DIV/0!</v>
      </c>
      <c r="CD494" s="805" t="e">
        <f ca="1">CC494</f>
        <v>#DIV/0!</v>
      </c>
      <c r="CE494" s="805" t="e">
        <f ca="1">CD494</f>
        <v>#DIV/0!</v>
      </c>
      <c r="CF494" s="805" t="e">
        <f ca="1">CE494</f>
        <v>#DIV/0!</v>
      </c>
      <c r="CG494" s="1003" t="e">
        <f ca="1">(CC494+CC496+CC498+CC500+CC502)/$CC$111</f>
        <v>#DIV/0!</v>
      </c>
      <c r="CH494" s="1003" t="e">
        <f ca="1">(CD494+CD496+CD498+CD500+CD502)/$CC$111</f>
        <v>#DIV/0!</v>
      </c>
      <c r="CI494" s="1003" t="e">
        <f ca="1">(CE494+CE496+CE498+CE500+CE502)/$CC$111</f>
        <v>#DIV/0!</v>
      </c>
      <c r="CJ494" s="1003" t="e">
        <f ca="1">(CF494+CF496+CF498+CF500+CF502)/$CC$111</f>
        <v>#DIV/0!</v>
      </c>
      <c r="DA494" s="806"/>
      <c r="DB494" s="815"/>
      <c r="DC494" s="805" t="e">
        <f ca="1">DC387</f>
        <v>#DIV/0!</v>
      </c>
      <c r="DD494" s="805" t="e">
        <f ca="1">DC494</f>
        <v>#DIV/0!</v>
      </c>
      <c r="DE494" s="805" t="e">
        <f ca="1">DD494</f>
        <v>#DIV/0!</v>
      </c>
      <c r="DF494" s="805" t="e">
        <f ca="1">DE494</f>
        <v>#DIV/0!</v>
      </c>
      <c r="DG494" s="1003" t="e">
        <f ca="1">(DC494+DC496+DC498+DC500+DC502)/$DC$111</f>
        <v>#DIV/0!</v>
      </c>
      <c r="DH494" s="1003" t="e">
        <f ca="1">(DD494+DD496+DD498+DD500+DD502)/$DC$111</f>
        <v>#DIV/0!</v>
      </c>
      <c r="DI494" s="1003" t="e">
        <f ca="1">(DE494+DE496+DE498+DE500+DE502)/$DC$111</f>
        <v>#DIV/0!</v>
      </c>
      <c r="DJ494" s="1003" t="e">
        <f ca="1">(DF494+DF496+DF498+DF500+DF502)/$DC$111</f>
        <v>#DIV/0!</v>
      </c>
      <c r="EA494" s="806"/>
      <c r="EB494" s="815"/>
      <c r="EC494" s="805" t="e">
        <f ca="1">EC387</f>
        <v>#DIV/0!</v>
      </c>
      <c r="ED494" s="805" t="e">
        <f ca="1">EC494</f>
        <v>#DIV/0!</v>
      </c>
      <c r="EE494" s="805" t="e">
        <f ca="1">ED494</f>
        <v>#DIV/0!</v>
      </c>
      <c r="EF494" s="805" t="e">
        <f ca="1">EE494</f>
        <v>#DIV/0!</v>
      </c>
      <c r="EG494" s="1003" t="e">
        <f ca="1">(EC494+EC496+EC498+EC500+EC502)/$EC$111</f>
        <v>#DIV/0!</v>
      </c>
      <c r="EH494" s="1003" t="e">
        <f ca="1">(ED494+ED496+ED498+ED500+ED502)/$EC$111</f>
        <v>#DIV/0!</v>
      </c>
      <c r="EI494" s="1003" t="e">
        <f ca="1">(EE494+EE496+EE498+EE500+EE502)/$EC$111</f>
        <v>#DIV/0!</v>
      </c>
      <c r="EJ494" s="1003" t="e">
        <f ca="1">(EF494+EF496+EF498+EF500+EF502)/$EC$111</f>
        <v>#DIV/0!</v>
      </c>
      <c r="FA494" s="806"/>
      <c r="FB494" s="815"/>
      <c r="FC494" s="805" t="e">
        <f>FC387</f>
        <v>#DIV/0!</v>
      </c>
      <c r="FD494" s="805" t="e">
        <f>FC494</f>
        <v>#DIV/0!</v>
      </c>
      <c r="FE494" s="805" t="e">
        <f>FD494</f>
        <v>#DIV/0!</v>
      </c>
      <c r="FF494" s="805" t="e">
        <f>FE494</f>
        <v>#DIV/0!</v>
      </c>
      <c r="FG494" s="1003" t="e">
        <f ca="1">(FC494+FC496+FC498+FC500+FC502)/$FC$111</f>
        <v>#DIV/0!</v>
      </c>
      <c r="FH494" s="1003" t="e">
        <f ca="1">(FD494+FD496+FD498+FD500+FD502)/$FC$111</f>
        <v>#DIV/0!</v>
      </c>
      <c r="FI494" s="1003" t="e">
        <f ca="1">(FE494+FE496+FE498+FE500+FE502)/$FC$111</f>
        <v>#DIV/0!</v>
      </c>
      <c r="FJ494" s="1003" t="e">
        <f ca="1">(FF494+FF496+FF498+FF500+FF502)/$FC$111</f>
        <v>#DIV/0!</v>
      </c>
    </row>
    <row r="495" spans="27:166">
      <c r="AA495" s="806" t="s">
        <v>998</v>
      </c>
      <c r="AC495" s="807">
        <v>0.05</v>
      </c>
      <c r="AD495" s="807">
        <v>0.05</v>
      </c>
      <c r="AE495" s="807">
        <v>0.05</v>
      </c>
      <c r="AF495" s="807">
        <v>0.05</v>
      </c>
      <c r="BA495" s="806" t="s">
        <v>998</v>
      </c>
      <c r="BC495" s="807">
        <v>0.05</v>
      </c>
      <c r="BD495" s="807">
        <v>0.05</v>
      </c>
      <c r="BE495" s="807">
        <v>0.05</v>
      </c>
      <c r="BF495" s="807">
        <v>0.05</v>
      </c>
      <c r="CA495" s="806" t="s">
        <v>998</v>
      </c>
      <c r="CC495" s="807">
        <v>0.05</v>
      </c>
      <c r="CD495" s="807">
        <v>0.05</v>
      </c>
      <c r="CE495" s="807">
        <v>0.05</v>
      </c>
      <c r="CF495" s="807">
        <v>0.05</v>
      </c>
      <c r="DA495" s="806" t="s">
        <v>998</v>
      </c>
      <c r="DC495" s="807">
        <v>0.05</v>
      </c>
      <c r="DD495" s="807">
        <v>0.05</v>
      </c>
      <c r="DE495" s="807">
        <v>0.05</v>
      </c>
      <c r="DF495" s="807">
        <v>0.05</v>
      </c>
      <c r="EA495" s="806" t="s">
        <v>998</v>
      </c>
      <c r="EC495" s="807">
        <v>0.05</v>
      </c>
      <c r="ED495" s="807">
        <v>0.05</v>
      </c>
      <c r="EE495" s="807">
        <v>0.05</v>
      </c>
      <c r="EF495" s="807">
        <v>0.05</v>
      </c>
      <c r="FA495" s="806" t="s">
        <v>998</v>
      </c>
      <c r="FC495" s="807">
        <v>0.05</v>
      </c>
      <c r="FD495" s="807">
        <v>0.05</v>
      </c>
      <c r="FE495" s="807">
        <v>0.05</v>
      </c>
      <c r="FF495" s="807">
        <v>0.05</v>
      </c>
    </row>
    <row r="496" spans="27:166">
      <c r="AA496" s="806"/>
      <c r="AB496" s="807"/>
      <c r="AC496" s="816" t="e">
        <f ca="1">IF(AC531=0,0, AC495*AC478)</f>
        <v>#DIV/0!</v>
      </c>
      <c r="AD496" s="816" t="e">
        <f ca="1">IF(AC531=0,0, AD495*AC478)</f>
        <v>#DIV/0!</v>
      </c>
      <c r="AE496" s="816" t="e">
        <f ca="1">IF(AC531=0,0, AE495*AC478)</f>
        <v>#DIV/0!</v>
      </c>
      <c r="AF496" s="816" t="e">
        <f ca="1">IF(AC531=0,0, AF495*AC478)</f>
        <v>#DIV/0!</v>
      </c>
      <c r="BA496" s="806"/>
      <c r="BB496" s="807"/>
      <c r="BC496" s="816" t="e">
        <f ca="1">IF(BC531=0,0, BC495*BC478)</f>
        <v>#DIV/0!</v>
      </c>
      <c r="BD496" s="816" t="e">
        <f ca="1">IF(BC531=0,0, BD495*BC478)</f>
        <v>#DIV/0!</v>
      </c>
      <c r="BE496" s="816" t="e">
        <f ca="1">IF(BC531=0,0, BE495*BC478)</f>
        <v>#DIV/0!</v>
      </c>
      <c r="BF496" s="816" t="e">
        <f ca="1">IF(BC531=0,0, BF495*BC478)</f>
        <v>#DIV/0!</v>
      </c>
      <c r="CA496" s="806"/>
      <c r="CB496" s="807"/>
      <c r="CC496" s="816" t="e">
        <f ca="1">IF(CC531=0,0, CC495*CC478)</f>
        <v>#DIV/0!</v>
      </c>
      <c r="CD496" s="816" t="e">
        <f ca="1">IF(CC531=0,0, CD495*CC478)</f>
        <v>#DIV/0!</v>
      </c>
      <c r="CE496" s="816" t="e">
        <f ca="1">IF(CC531=0,0, CE495*CC478)</f>
        <v>#DIV/0!</v>
      </c>
      <c r="CF496" s="816" t="e">
        <f ca="1">IF(CC531=0,0, CF495*CC478)</f>
        <v>#DIV/0!</v>
      </c>
      <c r="DA496" s="806"/>
      <c r="DB496" s="807"/>
      <c r="DC496" s="816" t="e">
        <f ca="1">IF(DC531=0,0, DC495*DC478)</f>
        <v>#DIV/0!</v>
      </c>
      <c r="DD496" s="816" t="e">
        <f ca="1">IF(DC531=0,0, DD495*DC478)</f>
        <v>#DIV/0!</v>
      </c>
      <c r="DE496" s="816" t="e">
        <f ca="1">IF(DC531=0,0, DE495*DC478)</f>
        <v>#DIV/0!</v>
      </c>
      <c r="DF496" s="816" t="e">
        <f ca="1">IF(DC531=0,0, DF495*DC478)</f>
        <v>#DIV/0!</v>
      </c>
      <c r="EA496" s="806"/>
      <c r="EB496" s="807"/>
      <c r="EC496" s="816" t="e">
        <f ca="1">IF(EC531=0,0, EC495*EC478)</f>
        <v>#DIV/0!</v>
      </c>
      <c r="ED496" s="816" t="e">
        <f ca="1">IF(EC531=0,0, ED495*EC478)</f>
        <v>#DIV/0!</v>
      </c>
      <c r="EE496" s="816" t="e">
        <f ca="1">IF(EC531=0,0, EE495*EC478)</f>
        <v>#DIV/0!</v>
      </c>
      <c r="EF496" s="816" t="e">
        <f ca="1">IF(EC531=0,0, EF495*EC478)</f>
        <v>#DIV/0!</v>
      </c>
      <c r="FA496" s="806"/>
      <c r="FB496" s="807"/>
      <c r="FC496" s="816" t="e">
        <f ca="1">IF(FC531=0,0, FC495*FC478)</f>
        <v>#DIV/0!</v>
      </c>
      <c r="FD496" s="816" t="e">
        <f ca="1">IF(FC531=0,0, FD495*FC478)</f>
        <v>#DIV/0!</v>
      </c>
      <c r="FE496" s="816" t="e">
        <f ca="1">IF(FC531=0,0, FE495*FC478)</f>
        <v>#DIV/0!</v>
      </c>
      <c r="FF496" s="816" t="e">
        <f ca="1">IF(FC531=0,0, FF495*FC478)</f>
        <v>#DIV/0!</v>
      </c>
    </row>
    <row r="497" spans="27:166">
      <c r="AA497" s="806" t="s">
        <v>999</v>
      </c>
      <c r="AC497" s="807">
        <v>0.15</v>
      </c>
      <c r="AD497" s="807">
        <v>0.15</v>
      </c>
      <c r="AE497" s="807">
        <v>0.15</v>
      </c>
      <c r="AF497" s="807">
        <v>0.15</v>
      </c>
      <c r="BA497" s="806" t="s">
        <v>999</v>
      </c>
      <c r="BC497" s="807">
        <v>0.15</v>
      </c>
      <c r="BD497" s="807">
        <v>0.15</v>
      </c>
      <c r="BE497" s="807">
        <v>0.15</v>
      </c>
      <c r="BF497" s="807">
        <v>0.15</v>
      </c>
      <c r="CA497" s="806" t="s">
        <v>999</v>
      </c>
      <c r="CC497" s="807">
        <v>0.15</v>
      </c>
      <c r="CD497" s="807">
        <v>0.15</v>
      </c>
      <c r="CE497" s="807">
        <v>0.15</v>
      </c>
      <c r="CF497" s="807">
        <v>0.15</v>
      </c>
      <c r="DA497" s="806" t="s">
        <v>999</v>
      </c>
      <c r="DC497" s="807">
        <v>0.15</v>
      </c>
      <c r="DD497" s="807">
        <v>0.15</v>
      </c>
      <c r="DE497" s="807">
        <v>0.15</v>
      </c>
      <c r="DF497" s="807">
        <v>0.15</v>
      </c>
      <c r="EA497" s="806" t="s">
        <v>999</v>
      </c>
      <c r="EC497" s="807">
        <v>0.15</v>
      </c>
      <c r="ED497" s="807">
        <v>0.15</v>
      </c>
      <c r="EE497" s="807">
        <v>0.15</v>
      </c>
      <c r="EF497" s="807">
        <v>0.15</v>
      </c>
      <c r="FA497" s="806" t="s">
        <v>999</v>
      </c>
      <c r="FC497" s="807">
        <v>0.15</v>
      </c>
      <c r="FD497" s="807">
        <v>0.15</v>
      </c>
      <c r="FE497" s="807">
        <v>0.15</v>
      </c>
      <c r="FF497" s="807">
        <v>0.15</v>
      </c>
    </row>
    <row r="498" spans="27:166">
      <c r="AA498" s="806"/>
      <c r="AB498" s="807"/>
      <c r="AC498" s="805" t="e">
        <f ca="1">AC497*AC496</f>
        <v>#DIV/0!</v>
      </c>
      <c r="AD498" s="805" t="e">
        <f ca="1">AD497*AD496</f>
        <v>#DIV/0!</v>
      </c>
      <c r="AE498" s="805" t="e">
        <f ca="1">AE497*AE496</f>
        <v>#DIV/0!</v>
      </c>
      <c r="AF498" s="805" t="e">
        <f ca="1">AF497*AF496</f>
        <v>#DIV/0!</v>
      </c>
      <c r="BA498" s="806"/>
      <c r="BB498" s="807"/>
      <c r="BC498" s="805" t="e">
        <f ca="1">BC497*BC496</f>
        <v>#DIV/0!</v>
      </c>
      <c r="BD498" s="805" t="e">
        <f ca="1">BD497*BD496</f>
        <v>#DIV/0!</v>
      </c>
      <c r="BE498" s="805" t="e">
        <f ca="1">BE497*BE496</f>
        <v>#DIV/0!</v>
      </c>
      <c r="BF498" s="805" t="e">
        <f ca="1">BF497*BF496</f>
        <v>#DIV/0!</v>
      </c>
      <c r="CA498" s="806"/>
      <c r="CB498" s="807"/>
      <c r="CC498" s="805" t="e">
        <f ca="1">CC497*CC496</f>
        <v>#DIV/0!</v>
      </c>
      <c r="CD498" s="805" t="e">
        <f ca="1">CD497*CD496</f>
        <v>#DIV/0!</v>
      </c>
      <c r="CE498" s="805" t="e">
        <f ca="1">CE497*CE496</f>
        <v>#DIV/0!</v>
      </c>
      <c r="CF498" s="805" t="e">
        <f ca="1">CF497*CF496</f>
        <v>#DIV/0!</v>
      </c>
      <c r="DA498" s="806"/>
      <c r="DB498" s="807"/>
      <c r="DC498" s="805" t="e">
        <f ca="1">DC497*DC496</f>
        <v>#DIV/0!</v>
      </c>
      <c r="DD498" s="805" t="e">
        <f ca="1">DD497*DD496</f>
        <v>#DIV/0!</v>
      </c>
      <c r="DE498" s="805" t="e">
        <f ca="1">DE497*DE496</f>
        <v>#DIV/0!</v>
      </c>
      <c r="DF498" s="805" t="e">
        <f ca="1">DF497*DF496</f>
        <v>#DIV/0!</v>
      </c>
      <c r="EA498" s="806"/>
      <c r="EB498" s="807"/>
      <c r="EC498" s="805" t="e">
        <f ca="1">EC497*EC496</f>
        <v>#DIV/0!</v>
      </c>
      <c r="ED498" s="805" t="e">
        <f ca="1">ED497*ED496</f>
        <v>#DIV/0!</v>
      </c>
      <c r="EE498" s="805" t="e">
        <f ca="1">EE497*EE496</f>
        <v>#DIV/0!</v>
      </c>
      <c r="EF498" s="805" t="e">
        <f ca="1">EF497*EF496</f>
        <v>#DIV/0!</v>
      </c>
      <c r="FA498" s="806"/>
      <c r="FB498" s="807"/>
      <c r="FC498" s="805" t="e">
        <f ca="1">FC497*FC496</f>
        <v>#DIV/0!</v>
      </c>
      <c r="FD498" s="805" t="e">
        <f ca="1">FD497*FD496</f>
        <v>#DIV/0!</v>
      </c>
      <c r="FE498" s="805" t="e">
        <f ca="1">FE497*FE496</f>
        <v>#DIV/0!</v>
      </c>
      <c r="FF498" s="805" t="e">
        <f ca="1">FF497*FF496</f>
        <v>#DIV/0!</v>
      </c>
    </row>
    <row r="499" spans="27:166">
      <c r="AA499" s="806" t="s">
        <v>1000</v>
      </c>
      <c r="AC499" s="829">
        <v>0.1</v>
      </c>
      <c r="AD499" s="829">
        <v>0.1</v>
      </c>
      <c r="AE499" s="829">
        <v>0.1</v>
      </c>
      <c r="AF499" s="829">
        <v>0.1</v>
      </c>
      <c r="BA499" s="806" t="s">
        <v>1000</v>
      </c>
      <c r="BC499" s="829">
        <v>0.1</v>
      </c>
      <c r="BD499" s="829">
        <v>0.1</v>
      </c>
      <c r="BE499" s="829">
        <v>0.1</v>
      </c>
      <c r="BF499" s="829">
        <v>0.1</v>
      </c>
      <c r="CA499" s="806" t="s">
        <v>1000</v>
      </c>
      <c r="CC499" s="829">
        <v>0.1</v>
      </c>
      <c r="CD499" s="829">
        <v>0.1</v>
      </c>
      <c r="CE499" s="829">
        <v>0.1</v>
      </c>
      <c r="CF499" s="829">
        <v>0.1</v>
      </c>
      <c r="DA499" s="806" t="s">
        <v>1000</v>
      </c>
      <c r="DC499" s="829">
        <v>0.1</v>
      </c>
      <c r="DD499" s="829">
        <v>0.1</v>
      </c>
      <c r="DE499" s="829">
        <v>0.1</v>
      </c>
      <c r="DF499" s="829">
        <v>0.1</v>
      </c>
      <c r="EA499" s="806" t="s">
        <v>1000</v>
      </c>
      <c r="EC499" s="829">
        <v>0.1</v>
      </c>
      <c r="ED499" s="829">
        <v>0.1</v>
      </c>
      <c r="EE499" s="829">
        <v>0.1</v>
      </c>
      <c r="EF499" s="829">
        <v>0.1</v>
      </c>
      <c r="FA499" s="806" t="s">
        <v>1000</v>
      </c>
      <c r="FC499" s="829">
        <v>0.1</v>
      </c>
      <c r="FD499" s="829">
        <v>0.1</v>
      </c>
      <c r="FE499" s="829">
        <v>0.1</v>
      </c>
      <c r="FF499" s="829">
        <v>0.1</v>
      </c>
    </row>
    <row r="500" spans="27:166">
      <c r="AA500" s="806"/>
      <c r="AB500" s="807"/>
      <c r="AC500" s="805" t="e">
        <f>AC499*AC490</f>
        <v>#DIV/0!</v>
      </c>
      <c r="AD500" s="805" t="e">
        <f>AD499*AD490</f>
        <v>#DIV/0!</v>
      </c>
      <c r="AE500" s="805" t="e">
        <f>AE499*AE490</f>
        <v>#DIV/0!</v>
      </c>
      <c r="AF500" s="805" t="e">
        <f>AF499*AF490</f>
        <v>#DIV/0!</v>
      </c>
      <c r="BA500" s="806"/>
      <c r="BB500" s="807"/>
      <c r="BC500" s="805" t="e">
        <f>BC499*BC490</f>
        <v>#DIV/0!</v>
      </c>
      <c r="BD500" s="805" t="e">
        <f>BD499*BD490</f>
        <v>#DIV/0!</v>
      </c>
      <c r="BE500" s="805" t="e">
        <f>BE499*BE490</f>
        <v>#DIV/0!</v>
      </c>
      <c r="BF500" s="805" t="e">
        <f>BF499*BF490</f>
        <v>#DIV/0!</v>
      </c>
      <c r="CA500" s="806"/>
      <c r="CB500" s="807"/>
      <c r="CC500" s="805" t="e">
        <f>CC499*CC490</f>
        <v>#DIV/0!</v>
      </c>
      <c r="CD500" s="805" t="e">
        <f>CD499*CD490</f>
        <v>#DIV/0!</v>
      </c>
      <c r="CE500" s="805" t="e">
        <f>CE499*CE490</f>
        <v>#DIV/0!</v>
      </c>
      <c r="CF500" s="805" t="e">
        <f>CF499*CF490</f>
        <v>#DIV/0!</v>
      </c>
      <c r="DA500" s="806"/>
      <c r="DB500" s="807"/>
      <c r="DC500" s="805" t="e">
        <f>DC499*DC490</f>
        <v>#DIV/0!</v>
      </c>
      <c r="DD500" s="805" t="e">
        <f>DD499*DD490</f>
        <v>#DIV/0!</v>
      </c>
      <c r="DE500" s="805" t="e">
        <f>DE499*DE490</f>
        <v>#DIV/0!</v>
      </c>
      <c r="DF500" s="805" t="e">
        <f>DF499*DF490</f>
        <v>#DIV/0!</v>
      </c>
      <c r="EA500" s="806"/>
      <c r="EB500" s="807"/>
      <c r="EC500" s="805" t="e">
        <f>EC499*EC490</f>
        <v>#DIV/0!</v>
      </c>
      <c r="ED500" s="805" t="e">
        <f>ED499*ED490</f>
        <v>#DIV/0!</v>
      </c>
      <c r="EE500" s="805" t="e">
        <f>EE499*EE490</f>
        <v>#DIV/0!</v>
      </c>
      <c r="EF500" s="805" t="e">
        <f>EF499*EF490</f>
        <v>#DIV/0!</v>
      </c>
      <c r="FA500" s="806"/>
      <c r="FB500" s="807"/>
      <c r="FC500" s="805" t="e">
        <f>FC499*FC490</f>
        <v>#DIV/0!</v>
      </c>
      <c r="FD500" s="805" t="e">
        <f>FD499*FD490</f>
        <v>#DIV/0!</v>
      </c>
      <c r="FE500" s="805" t="e">
        <f>FE499*FE490</f>
        <v>#DIV/0!</v>
      </c>
      <c r="FF500" s="805" t="e">
        <f>FF499*FF490</f>
        <v>#DIV/0!</v>
      </c>
    </row>
    <row r="501" spans="27:166">
      <c r="AA501" s="806" t="s">
        <v>1001</v>
      </c>
      <c r="AC501" s="807">
        <v>0.01</v>
      </c>
      <c r="AD501" s="807">
        <v>0.01</v>
      </c>
      <c r="AE501" s="807">
        <v>0.01</v>
      </c>
      <c r="AF501" s="807">
        <v>0.01</v>
      </c>
      <c r="BA501" s="806" t="s">
        <v>1001</v>
      </c>
      <c r="BC501" s="807">
        <v>0.01</v>
      </c>
      <c r="BD501" s="807">
        <v>0.01</v>
      </c>
      <c r="BE501" s="807">
        <v>0.01</v>
      </c>
      <c r="BF501" s="807">
        <v>0.01</v>
      </c>
      <c r="CA501" s="806" t="s">
        <v>1001</v>
      </c>
      <c r="CC501" s="807">
        <v>0.01</v>
      </c>
      <c r="CD501" s="807">
        <v>0.01</v>
      </c>
      <c r="CE501" s="807">
        <v>0.01</v>
      </c>
      <c r="CF501" s="807">
        <v>0.01</v>
      </c>
      <c r="DA501" s="806" t="s">
        <v>1001</v>
      </c>
      <c r="DC501" s="807">
        <v>0.01</v>
      </c>
      <c r="DD501" s="807">
        <v>0.01</v>
      </c>
      <c r="DE501" s="807">
        <v>0.01</v>
      </c>
      <c r="DF501" s="807">
        <v>0.01</v>
      </c>
      <c r="EA501" s="806" t="s">
        <v>1001</v>
      </c>
      <c r="EC501" s="807">
        <v>0.01</v>
      </c>
      <c r="ED501" s="807">
        <v>0.01</v>
      </c>
      <c r="EE501" s="807">
        <v>0.01</v>
      </c>
      <c r="EF501" s="807">
        <v>0.01</v>
      </c>
      <c r="FA501" s="806" t="s">
        <v>1001</v>
      </c>
      <c r="FC501" s="807">
        <v>0.01</v>
      </c>
      <c r="FD501" s="807">
        <v>0.01</v>
      </c>
      <c r="FE501" s="807">
        <v>0.01</v>
      </c>
      <c r="FF501" s="807">
        <v>0.01</v>
      </c>
    </row>
    <row r="502" spans="27:166">
      <c r="AA502" s="806"/>
      <c r="AB502" s="807"/>
      <c r="AC502" s="816" t="e">
        <f ca="1">IF(AC531=0,0, AC501*AC524)</f>
        <v>#DIV/0!</v>
      </c>
      <c r="AD502" s="816" t="e">
        <f ca="1">IF(AC531=0,0, AD501*AD524)</f>
        <v>#DIV/0!</v>
      </c>
      <c r="AE502" s="816" t="e">
        <f ca="1">IF(AC531=0,0, AE501*AE524)</f>
        <v>#DIV/0!</v>
      </c>
      <c r="AF502" s="816" t="e">
        <f ca="1">IF(AC531=0,0, AF501*AF524)</f>
        <v>#DIV/0!</v>
      </c>
      <c r="BA502" s="806"/>
      <c r="BB502" s="807"/>
      <c r="BC502" s="816" t="e">
        <f ca="1">IF(BC531=0,0, BC501*BC524)</f>
        <v>#DIV/0!</v>
      </c>
      <c r="BD502" s="816" t="e">
        <f ca="1">IF(BC531=0,0, BD501*BD524)</f>
        <v>#DIV/0!</v>
      </c>
      <c r="BE502" s="816" t="e">
        <f ca="1">IF(BC531=0,0, BE501*BE524)</f>
        <v>#DIV/0!</v>
      </c>
      <c r="BF502" s="816" t="e">
        <f ca="1">IF(BC531=0,0, BF501*BF524)</f>
        <v>#DIV/0!</v>
      </c>
      <c r="CA502" s="806"/>
      <c r="CB502" s="807"/>
      <c r="CC502" s="816" t="e">
        <f ca="1">IF(CC531=0,0, CC501*CC524)</f>
        <v>#DIV/0!</v>
      </c>
      <c r="CD502" s="816" t="e">
        <f ca="1">IF(CC531=0,0, CD501*CD524)</f>
        <v>#DIV/0!</v>
      </c>
      <c r="CE502" s="816" t="e">
        <f ca="1">IF(CC531=0,0, CE501*CE524)</f>
        <v>#DIV/0!</v>
      </c>
      <c r="CF502" s="816" t="e">
        <f ca="1">IF(CC531=0,0, CF501*CF524)</f>
        <v>#DIV/0!</v>
      </c>
      <c r="DA502" s="806"/>
      <c r="DB502" s="807"/>
      <c r="DC502" s="816" t="e">
        <f ca="1">IF(DC531=0,0, DC501*DC524)</f>
        <v>#DIV/0!</v>
      </c>
      <c r="DD502" s="816" t="e">
        <f ca="1">IF(DC531=0,0, DD501*DD524)</f>
        <v>#DIV/0!</v>
      </c>
      <c r="DE502" s="816" t="e">
        <f ca="1">IF(DC531=0,0, DE501*DE524)</f>
        <v>#DIV/0!</v>
      </c>
      <c r="DF502" s="816" t="e">
        <f ca="1">IF(DC531=0,0, DF501*DF524)</f>
        <v>#DIV/0!</v>
      </c>
      <c r="EA502" s="806"/>
      <c r="EB502" s="807"/>
      <c r="EC502" s="816" t="e">
        <f ca="1">IF(EC531=0,0, EC501*EC524)</f>
        <v>#DIV/0!</v>
      </c>
      <c r="ED502" s="816" t="e">
        <f ca="1">IF(EC531=0,0, ED501*ED524)</f>
        <v>#DIV/0!</v>
      </c>
      <c r="EE502" s="816" t="e">
        <f ca="1">IF(EC531=0,0, EE501*EE524)</f>
        <v>#DIV/0!</v>
      </c>
      <c r="EF502" s="816" t="e">
        <f ca="1">IF(EC531=0,0, EF501*EF524)</f>
        <v>#DIV/0!</v>
      </c>
      <c r="FA502" s="806"/>
      <c r="FB502" s="807"/>
      <c r="FC502" s="816" t="e">
        <f ca="1">IF(FC531=0,0, FC501*FC524)</f>
        <v>#DIV/0!</v>
      </c>
      <c r="FD502" s="816" t="e">
        <f ca="1">IF(FC531=0,0, FD501*FD524)</f>
        <v>#DIV/0!</v>
      </c>
      <c r="FE502" s="816" t="e">
        <f ca="1">IF(FC531=0,0, FE501*FE524)</f>
        <v>#DIV/0!</v>
      </c>
      <c r="FF502" s="816" t="e">
        <f ca="1">IF(FC531=0,0, FF501*FF524)</f>
        <v>#DIV/0!</v>
      </c>
    </row>
    <row r="503" spans="27:166">
      <c r="AA503" t="s">
        <v>1002</v>
      </c>
      <c r="AB503" s="805"/>
      <c r="AC503" s="805" t="e">
        <f ca="1">AC505+AC507+AC509+AC511+AC513</f>
        <v>#DIV/0!</v>
      </c>
      <c r="AD503" s="805" t="e">
        <f ca="1">AD505+AD507+AD509+AD511+AD513</f>
        <v>#DIV/0!</v>
      </c>
      <c r="AE503" s="805" t="e">
        <f ca="1">AE505+AE507+AE509+AE511+AE513</f>
        <v>#DIV/0!</v>
      </c>
      <c r="AF503" s="805" t="e">
        <f ca="1">AF505+AF507+AF509+AF511+AF513</f>
        <v>#DIV/0!</v>
      </c>
      <c r="BA503" t="s">
        <v>1002</v>
      </c>
      <c r="BB503" s="805"/>
      <c r="BC503" s="805" t="e">
        <f ca="1">BC505+BC507+BC509+BC511+BC513</f>
        <v>#DIV/0!</v>
      </c>
      <c r="BD503" s="805" t="e">
        <f ca="1">BD505+BD507+BD509+BD511+BD513</f>
        <v>#DIV/0!</v>
      </c>
      <c r="BE503" s="805" t="e">
        <f ca="1">BE505+BE507+BE509+BE511+BE513</f>
        <v>#DIV/0!</v>
      </c>
      <c r="BF503" s="805" t="e">
        <f ca="1">BF505+BF507+BF509+BF511+BF513</f>
        <v>#DIV/0!</v>
      </c>
      <c r="CA503" t="s">
        <v>1002</v>
      </c>
      <c r="CB503" s="805"/>
      <c r="CC503" s="805" t="e">
        <f ca="1">CC505+CC507+CC509+CC511+CC513</f>
        <v>#DIV/0!</v>
      </c>
      <c r="CD503" s="805" t="e">
        <f ca="1">CD505+CD507+CD509+CD511+CD513</f>
        <v>#DIV/0!</v>
      </c>
      <c r="CE503" s="805" t="e">
        <f ca="1">CE505+CE507+CE509+CE511+CE513</f>
        <v>#DIV/0!</v>
      </c>
      <c r="CF503" s="805" t="e">
        <f ca="1">CF505+CF507+CF509+CF511+CF513</f>
        <v>#DIV/0!</v>
      </c>
      <c r="DA503" t="s">
        <v>1002</v>
      </c>
      <c r="DB503" s="805"/>
      <c r="DC503" s="805" t="e">
        <f ca="1">DC505+DC507+DC509+DC511+DC513</f>
        <v>#DIV/0!</v>
      </c>
      <c r="DD503" s="805" t="e">
        <f ca="1">DD505+DD507+DD509+DD511+DD513</f>
        <v>#DIV/0!</v>
      </c>
      <c r="DE503" s="805" t="e">
        <f ca="1">DE505+DE507+DE509+DE511+DE513</f>
        <v>#DIV/0!</v>
      </c>
      <c r="DF503" s="805" t="e">
        <f ca="1">DF505+DF507+DF509+DF511+DF513</f>
        <v>#DIV/0!</v>
      </c>
      <c r="EA503" t="s">
        <v>1002</v>
      </c>
      <c r="EB503" s="805"/>
      <c r="EC503" s="805" t="e">
        <f ca="1">EC505+EC507+EC509+EC511+EC513</f>
        <v>#DIV/0!</v>
      </c>
      <c r="ED503" s="805" t="e">
        <f ca="1">ED505+ED507+ED509+ED511+ED513</f>
        <v>#DIV/0!</v>
      </c>
      <c r="EE503" s="805" t="e">
        <f ca="1">EE505+EE507+EE509+EE511+EE513</f>
        <v>#DIV/0!</v>
      </c>
      <c r="EF503" s="805" t="e">
        <f ca="1">EF505+EF507+EF509+EF511+EF513</f>
        <v>#DIV/0!</v>
      </c>
      <c r="FA503" t="s">
        <v>1002</v>
      </c>
      <c r="FB503" s="805"/>
      <c r="FC503" s="805" t="e">
        <f ca="1">FC505+FC507+FC509+FC511+FC513</f>
        <v>#DIV/0!</v>
      </c>
      <c r="FD503" s="805" t="e">
        <f ca="1">FD505+FD507+FD509+FD511+FD513</f>
        <v>#DIV/0!</v>
      </c>
      <c r="FE503" s="805" t="e">
        <f ca="1">FE505+FE507+FE509+FE511+FE513</f>
        <v>#DIV/0!</v>
      </c>
      <c r="FF503" s="805" t="e">
        <f ca="1">FF505+FF507+FF509+FF511+FF513</f>
        <v>#DIV/0!</v>
      </c>
    </row>
    <row r="504" spans="27:166">
      <c r="AA504" s="806" t="s">
        <v>1003</v>
      </c>
      <c r="AC504" s="815">
        <f>1/AC104</f>
        <v>0.1</v>
      </c>
      <c r="AD504" s="815">
        <f>1/AC104</f>
        <v>0.1</v>
      </c>
      <c r="AE504" s="815">
        <f>1/AC104</f>
        <v>0.1</v>
      </c>
      <c r="AF504" s="815">
        <f>1/AC104</f>
        <v>0.1</v>
      </c>
      <c r="BA504" s="806" t="s">
        <v>1003</v>
      </c>
      <c r="BC504" s="815">
        <f>1/BC104</f>
        <v>0.1</v>
      </c>
      <c r="BD504" s="815">
        <f>1/BC104</f>
        <v>0.1</v>
      </c>
      <c r="BE504" s="815">
        <f>1/BC104</f>
        <v>0.1</v>
      </c>
      <c r="BF504" s="815">
        <f>1/BC104</f>
        <v>0.1</v>
      </c>
      <c r="CA504" s="806" t="s">
        <v>1003</v>
      </c>
      <c r="CC504" s="815">
        <f>1/CC104</f>
        <v>0.1</v>
      </c>
      <c r="CD504" s="815">
        <f>1/CC104</f>
        <v>0.1</v>
      </c>
      <c r="CE504" s="815">
        <f>1/CC104</f>
        <v>0.1</v>
      </c>
      <c r="CF504" s="815">
        <f>1/CC104</f>
        <v>0.1</v>
      </c>
      <c r="DA504" s="806" t="s">
        <v>1003</v>
      </c>
      <c r="DC504" s="815">
        <f>1/DC104</f>
        <v>0.1</v>
      </c>
      <c r="DD504" s="815">
        <f>1/DC104</f>
        <v>0.1</v>
      </c>
      <c r="DE504" s="815">
        <f>1/DC104</f>
        <v>0.1</v>
      </c>
      <c r="DF504" s="815">
        <f>1/DC104</f>
        <v>0.1</v>
      </c>
      <c r="EA504" s="806" t="s">
        <v>1003</v>
      </c>
      <c r="EC504" s="815">
        <f>1/EC104</f>
        <v>0.1</v>
      </c>
      <c r="ED504" s="815">
        <f>1/EC104</f>
        <v>0.1</v>
      </c>
      <c r="EE504" s="815">
        <f>1/EC104</f>
        <v>0.1</v>
      </c>
      <c r="EF504" s="815">
        <f>1/EC104</f>
        <v>0.1</v>
      </c>
      <c r="FA504" s="806" t="s">
        <v>1003</v>
      </c>
      <c r="FC504" s="815">
        <f>1/FC104</f>
        <v>0.1</v>
      </c>
      <c r="FD504" s="815">
        <f>1/FC104</f>
        <v>0.1</v>
      </c>
      <c r="FE504" s="815">
        <f>1/FC104</f>
        <v>0.1</v>
      </c>
      <c r="FF504" s="815">
        <f>1/FC104</f>
        <v>0.1</v>
      </c>
    </row>
    <row r="505" spans="27:166">
      <c r="AA505" s="806"/>
      <c r="AC505" s="817" t="e">
        <f ca="1">(AC478-AC470)/AC104</f>
        <v>#DIV/0!</v>
      </c>
      <c r="AD505" s="817" t="e">
        <f ca="1">(AC478-AC470)/AC104</f>
        <v>#DIV/0!</v>
      </c>
      <c r="AE505" s="817" t="e">
        <f ca="1">(AC478-AC470)/AC104</f>
        <v>#DIV/0!</v>
      </c>
      <c r="AF505" s="817" t="e">
        <f ca="1">(AC478-AC470)/AC104</f>
        <v>#DIV/0!</v>
      </c>
      <c r="AG505" s="808" t="e">
        <f ca="1">AC505/$AC$111</f>
        <v>#DIV/0!</v>
      </c>
      <c r="AH505" s="808" t="e">
        <f ca="1">AD505/$AC$111</f>
        <v>#DIV/0!</v>
      </c>
      <c r="AI505" s="808" t="e">
        <f ca="1">AE505/$AC$111</f>
        <v>#DIV/0!</v>
      </c>
      <c r="AJ505" s="808" t="e">
        <f ca="1">AF505/$AC$111</f>
        <v>#DIV/0!</v>
      </c>
      <c r="BA505" s="806"/>
      <c r="BC505" s="817" t="e">
        <f ca="1">(BC478-BC470)/BC104</f>
        <v>#DIV/0!</v>
      </c>
      <c r="BD505" s="817" t="e">
        <f ca="1">(BC478-BC470)/BC104</f>
        <v>#DIV/0!</v>
      </c>
      <c r="BE505" s="817" t="e">
        <f ca="1">(BC478-BC470)/BC104</f>
        <v>#DIV/0!</v>
      </c>
      <c r="BF505" s="817" t="e">
        <f ca="1">(BC478-BC470)/BC104</f>
        <v>#DIV/0!</v>
      </c>
      <c r="BG505" s="808" t="e">
        <f ca="1">BC505/$CC$111</f>
        <v>#DIV/0!</v>
      </c>
      <c r="BH505" s="808" t="e">
        <f ca="1">BD505/$CC$111</f>
        <v>#DIV/0!</v>
      </c>
      <c r="BI505" s="808" t="e">
        <f ca="1">BE505/$CC$111</f>
        <v>#DIV/0!</v>
      </c>
      <c r="BJ505" s="808" t="e">
        <f ca="1">BF505/$CC$111</f>
        <v>#DIV/0!</v>
      </c>
      <c r="CA505" s="806"/>
      <c r="CC505" s="817" t="e">
        <f ca="1">(CC478-CC470)/CC104</f>
        <v>#DIV/0!</v>
      </c>
      <c r="CD505" s="817" t="e">
        <f ca="1">(CC478-CC470)/CC104</f>
        <v>#DIV/0!</v>
      </c>
      <c r="CE505" s="817" t="e">
        <f ca="1">(CC478-CC470)/CC104</f>
        <v>#DIV/0!</v>
      </c>
      <c r="CF505" s="817" t="e">
        <f ca="1">(CC478-CC470)/CC104</f>
        <v>#DIV/0!</v>
      </c>
      <c r="CG505" s="808" t="e">
        <f ca="1">CC505/$CC$111</f>
        <v>#DIV/0!</v>
      </c>
      <c r="CH505" s="808" t="e">
        <f ca="1">CD505/$CC$111</f>
        <v>#DIV/0!</v>
      </c>
      <c r="CI505" s="808" t="e">
        <f ca="1">CE505/$CC$111</f>
        <v>#DIV/0!</v>
      </c>
      <c r="CJ505" s="808" t="e">
        <f ca="1">CF505/$CC$111</f>
        <v>#DIV/0!</v>
      </c>
      <c r="DA505" s="806"/>
      <c r="DC505" s="817" t="e">
        <f ca="1">(DC478-DC470)/DC104</f>
        <v>#DIV/0!</v>
      </c>
      <c r="DD505" s="817" t="e">
        <f ca="1">(DC478-DC470)/DC104</f>
        <v>#DIV/0!</v>
      </c>
      <c r="DE505" s="817" t="e">
        <f ca="1">(DC478-DC470)/DC104</f>
        <v>#DIV/0!</v>
      </c>
      <c r="DF505" s="817" t="e">
        <f ca="1">(DC478-DC470)/DC104</f>
        <v>#DIV/0!</v>
      </c>
      <c r="DG505" s="808" t="e">
        <f ca="1">DC505/$DC$111</f>
        <v>#DIV/0!</v>
      </c>
      <c r="DH505" s="808" t="e">
        <f ca="1">DD505/$DC$111</f>
        <v>#DIV/0!</v>
      </c>
      <c r="DI505" s="808" t="e">
        <f ca="1">DE505/$DC$111</f>
        <v>#DIV/0!</v>
      </c>
      <c r="DJ505" s="808" t="e">
        <f ca="1">DF505/$DC$111</f>
        <v>#DIV/0!</v>
      </c>
      <c r="EA505" s="806"/>
      <c r="EC505" s="817" t="e">
        <f ca="1">(EC478-EC470)/EC104</f>
        <v>#DIV/0!</v>
      </c>
      <c r="ED505" s="817" t="e">
        <f ca="1">(EC478-EC470)/EC104</f>
        <v>#DIV/0!</v>
      </c>
      <c r="EE505" s="817" t="e">
        <f ca="1">(EC478-EC470)/EC104</f>
        <v>#DIV/0!</v>
      </c>
      <c r="EF505" s="817" t="e">
        <f ca="1">(EC478-EC470)/EC104</f>
        <v>#DIV/0!</v>
      </c>
      <c r="EG505" s="808" t="e">
        <f ca="1">EC505/$EC$111</f>
        <v>#DIV/0!</v>
      </c>
      <c r="EH505" s="808" t="e">
        <f ca="1">ED505/$EC$111</f>
        <v>#DIV/0!</v>
      </c>
      <c r="EI505" s="808" t="e">
        <f ca="1">EE505/$EC$111</f>
        <v>#DIV/0!</v>
      </c>
      <c r="EJ505" s="808" t="e">
        <f ca="1">EF505/$EC$111</f>
        <v>#DIV/0!</v>
      </c>
      <c r="FA505" s="806"/>
      <c r="FC505" s="817" t="e">
        <f ca="1">(FC478-FC470)/FC104</f>
        <v>#DIV/0!</v>
      </c>
      <c r="FD505" s="817" t="e">
        <f ca="1">(FC478-FC470)/FC104</f>
        <v>#DIV/0!</v>
      </c>
      <c r="FE505" s="817" t="e">
        <f ca="1">(FC478-FC470)/FC104</f>
        <v>#DIV/0!</v>
      </c>
      <c r="FF505" s="817" t="e">
        <f ca="1">(FC478-FC470)/FC104</f>
        <v>#DIV/0!</v>
      </c>
      <c r="FG505" s="808" t="e">
        <f ca="1">FC505/$FC$111</f>
        <v>#DIV/0!</v>
      </c>
      <c r="FH505" s="808" t="e">
        <f ca="1">FD505/$FC$111</f>
        <v>#DIV/0!</v>
      </c>
      <c r="FI505" s="808" t="e">
        <f ca="1">FE505/$FC$111</f>
        <v>#DIV/0!</v>
      </c>
      <c r="FJ505" s="808" t="e">
        <f ca="1">FF505/$FC$111</f>
        <v>#DIV/0!</v>
      </c>
    </row>
    <row r="506" spans="27:166">
      <c r="AA506" s="806" t="s">
        <v>1004</v>
      </c>
      <c r="AC506" s="807">
        <v>0.04</v>
      </c>
      <c r="AD506" s="807">
        <v>0.04</v>
      </c>
      <c r="AE506" s="807">
        <v>0.04</v>
      </c>
      <c r="AF506" s="807">
        <v>0.04</v>
      </c>
      <c r="BA506" s="806" t="s">
        <v>1004</v>
      </c>
      <c r="BC506" s="807">
        <v>0.04</v>
      </c>
      <c r="BD506" s="807">
        <v>0.04</v>
      </c>
      <c r="BE506" s="807">
        <v>0.04</v>
      </c>
      <c r="BF506" s="807">
        <v>0.04</v>
      </c>
      <c r="CA506" s="806" t="s">
        <v>1004</v>
      </c>
      <c r="CC506" s="807">
        <v>0.04</v>
      </c>
      <c r="CD506" s="807">
        <v>0.04</v>
      </c>
      <c r="CE506" s="807">
        <v>0.04</v>
      </c>
      <c r="CF506" s="807">
        <v>0.04</v>
      </c>
      <c r="DA506" s="806" t="s">
        <v>1004</v>
      </c>
      <c r="DC506" s="807">
        <v>0.04</v>
      </c>
      <c r="DD506" s="807">
        <v>0.04</v>
      </c>
      <c r="DE506" s="807">
        <v>0.04</v>
      </c>
      <c r="DF506" s="807">
        <v>0.04</v>
      </c>
      <c r="EA506" s="806" t="s">
        <v>1004</v>
      </c>
      <c r="EC506" s="807">
        <v>0.04</v>
      </c>
      <c r="ED506" s="807">
        <v>0.04</v>
      </c>
      <c r="EE506" s="807">
        <v>0.04</v>
      </c>
      <c r="EF506" s="807">
        <v>0.04</v>
      </c>
      <c r="FA506" s="806" t="s">
        <v>1004</v>
      </c>
      <c r="FC506" s="807">
        <v>0.04</v>
      </c>
      <c r="FD506" s="807">
        <v>0.04</v>
      </c>
      <c r="FE506" s="807">
        <v>0.04</v>
      </c>
      <c r="FF506" s="807">
        <v>0.04</v>
      </c>
    </row>
    <row r="507" spans="27:166">
      <c r="AA507" s="806"/>
      <c r="AB507" s="807"/>
      <c r="AC507" s="805" t="e">
        <f ca="1">AC506*AC478</f>
        <v>#DIV/0!</v>
      </c>
      <c r="AD507" s="805" t="e">
        <f ca="1">AD506*AC478</f>
        <v>#DIV/0!</v>
      </c>
      <c r="AE507" s="805" t="e">
        <f ca="1">AE506*AC478</f>
        <v>#DIV/0!</v>
      </c>
      <c r="AF507" s="808" t="e">
        <f ca="1">AF506*AC478</f>
        <v>#DIV/0!</v>
      </c>
      <c r="AG507" s="1003" t="e">
        <f ca="1">(AC507+AC509+AC511+AC513)/$AC$111</f>
        <v>#DIV/0!</v>
      </c>
      <c r="AH507" s="1003" t="e">
        <f ca="1">(AD507+AD509+AD511+AD513)/$AC$111</f>
        <v>#DIV/0!</v>
      </c>
      <c r="AI507" s="1003" t="e">
        <f ca="1">(AE507+AE509+AE511+AE513)/$AC$111</f>
        <v>#DIV/0!</v>
      </c>
      <c r="AJ507" s="1003" t="e">
        <f ca="1">(AF507+AF509+AF511+AF513)/$AC$111</f>
        <v>#DIV/0!</v>
      </c>
      <c r="BA507" s="806"/>
      <c r="BB507" s="807"/>
      <c r="BC507" s="805" t="e">
        <f ca="1">BC506*BC478</f>
        <v>#DIV/0!</v>
      </c>
      <c r="BD507" s="805" t="e">
        <f ca="1">BD506*BC478</f>
        <v>#DIV/0!</v>
      </c>
      <c r="BE507" s="805" t="e">
        <f ca="1">BE506*BC478</f>
        <v>#DIV/0!</v>
      </c>
      <c r="BF507" s="808" t="e">
        <f ca="1">BF506*BC478</f>
        <v>#DIV/0!</v>
      </c>
      <c r="BG507" s="1003" t="e">
        <f ca="1">(BC507+BC509+BC511+BC513)/$CC$111</f>
        <v>#DIV/0!</v>
      </c>
      <c r="BH507" s="1003" t="e">
        <f ca="1">(BD507+BD509+BD511+BD513)/$CC$111</f>
        <v>#DIV/0!</v>
      </c>
      <c r="BI507" s="1003" t="e">
        <f ca="1">(BE507+BE509+BE511+BE513)/$CC$111</f>
        <v>#DIV/0!</v>
      </c>
      <c r="BJ507" s="1003" t="e">
        <f ca="1">(BF507+BF509+BF511+BF513)/$CC$111</f>
        <v>#DIV/0!</v>
      </c>
      <c r="CA507" s="806"/>
      <c r="CB507" s="807"/>
      <c r="CC507" s="805" t="e">
        <f ca="1">CC506*CC478</f>
        <v>#DIV/0!</v>
      </c>
      <c r="CD507" s="805" t="e">
        <f ca="1">CD506*CC478</f>
        <v>#DIV/0!</v>
      </c>
      <c r="CE507" s="805" t="e">
        <f ca="1">CE506*CC478</f>
        <v>#DIV/0!</v>
      </c>
      <c r="CF507" s="808" t="e">
        <f ca="1">CF506*CC478</f>
        <v>#DIV/0!</v>
      </c>
      <c r="CG507" s="1003" t="e">
        <f ca="1">(CC507+CC509+CC511+CC513)/$CC$111</f>
        <v>#DIV/0!</v>
      </c>
      <c r="CH507" s="1003" t="e">
        <f ca="1">(CD507+CD509+CD511+CD513)/$CC$111</f>
        <v>#DIV/0!</v>
      </c>
      <c r="CI507" s="1003" t="e">
        <f ca="1">(CE507+CE509+CE511+CE513)/$CC$111</f>
        <v>#DIV/0!</v>
      </c>
      <c r="CJ507" s="1003" t="e">
        <f ca="1">(CF507+CF509+CF511+CF513)/$CC$111</f>
        <v>#DIV/0!</v>
      </c>
      <c r="DA507" s="806"/>
      <c r="DB507" s="807"/>
      <c r="DC507" s="805" t="e">
        <f ca="1">DC506*DC478</f>
        <v>#DIV/0!</v>
      </c>
      <c r="DD507" s="805" t="e">
        <f ca="1">DD506*DC478</f>
        <v>#DIV/0!</v>
      </c>
      <c r="DE507" s="805" t="e">
        <f ca="1">DE506*DC478</f>
        <v>#DIV/0!</v>
      </c>
      <c r="DF507" s="808" t="e">
        <f ca="1">DF506*DC478</f>
        <v>#DIV/0!</v>
      </c>
      <c r="DG507" s="1003" t="e">
        <f ca="1">(DC507+DC509+DC511+DC513)/$DC$111</f>
        <v>#DIV/0!</v>
      </c>
      <c r="DH507" s="1003" t="e">
        <f ca="1">(DD507+DD509+DD511+DD513)/$DC$111</f>
        <v>#DIV/0!</v>
      </c>
      <c r="DI507" s="1003" t="e">
        <f ca="1">(DE507+DE509+DE511+DE513)/$DC$111</f>
        <v>#DIV/0!</v>
      </c>
      <c r="DJ507" s="1003" t="e">
        <f ca="1">(DF507+DF509+DF511+DF513)/$DC$111</f>
        <v>#DIV/0!</v>
      </c>
      <c r="EA507" s="806"/>
      <c r="EB507" s="807"/>
      <c r="EC507" s="805" t="e">
        <f ca="1">EC506*EC478</f>
        <v>#DIV/0!</v>
      </c>
      <c r="ED507" s="805" t="e">
        <f ca="1">ED506*EC478</f>
        <v>#DIV/0!</v>
      </c>
      <c r="EE507" s="805" t="e">
        <f ca="1">EE506*EC478</f>
        <v>#DIV/0!</v>
      </c>
      <c r="EF507" s="808" t="e">
        <f ca="1">EF506*EC478</f>
        <v>#DIV/0!</v>
      </c>
      <c r="EG507" s="1003" t="e">
        <f ca="1">(EC507+EC509+EC511+EC513)/$EC$111</f>
        <v>#DIV/0!</v>
      </c>
      <c r="EH507" s="1003" t="e">
        <f ca="1">(ED507+ED509+ED511+ED513)/$EC$111</f>
        <v>#DIV/0!</v>
      </c>
      <c r="EI507" s="1003" t="e">
        <f ca="1">(EE507+EE509+EE511+EE513)/$EC$111</f>
        <v>#DIV/0!</v>
      </c>
      <c r="EJ507" s="1003" t="e">
        <f ca="1">(EF507+EF509+EF511+EF513)/$EC$111</f>
        <v>#DIV/0!</v>
      </c>
      <c r="FA507" s="806"/>
      <c r="FB507" s="807"/>
      <c r="FC507" s="805" t="e">
        <f ca="1">FC506*FC478</f>
        <v>#DIV/0!</v>
      </c>
      <c r="FD507" s="805" t="e">
        <f ca="1">FD506*FC478</f>
        <v>#DIV/0!</v>
      </c>
      <c r="FE507" s="805" t="e">
        <f ca="1">FE506*FC478</f>
        <v>#DIV/0!</v>
      </c>
      <c r="FF507" s="808" t="e">
        <f ca="1">FF506*FC478</f>
        <v>#DIV/0!</v>
      </c>
      <c r="FG507" s="1003" t="e">
        <f ca="1">(FC507+FC509+FC511+FC513)/$FC$111</f>
        <v>#DIV/0!</v>
      </c>
      <c r="FH507" s="1003" t="e">
        <f ca="1">(FD507+FD509+FD511+FD513)/$FC$111</f>
        <v>#DIV/0!</v>
      </c>
      <c r="FI507" s="1003" t="e">
        <f ca="1">(FE507+FE509+FE511+FE513)/$FC$111</f>
        <v>#DIV/0!</v>
      </c>
      <c r="FJ507" s="1003" t="e">
        <f ca="1">(FF507+FF509+FF511+FF513)/$FC$111</f>
        <v>#DIV/0!</v>
      </c>
    </row>
    <row r="508" spans="27:166">
      <c r="AA508" s="806" t="s">
        <v>1005</v>
      </c>
      <c r="AC508" s="807">
        <v>0.01</v>
      </c>
      <c r="AD508" s="807">
        <v>0.01</v>
      </c>
      <c r="AE508" s="807">
        <v>0.01</v>
      </c>
      <c r="AF508" s="807">
        <v>0.01</v>
      </c>
      <c r="BA508" s="806" t="s">
        <v>1005</v>
      </c>
      <c r="BC508" s="807">
        <v>0.01</v>
      </c>
      <c r="BD508" s="807">
        <v>0.01</v>
      </c>
      <c r="BE508" s="807">
        <v>0.01</v>
      </c>
      <c r="BF508" s="807">
        <v>0.01</v>
      </c>
      <c r="CA508" s="806" t="s">
        <v>1005</v>
      </c>
      <c r="CC508" s="807">
        <v>0.01</v>
      </c>
      <c r="CD508" s="807">
        <v>0.01</v>
      </c>
      <c r="CE508" s="807">
        <v>0.01</v>
      </c>
      <c r="CF508" s="807">
        <v>0.01</v>
      </c>
      <c r="DA508" s="806" t="s">
        <v>1005</v>
      </c>
      <c r="DC508" s="807">
        <v>0.01</v>
      </c>
      <c r="DD508" s="807">
        <v>0.01</v>
      </c>
      <c r="DE508" s="807">
        <v>0.01</v>
      </c>
      <c r="DF508" s="807">
        <v>0.01</v>
      </c>
      <c r="EA508" s="806" t="s">
        <v>1005</v>
      </c>
      <c r="EC508" s="807">
        <v>0.01</v>
      </c>
      <c r="ED508" s="807">
        <v>0.01</v>
      </c>
      <c r="EE508" s="807">
        <v>0.01</v>
      </c>
      <c r="EF508" s="807">
        <v>0.01</v>
      </c>
      <c r="FA508" s="806" t="s">
        <v>1005</v>
      </c>
      <c r="FC508" s="807">
        <v>0.01</v>
      </c>
      <c r="FD508" s="807">
        <v>0.01</v>
      </c>
      <c r="FE508" s="807">
        <v>0.01</v>
      </c>
      <c r="FF508" s="807">
        <v>0.01</v>
      </c>
    </row>
    <row r="509" spans="27:166">
      <c r="AA509" s="806"/>
      <c r="AB509" s="807"/>
      <c r="AC509" s="805" t="e">
        <f ca="1">AC508*AC478</f>
        <v>#DIV/0!</v>
      </c>
      <c r="AD509" s="805" t="e">
        <f ca="1">AD508*AC478</f>
        <v>#DIV/0!</v>
      </c>
      <c r="AE509" s="805" t="e">
        <f ca="1">AE508*AC478</f>
        <v>#DIV/0!</v>
      </c>
      <c r="AF509" s="808" t="e">
        <f ca="1">AF508*AC478</f>
        <v>#DIV/0!</v>
      </c>
      <c r="BA509" s="806"/>
      <c r="BB509" s="807"/>
      <c r="BC509" s="805" t="e">
        <f ca="1">BC508*BC478</f>
        <v>#DIV/0!</v>
      </c>
      <c r="BD509" s="805" t="e">
        <f ca="1">BD508*BC478</f>
        <v>#DIV/0!</v>
      </c>
      <c r="BE509" s="805" t="e">
        <f ca="1">BE508*BC478</f>
        <v>#DIV/0!</v>
      </c>
      <c r="BF509" s="808" t="e">
        <f ca="1">BF508*BC478</f>
        <v>#DIV/0!</v>
      </c>
      <c r="CA509" s="806"/>
      <c r="CB509" s="807"/>
      <c r="CC509" s="805" t="e">
        <f ca="1">CC508*CC478</f>
        <v>#DIV/0!</v>
      </c>
      <c r="CD509" s="805" t="e">
        <f ca="1">CD508*CC478</f>
        <v>#DIV/0!</v>
      </c>
      <c r="CE509" s="805" t="e">
        <f ca="1">CE508*CC478</f>
        <v>#DIV/0!</v>
      </c>
      <c r="CF509" s="808" t="e">
        <f ca="1">CF508*CC478</f>
        <v>#DIV/0!</v>
      </c>
      <c r="DA509" s="806"/>
      <c r="DB509" s="807"/>
      <c r="DC509" s="805" t="e">
        <f ca="1">DC508*DC478</f>
        <v>#DIV/0!</v>
      </c>
      <c r="DD509" s="805" t="e">
        <f ca="1">DD508*DC478</f>
        <v>#DIV/0!</v>
      </c>
      <c r="DE509" s="805" t="e">
        <f ca="1">DE508*DC478</f>
        <v>#DIV/0!</v>
      </c>
      <c r="DF509" s="808" t="e">
        <f ca="1">DF508*DC478</f>
        <v>#DIV/0!</v>
      </c>
      <c r="EA509" s="806"/>
      <c r="EB509" s="807"/>
      <c r="EC509" s="805" t="e">
        <f ca="1">EC508*EC478</f>
        <v>#DIV/0!</v>
      </c>
      <c r="ED509" s="805" t="e">
        <f ca="1">ED508*EC478</f>
        <v>#DIV/0!</v>
      </c>
      <c r="EE509" s="805" t="e">
        <f ca="1">EE508*EC478</f>
        <v>#DIV/0!</v>
      </c>
      <c r="EF509" s="808" t="e">
        <f ca="1">EF508*EC478</f>
        <v>#DIV/0!</v>
      </c>
      <c r="FA509" s="806"/>
      <c r="FB509" s="807"/>
      <c r="FC509" s="805" t="e">
        <f ca="1">FC508*FC478</f>
        <v>#DIV/0!</v>
      </c>
      <c r="FD509" s="805" t="e">
        <f ca="1">FD508*FC478</f>
        <v>#DIV/0!</v>
      </c>
      <c r="FE509" s="805" t="e">
        <f ca="1">FE508*FC478</f>
        <v>#DIV/0!</v>
      </c>
      <c r="FF509" s="808" t="e">
        <f ca="1">FF508*FC478</f>
        <v>#DIV/0!</v>
      </c>
    </row>
    <row r="510" spans="27:166">
      <c r="AA510" s="806" t="s">
        <v>1006</v>
      </c>
      <c r="AC510" s="807">
        <v>0.05</v>
      </c>
      <c r="AD510" s="807">
        <v>0.05</v>
      </c>
      <c r="AE510" s="807">
        <v>0.05</v>
      </c>
      <c r="AF510" s="807">
        <v>0.05</v>
      </c>
      <c r="BA510" s="806" t="s">
        <v>1006</v>
      </c>
      <c r="BC510" s="807">
        <v>0.05</v>
      </c>
      <c r="BD510" s="807">
        <v>0.05</v>
      </c>
      <c r="BE510" s="807">
        <v>0.05</v>
      </c>
      <c r="BF510" s="807">
        <v>0.05</v>
      </c>
      <c r="CA510" s="806" t="s">
        <v>1006</v>
      </c>
      <c r="CC510" s="807">
        <v>0.05</v>
      </c>
      <c r="CD510" s="807">
        <v>0.05</v>
      </c>
      <c r="CE510" s="807">
        <v>0.05</v>
      </c>
      <c r="CF510" s="807">
        <v>0.05</v>
      </c>
      <c r="DA510" s="806" t="s">
        <v>1006</v>
      </c>
      <c r="DC510" s="807">
        <v>0.05</v>
      </c>
      <c r="DD510" s="807">
        <v>0.05</v>
      </c>
      <c r="DE510" s="807">
        <v>0.05</v>
      </c>
      <c r="DF510" s="807">
        <v>0.05</v>
      </c>
      <c r="EA510" s="806" t="s">
        <v>1006</v>
      </c>
      <c r="EC510" s="807">
        <v>0.05</v>
      </c>
      <c r="ED510" s="807">
        <v>0.05</v>
      </c>
      <c r="EE510" s="807">
        <v>0.05</v>
      </c>
      <c r="EF510" s="807">
        <v>0.05</v>
      </c>
      <c r="FA510" s="806" t="s">
        <v>1006</v>
      </c>
      <c r="FC510" s="807">
        <v>0.05</v>
      </c>
      <c r="FD510" s="807">
        <v>0.05</v>
      </c>
      <c r="FE510" s="807">
        <v>0.05</v>
      </c>
      <c r="FF510" s="807">
        <v>0.05</v>
      </c>
    </row>
    <row r="511" spans="27:166">
      <c r="AA511" s="806"/>
      <c r="AB511" s="807"/>
      <c r="AC511" s="805" t="e">
        <f ca="1">AC510*(AC470+AC466)</f>
        <v>#DIV/0!</v>
      </c>
      <c r="AD511" s="805" t="e">
        <f ca="1">AD510*(AC470+AC466)</f>
        <v>#DIV/0!</v>
      </c>
      <c r="AE511" s="805" t="e">
        <f ca="1">AE510*(AC470+AC466)</f>
        <v>#DIV/0!</v>
      </c>
      <c r="AF511" s="808" t="e">
        <f ca="1">AF510*(AC470+AC466)</f>
        <v>#DIV/0!</v>
      </c>
      <c r="BA511" s="806"/>
      <c r="BB511" s="807"/>
      <c r="BC511" s="805" t="e">
        <f ca="1">BC510*(BC470+BC466)</f>
        <v>#DIV/0!</v>
      </c>
      <c r="BD511" s="805" t="e">
        <f ca="1">BD510*(BC470+BC466)</f>
        <v>#DIV/0!</v>
      </c>
      <c r="BE511" s="805" t="e">
        <f ca="1">BE510*(BC470+BC466)</f>
        <v>#DIV/0!</v>
      </c>
      <c r="BF511" s="808" t="e">
        <f ca="1">BF510*(BC470+BC466)</f>
        <v>#DIV/0!</v>
      </c>
      <c r="CA511" s="806"/>
      <c r="CB511" s="807"/>
      <c r="CC511" s="805" t="e">
        <f ca="1">CC510*(CC470+CC466)</f>
        <v>#DIV/0!</v>
      </c>
      <c r="CD511" s="805" t="e">
        <f ca="1">CD510*(CC470+CC466)</f>
        <v>#DIV/0!</v>
      </c>
      <c r="CE511" s="805" t="e">
        <f ca="1">CE510*(CC470+CC466)</f>
        <v>#DIV/0!</v>
      </c>
      <c r="CF511" s="808" t="e">
        <f ca="1">CF510*(CC470+CC466)</f>
        <v>#DIV/0!</v>
      </c>
      <c r="DA511" s="806"/>
      <c r="DB511" s="807"/>
      <c r="DC511" s="805" t="e">
        <f ca="1">DC510*(DC470+DC466)</f>
        <v>#DIV/0!</v>
      </c>
      <c r="DD511" s="805" t="e">
        <f ca="1">DD510*(DC470+DC466)</f>
        <v>#DIV/0!</v>
      </c>
      <c r="DE511" s="805" t="e">
        <f ca="1">DE510*(DC470+DC466)</f>
        <v>#DIV/0!</v>
      </c>
      <c r="DF511" s="808" t="e">
        <f ca="1">DF510*(DC470+DC466)</f>
        <v>#DIV/0!</v>
      </c>
      <c r="EA511" s="806"/>
      <c r="EB511" s="807"/>
      <c r="EC511" s="805" t="e">
        <f ca="1">EC510*(EC470+EC466)</f>
        <v>#DIV/0!</v>
      </c>
      <c r="ED511" s="805" t="e">
        <f ca="1">ED510*(EC470+EC466)</f>
        <v>#DIV/0!</v>
      </c>
      <c r="EE511" s="805" t="e">
        <f ca="1">EE510*(EC470+EC466)</f>
        <v>#DIV/0!</v>
      </c>
      <c r="EF511" s="808" t="e">
        <f ca="1">EF510*(EC470+EC466)</f>
        <v>#DIV/0!</v>
      </c>
      <c r="FA511" s="806"/>
      <c r="FB511" s="807"/>
      <c r="FC511" s="805" t="e">
        <f>FC510*(FC470+FC466)</f>
        <v>#DIV/0!</v>
      </c>
      <c r="FD511" s="805" t="e">
        <f>FD510*(FC470+FC466)</f>
        <v>#DIV/0!</v>
      </c>
      <c r="FE511" s="805" t="e">
        <f>FE510*(FC470+FC466)</f>
        <v>#DIV/0!</v>
      </c>
      <c r="FF511" s="808" t="e">
        <f>FF510*(FC470+FC466)</f>
        <v>#DIV/0!</v>
      </c>
    </row>
    <row r="512" spans="27:166">
      <c r="AA512" s="806" t="s">
        <v>1007</v>
      </c>
      <c r="AB512" s="807"/>
      <c r="AC512" s="807">
        <v>0.05</v>
      </c>
      <c r="AD512" s="807">
        <v>0.05</v>
      </c>
      <c r="AE512" s="807">
        <v>0.05</v>
      </c>
      <c r="AF512" s="807">
        <v>0.05</v>
      </c>
      <c r="BA512" s="806" t="s">
        <v>1007</v>
      </c>
      <c r="BB512" s="807"/>
      <c r="BC512" s="807">
        <v>0.05</v>
      </c>
      <c r="BD512" s="807">
        <v>0.05</v>
      </c>
      <c r="BE512" s="807">
        <v>0.05</v>
      </c>
      <c r="BF512" s="807">
        <v>0.05</v>
      </c>
      <c r="CA512" s="806" t="s">
        <v>1007</v>
      </c>
      <c r="CB512" s="807"/>
      <c r="CC512" s="807">
        <v>0.05</v>
      </c>
      <c r="CD512" s="807">
        <v>0.05</v>
      </c>
      <c r="CE512" s="807">
        <v>0.05</v>
      </c>
      <c r="CF512" s="807">
        <v>0.05</v>
      </c>
      <c r="DA512" s="806" t="s">
        <v>1007</v>
      </c>
      <c r="DB512" s="807"/>
      <c r="DC512" s="807">
        <v>0.05</v>
      </c>
      <c r="DD512" s="807">
        <v>0.05</v>
      </c>
      <c r="DE512" s="807">
        <v>0.05</v>
      </c>
      <c r="DF512" s="807">
        <v>0.05</v>
      </c>
      <c r="EA512" s="806" t="s">
        <v>1007</v>
      </c>
      <c r="EB512" s="807"/>
      <c r="EC512" s="807">
        <v>0.05</v>
      </c>
      <c r="ED512" s="807">
        <v>0.05</v>
      </c>
      <c r="EE512" s="807">
        <v>0.05</v>
      </c>
      <c r="EF512" s="807">
        <v>0.05</v>
      </c>
      <c r="FA512" s="806" t="s">
        <v>1007</v>
      </c>
      <c r="FB512" s="807"/>
      <c r="FC512" s="807">
        <v>0.05</v>
      </c>
      <c r="FD512" s="807">
        <v>0.05</v>
      </c>
      <c r="FE512" s="807">
        <v>0.05</v>
      </c>
      <c r="FF512" s="807">
        <v>0.05</v>
      </c>
    </row>
    <row r="513" spans="27:167">
      <c r="AA513" s="806"/>
      <c r="AB513" s="807"/>
      <c r="AC513" s="805" t="e">
        <f ca="1">AC512*AC483</f>
        <v>#DIV/0!</v>
      </c>
      <c r="AD513" s="805" t="e">
        <f ca="1">AD512*AC483</f>
        <v>#DIV/0!</v>
      </c>
      <c r="AE513" s="805" t="e">
        <f ca="1">AE512*AC483</f>
        <v>#DIV/0!</v>
      </c>
      <c r="AF513" s="808" t="e">
        <f ca="1">AF512*AC483</f>
        <v>#DIV/0!</v>
      </c>
      <c r="BA513" s="806"/>
      <c r="BB513" s="807"/>
      <c r="BC513" s="805" t="e">
        <f ca="1">BC512*BC483</f>
        <v>#DIV/0!</v>
      </c>
      <c r="BD513" s="805" t="e">
        <f ca="1">BD512*BC483</f>
        <v>#DIV/0!</v>
      </c>
      <c r="BE513" s="805" t="e">
        <f ca="1">BE512*BC483</f>
        <v>#DIV/0!</v>
      </c>
      <c r="BF513" s="808" t="e">
        <f ca="1">BF512*BC483</f>
        <v>#DIV/0!</v>
      </c>
      <c r="CA513" s="806"/>
      <c r="CB513" s="807"/>
      <c r="CC513" s="805" t="e">
        <f ca="1">CC512*CC483</f>
        <v>#DIV/0!</v>
      </c>
      <c r="CD513" s="805" t="e">
        <f ca="1">CD512*CC483</f>
        <v>#DIV/0!</v>
      </c>
      <c r="CE513" s="805" t="e">
        <f ca="1">CE512*CC483</f>
        <v>#DIV/0!</v>
      </c>
      <c r="CF513" s="808" t="e">
        <f ca="1">CF512*CC483</f>
        <v>#DIV/0!</v>
      </c>
      <c r="DA513" s="806"/>
      <c r="DB513" s="807"/>
      <c r="DC513" s="805" t="e">
        <f ca="1">DC512*DC483</f>
        <v>#DIV/0!</v>
      </c>
      <c r="DD513" s="805" t="e">
        <f ca="1">DD512*DC483</f>
        <v>#DIV/0!</v>
      </c>
      <c r="DE513" s="805" t="e">
        <f ca="1">DE512*DC483</f>
        <v>#DIV/0!</v>
      </c>
      <c r="DF513" s="808" t="e">
        <f ca="1">DF512*DC483</f>
        <v>#DIV/0!</v>
      </c>
      <c r="EA513" s="806"/>
      <c r="EB513" s="807"/>
      <c r="EC513" s="805" t="e">
        <f ca="1">EC512*EC483</f>
        <v>#DIV/0!</v>
      </c>
      <c r="ED513" s="805" t="e">
        <f ca="1">ED512*EC483</f>
        <v>#DIV/0!</v>
      </c>
      <c r="EE513" s="805" t="e">
        <f ca="1">EE512*EC483</f>
        <v>#DIV/0!</v>
      </c>
      <c r="EF513" s="808" t="e">
        <f ca="1">EF512*EC483</f>
        <v>#DIV/0!</v>
      </c>
      <c r="FA513" s="806"/>
      <c r="FB513" s="807"/>
      <c r="FC513" s="805" t="e">
        <f ca="1">FC512*FC483</f>
        <v>#DIV/0!</v>
      </c>
      <c r="FD513" s="805" t="e">
        <f ca="1">FD512*FC483</f>
        <v>#DIV/0!</v>
      </c>
      <c r="FE513" s="805" t="e">
        <f ca="1">FE512*FC483</f>
        <v>#DIV/0!</v>
      </c>
      <c r="FF513" s="808" t="e">
        <f ca="1">FF512*FC483</f>
        <v>#DIV/0!</v>
      </c>
    </row>
    <row r="514" spans="27:167">
      <c r="AA514" t="s">
        <v>1008</v>
      </c>
      <c r="AC514" s="807">
        <v>0.5</v>
      </c>
      <c r="AD514" s="807">
        <v>0.5</v>
      </c>
      <c r="AE514" s="807">
        <v>0.5</v>
      </c>
      <c r="AF514" s="807">
        <v>0.5</v>
      </c>
      <c r="BA514" t="s">
        <v>1008</v>
      </c>
      <c r="BC514" s="807">
        <v>0.5</v>
      </c>
      <c r="BD514" s="807">
        <v>0.5</v>
      </c>
      <c r="BE514" s="807">
        <v>0.5</v>
      </c>
      <c r="BF514" s="807">
        <v>0.5</v>
      </c>
      <c r="CA514" t="s">
        <v>1008</v>
      </c>
      <c r="CC514" s="807">
        <v>0.5</v>
      </c>
      <c r="CD514" s="807">
        <v>0.5</v>
      </c>
      <c r="CE514" s="807">
        <v>0.5</v>
      </c>
      <c r="CF514" s="807">
        <v>0.5</v>
      </c>
      <c r="DA514" t="s">
        <v>1008</v>
      </c>
      <c r="DC514" s="807">
        <v>0.5</v>
      </c>
      <c r="DD514" s="807">
        <v>0.5</v>
      </c>
      <c r="DE514" s="807">
        <v>0.5</v>
      </c>
      <c r="DF514" s="807">
        <v>0.5</v>
      </c>
      <c r="EA514" t="s">
        <v>1008</v>
      </c>
      <c r="EC514" s="807">
        <v>0.5</v>
      </c>
      <c r="ED514" s="807">
        <v>0.5</v>
      </c>
      <c r="EE514" s="807">
        <v>0.5</v>
      </c>
      <c r="EF514" s="807">
        <v>0.5</v>
      </c>
      <c r="FA514" t="s">
        <v>1008</v>
      </c>
      <c r="FC514" s="807">
        <v>0.5</v>
      </c>
      <c r="FD514" s="807">
        <v>0.5</v>
      </c>
      <c r="FE514" s="807">
        <v>0.5</v>
      </c>
      <c r="FF514" s="807">
        <v>0.5</v>
      </c>
    </row>
    <row r="515" spans="27:167">
      <c r="AB515" s="807"/>
      <c r="AC515" s="816" t="e">
        <f ca="1">IF(AC531=0,0, AC514*(AC490+AC492+AC496))</f>
        <v>#DIV/0!</v>
      </c>
      <c r="AD515" s="816" t="e">
        <f ca="1">IF(AC531=0,0, AD514*(AD490+AD492+AD496))</f>
        <v>#DIV/0!</v>
      </c>
      <c r="AE515" s="816" t="e">
        <f ca="1">IF(AC531=0,0, AE514*(AE490+AE492+AE496))</f>
        <v>#DIV/0!</v>
      </c>
      <c r="AF515" s="816" t="e">
        <f ca="1">IF(AC531=0,0, AF514*(AF490+AF492+AF496))</f>
        <v>#DIV/0!</v>
      </c>
      <c r="AG515" s="808" t="e">
        <f ca="1">AC515/$AC$111</f>
        <v>#DIV/0!</v>
      </c>
      <c r="AH515" s="808" t="e">
        <f t="shared" ref="AH515:AJ516" ca="1" si="79">AD515/$AC$111</f>
        <v>#DIV/0!</v>
      </c>
      <c r="AI515" s="808" t="e">
        <f t="shared" ca="1" si="79"/>
        <v>#DIV/0!</v>
      </c>
      <c r="AJ515" s="808" t="e">
        <f t="shared" ca="1" si="79"/>
        <v>#DIV/0!</v>
      </c>
      <c r="BB515" s="807"/>
      <c r="BC515" s="816" t="e">
        <f ca="1">IF(BC531=0,0, BC514*(BC490+BC492+BC496))</f>
        <v>#DIV/0!</v>
      </c>
      <c r="BD515" s="816" t="e">
        <f ca="1">IF(BC531=0,0, BD514*(BD490+BD492+BD496))</f>
        <v>#DIV/0!</v>
      </c>
      <c r="BE515" s="816" t="e">
        <f ca="1">IF(BC531=0,0, BE514*(BE490+BE492+BE496))</f>
        <v>#DIV/0!</v>
      </c>
      <c r="BF515" s="816" t="e">
        <f ca="1">IF(BC531=0,0, BF514*(BF490+BF492+BF496))</f>
        <v>#DIV/0!</v>
      </c>
      <c r="BG515" s="808" t="e">
        <f t="shared" ref="BG515:BJ516" ca="1" si="80">BC515/$CC$111</f>
        <v>#DIV/0!</v>
      </c>
      <c r="BH515" s="808" t="e">
        <f t="shared" ca="1" si="80"/>
        <v>#DIV/0!</v>
      </c>
      <c r="BI515" s="808" t="e">
        <f t="shared" ca="1" si="80"/>
        <v>#DIV/0!</v>
      </c>
      <c r="BJ515" s="808" t="e">
        <f t="shared" ca="1" si="80"/>
        <v>#DIV/0!</v>
      </c>
      <c r="CB515" s="807"/>
      <c r="CC515" s="816" t="e">
        <f ca="1">IF(CC531=0,0, CC514*(CC490+CC492+CC496))</f>
        <v>#DIV/0!</v>
      </c>
      <c r="CD515" s="816" t="e">
        <f ca="1">IF(CC531=0,0, CD514*(CD490+CD492+CD496))</f>
        <v>#DIV/0!</v>
      </c>
      <c r="CE515" s="816" t="e">
        <f ca="1">IF(CC531=0,0, CE514*(CE490+CE492+CE496))</f>
        <v>#DIV/0!</v>
      </c>
      <c r="CF515" s="816" t="e">
        <f ca="1">IF(CC531=0,0, CF514*(CF490+CF492+CF496))</f>
        <v>#DIV/0!</v>
      </c>
      <c r="CG515" s="808" t="e">
        <f t="shared" ref="CG515:CJ516" ca="1" si="81">CC515/$CC$111</f>
        <v>#DIV/0!</v>
      </c>
      <c r="CH515" s="808" t="e">
        <f t="shared" ca="1" si="81"/>
        <v>#DIV/0!</v>
      </c>
      <c r="CI515" s="808" t="e">
        <f t="shared" ca="1" si="81"/>
        <v>#DIV/0!</v>
      </c>
      <c r="CJ515" s="808" t="e">
        <f t="shared" ca="1" si="81"/>
        <v>#DIV/0!</v>
      </c>
      <c r="DB515" s="807"/>
      <c r="DC515" s="816" t="e">
        <f ca="1">IF(DC531=0,0, DC514*(DC490+DC492+DC496))</f>
        <v>#DIV/0!</v>
      </c>
      <c r="DD515" s="816" t="e">
        <f ca="1">IF(DC531=0,0, DD514*(DD490+DD492+DD496))</f>
        <v>#DIV/0!</v>
      </c>
      <c r="DE515" s="816" t="e">
        <f ca="1">IF(DC531=0,0, DE514*(DE490+DE492+DE496))</f>
        <v>#DIV/0!</v>
      </c>
      <c r="DF515" s="816" t="e">
        <f ca="1">IF(DC531=0,0, DF514*(DF490+DF492+DF496))</f>
        <v>#DIV/0!</v>
      </c>
      <c r="DG515" s="808" t="e">
        <f t="shared" ref="DG515:DJ516" ca="1" si="82">DC515/$DC$111</f>
        <v>#DIV/0!</v>
      </c>
      <c r="DH515" s="808" t="e">
        <f t="shared" ca="1" si="82"/>
        <v>#DIV/0!</v>
      </c>
      <c r="DI515" s="808" t="e">
        <f t="shared" ca="1" si="82"/>
        <v>#DIV/0!</v>
      </c>
      <c r="DJ515" s="808" t="e">
        <f t="shared" ca="1" si="82"/>
        <v>#DIV/0!</v>
      </c>
      <c r="EB515" s="807"/>
      <c r="EC515" s="816" t="e">
        <f ca="1">IF(EC531=0,0, EC514*(EC490+EC492+EC496))</f>
        <v>#DIV/0!</v>
      </c>
      <c r="ED515" s="816" t="e">
        <f ca="1">IF(EC531=0,0, ED514*(ED490+ED492+ED496))</f>
        <v>#DIV/0!</v>
      </c>
      <c r="EE515" s="816" t="e">
        <f ca="1">IF(EC531=0,0, EE514*(EE490+EE492+EE496))</f>
        <v>#DIV/0!</v>
      </c>
      <c r="EF515" s="816" t="e">
        <f ca="1">IF(EC531=0,0, EF514*(EF490+EF492+EF496))</f>
        <v>#DIV/0!</v>
      </c>
      <c r="EG515" s="808" t="e">
        <f t="shared" ref="EG515:EJ516" ca="1" si="83">EC515/$EC$111</f>
        <v>#DIV/0!</v>
      </c>
      <c r="EH515" s="808" t="e">
        <f t="shared" ca="1" si="83"/>
        <v>#DIV/0!</v>
      </c>
      <c r="EI515" s="808" t="e">
        <f t="shared" ca="1" si="83"/>
        <v>#DIV/0!</v>
      </c>
      <c r="EJ515" s="808" t="e">
        <f t="shared" ca="1" si="83"/>
        <v>#DIV/0!</v>
      </c>
      <c r="FB515" s="807"/>
      <c r="FC515" s="816" t="e">
        <f ca="1">IF(FC531=0,0, FC514*(FC490+FC492+FC496))</f>
        <v>#DIV/0!</v>
      </c>
      <c r="FD515" s="816" t="e">
        <f ca="1">IF(FC531=0,0, FD514*(FD490+FD492+FD496))</f>
        <v>#DIV/0!</v>
      </c>
      <c r="FE515" s="816" t="e">
        <f ca="1">IF(FC531=0,0, FE514*(FE490+FE492+FE496))</f>
        <v>#DIV/0!</v>
      </c>
      <c r="FF515" s="816" t="e">
        <f ca="1">IF(FC531=0,0, FF514*(FF490+FF492+FF496))</f>
        <v>#DIV/0!</v>
      </c>
      <c r="FG515" s="808" t="e">
        <f t="shared" ref="FG515:FJ516" ca="1" si="84">FC515/$FC$111</f>
        <v>#DIV/0!</v>
      </c>
      <c r="FH515" s="808" t="e">
        <f t="shared" ca="1" si="84"/>
        <v>#DIV/0!</v>
      </c>
      <c r="FI515" s="808" t="e">
        <f t="shared" ca="1" si="84"/>
        <v>#DIV/0!</v>
      </c>
      <c r="FJ515" s="808" t="e">
        <f t="shared" ca="1" si="84"/>
        <v>#DIV/0!</v>
      </c>
    </row>
    <row r="516" spans="27:167" ht="20">
      <c r="AA516" s="803" t="s">
        <v>1009</v>
      </c>
      <c r="AB516" s="803"/>
      <c r="AC516" s="813" t="e">
        <f ca="1">AC518+AC520+AC522</f>
        <v>#DIV/0!</v>
      </c>
      <c r="AD516" s="813" t="e">
        <f ca="1">AD518+AD520+AD522</f>
        <v>#DIV/0!</v>
      </c>
      <c r="AE516" s="813" t="e">
        <f ca="1">AE518+AE520+AE522</f>
        <v>#DIV/0!</v>
      </c>
      <c r="AF516" s="813" t="e">
        <f ca="1">AF518+AF520+AF522</f>
        <v>#DIV/0!</v>
      </c>
      <c r="AG516" s="819" t="e">
        <f ca="1">AC516/$AC$111</f>
        <v>#DIV/0!</v>
      </c>
      <c r="AH516" s="819" t="e">
        <f t="shared" ca="1" si="79"/>
        <v>#DIV/0!</v>
      </c>
      <c r="AI516" s="819" t="e">
        <f t="shared" ca="1" si="79"/>
        <v>#DIV/0!</v>
      </c>
      <c r="AJ516" s="819" t="e">
        <f t="shared" ca="1" si="79"/>
        <v>#DIV/0!</v>
      </c>
      <c r="BA516" s="803" t="s">
        <v>1009</v>
      </c>
      <c r="BB516" s="803"/>
      <c r="BC516" s="813" t="e">
        <f ca="1">BC518+BC520+BC522</f>
        <v>#DIV/0!</v>
      </c>
      <c r="BD516" s="813" t="e">
        <f ca="1">BD518+BD520+BD522</f>
        <v>#DIV/0!</v>
      </c>
      <c r="BE516" s="813" t="e">
        <f ca="1">BE518+BE520+BE522</f>
        <v>#DIV/0!</v>
      </c>
      <c r="BF516" s="813" t="e">
        <f ca="1">BF518+BF520+BF522</f>
        <v>#DIV/0!</v>
      </c>
      <c r="BG516" s="819" t="e">
        <f t="shared" ca="1" si="80"/>
        <v>#DIV/0!</v>
      </c>
      <c r="BH516" s="819" t="e">
        <f t="shared" ca="1" si="80"/>
        <v>#DIV/0!</v>
      </c>
      <c r="BI516" s="819" t="e">
        <f t="shared" ca="1" si="80"/>
        <v>#DIV/0!</v>
      </c>
      <c r="BJ516" s="819" t="e">
        <f t="shared" ca="1" si="80"/>
        <v>#DIV/0!</v>
      </c>
      <c r="CA516" s="803" t="s">
        <v>1009</v>
      </c>
      <c r="CB516" s="803"/>
      <c r="CC516" s="813" t="e">
        <f ca="1">CC518+CC520+CC522</f>
        <v>#DIV/0!</v>
      </c>
      <c r="CD516" s="813" t="e">
        <f ca="1">CD518+CD520+CD522</f>
        <v>#DIV/0!</v>
      </c>
      <c r="CE516" s="813" t="e">
        <f ca="1">CE518+CE520+CE522</f>
        <v>#DIV/0!</v>
      </c>
      <c r="CF516" s="813" t="e">
        <f ca="1">CF518+CF520+CF522</f>
        <v>#DIV/0!</v>
      </c>
      <c r="CG516" s="819" t="e">
        <f t="shared" ca="1" si="81"/>
        <v>#DIV/0!</v>
      </c>
      <c r="CH516" s="819" t="e">
        <f t="shared" ca="1" si="81"/>
        <v>#DIV/0!</v>
      </c>
      <c r="CI516" s="819" t="e">
        <f t="shared" ca="1" si="81"/>
        <v>#DIV/0!</v>
      </c>
      <c r="CJ516" s="819" t="e">
        <f t="shared" ca="1" si="81"/>
        <v>#DIV/0!</v>
      </c>
      <c r="DA516" s="803" t="s">
        <v>1009</v>
      </c>
      <c r="DB516" s="803"/>
      <c r="DC516" s="813" t="e">
        <f ca="1">DC518+DC520+DC522</f>
        <v>#DIV/0!</v>
      </c>
      <c r="DD516" s="813" t="e">
        <f ca="1">DD518+DD520+DD522</f>
        <v>#DIV/0!</v>
      </c>
      <c r="DE516" s="813" t="e">
        <f ca="1">DE518+DE520+DE522</f>
        <v>#DIV/0!</v>
      </c>
      <c r="DF516" s="813" t="e">
        <f ca="1">DF518+DF520+DF522</f>
        <v>#DIV/0!</v>
      </c>
      <c r="DG516" s="819" t="e">
        <f t="shared" ca="1" si="82"/>
        <v>#DIV/0!</v>
      </c>
      <c r="DH516" s="819" t="e">
        <f t="shared" ca="1" si="82"/>
        <v>#DIV/0!</v>
      </c>
      <c r="DI516" s="819" t="e">
        <f t="shared" ca="1" si="82"/>
        <v>#DIV/0!</v>
      </c>
      <c r="DJ516" s="819" t="e">
        <f t="shared" ca="1" si="82"/>
        <v>#DIV/0!</v>
      </c>
      <c r="EA516" s="803" t="s">
        <v>1009</v>
      </c>
      <c r="EB516" s="803"/>
      <c r="EC516" s="813" t="e">
        <f ca="1">EC518+EC520+EC522</f>
        <v>#DIV/0!</v>
      </c>
      <c r="ED516" s="813" t="e">
        <f ca="1">ED518+ED520+ED522</f>
        <v>#DIV/0!</v>
      </c>
      <c r="EE516" s="813" t="e">
        <f ca="1">EE518+EE520+EE522</f>
        <v>#DIV/0!</v>
      </c>
      <c r="EF516" s="813" t="e">
        <f ca="1">EF518+EF520+EF522</f>
        <v>#DIV/0!</v>
      </c>
      <c r="EG516" s="819" t="e">
        <f t="shared" ca="1" si="83"/>
        <v>#DIV/0!</v>
      </c>
      <c r="EH516" s="819" t="e">
        <f t="shared" ca="1" si="83"/>
        <v>#DIV/0!</v>
      </c>
      <c r="EI516" s="819" t="e">
        <f t="shared" ca="1" si="83"/>
        <v>#DIV/0!</v>
      </c>
      <c r="EJ516" s="819" t="e">
        <f t="shared" ca="1" si="83"/>
        <v>#DIV/0!</v>
      </c>
      <c r="FA516" s="803" t="s">
        <v>1009</v>
      </c>
      <c r="FB516" s="803"/>
      <c r="FC516" s="813" t="e">
        <f ca="1">FC518+FC520+FC522</f>
        <v>#DIV/0!</v>
      </c>
      <c r="FD516" s="813" t="e">
        <f ca="1">FD518+FD520+FD522</f>
        <v>#DIV/0!</v>
      </c>
      <c r="FE516" s="813" t="e">
        <f ca="1">FE518+FE520+FE522</f>
        <v>#DIV/0!</v>
      </c>
      <c r="FF516" s="813" t="e">
        <f ca="1">FF518+FF520+FF522</f>
        <v>#DIV/0!</v>
      </c>
      <c r="FG516" s="819" t="e">
        <f t="shared" ca="1" si="84"/>
        <v>#DIV/0!</v>
      </c>
      <c r="FH516" s="819" t="e">
        <f t="shared" ca="1" si="84"/>
        <v>#DIV/0!</v>
      </c>
      <c r="FI516" s="819" t="e">
        <f t="shared" ca="1" si="84"/>
        <v>#DIV/0!</v>
      </c>
      <c r="FJ516" s="819" t="e">
        <f t="shared" ca="1" si="84"/>
        <v>#DIV/0!</v>
      </c>
    </row>
    <row r="517" spans="27:167">
      <c r="AA517" t="s">
        <v>1010</v>
      </c>
      <c r="AC517" s="807">
        <v>0.15</v>
      </c>
      <c r="AD517" s="807">
        <v>0.15</v>
      </c>
      <c r="AE517" s="807">
        <v>0.15</v>
      </c>
      <c r="AF517" s="807">
        <v>0.15</v>
      </c>
      <c r="AG517" s="819" t="e">
        <f ca="1">AC526/$AC111</f>
        <v>#DIV/0!</v>
      </c>
      <c r="AH517" s="819" t="e">
        <f ca="1">AD526/$AC111</f>
        <v>#DIV/0!</v>
      </c>
      <c r="AI517" s="819" t="e">
        <f ca="1">AE526/$AC111</f>
        <v>#DIV/0!</v>
      </c>
      <c r="AJ517" s="819" t="e">
        <f ca="1">AF526/$AC111</f>
        <v>#DIV/0!</v>
      </c>
      <c r="AK517" t="s">
        <v>294</v>
      </c>
      <c r="BA517" t="s">
        <v>1010</v>
      </c>
      <c r="BC517" s="807">
        <v>0.15</v>
      </c>
      <c r="BD517" s="807">
        <v>0.15</v>
      </c>
      <c r="BE517" s="807">
        <v>0.15</v>
      </c>
      <c r="BF517" s="807">
        <v>0.15</v>
      </c>
      <c r="BG517" s="819" t="e">
        <f ca="1">BC526/$CC111</f>
        <v>#DIV/0!</v>
      </c>
      <c r="BH517" s="819" t="e">
        <f ca="1">BD526/$CC111</f>
        <v>#DIV/0!</v>
      </c>
      <c r="BI517" s="819" t="e">
        <f ca="1">BE526/$CC111</f>
        <v>#DIV/0!</v>
      </c>
      <c r="BJ517" s="819" t="e">
        <f ca="1">BF526/$CC111</f>
        <v>#DIV/0!</v>
      </c>
      <c r="BK517" t="s">
        <v>294</v>
      </c>
      <c r="CA517" t="s">
        <v>1010</v>
      </c>
      <c r="CC517" s="807">
        <v>0.15</v>
      </c>
      <c r="CD517" s="807">
        <v>0.15</v>
      </c>
      <c r="CE517" s="807">
        <v>0.15</v>
      </c>
      <c r="CF517" s="807">
        <v>0.15</v>
      </c>
      <c r="CG517" s="819" t="e">
        <f ca="1">CC526/$CC111</f>
        <v>#DIV/0!</v>
      </c>
      <c r="CH517" s="819" t="e">
        <f ca="1">CD526/$CC111</f>
        <v>#DIV/0!</v>
      </c>
      <c r="CI517" s="819" t="e">
        <f ca="1">CE526/$CC111</f>
        <v>#DIV/0!</v>
      </c>
      <c r="CJ517" s="819" t="e">
        <f ca="1">CF526/$CC111</f>
        <v>#DIV/0!</v>
      </c>
      <c r="CK517" t="s">
        <v>294</v>
      </c>
      <c r="DA517" t="s">
        <v>1010</v>
      </c>
      <c r="DC517" s="807">
        <v>0.15</v>
      </c>
      <c r="DD517" s="807">
        <v>0.15</v>
      </c>
      <c r="DE517" s="807">
        <v>0.15</v>
      </c>
      <c r="DF517" s="807">
        <v>0.15</v>
      </c>
      <c r="DG517" s="819" t="e">
        <f ca="1">DC526/$DC111</f>
        <v>#DIV/0!</v>
      </c>
      <c r="DH517" s="819" t="e">
        <f ca="1">DD526/$DC111</f>
        <v>#DIV/0!</v>
      </c>
      <c r="DI517" s="819" t="e">
        <f ca="1">DE526/$DC111</f>
        <v>#DIV/0!</v>
      </c>
      <c r="DJ517" s="819" t="e">
        <f ca="1">DF526/$DC111</f>
        <v>#DIV/0!</v>
      </c>
      <c r="DK517" t="s">
        <v>294</v>
      </c>
      <c r="EA517" t="s">
        <v>1010</v>
      </c>
      <c r="EC517" s="807">
        <v>0.15</v>
      </c>
      <c r="ED517" s="807">
        <v>0.15</v>
      </c>
      <c r="EE517" s="807">
        <v>0.15</v>
      </c>
      <c r="EF517" s="807">
        <v>0.15</v>
      </c>
      <c r="EG517" s="819" t="e">
        <f ca="1">EC526/$EC111</f>
        <v>#DIV/0!</v>
      </c>
      <c r="EH517" s="819" t="e">
        <f ca="1">ED526/$EC111</f>
        <v>#DIV/0!</v>
      </c>
      <c r="EI517" s="819" t="e">
        <f ca="1">EE526/$EC111</f>
        <v>#DIV/0!</v>
      </c>
      <c r="EJ517" s="819" t="e">
        <f ca="1">EF526/$EC111</f>
        <v>#DIV/0!</v>
      </c>
      <c r="EK517" t="s">
        <v>294</v>
      </c>
      <c r="FA517" t="s">
        <v>1010</v>
      </c>
      <c r="FC517" s="807">
        <v>0.15</v>
      </c>
      <c r="FD517" s="807">
        <v>0.15</v>
      </c>
      <c r="FE517" s="807">
        <v>0.15</v>
      </c>
      <c r="FF517" s="807">
        <v>0.15</v>
      </c>
      <c r="FG517" s="819" t="e">
        <f ca="1">FC526/$FC111</f>
        <v>#DIV/0!</v>
      </c>
      <c r="FH517" s="819" t="e">
        <f ca="1">FD526/$FC111</f>
        <v>#DIV/0!</v>
      </c>
      <c r="FI517" s="819" t="e">
        <f ca="1">FE526/$FC111</f>
        <v>#DIV/0!</v>
      </c>
      <c r="FJ517" s="819" t="e">
        <f ca="1">FF526/$FC111</f>
        <v>#DIV/0!</v>
      </c>
      <c r="FK517" t="s">
        <v>294</v>
      </c>
    </row>
    <row r="518" spans="27:167">
      <c r="AB518" s="807"/>
      <c r="AC518" s="816" t="e">
        <f ca="1">IF(AC531=0, 0, AC517*(AC490+AC492+AC496))</f>
        <v>#DIV/0!</v>
      </c>
      <c r="AD518" s="816" t="e">
        <f ca="1">IF(AC531=0, 0, AD517*(AD490+AD492+AD496))</f>
        <v>#DIV/0!</v>
      </c>
      <c r="AE518" s="816" t="e">
        <f ca="1">IF(AC531=0, 0, AE517*(AE490+AE492+AE496))</f>
        <v>#DIV/0!</v>
      </c>
      <c r="AF518" s="816" t="e">
        <f ca="1">IF(AC531=0, 0, AF517*(AF490+AF492+AF496))</f>
        <v>#DIV/0!</v>
      </c>
      <c r="BB518" s="807"/>
      <c r="BC518" s="816" t="e">
        <f ca="1">IF(BC531=0, 0, BC517*(BC490+BC492+BC496))</f>
        <v>#DIV/0!</v>
      </c>
      <c r="BD518" s="816" t="e">
        <f ca="1">IF(BC531=0, 0, BD517*(BD490+BD492+BD496))</f>
        <v>#DIV/0!</v>
      </c>
      <c r="BE518" s="816" t="e">
        <f ca="1">IF(BC531=0, 0, BE517*(BE490+BE492+BE496))</f>
        <v>#DIV/0!</v>
      </c>
      <c r="BF518" s="816" t="e">
        <f ca="1">IF(BC531=0, 0, BF517*(BF490+BF492+BF496))</f>
        <v>#DIV/0!</v>
      </c>
      <c r="CB518" s="807"/>
      <c r="CC518" s="816" t="e">
        <f ca="1">IF(CC531=0, 0, CC517*(CC490+CC492+CC496))</f>
        <v>#DIV/0!</v>
      </c>
      <c r="CD518" s="816" t="e">
        <f ca="1">IF(CC531=0, 0, CD517*(CD490+CD492+CD496))</f>
        <v>#DIV/0!</v>
      </c>
      <c r="CE518" s="816" t="e">
        <f ca="1">IF(CC531=0, 0, CE517*(CE490+CE492+CE496))</f>
        <v>#DIV/0!</v>
      </c>
      <c r="CF518" s="816" t="e">
        <f ca="1">IF(CC531=0, 0, CF517*(CF490+CF492+CF496))</f>
        <v>#DIV/0!</v>
      </c>
      <c r="DB518" s="807"/>
      <c r="DC518" s="816" t="e">
        <f ca="1">IF(DC531=0, 0, DC517*(DC490+DC492+DC496))</f>
        <v>#DIV/0!</v>
      </c>
      <c r="DD518" s="816" t="e">
        <f ca="1">IF(DC531=0, 0, DD517*(DD490+DD492+DD496))</f>
        <v>#DIV/0!</v>
      </c>
      <c r="DE518" s="816" t="e">
        <f ca="1">IF(DC531=0, 0, DE517*(DE490+DE492+DE496))</f>
        <v>#DIV/0!</v>
      </c>
      <c r="DF518" s="816" t="e">
        <f ca="1">IF(DC531=0, 0, DF517*(DF490+DF492+DF496))</f>
        <v>#DIV/0!</v>
      </c>
      <c r="EB518" s="807"/>
      <c r="EC518" s="816" t="e">
        <f ca="1">IF(EC531=0, 0, EC517*(EC490+EC492+EC496))</f>
        <v>#DIV/0!</v>
      </c>
      <c r="ED518" s="816" t="e">
        <f ca="1">IF(EC531=0, 0, ED517*(ED490+ED492+ED496))</f>
        <v>#DIV/0!</v>
      </c>
      <c r="EE518" s="816" t="e">
        <f ca="1">IF(EC531=0, 0, EE517*(EE490+EE492+EE496))</f>
        <v>#DIV/0!</v>
      </c>
      <c r="EF518" s="816" t="e">
        <f ca="1">IF(EC531=0, 0, EF517*(EF490+EF492+EF496))</f>
        <v>#DIV/0!</v>
      </c>
      <c r="FB518" s="807"/>
      <c r="FC518" s="816" t="e">
        <f ca="1">IF(FC531=0, 0, FC517*(FC490+FC492+FC496))</f>
        <v>#DIV/0!</v>
      </c>
      <c r="FD518" s="816" t="e">
        <f ca="1">IF(FC531=0, 0, FD517*(FD490+FD492+FD496))</f>
        <v>#DIV/0!</v>
      </c>
      <c r="FE518" s="816" t="e">
        <f ca="1">IF(FC531=0, 0, FE517*(FE490+FE492+FE496))</f>
        <v>#DIV/0!</v>
      </c>
      <c r="FF518" s="816" t="e">
        <f ca="1">IF(FC531=0, 0, FF517*(FF490+FF492+FF496))</f>
        <v>#DIV/0!</v>
      </c>
    </row>
    <row r="519" spans="27:167">
      <c r="AA519" t="s">
        <v>1011</v>
      </c>
      <c r="AC519" s="807">
        <v>0.06</v>
      </c>
      <c r="AD519" s="807">
        <v>0.06</v>
      </c>
      <c r="AE519" s="807">
        <v>0.06</v>
      </c>
      <c r="AF519" s="807">
        <v>0.06</v>
      </c>
      <c r="BA519" t="s">
        <v>1011</v>
      </c>
      <c r="BC519" s="807">
        <v>0.06</v>
      </c>
      <c r="BD519" s="807">
        <v>0.06</v>
      </c>
      <c r="BE519" s="807">
        <v>0.06</v>
      </c>
      <c r="BF519" s="807">
        <v>0.06</v>
      </c>
      <c r="CA519" t="s">
        <v>1011</v>
      </c>
      <c r="CC519" s="807">
        <v>0.06</v>
      </c>
      <c r="CD519" s="807">
        <v>0.06</v>
      </c>
      <c r="CE519" s="807">
        <v>0.06</v>
      </c>
      <c r="CF519" s="807">
        <v>0.06</v>
      </c>
      <c r="DA519" t="s">
        <v>1011</v>
      </c>
      <c r="DC519" s="807">
        <v>0.06</v>
      </c>
      <c r="DD519" s="807">
        <v>0.06</v>
      </c>
      <c r="DE519" s="807">
        <v>0.06</v>
      </c>
      <c r="DF519" s="807">
        <v>0.06</v>
      </c>
      <c r="EA519" t="s">
        <v>1011</v>
      </c>
      <c r="EC519" s="807">
        <v>0.06</v>
      </c>
      <c r="ED519" s="807">
        <v>0.06</v>
      </c>
      <c r="EE519" s="807">
        <v>0.06</v>
      </c>
      <c r="EF519" s="807">
        <v>0.06</v>
      </c>
      <c r="FA519" t="s">
        <v>1011</v>
      </c>
      <c r="FC519" s="807">
        <v>0.06</v>
      </c>
      <c r="FD519" s="807">
        <v>0.06</v>
      </c>
      <c r="FE519" s="807">
        <v>0.06</v>
      </c>
      <c r="FF519" s="807">
        <v>0.06</v>
      </c>
    </row>
    <row r="520" spans="27:167">
      <c r="AB520" s="807"/>
      <c r="AC520" s="816" t="e">
        <f ca="1">IF(AC531=0,0, AC519*AC524)</f>
        <v>#DIV/0!</v>
      </c>
      <c r="AD520" s="816" t="e">
        <f ca="1">IF(AC531=0,0, AD519*AD524)</f>
        <v>#DIV/0!</v>
      </c>
      <c r="AE520" s="816" t="e">
        <f ca="1">IF(AC531=0,0, AE519*AE524)</f>
        <v>#DIV/0!</v>
      </c>
      <c r="AF520" s="816" t="e">
        <f ca="1">IF(AC531=0,0, AF519*AF524)</f>
        <v>#DIV/0!</v>
      </c>
      <c r="BB520" s="807"/>
      <c r="BC520" s="816" t="e">
        <f ca="1">IF(BC531=0,0, BC519*BC524)</f>
        <v>#DIV/0!</v>
      </c>
      <c r="BD520" s="816" t="e">
        <f ca="1">IF(BC531=0,0, BD519*BD524)</f>
        <v>#DIV/0!</v>
      </c>
      <c r="BE520" s="816" t="e">
        <f ca="1">IF(BC531=0,0, BE519*BE524)</f>
        <v>#DIV/0!</v>
      </c>
      <c r="BF520" s="816" t="e">
        <f ca="1">IF(BC531=0,0, BF519*BF524)</f>
        <v>#DIV/0!</v>
      </c>
      <c r="CB520" s="807"/>
      <c r="CC520" s="816" t="e">
        <f ca="1">IF(CC531=0,0, CC519*CC524)</f>
        <v>#DIV/0!</v>
      </c>
      <c r="CD520" s="816" t="e">
        <f ca="1">IF(CC531=0,0, CD519*CD524)</f>
        <v>#DIV/0!</v>
      </c>
      <c r="CE520" s="816" t="e">
        <f ca="1">IF(CC531=0,0, CE519*CE524)</f>
        <v>#DIV/0!</v>
      </c>
      <c r="CF520" s="816" t="e">
        <f ca="1">IF(CC531=0,0, CF519*CF524)</f>
        <v>#DIV/0!</v>
      </c>
      <c r="DB520" s="807"/>
      <c r="DC520" s="816" t="e">
        <f ca="1">IF(DC531=0,0, DC519*DC524)</f>
        <v>#DIV/0!</v>
      </c>
      <c r="DD520" s="816" t="e">
        <f ca="1">IF(DC531=0,0, DD519*DD524)</f>
        <v>#DIV/0!</v>
      </c>
      <c r="DE520" s="816" t="e">
        <f ca="1">IF(DC531=0,0, DE519*DE524)</f>
        <v>#DIV/0!</v>
      </c>
      <c r="DF520" s="816" t="e">
        <f ca="1">IF(DC531=0,0, DF519*DF524)</f>
        <v>#DIV/0!</v>
      </c>
      <c r="EB520" s="807"/>
      <c r="EC520" s="816" t="e">
        <f ca="1">IF(EC531=0,0, EC519*EC524)</f>
        <v>#DIV/0!</v>
      </c>
      <c r="ED520" s="816" t="e">
        <f ca="1">IF(EC531=0,0, ED519*ED524)</f>
        <v>#DIV/0!</v>
      </c>
      <c r="EE520" s="816" t="e">
        <f ca="1">IF(EC531=0,0, EE519*EE524)</f>
        <v>#DIV/0!</v>
      </c>
      <c r="EF520" s="816" t="e">
        <f ca="1">IF(EC531=0,0, EF519*EF524)</f>
        <v>#DIV/0!</v>
      </c>
      <c r="FB520" s="807"/>
      <c r="FC520" s="816" t="e">
        <f ca="1">IF(FC531=0,0, FC519*FC524)</f>
        <v>#DIV/0!</v>
      </c>
      <c r="FD520" s="816" t="e">
        <f ca="1">IF(FC531=0,0, FD519*FD524)</f>
        <v>#DIV/0!</v>
      </c>
      <c r="FE520" s="816" t="e">
        <f ca="1">IF(FC531=0,0, FE519*FE524)</f>
        <v>#DIV/0!</v>
      </c>
      <c r="FF520" s="816" t="e">
        <f ca="1">IF(FC531=0,0, FF519*FF524)</f>
        <v>#DIV/0!</v>
      </c>
    </row>
    <row r="521" spans="27:167">
      <c r="AA521" t="s">
        <v>1012</v>
      </c>
      <c r="AC521" s="807">
        <v>0.05</v>
      </c>
      <c r="AD521" s="807">
        <v>0.05</v>
      </c>
      <c r="AE521" s="807">
        <v>0.05</v>
      </c>
      <c r="AF521" s="807">
        <v>0.05</v>
      </c>
      <c r="BA521" t="s">
        <v>1012</v>
      </c>
      <c r="BC521" s="807">
        <v>0.05</v>
      </c>
      <c r="BD521" s="807">
        <v>0.05</v>
      </c>
      <c r="BE521" s="807">
        <v>0.05</v>
      </c>
      <c r="BF521" s="807">
        <v>0.05</v>
      </c>
      <c r="CA521" t="s">
        <v>1012</v>
      </c>
      <c r="CC521" s="807">
        <v>0.05</v>
      </c>
      <c r="CD521" s="807">
        <v>0.05</v>
      </c>
      <c r="CE521" s="807">
        <v>0.05</v>
      </c>
      <c r="CF521" s="807">
        <v>0.05</v>
      </c>
      <c r="DA521" t="s">
        <v>1012</v>
      </c>
      <c r="DC521" s="807">
        <v>0.05</v>
      </c>
      <c r="DD521" s="807">
        <v>0.05</v>
      </c>
      <c r="DE521" s="807">
        <v>0.05</v>
      </c>
      <c r="DF521" s="807">
        <v>0.05</v>
      </c>
      <c r="EA521" t="s">
        <v>1012</v>
      </c>
      <c r="EC521" s="807">
        <v>0.05</v>
      </c>
      <c r="ED521" s="807">
        <v>0.05</v>
      </c>
      <c r="EE521" s="807">
        <v>0.05</v>
      </c>
      <c r="EF521" s="807">
        <v>0.05</v>
      </c>
      <c r="FA521" t="s">
        <v>1012</v>
      </c>
      <c r="FC521" s="807">
        <v>0.05</v>
      </c>
      <c r="FD521" s="807">
        <v>0.05</v>
      </c>
      <c r="FE521" s="807">
        <v>0.05</v>
      </c>
      <c r="FF521" s="807">
        <v>0.05</v>
      </c>
    </row>
    <row r="522" spans="27:167">
      <c r="AB522" s="807"/>
      <c r="AC522" s="816" t="e">
        <f ca="1">IF(AC531=0,0, AC521*AC524)</f>
        <v>#DIV/0!</v>
      </c>
      <c r="AD522" s="816" t="e">
        <f ca="1">IF(AC531=0,0, AD521*AD524)</f>
        <v>#DIV/0!</v>
      </c>
      <c r="AE522" s="816" t="e">
        <f ca="1">IF(AC531=0,0, AE521*AE524)</f>
        <v>#DIV/0!</v>
      </c>
      <c r="AF522" s="816" t="e">
        <f ca="1">IF(AC531=0,0, AF521*AF524)</f>
        <v>#DIV/0!</v>
      </c>
      <c r="BB522" s="807"/>
      <c r="BC522" s="816" t="e">
        <f ca="1">IF(BC531=0,0, BC521*BC524)</f>
        <v>#DIV/0!</v>
      </c>
      <c r="BD522" s="816" t="e">
        <f ca="1">IF(BC531=0,0, BD521*BD524)</f>
        <v>#DIV/0!</v>
      </c>
      <c r="BE522" s="816" t="e">
        <f ca="1">IF(BC531=0,0, BE521*BE524)</f>
        <v>#DIV/0!</v>
      </c>
      <c r="BF522" s="816" t="e">
        <f ca="1">IF(BC531=0,0, BF521*BF524)</f>
        <v>#DIV/0!</v>
      </c>
      <c r="CB522" s="807"/>
      <c r="CC522" s="816" t="e">
        <f ca="1">IF(CC531=0,0, CC521*CC524)</f>
        <v>#DIV/0!</v>
      </c>
      <c r="CD522" s="816" t="e">
        <f ca="1">IF(CC531=0,0, CD521*CD524)</f>
        <v>#DIV/0!</v>
      </c>
      <c r="CE522" s="816" t="e">
        <f ca="1">IF(CC531=0,0, CE521*CE524)</f>
        <v>#DIV/0!</v>
      </c>
      <c r="CF522" s="816" t="e">
        <f ca="1">IF(CC531=0,0, CF521*CF524)</f>
        <v>#DIV/0!</v>
      </c>
      <c r="DB522" s="807"/>
      <c r="DC522" s="816" t="e">
        <f ca="1">IF(DC531=0,0, DC521*DC524)</f>
        <v>#DIV/0!</v>
      </c>
      <c r="DD522" s="816" t="e">
        <f ca="1">IF(DC531=0,0, DD521*DD524)</f>
        <v>#DIV/0!</v>
      </c>
      <c r="DE522" s="816" t="e">
        <f ca="1">IF(DC531=0,0, DE521*DE524)</f>
        <v>#DIV/0!</v>
      </c>
      <c r="DF522" s="816" t="e">
        <f ca="1">IF(DC531=0,0, DF521*DF524)</f>
        <v>#DIV/0!</v>
      </c>
      <c r="EB522" s="807"/>
      <c r="EC522" s="816" t="e">
        <f ca="1">IF(EC531=0,0, EC521*EC524)</f>
        <v>#DIV/0!</v>
      </c>
      <c r="ED522" s="816" t="e">
        <f ca="1">IF(EC531=0,0, ED521*ED524)</f>
        <v>#DIV/0!</v>
      </c>
      <c r="EE522" s="816" t="e">
        <f ca="1">IF(EC531=0,0, EE521*EE524)</f>
        <v>#DIV/0!</v>
      </c>
      <c r="EF522" s="816" t="e">
        <f ca="1">IF(EC531=0,0, EF521*EF524)</f>
        <v>#DIV/0!</v>
      </c>
      <c r="FB522" s="807"/>
      <c r="FC522" s="816" t="e">
        <f ca="1">IF(FC531=0,0, FC521*FC524)</f>
        <v>#DIV/0!</v>
      </c>
      <c r="FD522" s="816" t="e">
        <f ca="1">IF(FC531=0,0, FD521*FD524)</f>
        <v>#DIV/0!</v>
      </c>
      <c r="FE522" s="816" t="e">
        <f ca="1">IF(FC531=0,0, FE521*FE524)</f>
        <v>#DIV/0!</v>
      </c>
      <c r="FF522" s="816" t="e">
        <f ca="1">IF(FC531=0,0, FF521*FF524)</f>
        <v>#DIV/0!</v>
      </c>
    </row>
    <row r="523" spans="27:167">
      <c r="AB523" s="764"/>
      <c r="AC523" s="808"/>
      <c r="BB523" s="764"/>
      <c r="BC523" s="808"/>
      <c r="CB523" s="764"/>
      <c r="CC523" s="808"/>
      <c r="DB523" s="764"/>
      <c r="DC523" s="808"/>
      <c r="EB523" s="764"/>
      <c r="EC523" s="808"/>
      <c r="FB523" s="764"/>
      <c r="FC523" s="808"/>
    </row>
    <row r="524" spans="27:167" ht="20">
      <c r="AA524" s="803" t="s">
        <v>1013</v>
      </c>
      <c r="AB524" s="803"/>
      <c r="AC524" s="813" t="e">
        <f ca="1">AC485+AC516</f>
        <v>#DIV/0!</v>
      </c>
      <c r="AD524" s="813" t="e">
        <f ca="1">AD485+AD516</f>
        <v>#DIV/0!</v>
      </c>
      <c r="AE524" s="813" t="e">
        <f ca="1">AE485+AE516</f>
        <v>#DIV/0!</v>
      </c>
      <c r="AF524" s="813" t="e">
        <f ca="1">AF485+AF516</f>
        <v>#DIV/0!</v>
      </c>
      <c r="BA524" s="803" t="s">
        <v>1013</v>
      </c>
      <c r="BB524" s="803"/>
      <c r="BC524" s="813" t="e">
        <f ca="1">BC485+BC516</f>
        <v>#DIV/0!</v>
      </c>
      <c r="BD524" s="813" t="e">
        <f ca="1">BD485+BD516</f>
        <v>#DIV/0!</v>
      </c>
      <c r="BE524" s="813" t="e">
        <f ca="1">BE485+BE516</f>
        <v>#DIV/0!</v>
      </c>
      <c r="BF524" s="813" t="e">
        <f ca="1">BF485+BF516</f>
        <v>#DIV/0!</v>
      </c>
      <c r="CA524" s="803" t="s">
        <v>1013</v>
      </c>
      <c r="CB524" s="803"/>
      <c r="CC524" s="813" t="e">
        <f ca="1">CC485+CC516</f>
        <v>#DIV/0!</v>
      </c>
      <c r="CD524" s="813" t="e">
        <f ca="1">CD485+CD516</f>
        <v>#DIV/0!</v>
      </c>
      <c r="CE524" s="813" t="e">
        <f ca="1">CE485+CE516</f>
        <v>#DIV/0!</v>
      </c>
      <c r="CF524" s="813" t="e">
        <f ca="1">CF485+CF516</f>
        <v>#DIV/0!</v>
      </c>
      <c r="DA524" s="803" t="s">
        <v>1013</v>
      </c>
      <c r="DB524" s="803"/>
      <c r="DC524" s="813" t="e">
        <f ca="1">DC485+DC516</f>
        <v>#DIV/0!</v>
      </c>
      <c r="DD524" s="813" t="e">
        <f ca="1">DD485+DD516</f>
        <v>#DIV/0!</v>
      </c>
      <c r="DE524" s="813" t="e">
        <f ca="1">DE485+DE516</f>
        <v>#DIV/0!</v>
      </c>
      <c r="DF524" s="813" t="e">
        <f ca="1">DF485+DF516</f>
        <v>#DIV/0!</v>
      </c>
      <c r="EA524" s="803" t="s">
        <v>1013</v>
      </c>
      <c r="EB524" s="803"/>
      <c r="EC524" s="813" t="e">
        <f ca="1">EC485+EC516</f>
        <v>#DIV/0!</v>
      </c>
      <c r="ED524" s="813" t="e">
        <f ca="1">ED485+ED516</f>
        <v>#DIV/0!</v>
      </c>
      <c r="EE524" s="813" t="e">
        <f ca="1">EE485+EE516</f>
        <v>#DIV/0!</v>
      </c>
      <c r="EF524" s="813" t="e">
        <f ca="1">EF485+EF516</f>
        <v>#DIV/0!</v>
      </c>
      <c r="FA524" s="803" t="s">
        <v>1013</v>
      </c>
      <c r="FB524" s="803"/>
      <c r="FC524" s="813" t="e">
        <f ca="1">FC485+FC516</f>
        <v>#DIV/0!</v>
      </c>
      <c r="FD524" s="813" t="e">
        <f ca="1">FD485+FD516</f>
        <v>#DIV/0!</v>
      </c>
      <c r="FE524" s="813" t="e">
        <f ca="1">FE485+FE516</f>
        <v>#DIV/0!</v>
      </c>
      <c r="FF524" s="813" t="e">
        <f ca="1">FF485+FF516</f>
        <v>#DIV/0!</v>
      </c>
    </row>
    <row r="525" spans="27:167" ht="15" customHeight="1">
      <c r="AA525" t="s">
        <v>1429</v>
      </c>
      <c r="AC525" s="807">
        <v>0.05</v>
      </c>
      <c r="AD525" s="807">
        <v>0.05</v>
      </c>
      <c r="AE525" s="807">
        <v>0.05</v>
      </c>
      <c r="AF525" s="807">
        <v>0.05</v>
      </c>
      <c r="BA525" t="s">
        <v>1429</v>
      </c>
      <c r="BC525" s="807">
        <v>0.05</v>
      </c>
      <c r="BD525" s="807">
        <v>0.05</v>
      </c>
      <c r="BE525" s="807">
        <v>0.05</v>
      </c>
      <c r="BF525" s="807">
        <v>0.05</v>
      </c>
      <c r="CA525" t="s">
        <v>1429</v>
      </c>
      <c r="CC525" s="807">
        <v>0.05</v>
      </c>
      <c r="CD525" s="807">
        <v>0.05</v>
      </c>
      <c r="CE525" s="807">
        <v>0.05</v>
      </c>
      <c r="CF525" s="807">
        <v>0.05</v>
      </c>
      <c r="DA525" t="s">
        <v>1429</v>
      </c>
      <c r="DC525" s="807">
        <v>0.05</v>
      </c>
      <c r="DD525" s="807">
        <v>0.05</v>
      </c>
      <c r="DE525" s="807">
        <v>0.05</v>
      </c>
      <c r="DF525" s="807">
        <v>0.05</v>
      </c>
      <c r="EA525" t="s">
        <v>1429</v>
      </c>
      <c r="EC525" s="807">
        <v>0.05</v>
      </c>
      <c r="ED525" s="807">
        <v>0.05</v>
      </c>
      <c r="EE525" s="807">
        <v>0.05</v>
      </c>
      <c r="EF525" s="807">
        <v>0.05</v>
      </c>
      <c r="FA525" t="s">
        <v>1429</v>
      </c>
      <c r="FC525" s="807">
        <v>0.05</v>
      </c>
      <c r="FD525" s="807">
        <v>0.05</v>
      </c>
      <c r="FE525" s="807">
        <v>0.05</v>
      </c>
      <c r="FF525" s="807">
        <v>0.05</v>
      </c>
    </row>
    <row r="526" spans="27:167">
      <c r="AA526" t="s">
        <v>1428</v>
      </c>
      <c r="AC526" s="818" t="e">
        <f ca="1">$AC$483*AC525</f>
        <v>#DIV/0!</v>
      </c>
      <c r="AD526" s="818" t="e">
        <f ca="1">$AC$483*AD525</f>
        <v>#DIV/0!</v>
      </c>
      <c r="AE526" s="818" t="e">
        <f ca="1">$AC$483*AE525</f>
        <v>#DIV/0!</v>
      </c>
      <c r="AF526" s="818" t="e">
        <f ca="1">$AC$483*AF525</f>
        <v>#DIV/0!</v>
      </c>
      <c r="BA526" t="s">
        <v>1428</v>
      </c>
      <c r="BC526" s="818" t="e">
        <f ca="1">$CC$483*BC525</f>
        <v>#DIV/0!</v>
      </c>
      <c r="BD526" s="818" t="e">
        <f ca="1">$CC$483*BD525</f>
        <v>#DIV/0!</v>
      </c>
      <c r="BE526" s="818" t="e">
        <f ca="1">$CC$483*BE525</f>
        <v>#DIV/0!</v>
      </c>
      <c r="BF526" s="818" t="e">
        <f ca="1">$CC$483*BF525</f>
        <v>#DIV/0!</v>
      </c>
      <c r="CA526" t="s">
        <v>1428</v>
      </c>
      <c r="CC526" s="818" t="e">
        <f ca="1">$CC$483*CC525</f>
        <v>#DIV/0!</v>
      </c>
      <c r="CD526" s="818" t="e">
        <f ca="1">$CC$483*CD525</f>
        <v>#DIV/0!</v>
      </c>
      <c r="CE526" s="818" t="e">
        <f ca="1">$CC$483*CE525</f>
        <v>#DIV/0!</v>
      </c>
      <c r="CF526" s="818" t="e">
        <f ca="1">$CC$483*CF525</f>
        <v>#DIV/0!</v>
      </c>
      <c r="DA526" t="s">
        <v>1428</v>
      </c>
      <c r="DC526" s="818" t="e">
        <f ca="1">$DC$483*DC525</f>
        <v>#DIV/0!</v>
      </c>
      <c r="DD526" s="818" t="e">
        <f ca="1">$DC$483*DD525</f>
        <v>#DIV/0!</v>
      </c>
      <c r="DE526" s="818" t="e">
        <f ca="1">$DC$483*DE525</f>
        <v>#DIV/0!</v>
      </c>
      <c r="DF526" s="818" t="e">
        <f ca="1">$DC$483*DF525</f>
        <v>#DIV/0!</v>
      </c>
      <c r="EA526" t="s">
        <v>1428</v>
      </c>
      <c r="EC526" s="818" t="e">
        <f ca="1">$EC$483*EC525</f>
        <v>#DIV/0!</v>
      </c>
      <c r="ED526" s="818" t="e">
        <f ca="1">$EC$483*ED525</f>
        <v>#DIV/0!</v>
      </c>
      <c r="EE526" s="818" t="e">
        <f ca="1">$EC$483*EE525</f>
        <v>#DIV/0!</v>
      </c>
      <c r="EF526" s="818" t="e">
        <f ca="1">$EC$483*EF525</f>
        <v>#DIV/0!</v>
      </c>
      <c r="FA526" t="s">
        <v>1428</v>
      </c>
      <c r="FC526" s="818" t="e">
        <f ca="1">$FC$483*FC525</f>
        <v>#DIV/0!</v>
      </c>
      <c r="FD526" s="818" t="e">
        <f ca="1">$FC$483*FD525</f>
        <v>#DIV/0!</v>
      </c>
      <c r="FE526" s="818" t="e">
        <f ca="1">$FC$483*FE525</f>
        <v>#DIV/0!</v>
      </c>
      <c r="FF526" s="818" t="e">
        <f ca="1">$FC$483*FF525</f>
        <v>#DIV/0!</v>
      </c>
    </row>
    <row r="527" spans="27:167">
      <c r="AA527" t="s">
        <v>1427</v>
      </c>
      <c r="AC527" s="805" t="e">
        <f ca="1">AC524+AC526</f>
        <v>#DIV/0!</v>
      </c>
      <c r="AD527" s="805" t="e">
        <f ca="1">AD524+AD526</f>
        <v>#DIV/0!</v>
      </c>
      <c r="AE527" s="805" t="e">
        <f ca="1">AE524+AE526</f>
        <v>#DIV/0!</v>
      </c>
      <c r="AF527" s="805" t="e">
        <f ca="1">AF524+AF526</f>
        <v>#DIV/0!</v>
      </c>
      <c r="BA527" t="s">
        <v>1427</v>
      </c>
      <c r="BC527" s="805" t="e">
        <f ca="1">BC524+BC526</f>
        <v>#DIV/0!</v>
      </c>
      <c r="BD527" s="805" t="e">
        <f ca="1">BD524+BD526</f>
        <v>#DIV/0!</v>
      </c>
      <c r="BE527" s="805" t="e">
        <f ca="1">BE524+BE526</f>
        <v>#DIV/0!</v>
      </c>
      <c r="BF527" s="805" t="e">
        <f ca="1">BF524+BF526</f>
        <v>#DIV/0!</v>
      </c>
      <c r="CA527" t="s">
        <v>1427</v>
      </c>
      <c r="CC527" s="805" t="e">
        <f ca="1">CC524+CC526</f>
        <v>#DIV/0!</v>
      </c>
      <c r="CD527" s="805" t="e">
        <f ca="1">CD524+CD526</f>
        <v>#DIV/0!</v>
      </c>
      <c r="CE527" s="805" t="e">
        <f ca="1">CE524+CE526</f>
        <v>#DIV/0!</v>
      </c>
      <c r="CF527" s="805" t="e">
        <f ca="1">CF524+CF526</f>
        <v>#DIV/0!</v>
      </c>
      <c r="DA527" t="s">
        <v>1427</v>
      </c>
      <c r="DC527" s="805" t="e">
        <f ca="1">DC524+DC526</f>
        <v>#DIV/0!</v>
      </c>
      <c r="DD527" s="805" t="e">
        <f ca="1">DD524+DD526</f>
        <v>#DIV/0!</v>
      </c>
      <c r="DE527" s="805" t="e">
        <f ca="1">DE524+DE526</f>
        <v>#DIV/0!</v>
      </c>
      <c r="DF527" s="805" t="e">
        <f ca="1">DF524+DF526</f>
        <v>#DIV/0!</v>
      </c>
      <c r="EA527" t="s">
        <v>1427</v>
      </c>
      <c r="EC527" s="805" t="e">
        <f ca="1">EC524+EC526</f>
        <v>#DIV/0!</v>
      </c>
      <c r="ED527" s="805" t="e">
        <f ca="1">ED524+ED526</f>
        <v>#DIV/0!</v>
      </c>
      <c r="EE527" s="805" t="e">
        <f ca="1">EE524+EE526</f>
        <v>#DIV/0!</v>
      </c>
      <c r="EF527" s="805" t="e">
        <f ca="1">EF524+EF526</f>
        <v>#DIV/0!</v>
      </c>
      <c r="FA527" t="s">
        <v>1427</v>
      </c>
      <c r="FC527" s="805" t="e">
        <f ca="1">FC524+FC526</f>
        <v>#DIV/0!</v>
      </c>
      <c r="FD527" s="805" t="e">
        <f ca="1">FD524+FD526</f>
        <v>#DIV/0!</v>
      </c>
      <c r="FE527" s="805" t="e">
        <f ca="1">FE524+FE526</f>
        <v>#DIV/0!</v>
      </c>
      <c r="FF527" s="805" t="e">
        <f ca="1">FF524+FF526</f>
        <v>#DIV/0!</v>
      </c>
    </row>
    <row r="528" spans="27:167">
      <c r="AA528" s="806" t="s">
        <v>1426</v>
      </c>
      <c r="AC528" s="819" t="e">
        <f ca="1">AC527/(AC312*AC103)</f>
        <v>#DIV/0!</v>
      </c>
      <c r="AD528" s="819" t="e">
        <f ca="1">AD527/(AC312*AC103)</f>
        <v>#DIV/0!</v>
      </c>
      <c r="AE528" s="819" t="e">
        <f ca="1">AE527/(AC312*AC103)</f>
        <v>#DIV/0!</v>
      </c>
      <c r="AF528" s="819" t="e">
        <f ca="1">AF527/(AC312*AC103)</f>
        <v>#DIV/0!</v>
      </c>
      <c r="AG528" s="808"/>
      <c r="AH528" s="808" t="e">
        <f ca="1">AD528-AH488+AH486</f>
        <v>#DIV/0!</v>
      </c>
      <c r="BA528" s="806" t="s">
        <v>1426</v>
      </c>
      <c r="BC528" s="819" t="e">
        <f ca="1">BC527/(BC312*BC103)</f>
        <v>#DIV/0!</v>
      </c>
      <c r="BD528" s="819" t="e">
        <f ca="1">BD527/(BC312*BC103)</f>
        <v>#DIV/0!</v>
      </c>
      <c r="BE528" s="819" t="e">
        <f ca="1">BE527/(BC312*BC103)</f>
        <v>#DIV/0!</v>
      </c>
      <c r="BF528" s="819" t="e">
        <f ca="1">BF527/(BC312*BC103)</f>
        <v>#DIV/0!</v>
      </c>
      <c r="CA528" s="806" t="s">
        <v>1426</v>
      </c>
      <c r="CC528" s="819" t="e">
        <f ca="1">CC527/(CC312*CC103)</f>
        <v>#DIV/0!</v>
      </c>
      <c r="CD528" s="819" t="e">
        <f ca="1">CD527/(CC312*CC103)</f>
        <v>#DIV/0!</v>
      </c>
      <c r="CE528" s="819" t="e">
        <f ca="1">CE527/(CC312*CC103)</f>
        <v>#DIV/0!</v>
      </c>
      <c r="CF528" s="819" t="e">
        <f ca="1">CF527/(CC312*CC103)</f>
        <v>#DIV/0!</v>
      </c>
      <c r="DA528" s="806" t="s">
        <v>1426</v>
      </c>
      <c r="DC528" s="819" t="e">
        <f ca="1">DC527/(DC312*DC103)</f>
        <v>#DIV/0!</v>
      </c>
      <c r="DD528" s="819" t="e">
        <f ca="1">DD527/(DC312*DC103)</f>
        <v>#DIV/0!</v>
      </c>
      <c r="DE528" s="819" t="e">
        <f ca="1">DE527/(DC312*DC103)</f>
        <v>#DIV/0!</v>
      </c>
      <c r="DF528" s="819" t="e">
        <f ca="1">DF527/(DC312*DC103)</f>
        <v>#DIV/0!</v>
      </c>
      <c r="EA528" s="806" t="s">
        <v>1426</v>
      </c>
      <c r="EC528" s="819" t="e">
        <f ca="1">EC527/(EC312*EC103)</f>
        <v>#DIV/0!</v>
      </c>
      <c r="ED528" s="819" t="e">
        <f ca="1">ED527/(EC312*EC103)</f>
        <v>#DIV/0!</v>
      </c>
      <c r="EE528" s="819" t="e">
        <f ca="1">EE527/(EC312*EC103)</f>
        <v>#DIV/0!</v>
      </c>
      <c r="EF528" s="819" t="e">
        <f ca="1">EF527/(EC312*EC103)</f>
        <v>#DIV/0!</v>
      </c>
      <c r="FA528" s="806" t="s">
        <v>1426</v>
      </c>
      <c r="FC528" s="819" t="e">
        <f ca="1">FC527/(FC312*FC103)</f>
        <v>#DIV/0!</v>
      </c>
      <c r="FD528" s="819" t="e">
        <f ca="1">FD527/(FC312*FC103)</f>
        <v>#DIV/0!</v>
      </c>
      <c r="FE528" s="819" t="e">
        <f ca="1">FE527/(FC312*FC103)</f>
        <v>#DIV/0!</v>
      </c>
      <c r="FF528" s="819" t="e">
        <f ca="1">FF527/(FC312*FC103)</f>
        <v>#DIV/0!</v>
      </c>
      <c r="FG528" s="808"/>
    </row>
    <row r="531" spans="27:159">
      <c r="AA531" s="806" t="s">
        <v>1016</v>
      </c>
      <c r="AB531" s="806"/>
      <c r="AC531" s="822">
        <f>Output!Q33</f>
        <v>1</v>
      </c>
      <c r="BA531" s="806" t="s">
        <v>1016</v>
      </c>
      <c r="BB531" s="806"/>
      <c r="BC531" s="822">
        <f>Output!Q33</f>
        <v>1</v>
      </c>
      <c r="CA531" s="806" t="s">
        <v>1016</v>
      </c>
      <c r="CB531" s="806"/>
      <c r="CC531" s="822">
        <f>Output!Q33</f>
        <v>1</v>
      </c>
      <c r="DA531" s="806" t="s">
        <v>1016</v>
      </c>
      <c r="DB531" s="806"/>
      <c r="DC531" s="822">
        <f>Output!Q33</f>
        <v>1</v>
      </c>
      <c r="EA531" s="806" t="s">
        <v>1016</v>
      </c>
      <c r="EB531" s="806"/>
      <c r="EC531" s="822">
        <f>Output!Q33</f>
        <v>1</v>
      </c>
      <c r="FA531" s="806" t="s">
        <v>1016</v>
      </c>
      <c r="FB531" s="806"/>
      <c r="FC531" s="822">
        <f>Output!Q33</f>
        <v>1</v>
      </c>
    </row>
  </sheetData>
  <mergeCells count="24">
    <mergeCell ref="FB41:FD41"/>
    <mergeCell ref="FE41:FE42"/>
    <mergeCell ref="FF41:FF42"/>
    <mergeCell ref="FG41:FI41"/>
    <mergeCell ref="EB41:ED41"/>
    <mergeCell ref="EE41:EE42"/>
    <mergeCell ref="EF41:EF42"/>
    <mergeCell ref="EG41:EI41"/>
    <mergeCell ref="AB41:AD41"/>
    <mergeCell ref="DF41:DF42"/>
    <mergeCell ref="DG41:DI41"/>
    <mergeCell ref="CB41:CD41"/>
    <mergeCell ref="CE41:CE42"/>
    <mergeCell ref="CF41:CF42"/>
    <mergeCell ref="CG41:CI41"/>
    <mergeCell ref="DB41:DD41"/>
    <mergeCell ref="DE41:DE42"/>
    <mergeCell ref="AE41:AE42"/>
    <mergeCell ref="AF41:AF42"/>
    <mergeCell ref="AG41:AI41"/>
    <mergeCell ref="BB41:BD41"/>
    <mergeCell ref="BE41:BE42"/>
    <mergeCell ref="BF41:BF42"/>
    <mergeCell ref="BG41:BI41"/>
  </mergeCells>
  <phoneticPr fontId="153" type="noConversion"/>
  <dataValidations count="2">
    <dataValidation type="list" allowBlank="1" showInputMessage="1" showErrorMessage="1" sqref="C22" xr:uid="{00000000-0002-0000-0700-000000000000}">
      <formula1>Default</formula1>
    </dataValidation>
    <dataValidation type="list" allowBlank="1" showInputMessage="1" showErrorMessage="1" sqref="FG76 EG76 DG76 CG76 AG76 BG76" xr:uid="{00000000-0002-0000-0700-000001000000}">
      <formula1>YorN</formula1>
    </dataValidation>
  </dataValidations>
  <pageMargins left="0.7" right="0.7" top="0.75" bottom="0.75" header="0.3" footer="0.3"/>
  <pageSetup orientation="portrait" verticalDpi="0"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tabColor rgb="FFFFFF00"/>
  </sheetPr>
  <dimension ref="A1:AZ123"/>
  <sheetViews>
    <sheetView topLeftCell="AA1" zoomScaleNormal="100" workbookViewId="0">
      <pane ySplit="5" topLeftCell="A36" activePane="bottomLeft" state="frozen"/>
      <selection pane="bottomLeft" activeCell="AS1" sqref="AS1"/>
    </sheetView>
  </sheetViews>
  <sheetFormatPr defaultColWidth="8.83203125" defaultRowHeight="14"/>
  <cols>
    <col min="2" max="2" width="34.4140625" customWidth="1"/>
    <col min="3" max="3" width="16.4140625" customWidth="1"/>
    <col min="4" max="4" width="16" customWidth="1"/>
    <col min="5" max="5" width="13.83203125" customWidth="1"/>
    <col min="6" max="6" width="13.25" customWidth="1"/>
    <col min="7" max="7" width="12.83203125" customWidth="1"/>
    <col min="8" max="8" width="12.1640625" customWidth="1"/>
    <col min="9" max="9" width="13.4140625" customWidth="1"/>
    <col min="10" max="11" width="11.25" customWidth="1"/>
    <col min="12" max="12" width="13.1640625" customWidth="1"/>
    <col min="13" max="13" width="11.83203125" bestFit="1" customWidth="1"/>
    <col min="14" max="14" width="14.1640625" customWidth="1"/>
    <col min="15" max="15" width="12.1640625" customWidth="1"/>
    <col min="16" max="16" width="10.75" bestFit="1" customWidth="1"/>
    <col min="17" max="17" width="10.25" customWidth="1"/>
    <col min="18" max="19" width="11.83203125" bestFit="1" customWidth="1"/>
    <col min="20" max="20" width="12.83203125" customWidth="1"/>
    <col min="21" max="21" width="11.83203125" bestFit="1" customWidth="1"/>
    <col min="28" max="28" width="35.4140625" customWidth="1"/>
    <col min="29" max="29" width="18" customWidth="1"/>
    <col min="30" max="30" width="12.83203125" customWidth="1"/>
    <col min="31" max="31" width="13.75" customWidth="1"/>
    <col min="32" max="32" width="13" customWidth="1"/>
    <col min="33" max="33" width="12.75" customWidth="1"/>
    <col min="34" max="34" width="12.83203125" customWidth="1"/>
    <col min="35" max="35" width="13.1640625" customWidth="1"/>
    <col min="36" max="36" width="13.75" customWidth="1"/>
    <col min="37" max="37" width="13.83203125" customWidth="1"/>
    <col min="38" max="38" width="13.4140625" customWidth="1"/>
    <col min="39" max="39" width="9.83203125" customWidth="1"/>
    <col min="40" max="40" width="14.4140625" customWidth="1"/>
    <col min="41" max="41" width="10.4140625" customWidth="1"/>
    <col min="42" max="42" width="11.4140625" customWidth="1"/>
    <col min="43" max="44" width="11.1640625" customWidth="1"/>
    <col min="45" max="45" width="9.83203125" customWidth="1"/>
    <col min="46" max="46" width="13.1640625" customWidth="1"/>
    <col min="47" max="47" width="9.83203125" customWidth="1"/>
    <col min="48" max="48" width="9.4140625" customWidth="1"/>
    <col min="49" max="49" width="10.25" customWidth="1"/>
    <col min="54" max="54" width="36.83203125" customWidth="1"/>
    <col min="55" max="55" width="20.25" customWidth="1"/>
    <col min="56" max="56" width="12.83203125" customWidth="1"/>
    <col min="57" max="57" width="12.4140625" customWidth="1"/>
    <col min="58" max="58" width="12.83203125" customWidth="1"/>
    <col min="59" max="59" width="12.1640625" customWidth="1"/>
    <col min="60" max="60" width="10.75" customWidth="1"/>
    <col min="61" max="61" width="13.4140625" customWidth="1"/>
    <col min="62" max="62" width="13" customWidth="1"/>
    <col min="63" max="63" width="13.1640625" customWidth="1"/>
    <col min="64" max="64" width="14.75" customWidth="1"/>
    <col min="66" max="66" width="13" customWidth="1"/>
    <col min="67" max="67" width="11.75" customWidth="1"/>
    <col min="69" max="69" width="11" customWidth="1"/>
    <col min="71" max="71" width="10.4140625" customWidth="1"/>
    <col min="80" max="80" width="35" customWidth="1"/>
    <col min="81" max="81" width="18.83203125" customWidth="1"/>
    <col min="82" max="82" width="12.75" customWidth="1"/>
    <col min="83" max="84" width="12.4140625" customWidth="1"/>
    <col min="86" max="86" width="10" customWidth="1"/>
    <col min="87" max="87" width="12.25" customWidth="1"/>
    <col min="88" max="88" width="12.4140625" customWidth="1"/>
    <col min="89" max="89" width="13.83203125" customWidth="1"/>
    <col min="90" max="90" width="12.83203125" customWidth="1"/>
    <col min="92" max="92" width="9.4140625" customWidth="1"/>
    <col min="93" max="93" width="10.83203125" customWidth="1"/>
    <col min="95" max="95" width="9.83203125" customWidth="1"/>
    <col min="97" max="97" width="9.4140625" customWidth="1"/>
  </cols>
  <sheetData>
    <row r="1" spans="1:52">
      <c r="A1" s="111"/>
    </row>
    <row r="5" spans="1:52" ht="19.5" thickBot="1">
      <c r="B5" s="26" t="s">
        <v>675</v>
      </c>
      <c r="C5" s="26"/>
      <c r="D5" s="26"/>
      <c r="E5" s="649"/>
      <c r="F5" s="649"/>
      <c r="G5" s="649"/>
      <c r="H5" s="649"/>
      <c r="I5" s="649"/>
      <c r="J5" s="649"/>
      <c r="K5" s="26"/>
      <c r="L5" s="26"/>
      <c r="M5" s="26"/>
      <c r="N5" s="26"/>
      <c r="O5" s="26"/>
      <c r="P5" s="26"/>
      <c r="Q5" s="26"/>
      <c r="R5" s="26"/>
      <c r="S5" s="26"/>
      <c r="T5" s="26"/>
      <c r="U5" s="26"/>
      <c r="AB5" s="26" t="s">
        <v>1544</v>
      </c>
      <c r="AC5" s="26"/>
      <c r="AD5" s="26"/>
      <c r="AE5" s="26"/>
      <c r="AF5" s="26"/>
      <c r="AG5" s="26"/>
      <c r="AH5" s="26"/>
      <c r="AI5" s="26"/>
      <c r="AJ5" s="26"/>
      <c r="AK5" s="26"/>
      <c r="AL5" s="26"/>
      <c r="AM5" s="26"/>
      <c r="AN5" s="26"/>
      <c r="AO5" s="26"/>
      <c r="AP5" s="26"/>
      <c r="AQ5" s="26"/>
      <c r="AR5" s="26"/>
      <c r="AS5" s="26"/>
      <c r="AT5" s="26"/>
      <c r="AU5" s="26"/>
      <c r="AV5" s="26"/>
      <c r="AW5" s="26"/>
      <c r="AX5" s="26"/>
      <c r="AY5" s="26"/>
      <c r="AZ5" s="26"/>
    </row>
    <row r="6" spans="1:52" ht="14.5" thickTop="1">
      <c r="B6" s="2" t="s">
        <v>1021</v>
      </c>
      <c r="AB6" s="2" t="s">
        <v>160</v>
      </c>
    </row>
    <row r="7" spans="1:52">
      <c r="B7" s="93"/>
      <c r="C7" s="94" t="s">
        <v>42</v>
      </c>
      <c r="D7" s="94" t="s">
        <v>1029</v>
      </c>
      <c r="E7" s="94" t="s">
        <v>1540</v>
      </c>
      <c r="F7" s="94" t="s">
        <v>667</v>
      </c>
      <c r="G7" s="94" t="s">
        <v>669</v>
      </c>
      <c r="H7" s="1231" t="s">
        <v>73</v>
      </c>
      <c r="AB7" s="2" t="s">
        <v>152</v>
      </c>
    </row>
    <row r="8" spans="1:52" ht="14.5">
      <c r="B8" s="88" t="s">
        <v>346</v>
      </c>
      <c r="C8" s="90"/>
      <c r="D8" s="90"/>
      <c r="E8" s="90"/>
      <c r="F8" s="90"/>
      <c r="G8" s="90"/>
      <c r="H8" s="1217"/>
      <c r="AB8" s="1105" t="s">
        <v>1535</v>
      </c>
      <c r="AC8" s="1137">
        <f>Input!E48/AC18*AC19*1000</f>
        <v>0</v>
      </c>
    </row>
    <row r="9" spans="1:52" ht="14.5">
      <c r="B9" s="83" t="s">
        <v>173</v>
      </c>
      <c r="C9" s="97" t="e">
        <f>'Cath. Prod. Par.'!FG44</f>
        <v>#DIV/0!</v>
      </c>
      <c r="D9" s="97" t="e">
        <f>'Cath. Prod. Par.'!AG44</f>
        <v>#DIV/0!</v>
      </c>
      <c r="E9" s="97" t="e">
        <f>'Cath. Prod. Par.'!BG44</f>
        <v>#DIV/0!</v>
      </c>
      <c r="F9" s="97" t="e">
        <f>'Cath. Prod. Par.'!CG44</f>
        <v>#DIV/0!</v>
      </c>
      <c r="G9" s="97" t="e">
        <f>'Cath. Prod. Par.'!DG44</f>
        <v>#DIV/0!</v>
      </c>
      <c r="H9" s="1019" t="e">
        <f>'Cath. Prod. Par.'!EG44</f>
        <v>#DIV/0!</v>
      </c>
      <c r="AB9" s="1106" t="s">
        <v>153</v>
      </c>
      <c r="AC9" s="1107" t="str">
        <f>Input!E46</f>
        <v>Select Chemistry</v>
      </c>
    </row>
    <row r="10" spans="1:52" ht="14.5">
      <c r="B10" s="83" t="s">
        <v>174</v>
      </c>
      <c r="C10" s="63" t="e">
        <f>'Cath. Prod. Par.'!FG45</f>
        <v>#DIV/0!</v>
      </c>
      <c r="D10" s="97" t="e">
        <f>'Cath. Prod. Par.'!AG45</f>
        <v>#DIV/0!</v>
      </c>
      <c r="E10" s="97" t="e">
        <f>'Cath. Prod. Par.'!BG45</f>
        <v>#DIV/0!</v>
      </c>
      <c r="F10" s="97" t="e">
        <f>'Cath. Prod. Par.'!CG45</f>
        <v>#DIV/0!</v>
      </c>
      <c r="G10" s="97" t="e">
        <f>'Cath. Prod. Par.'!DG45</f>
        <v>#DIV/0!</v>
      </c>
      <c r="H10" s="1019" t="e">
        <f>'Cath. Prod. Par.'!EG45</f>
        <v>#DIV/0!</v>
      </c>
      <c r="AB10" s="1106" t="s">
        <v>3</v>
      </c>
      <c r="AC10" s="1107" t="str">
        <f>IF(Input!$E$52="User-defined", 'Geographic Par.'!$L$60, Input!$E$52)</f>
        <v>China</v>
      </c>
    </row>
    <row r="11" spans="1:52" ht="14.5">
      <c r="B11" s="83" t="s">
        <v>175</v>
      </c>
      <c r="C11" s="63" t="e">
        <f>'Cath. Prod. Par.'!FG46</f>
        <v>#DIV/0!</v>
      </c>
      <c r="D11" s="97" t="e">
        <f>'Cath. Prod. Par.'!AG46</f>
        <v>#DIV/0!</v>
      </c>
      <c r="E11" s="97" t="e">
        <f>'Cath. Prod. Par.'!BG46</f>
        <v>#DIV/0!</v>
      </c>
      <c r="F11" s="97" t="e">
        <f>'Cath. Prod. Par.'!CG46</f>
        <v>#DIV/0!</v>
      </c>
      <c r="G11" s="97" t="e">
        <f>'Cath. Prod. Par.'!DG46</f>
        <v>#DIV/0!</v>
      </c>
      <c r="H11" s="1019" t="e">
        <f>'Cath. Prod. Par.'!EG46</f>
        <v>#DIV/0!</v>
      </c>
      <c r="AB11" s="1106" t="str">
        <f>Input!C49</f>
        <v>Select Chemistry</v>
      </c>
      <c r="AC11" s="1174">
        <f>Input!E49</f>
        <v>0</v>
      </c>
    </row>
    <row r="12" spans="1:52" ht="14.5">
      <c r="B12" s="83" t="s">
        <v>176</v>
      </c>
      <c r="C12" s="63" t="e">
        <f>'Cath. Prod. Par.'!FG47</f>
        <v>#DIV/0!</v>
      </c>
      <c r="D12" s="97" t="e">
        <f>'Cath. Prod. Par.'!AG47</f>
        <v>#DIV/0!</v>
      </c>
      <c r="E12" s="97" t="e">
        <f>'Cath. Prod. Par.'!BG47</f>
        <v>#DIV/0!</v>
      </c>
      <c r="F12" s="97" t="e">
        <f>'Cath. Prod. Par.'!CG47</f>
        <v>#DIV/0!</v>
      </c>
      <c r="G12" s="97" t="e">
        <f>'Cath. Prod. Par.'!DG47</f>
        <v>#DIV/0!</v>
      </c>
      <c r="H12" s="1019" t="e">
        <f>'Cath. Prod. Par.'!EG47</f>
        <v>#DIV/0!</v>
      </c>
      <c r="AB12" s="1106" t="str">
        <f>Input!C50</f>
        <v>Select Other Recycled Materials</v>
      </c>
      <c r="AC12" s="1174">
        <f>Input!E50</f>
        <v>0</v>
      </c>
    </row>
    <row r="13" spans="1:52" ht="14.5">
      <c r="B13" s="83" t="s">
        <v>177</v>
      </c>
      <c r="C13" s="63" t="e">
        <f>'Cath. Prod. Par.'!FG48</f>
        <v>#DIV/0!</v>
      </c>
      <c r="D13" s="97" t="e">
        <f>'Cath. Prod. Par.'!AG48</f>
        <v>#DIV/0!</v>
      </c>
      <c r="E13" s="97" t="e">
        <f>'Cath. Prod. Par.'!BG48</f>
        <v>#DIV/0!</v>
      </c>
      <c r="F13" s="97" t="e">
        <f>'Cath. Prod. Par.'!CG48</f>
        <v>#DIV/0!</v>
      </c>
      <c r="G13" s="97" t="e">
        <f>'Cath. Prod. Par.'!DG48</f>
        <v>#DIV/0!</v>
      </c>
      <c r="H13" s="1019" t="e">
        <f>'Cath. Prod. Par.'!EG48</f>
        <v>#DIV/0!</v>
      </c>
      <c r="AB13" s="1108" t="str">
        <f>Input!C51</f>
        <v>Select Other Recycled Materials</v>
      </c>
      <c r="AC13" s="1364">
        <f>Input!E51</f>
        <v>0</v>
      </c>
    </row>
    <row r="14" spans="1:52">
      <c r="B14" s="86" t="s">
        <v>344</v>
      </c>
      <c r="C14" s="92" t="e">
        <f>'Cath. Prod. Par.'!FG49</f>
        <v>#DIV/0!</v>
      </c>
      <c r="D14" s="838" t="e">
        <f>'Cath. Prod. Par.'!AG49</f>
        <v>#DIV/0!</v>
      </c>
      <c r="E14" s="838" t="e">
        <f>'Cath. Prod. Par.'!BG49</f>
        <v>#DIV/0!</v>
      </c>
      <c r="F14" s="838" t="e">
        <f>'Cath. Prod. Par.'!CG49</f>
        <v>#DIV/0!</v>
      </c>
      <c r="G14" s="838" t="e">
        <f>'Cath. Prod. Par.'!DG49</f>
        <v>#DIV/0!</v>
      </c>
      <c r="H14" s="1020" t="e">
        <f>'Cath. Prod. Par.'!EG49</f>
        <v>#DIV/0!</v>
      </c>
    </row>
    <row r="15" spans="1:52">
      <c r="B15" s="88" t="s">
        <v>345</v>
      </c>
      <c r="C15" s="98"/>
      <c r="D15" s="98"/>
      <c r="E15" s="98"/>
      <c r="F15" s="98"/>
      <c r="G15" s="98"/>
      <c r="H15" s="1232"/>
      <c r="AB15" s="2"/>
      <c r="AE15" s="62"/>
    </row>
    <row r="16" spans="1:52">
      <c r="B16" s="83" t="s">
        <v>180</v>
      </c>
      <c r="C16" s="63" t="e">
        <f>'Cath. Prod. Par.'!FG51</f>
        <v>#DIV/0!</v>
      </c>
      <c r="D16" s="97" t="e">
        <f>'Cath. Prod. Par.'!AG51</f>
        <v>#DIV/0!</v>
      </c>
      <c r="E16" s="97" t="e">
        <f>'Cath. Prod. Par.'!BG51</f>
        <v>#DIV/0!</v>
      </c>
      <c r="F16" s="97" t="e">
        <f>'Cath. Prod. Par.'!CG51</f>
        <v>#DIV/0!</v>
      </c>
      <c r="G16" s="97" t="e">
        <f>'Cath. Prod. Par.'!DG51</f>
        <v>#DIV/0!</v>
      </c>
      <c r="H16" s="1019" t="e">
        <f>'Cath. Prod. Par.'!EG51</f>
        <v>#DIV/0!</v>
      </c>
      <c r="AB16" s="2" t="s">
        <v>150</v>
      </c>
      <c r="AD16" s="1776" t="s">
        <v>63</v>
      </c>
      <c r="AE16" s="1694"/>
      <c r="AF16" s="1694"/>
      <c r="AG16" s="1694"/>
      <c r="AH16" s="1694"/>
      <c r="AI16" s="1694"/>
      <c r="AJ16" s="1694"/>
      <c r="AK16" s="1695"/>
    </row>
    <row r="17" spans="2:39">
      <c r="B17" s="83" t="s">
        <v>181</v>
      </c>
      <c r="C17" s="63" t="e">
        <f>'Cath. Prod. Par.'!FG52</f>
        <v>#DIV/0!</v>
      </c>
      <c r="D17" s="97" t="e">
        <f>'Cath. Prod. Par.'!AG52</f>
        <v>#DIV/0!</v>
      </c>
      <c r="E17" s="97" t="e">
        <f>'Cath. Prod. Par.'!BG52</f>
        <v>#DIV/0!</v>
      </c>
      <c r="F17" s="97" t="e">
        <f>'Cath. Prod. Par.'!CG52</f>
        <v>#DIV/0!</v>
      </c>
      <c r="G17" s="97" t="e">
        <f>'Cath. Prod. Par.'!DG52</f>
        <v>#DIV/0!</v>
      </c>
      <c r="H17" s="1019" t="e">
        <f>'Cath. Prod. Par.'!EG52</f>
        <v>#DIV/0!</v>
      </c>
      <c r="AB17" s="35"/>
      <c r="AC17" s="79" t="s">
        <v>51</v>
      </c>
      <c r="AD17" s="145" t="s">
        <v>1029</v>
      </c>
      <c r="AE17" s="144" t="s">
        <v>1540</v>
      </c>
      <c r="AF17" s="144" t="s">
        <v>667</v>
      </c>
      <c r="AG17" s="144" t="s">
        <v>669</v>
      </c>
      <c r="AH17" s="144" t="s">
        <v>42</v>
      </c>
      <c r="AI17" s="144" t="s">
        <v>73</v>
      </c>
      <c r="AJ17" s="144" t="s">
        <v>148</v>
      </c>
      <c r="AK17" s="146" t="s">
        <v>149</v>
      </c>
      <c r="AL17" s="34" t="s">
        <v>52</v>
      </c>
    </row>
    <row r="18" spans="2:39">
      <c r="B18" s="83" t="s">
        <v>182</v>
      </c>
      <c r="C18" s="63" t="e">
        <f>'Cath. Prod. Par.'!FG53</f>
        <v>#DIV/0!</v>
      </c>
      <c r="D18" s="97" t="e">
        <f>'Cath. Prod. Par.'!AG53</f>
        <v>#DIV/0!</v>
      </c>
      <c r="E18" s="97" t="e">
        <f>'Cath. Prod. Par.'!BG53</f>
        <v>#DIV/0!</v>
      </c>
      <c r="F18" s="97" t="e">
        <f>'Cath. Prod. Par.'!CG53</f>
        <v>#DIV/0!</v>
      </c>
      <c r="G18" s="97" t="e">
        <f>'Cath. Prod. Par.'!DG53</f>
        <v>#DIV/0!</v>
      </c>
      <c r="H18" s="1019" t="e">
        <f>'Cath. Prod. Par.'!EG53</f>
        <v>#DIV/0!</v>
      </c>
      <c r="AB18" s="29" t="s">
        <v>154</v>
      </c>
      <c r="AC18" s="1229">
        <f>IF(ISNUMBER(AL18),AL18,HLOOKUP($AC$9,$AD$17:$AK$19,ROW($AC17)-ROW($AC$17)+2, FALSE))</f>
        <v>0.25</v>
      </c>
      <c r="AD18" s="1075">
        <v>0.25</v>
      </c>
      <c r="AE18" s="1075">
        <v>0.25</v>
      </c>
      <c r="AF18" s="1075">
        <v>0.25</v>
      </c>
      <c r="AG18" s="1075">
        <v>0.25</v>
      </c>
      <c r="AH18" s="1075">
        <v>0.25</v>
      </c>
      <c r="AI18" s="1075">
        <v>0.25</v>
      </c>
      <c r="AJ18" s="1075">
        <v>0.25</v>
      </c>
      <c r="AK18" s="1075">
        <v>0.25</v>
      </c>
      <c r="AL18" s="32">
        <v>0.25</v>
      </c>
    </row>
    <row r="19" spans="2:39">
      <c r="B19" s="83" t="s">
        <v>183</v>
      </c>
      <c r="C19" s="63" t="e">
        <f>'Cath. Prod. Par.'!FG54</f>
        <v>#DIV/0!</v>
      </c>
      <c r="D19" s="97" t="e">
        <f>'Cath. Prod. Par.'!AG54</f>
        <v>#DIV/0!</v>
      </c>
      <c r="E19" s="97" t="e">
        <f>'Cath. Prod. Par.'!BG54</f>
        <v>#DIV/0!</v>
      </c>
      <c r="F19" s="97" t="e">
        <f>'Cath. Prod. Par.'!CG54</f>
        <v>#DIV/0!</v>
      </c>
      <c r="G19" s="97" t="e">
        <f>'Cath. Prod. Par.'!DG54</f>
        <v>#DIV/0!</v>
      </c>
      <c r="H19" s="1019" t="e">
        <f>'Cath. Prod. Par.'!EG54</f>
        <v>#DIV/0!</v>
      </c>
      <c r="AB19" s="15" t="s">
        <v>155</v>
      </c>
      <c r="AC19" s="1230">
        <f>IF(ISNUMBER(AL19),AL19,HLOOKUP($AC$9,$AD$17:$AK$19,ROW($AC18)-ROW($AC$17)+2, FALSE))</f>
        <v>0.79800000000000004</v>
      </c>
      <c r="AD19" s="1071">
        <v>0.8523792616814061</v>
      </c>
      <c r="AE19" s="596">
        <v>0.80818072250559758</v>
      </c>
      <c r="AF19" s="596">
        <v>0.79816020002515697</v>
      </c>
      <c r="AG19" s="596">
        <v>0.74412404318622272</v>
      </c>
      <c r="AH19" s="596">
        <v>1.0476010372691675</v>
      </c>
      <c r="AI19" s="596">
        <v>0.76932485424066288</v>
      </c>
      <c r="AJ19" s="596">
        <v>1.0476010372691675</v>
      </c>
      <c r="AK19" s="1072">
        <v>1.059543545214767</v>
      </c>
      <c r="AL19" s="31">
        <v>0.79800000000000004</v>
      </c>
    </row>
    <row r="20" spans="2:39">
      <c r="B20" s="83" t="s">
        <v>184</v>
      </c>
      <c r="C20" s="63" t="e">
        <f>'Cath. Prod. Par.'!FG55</f>
        <v>#DIV/0!</v>
      </c>
      <c r="D20" s="97" t="e">
        <f>'Cath. Prod. Par.'!AG55</f>
        <v>#DIV/0!</v>
      </c>
      <c r="E20" s="97" t="e">
        <f>'Cath. Prod. Par.'!BG55</f>
        <v>#DIV/0!</v>
      </c>
      <c r="F20" s="97" t="e">
        <f>'Cath. Prod. Par.'!CG55</f>
        <v>#DIV/0!</v>
      </c>
      <c r="G20" s="97" t="e">
        <f>'Cath. Prod. Par.'!DG55</f>
        <v>#DIV/0!</v>
      </c>
      <c r="H20" s="1019" t="e">
        <f>'Cath. Prod. Par.'!EG55</f>
        <v>#DIV/0!</v>
      </c>
      <c r="AD20" s="111"/>
      <c r="AE20" s="111"/>
      <c r="AF20" s="111"/>
      <c r="AG20" s="111"/>
      <c r="AH20" s="111"/>
      <c r="AI20" s="111"/>
      <c r="AJ20" s="111"/>
      <c r="AK20" s="111"/>
    </row>
    <row r="21" spans="2:39">
      <c r="B21" s="83" t="s">
        <v>185</v>
      </c>
      <c r="C21" s="63" t="e">
        <f>'Cath. Prod. Par.'!FG56</f>
        <v>#DIV/0!</v>
      </c>
      <c r="D21" s="97" t="e">
        <f>'Cath. Prod. Par.'!AG56</f>
        <v>#DIV/0!</v>
      </c>
      <c r="E21" s="97" t="e">
        <f>'Cath. Prod. Par.'!BG56</f>
        <v>#DIV/0!</v>
      </c>
      <c r="F21" s="97" t="e">
        <f>'Cath. Prod. Par.'!CG56</f>
        <v>#DIV/0!</v>
      </c>
      <c r="G21" s="97" t="e">
        <f>'Cath. Prod. Par.'!DG56</f>
        <v>#DIV/0!</v>
      </c>
      <c r="H21" s="1019" t="e">
        <f>'Cath. Prod. Par.'!EG56</f>
        <v>#DIV/0!</v>
      </c>
      <c r="AB21" s="2" t="s">
        <v>151</v>
      </c>
      <c r="AD21" s="1776" t="s">
        <v>63</v>
      </c>
      <c r="AE21" s="1694"/>
      <c r="AF21" s="1694"/>
      <c r="AG21" s="1694"/>
      <c r="AH21" s="1694"/>
      <c r="AI21" s="1694"/>
      <c r="AJ21" s="1694"/>
      <c r="AK21" s="1695"/>
    </row>
    <row r="22" spans="2:39">
      <c r="B22" s="83" t="s">
        <v>186</v>
      </c>
      <c r="C22" s="63" t="e">
        <f>'Cath. Prod. Par.'!FG57</f>
        <v>#DIV/0!</v>
      </c>
      <c r="D22" s="97" t="e">
        <f>'Cath. Prod. Par.'!AG57</f>
        <v>#DIV/0!</v>
      </c>
      <c r="E22" s="97" t="e">
        <f>'Cath. Prod. Par.'!BG57</f>
        <v>#DIV/0!</v>
      </c>
      <c r="F22" s="97" t="e">
        <f>'Cath. Prod. Par.'!CG57</f>
        <v>#DIV/0!</v>
      </c>
      <c r="G22" s="97" t="e">
        <f>'Cath. Prod. Par.'!DG57</f>
        <v>#DIV/0!</v>
      </c>
      <c r="H22" s="1019" t="e">
        <f>'Cath. Prod. Par.'!EG57</f>
        <v>#DIV/0!</v>
      </c>
      <c r="AB22" s="35"/>
      <c r="AC22" s="79" t="s">
        <v>51</v>
      </c>
      <c r="AD22" s="145" t="s">
        <v>1029</v>
      </c>
      <c r="AE22" s="144" t="s">
        <v>1540</v>
      </c>
      <c r="AF22" s="144" t="s">
        <v>667</v>
      </c>
      <c r="AG22" s="144" t="s">
        <v>669</v>
      </c>
      <c r="AH22" s="144" t="s">
        <v>42</v>
      </c>
      <c r="AI22" s="144" t="s">
        <v>73</v>
      </c>
      <c r="AJ22" s="144" t="s">
        <v>148</v>
      </c>
      <c r="AK22" s="146" t="s">
        <v>149</v>
      </c>
      <c r="AL22" s="34" t="s">
        <v>52</v>
      </c>
    </row>
    <row r="23" spans="2:39">
      <c r="B23" s="83" t="s">
        <v>187</v>
      </c>
      <c r="C23" s="63" t="e">
        <f>'Cath. Prod. Par.'!FG58</f>
        <v>#DIV/0!</v>
      </c>
      <c r="D23" s="97" t="e">
        <f>'Cath. Prod. Par.'!AG58</f>
        <v>#DIV/0!</v>
      </c>
      <c r="E23" s="97" t="e">
        <f>'Cath. Prod. Par.'!BG58</f>
        <v>#DIV/0!</v>
      </c>
      <c r="F23" s="97" t="e">
        <f>'Cath. Prod. Par.'!CG58</f>
        <v>#DIV/0!</v>
      </c>
      <c r="G23" s="97" t="e">
        <f>'Cath. Prod. Par.'!DG58</f>
        <v>#DIV/0!</v>
      </c>
      <c r="H23" s="1019" t="e">
        <f>'Cath. Prod. Par.'!EG58</f>
        <v>#DIV/0!</v>
      </c>
      <c r="AB23" s="29" t="s">
        <v>53</v>
      </c>
      <c r="AC23" s="36">
        <f t="shared" ref="AC23:AC36" si="0">IF(ISNUMBER(AL23),AL23,HLOOKUP($AC$9, $AD$22:$AK$36, ROW($AC23)-ROW($AC$23)+2, FALSE))</f>
        <v>0.44800000000000001</v>
      </c>
      <c r="AD23" s="152">
        <v>0.46570613213063516</v>
      </c>
      <c r="AE23" s="153">
        <v>0.45124235972127297</v>
      </c>
      <c r="AF23" s="153">
        <v>0.44781830538476713</v>
      </c>
      <c r="AG23" s="153">
        <v>0.42894807785545075</v>
      </c>
      <c r="AH23" s="153">
        <v>0.51179911589853799</v>
      </c>
      <c r="AI23" s="153">
        <v>0.44032335351255875</v>
      </c>
      <c r="AJ23" s="153">
        <v>0.51179911589853799</v>
      </c>
      <c r="AK23" s="154">
        <v>0.45650968344173598</v>
      </c>
      <c r="AL23" s="106">
        <v>0.44800000000000001</v>
      </c>
      <c r="AM23" s="115" t="str">
        <f>IF(SUM(AC23:AC36)&lt;&gt;1, "Warning: material mass percentages do not add up to 100%!","")</f>
        <v/>
      </c>
    </row>
    <row r="24" spans="2:39">
      <c r="B24" s="83" t="s">
        <v>188</v>
      </c>
      <c r="C24" s="63" t="e">
        <f>'Cath. Prod. Par.'!FG59</f>
        <v>#DIV/0!</v>
      </c>
      <c r="D24" s="97" t="e">
        <f>'Cath. Prod. Par.'!AG59</f>
        <v>#DIV/0!</v>
      </c>
      <c r="E24" s="97" t="e">
        <f>'Cath. Prod. Par.'!BG59</f>
        <v>#DIV/0!</v>
      </c>
      <c r="F24" s="97" t="e">
        <f>'Cath. Prod. Par.'!CG59</f>
        <v>#DIV/0!</v>
      </c>
      <c r="G24" s="97" t="e">
        <f>'Cath. Prod. Par.'!DG59</f>
        <v>#DIV/0!</v>
      </c>
      <c r="H24" s="1019" t="e">
        <f>'Cath. Prod. Par.'!EG59</f>
        <v>#DIV/0!</v>
      </c>
      <c r="AB24" s="29" t="s">
        <v>54</v>
      </c>
      <c r="AC24" s="36">
        <f t="shared" si="0"/>
        <v>0.27100000000000002</v>
      </c>
      <c r="AD24" s="152">
        <v>0.25273289487383538</v>
      </c>
      <c r="AE24" s="153">
        <v>0.267746746657823</v>
      </c>
      <c r="AF24" s="153">
        <v>0.27121553643598306</v>
      </c>
      <c r="AG24" s="153">
        <v>0.29097399910261995</v>
      </c>
      <c r="AH24" s="153">
        <v>0.1916118250416543</v>
      </c>
      <c r="AI24" s="153">
        <v>0.28228224541618108</v>
      </c>
      <c r="AJ24" s="153">
        <v>0.1916118250416543</v>
      </c>
      <c r="AK24" s="154">
        <v>0.22542058113975133</v>
      </c>
      <c r="AL24" s="77">
        <v>0.27100000000000002</v>
      </c>
    </row>
    <row r="25" spans="2:39">
      <c r="B25" s="83" t="s">
        <v>189</v>
      </c>
      <c r="C25" s="63" t="e">
        <f>'Cath. Prod. Par.'!FG60</f>
        <v>#DIV/0!</v>
      </c>
      <c r="D25" s="97" t="e">
        <f>'Cath. Prod. Par.'!AG60</f>
        <v>#DIV/0!</v>
      </c>
      <c r="E25" s="97" t="e">
        <f>'Cath. Prod. Par.'!BG60</f>
        <v>#DIV/0!</v>
      </c>
      <c r="F25" s="97" t="e">
        <f>'Cath. Prod. Par.'!CG60</f>
        <v>#DIV/0!</v>
      </c>
      <c r="G25" s="97" t="e">
        <f>'Cath. Prod. Par.'!DG60</f>
        <v>#DIV/0!</v>
      </c>
      <c r="H25" s="1019" t="e">
        <f>'Cath. Prod. Par.'!EG60</f>
        <v>#DIV/0!</v>
      </c>
      <c r="AB25" s="29" t="s">
        <v>55</v>
      </c>
      <c r="AC25" s="36">
        <f t="shared" si="0"/>
        <v>8.9999999999999993E-3</v>
      </c>
      <c r="AD25" s="152">
        <v>9.7022110860548998E-3</v>
      </c>
      <c r="AE25" s="153">
        <v>9.4008824941931857E-3</v>
      </c>
      <c r="AF25" s="153">
        <v>9.3295480288493153E-3</v>
      </c>
      <c r="AG25" s="153">
        <v>8.9364182886552245E-3</v>
      </c>
      <c r="AH25" s="153">
        <v>1.0662481581219539E-2</v>
      </c>
      <c r="AI25" s="153">
        <v>9.1734031981783089E-3</v>
      </c>
      <c r="AJ25" s="153">
        <v>1.0662481581219539E-2</v>
      </c>
      <c r="AK25" s="154">
        <v>9.510618405036168E-3</v>
      </c>
      <c r="AL25" s="77">
        <v>8.9999999999999993E-3</v>
      </c>
    </row>
    <row r="26" spans="2:39">
      <c r="B26" s="83" t="s">
        <v>190</v>
      </c>
      <c r="C26" s="59" t="e">
        <f>'Cath. Prod. Par.'!FG61</f>
        <v>#DIV/0!</v>
      </c>
      <c r="D26" s="835" t="e">
        <f>'Cath. Prod. Par.'!AG61</f>
        <v>#DIV/0!</v>
      </c>
      <c r="E26" s="835" t="e">
        <f>'Cath. Prod. Par.'!BG61</f>
        <v>#DIV/0!</v>
      </c>
      <c r="F26" s="835" t="e">
        <f>'Cath. Prod. Par.'!CG61</f>
        <v>#DIV/0!</v>
      </c>
      <c r="G26" s="836" t="e">
        <f>'Cath. Prod. Par.'!DG61</f>
        <v>#DIV/0!</v>
      </c>
      <c r="H26" s="836" t="e">
        <f>'Cath. Prod. Par.'!EG61</f>
        <v>#DIV/0!</v>
      </c>
      <c r="AB26" s="29" t="s">
        <v>56</v>
      </c>
      <c r="AC26" s="36">
        <f t="shared" si="0"/>
        <v>8.0000000000000002E-3</v>
      </c>
      <c r="AD26" s="152">
        <v>9.7022110860548998E-3</v>
      </c>
      <c r="AE26" s="153">
        <v>9.4008824941931857E-3</v>
      </c>
      <c r="AF26" s="153">
        <v>9.3295480288493153E-3</v>
      </c>
      <c r="AG26" s="153">
        <v>8.9364182886552245E-3</v>
      </c>
      <c r="AH26" s="153">
        <v>1.0662481581219539E-2</v>
      </c>
      <c r="AI26" s="153">
        <v>9.1734031981783089E-3</v>
      </c>
      <c r="AJ26" s="153">
        <v>1.0662481581219539E-2</v>
      </c>
      <c r="AK26" s="154">
        <v>9.510618405036168E-3</v>
      </c>
      <c r="AL26" s="77">
        <v>8.0000000000000002E-3</v>
      </c>
    </row>
    <row r="27" spans="2:39">
      <c r="B27" s="83" t="s">
        <v>198</v>
      </c>
      <c r="C27" s="59" t="e">
        <f>'Cath. Prod. Par.'!FG62</f>
        <v>#DIV/0!</v>
      </c>
      <c r="D27" s="835" t="e">
        <f>'Cath. Prod. Par.'!AG62</f>
        <v>#DIV/0!</v>
      </c>
      <c r="E27" s="835" t="e">
        <f>'Cath. Prod. Par.'!BG62</f>
        <v>#DIV/0!</v>
      </c>
      <c r="F27" s="835" t="e">
        <f>'Cath. Prod. Par.'!CG62</f>
        <v>#DIV/0!</v>
      </c>
      <c r="G27" s="836" t="e">
        <f>'Cath. Prod. Par.'!DG62</f>
        <v>#DIV/0!</v>
      </c>
      <c r="H27" s="836" t="e">
        <f>'Cath. Prod. Par.'!EG62</f>
        <v>#DIV/0!</v>
      </c>
      <c r="AB27" s="29" t="s">
        <v>1622</v>
      </c>
      <c r="AC27" s="36">
        <f t="shared" si="0"/>
        <v>6.0000000000000001E-3</v>
      </c>
      <c r="AD27" s="152">
        <v>5.1578141810986822E-3</v>
      </c>
      <c r="AE27" s="153">
        <v>5.4642193195474078E-3</v>
      </c>
      <c r="AF27" s="153">
        <v>5.5350109476731196E-3</v>
      </c>
      <c r="AG27" s="153">
        <v>5.9382448796453042E-3</v>
      </c>
      <c r="AH27" s="153">
        <v>3.910445409013385E-3</v>
      </c>
      <c r="AI27" s="153">
        <v>5.760862151350632E-3</v>
      </c>
      <c r="AJ27" s="153">
        <v>3.910445409013385E-3</v>
      </c>
      <c r="AK27" s="154">
        <v>4.6004200232602306E-3</v>
      </c>
      <c r="AL27" s="77">
        <v>6.0000000000000001E-3</v>
      </c>
    </row>
    <row r="28" spans="2:39">
      <c r="B28" s="81" t="s">
        <v>199</v>
      </c>
      <c r="C28" s="57" t="e">
        <f>'Cath. Prod. Par.'!FG63</f>
        <v>#DIV/0!</v>
      </c>
      <c r="D28" s="837" t="e">
        <f>'Cath. Prod. Par.'!AG63</f>
        <v>#DIV/0!</v>
      </c>
      <c r="E28" s="837" t="e">
        <f>'Cath. Prod. Par.'!BG63</f>
        <v>#DIV/0!</v>
      </c>
      <c r="F28" s="837" t="e">
        <f>'Cath. Prod. Par.'!CG63</f>
        <v>#DIV/0!</v>
      </c>
      <c r="G28" s="834" t="e">
        <f>'Cath. Prod. Par.'!DG63</f>
        <v>#DIV/0!</v>
      </c>
      <c r="H28" s="1233" t="e">
        <f>'Cath. Prod. Par.'!EG63</f>
        <v>#DIV/0!</v>
      </c>
      <c r="AB28" s="29" t="s">
        <v>41</v>
      </c>
      <c r="AC28" s="36">
        <f t="shared" si="0"/>
        <v>0.08</v>
      </c>
      <c r="AD28" s="152">
        <v>8.0696799338894593E-2</v>
      </c>
      <c r="AE28" s="153">
        <v>7.9681532190201423E-2</v>
      </c>
      <c r="AF28" s="153">
        <v>7.9548864797704621E-2</v>
      </c>
      <c r="AG28" s="153">
        <v>7.7958160030188114E-2</v>
      </c>
      <c r="AH28" s="153">
        <v>9.0394379422820859E-2</v>
      </c>
      <c r="AI28" s="153">
        <v>7.7257642322494879E-2</v>
      </c>
      <c r="AJ28" s="153">
        <v>9.0394379422820859E-2</v>
      </c>
      <c r="AK28" s="154">
        <v>9.6309565348594445E-2</v>
      </c>
      <c r="AL28" s="77">
        <v>0.08</v>
      </c>
    </row>
    <row r="29" spans="2:39">
      <c r="AB29" s="29" t="s">
        <v>398</v>
      </c>
      <c r="AC29" s="36">
        <f t="shared" si="0"/>
        <v>5.1999999999999998E-2</v>
      </c>
      <c r="AD29" s="152">
        <v>5.1926386311136143E-2</v>
      </c>
      <c r="AE29" s="153">
        <v>5.1751600485563314E-2</v>
      </c>
      <c r="AF29" s="153">
        <v>5.1715227170334978E-2</v>
      </c>
      <c r="AG29" s="153">
        <v>5.1518663672956405E-2</v>
      </c>
      <c r="AH29" s="153">
        <v>5.5392182031547658E-2</v>
      </c>
      <c r="AI29" s="153">
        <v>5.0968645419339355E-2</v>
      </c>
      <c r="AJ29" s="153">
        <v>5.5392182031547658E-2</v>
      </c>
      <c r="AK29" s="154">
        <v>5.9238421301433079E-2</v>
      </c>
      <c r="AL29" s="77">
        <v>5.1999999999999998E-2</v>
      </c>
    </row>
    <row r="30" spans="2:39">
      <c r="B30" s="2" t="s">
        <v>1022</v>
      </c>
      <c r="AB30" s="29" t="s">
        <v>57</v>
      </c>
      <c r="AC30" s="36">
        <f t="shared" si="0"/>
        <v>1.7000000000000001E-2</v>
      </c>
      <c r="AD30" s="152">
        <v>1.6918091061121947E-2</v>
      </c>
      <c r="AE30" s="153">
        <v>1.7092087197178005E-2</v>
      </c>
      <c r="AF30" s="153">
        <v>1.7130708660467103E-2</v>
      </c>
      <c r="AG30" s="153">
        <v>1.7362465813822094E-2</v>
      </c>
      <c r="AH30" s="153">
        <v>1.6860989989053329E-2</v>
      </c>
      <c r="AI30" s="153">
        <v>1.7107684377930026E-2</v>
      </c>
      <c r="AJ30" s="153">
        <v>1.6860989989053329E-2</v>
      </c>
      <c r="AK30" s="154">
        <v>1.8721822803347502E-2</v>
      </c>
      <c r="AL30" s="77">
        <v>1.7000000000000001E-2</v>
      </c>
    </row>
    <row r="31" spans="2:39">
      <c r="B31" s="93"/>
      <c r="C31" s="94" t="s">
        <v>42</v>
      </c>
      <c r="D31" s="94" t="s">
        <v>1029</v>
      </c>
      <c r="E31" s="94" t="s">
        <v>1540</v>
      </c>
      <c r="F31" s="94" t="s">
        <v>667</v>
      </c>
      <c r="G31" s="94" t="s">
        <v>669</v>
      </c>
      <c r="H31" s="1231" t="s">
        <v>73</v>
      </c>
      <c r="AB31" s="29" t="s">
        <v>58</v>
      </c>
      <c r="AC31" s="36">
        <f t="shared" si="0"/>
        <v>5.2999999999999999E-2</v>
      </c>
      <c r="AD31" s="152">
        <v>5.2186376931860179E-2</v>
      </c>
      <c r="AE31" s="153">
        <v>5.2723093982743947E-2</v>
      </c>
      <c r="AF31" s="153">
        <v>5.284222765057818E-2</v>
      </c>
      <c r="AG31" s="153">
        <v>5.3557117180250462E-2</v>
      </c>
      <c r="AH31" s="153">
        <v>5.201024015263251E-2</v>
      </c>
      <c r="AI31" s="153">
        <v>5.2771205814679284E-2</v>
      </c>
      <c r="AJ31" s="153">
        <v>5.201024015263251E-2</v>
      </c>
      <c r="AK31" s="154">
        <v>5.7750256700781412E-2</v>
      </c>
      <c r="AL31" s="77">
        <v>5.2999999999999999E-2</v>
      </c>
    </row>
    <row r="32" spans="2:39">
      <c r="B32" s="88" t="s">
        <v>346</v>
      </c>
      <c r="C32" s="90"/>
      <c r="D32" s="90"/>
      <c r="E32" s="90"/>
      <c r="F32" s="90"/>
      <c r="G32" s="90"/>
      <c r="H32" s="1217"/>
      <c r="AB32" s="29" t="s">
        <v>59</v>
      </c>
      <c r="AC32" s="36">
        <f t="shared" si="0"/>
        <v>4.2999999999999997E-2</v>
      </c>
      <c r="AD32" s="152">
        <v>4.2270570262748219E-2</v>
      </c>
      <c r="AE32" s="153">
        <v>4.2705307011003814E-2</v>
      </c>
      <c r="AF32" s="153">
        <v>4.2801804380104967E-2</v>
      </c>
      <c r="AG32" s="153">
        <v>4.338085948740953E-2</v>
      </c>
      <c r="AH32" s="153">
        <v>4.2127900804933227E-2</v>
      </c>
      <c r="AI32" s="153">
        <v>4.2744277230663763E-2</v>
      </c>
      <c r="AJ32" s="153">
        <v>4.2127900804933227E-2</v>
      </c>
      <c r="AK32" s="154">
        <v>4.6777270756878209E-2</v>
      </c>
      <c r="AL32" s="77">
        <v>4.2999999999999997E-2</v>
      </c>
    </row>
    <row r="33" spans="2:39">
      <c r="B33" s="83" t="s">
        <v>173</v>
      </c>
      <c r="C33" s="97" t="e">
        <f>'Cath. Prod. Par.'!FH44</f>
        <v>#DIV/0!</v>
      </c>
      <c r="D33" s="97" t="e">
        <f>'Cath. Prod. Par.'!AH44</f>
        <v>#DIV/0!</v>
      </c>
      <c r="E33" s="97" t="e">
        <f>'Cath. Prod. Par.'!BH44</f>
        <v>#DIV/0!</v>
      </c>
      <c r="F33" s="97" t="e">
        <f>'Cath. Prod. Par.'!CH44</f>
        <v>#DIV/0!</v>
      </c>
      <c r="G33" s="97" t="e">
        <f>'Cath. Prod. Par.'!DH44</f>
        <v>#DIV/0!</v>
      </c>
      <c r="H33" s="1019" t="e">
        <f>'Cath. Prod. Par.'!EH44</f>
        <v>#DIV/0!</v>
      </c>
      <c r="AB33" s="29" t="s">
        <v>60</v>
      </c>
      <c r="AC33" s="36">
        <f t="shared" si="0"/>
        <v>8.0000000000000002E-3</v>
      </c>
      <c r="AD33" s="152">
        <v>8.5342714060308595E-3</v>
      </c>
      <c r="AE33" s="153">
        <v>8.3358038905370167E-3</v>
      </c>
      <c r="AF33" s="153">
        <v>8.2868328188505976E-3</v>
      </c>
      <c r="AG33" s="153">
        <v>8.0347380577629694E-3</v>
      </c>
      <c r="AH33" s="153">
        <v>9.8821601847260583E-3</v>
      </c>
      <c r="AI33" s="153">
        <v>8.0203519149470021E-3</v>
      </c>
      <c r="AJ33" s="153">
        <v>9.8821601847260583E-3</v>
      </c>
      <c r="AK33" s="154">
        <v>1.0611012852463927E-2</v>
      </c>
      <c r="AL33" s="77">
        <v>8.0000000000000002E-3</v>
      </c>
    </row>
    <row r="34" spans="2:39">
      <c r="B34" s="83" t="s">
        <v>174</v>
      </c>
      <c r="C34" s="63" t="e">
        <f>'Cath. Prod. Par.'!FH45</f>
        <v>#DIV/0!</v>
      </c>
      <c r="D34" s="97" t="e">
        <f>'Cath. Prod. Par.'!AH45</f>
        <v>#DIV/0!</v>
      </c>
      <c r="E34" s="97" t="e">
        <f>'Cath. Prod. Par.'!BH45</f>
        <v>#DIV/0!</v>
      </c>
      <c r="F34" s="97" t="e">
        <f>'Cath. Prod. Par.'!CH45</f>
        <v>#DIV/0!</v>
      </c>
      <c r="G34" s="97" t="e">
        <f>'Cath. Prod. Par.'!DH45</f>
        <v>#DIV/0!</v>
      </c>
      <c r="H34" s="1019" t="e">
        <f>'Cath. Prod. Par.'!EH45</f>
        <v>#DIV/0!</v>
      </c>
      <c r="AB34" s="29" t="s">
        <v>61</v>
      </c>
      <c r="AC34" s="36">
        <f t="shared" si="0"/>
        <v>2E-3</v>
      </c>
      <c r="AD34" s="152">
        <v>1.8326803261253814E-3</v>
      </c>
      <c r="AE34" s="153">
        <v>1.7780509495062798E-3</v>
      </c>
      <c r="AF34" s="153">
        <v>1.7654026543166294E-3</v>
      </c>
      <c r="AG34" s="153">
        <v>1.6931594837039576E-3</v>
      </c>
      <c r="AH34" s="153">
        <v>2.1847977592697201E-3</v>
      </c>
      <c r="AI34" s="153">
        <v>1.6939892274871024E-3</v>
      </c>
      <c r="AJ34" s="153">
        <v>2.1847977592697201E-3</v>
      </c>
      <c r="AK34" s="154">
        <v>2.3448613497804118E-3</v>
      </c>
      <c r="AL34" s="77">
        <v>2E-3</v>
      </c>
    </row>
    <row r="35" spans="2:39">
      <c r="B35" s="83" t="s">
        <v>175</v>
      </c>
      <c r="C35" s="63" t="e">
        <f>'Cath. Prod. Par.'!FH46</f>
        <v>#DIV/0!</v>
      </c>
      <c r="D35" s="97" t="e">
        <f>'Cath. Prod. Par.'!AH46</f>
        <v>#DIV/0!</v>
      </c>
      <c r="E35" s="97" t="e">
        <f>'Cath. Prod. Par.'!BH46</f>
        <v>#DIV/0!</v>
      </c>
      <c r="F35" s="97" t="e">
        <f>'Cath. Prod. Par.'!CH46</f>
        <v>#DIV/0!</v>
      </c>
      <c r="G35" s="97" t="e">
        <f>'Cath. Prod. Par.'!DH46</f>
        <v>#DIV/0!</v>
      </c>
      <c r="H35" s="1019" t="e">
        <f>'Cath. Prod. Par.'!EH46</f>
        <v>#DIV/0!</v>
      </c>
      <c r="AB35" s="29" t="s">
        <v>62</v>
      </c>
      <c r="AC35" s="36">
        <f t="shared" si="0"/>
        <v>3.0000000000000001E-3</v>
      </c>
      <c r="AD35" s="152">
        <v>2.6335610044035083E-3</v>
      </c>
      <c r="AE35" s="153">
        <v>2.6774336062363913E-3</v>
      </c>
      <c r="AF35" s="153">
        <v>2.6809830415211924E-3</v>
      </c>
      <c r="AG35" s="153">
        <v>2.7616778588801065E-3</v>
      </c>
      <c r="AH35" s="153">
        <v>2.5010001433717326E-3</v>
      </c>
      <c r="AI35" s="153">
        <v>2.7229362160117202E-3</v>
      </c>
      <c r="AJ35" s="153">
        <v>2.5010001433717326E-3</v>
      </c>
      <c r="AK35" s="154">
        <v>2.6948674719011823E-3</v>
      </c>
      <c r="AL35" s="77">
        <v>3.0000000000000001E-3</v>
      </c>
    </row>
    <row r="36" spans="2:39">
      <c r="B36" s="83" t="s">
        <v>176</v>
      </c>
      <c r="C36" s="63" t="e">
        <f>'Cath. Prod. Par.'!FH47</f>
        <v>#DIV/0!</v>
      </c>
      <c r="D36" s="97" t="e">
        <f>'Cath. Prod. Par.'!AH47</f>
        <v>#DIV/0!</v>
      </c>
      <c r="E36" s="97" t="e">
        <f>'Cath. Prod. Par.'!BH47</f>
        <v>#DIV/0!</v>
      </c>
      <c r="F36" s="97" t="e">
        <f>'Cath. Prod. Par.'!CH47</f>
        <v>#DIV/0!</v>
      </c>
      <c r="G36" s="97" t="e">
        <f>'Cath. Prod. Par.'!DH47</f>
        <v>#DIV/0!</v>
      </c>
      <c r="H36" s="1019" t="e">
        <f>'Cath. Prod. Par.'!EH47</f>
        <v>#DIV/0!</v>
      </c>
      <c r="AB36" s="15" t="s">
        <v>439</v>
      </c>
      <c r="AC36" s="67">
        <f t="shared" si="0"/>
        <v>0</v>
      </c>
      <c r="AD36" s="157">
        <v>0</v>
      </c>
      <c r="AE36" s="157">
        <v>0</v>
      </c>
      <c r="AF36" s="157">
        <v>0</v>
      </c>
      <c r="AG36" s="157">
        <v>0</v>
      </c>
      <c r="AH36" s="157">
        <v>0</v>
      </c>
      <c r="AI36" s="157">
        <v>0</v>
      </c>
      <c r="AJ36" s="157">
        <v>0</v>
      </c>
      <c r="AK36" s="157">
        <v>0</v>
      </c>
      <c r="AL36" s="78">
        <v>0</v>
      </c>
    </row>
    <row r="37" spans="2:39">
      <c r="B37" s="83" t="s">
        <v>177</v>
      </c>
      <c r="C37" s="63" t="e">
        <f>'Cath. Prod. Par.'!FH48</f>
        <v>#DIV/0!</v>
      </c>
      <c r="D37" s="97" t="e">
        <f>'Cath. Prod. Par.'!AH48</f>
        <v>#DIV/0!</v>
      </c>
      <c r="E37" s="97" t="e">
        <f>'Cath. Prod. Par.'!BH48</f>
        <v>#DIV/0!</v>
      </c>
      <c r="F37" s="97" t="e">
        <f>'Cath. Prod. Par.'!CH48</f>
        <v>#DIV/0!</v>
      </c>
      <c r="G37" s="97" t="e">
        <f>'Cath. Prod. Par.'!DH48</f>
        <v>#DIV/0!</v>
      </c>
      <c r="H37" s="1019" t="e">
        <f>'Cath. Prod. Par.'!EH48</f>
        <v>#DIV/0!</v>
      </c>
      <c r="AD37" s="111"/>
      <c r="AE37" s="111"/>
      <c r="AF37" s="111"/>
      <c r="AG37" s="111"/>
      <c r="AH37" s="111"/>
      <c r="AI37" s="111"/>
      <c r="AJ37" s="111"/>
      <c r="AK37" s="111"/>
    </row>
    <row r="38" spans="2:39">
      <c r="B38" s="86" t="s">
        <v>344</v>
      </c>
      <c r="C38" s="92" t="e">
        <f>'Cath. Prod. Par.'!FH49</f>
        <v>#DIV/0!</v>
      </c>
      <c r="D38" s="838" t="e">
        <f>'Cath. Prod. Par.'!AH49</f>
        <v>#DIV/0!</v>
      </c>
      <c r="E38" s="838" t="e">
        <f>'Cath. Prod. Par.'!BH49</f>
        <v>#DIV/0!</v>
      </c>
      <c r="F38" s="838" t="e">
        <f>'Cath. Prod. Par.'!CH49</f>
        <v>#DIV/0!</v>
      </c>
      <c r="G38" s="838" t="e">
        <f>'Cath. Prod. Par.'!DH49</f>
        <v>#DIV/0!</v>
      </c>
      <c r="H38" s="1020" t="e">
        <f>'Cath. Prod. Par.'!EH49</f>
        <v>#DIV/0!</v>
      </c>
      <c r="AB38" s="2" t="s">
        <v>156</v>
      </c>
      <c r="AD38" s="1693" t="s">
        <v>63</v>
      </c>
      <c r="AE38" s="1694"/>
      <c r="AF38" s="1694"/>
      <c r="AG38" s="1694"/>
      <c r="AH38" s="1694"/>
      <c r="AI38" s="1694"/>
      <c r="AJ38" s="1694"/>
      <c r="AK38" s="1695"/>
    </row>
    <row r="39" spans="2:39">
      <c r="B39" s="88" t="s">
        <v>345</v>
      </c>
      <c r="C39" s="98"/>
      <c r="D39" s="98"/>
      <c r="E39" s="98"/>
      <c r="F39" s="98"/>
      <c r="G39" s="98"/>
      <c r="H39" s="1232"/>
      <c r="AB39" s="35"/>
      <c r="AC39" s="79" t="s">
        <v>51</v>
      </c>
      <c r="AD39" s="145" t="s">
        <v>1029</v>
      </c>
      <c r="AE39" s="144" t="s">
        <v>1540</v>
      </c>
      <c r="AF39" s="144" t="s">
        <v>667</v>
      </c>
      <c r="AG39" s="144" t="s">
        <v>669</v>
      </c>
      <c r="AH39" s="144" t="s">
        <v>42</v>
      </c>
      <c r="AI39" s="144" t="s">
        <v>73</v>
      </c>
      <c r="AJ39" s="144" t="s">
        <v>148</v>
      </c>
      <c r="AK39" s="146" t="s">
        <v>149</v>
      </c>
      <c r="AL39" s="34" t="s">
        <v>52</v>
      </c>
    </row>
    <row r="40" spans="2:39">
      <c r="B40" s="83" t="s">
        <v>180</v>
      </c>
      <c r="C40" s="63" t="e">
        <f>'Cath. Prod. Par.'!FH51</f>
        <v>#DIV/0!</v>
      </c>
      <c r="D40" s="97" t="e">
        <f>'Cath. Prod. Par.'!AH51</f>
        <v>#DIV/0!</v>
      </c>
      <c r="E40" s="97" t="e">
        <f>'Cath. Prod. Par.'!BH51</f>
        <v>#DIV/0!</v>
      </c>
      <c r="F40" s="97" t="e">
        <f>'Cath. Prod. Par.'!CH51</f>
        <v>#DIV/0!</v>
      </c>
      <c r="G40" s="97" t="e">
        <f>'Cath. Prod. Par.'!DH51</f>
        <v>#DIV/0!</v>
      </c>
      <c r="H40" s="1019" t="e">
        <f>'Cath. Prod. Par.'!EH51</f>
        <v>#DIV/0!</v>
      </c>
      <c r="AB40" s="29" t="s">
        <v>157</v>
      </c>
      <c r="AC40" s="1086">
        <f>IF(ISNUMBER(AL40),AL40,HLOOKUP($AC$9, $AD$39:$AK$42, ROW($AC40)-ROW($AC$40)+2, FALSE))</f>
        <v>53.2</v>
      </c>
      <c r="AD40" s="1081">
        <f>0.161*1055/HLOOKUP(AD39,Output!$AD$4:$AK$6,3,FALSE)</f>
        <v>49.817906076499177</v>
      </c>
      <c r="AE40" s="1081">
        <f>0.161*1055/HLOOKUP(AE39,Output!$AD$4:$AK$6,3,FALSE)</f>
        <v>52.542394067938055</v>
      </c>
      <c r="AF40" s="1081">
        <f>0.161*1055/HLOOKUP(AF39,Output!$AD$4:$AK$6,3,FALSE)</f>
        <v>53.202038887257977</v>
      </c>
      <c r="AG40" s="1081">
        <f>0.161*1055/HLOOKUP(AG39,Output!$AD$4:$AK$6,3,FALSE)</f>
        <v>57.065418580183042</v>
      </c>
      <c r="AH40" s="1081">
        <f>0.161*1055/HLOOKUP(AH39,Output!$AD$4:$AK$6,3,FALSE)</f>
        <v>40.534276398477346</v>
      </c>
      <c r="AI40" s="1081">
        <f>0.161*1055/HLOOKUP(AI39,Output!$AD$4:$AK$6,3,FALSE)</f>
        <v>55.196123933773684</v>
      </c>
      <c r="AJ40" s="1081">
        <f>0.161*1055/HLOOKUP(AJ39,Output!$AD$4:$AK$6,3,FALSE)</f>
        <v>40.534276398477346</v>
      </c>
      <c r="AK40" s="1085">
        <f>0.161*1055/HLOOKUP(AK39,Output!$AD$4:$AK$6,3,FALSE)</f>
        <v>40.077399547927691</v>
      </c>
      <c r="AL40" s="160">
        <v>53.2</v>
      </c>
      <c r="AM40" s="115" t="str">
        <f>IF(SUM(AC41:AC42)&lt;&gt;1, "Warning: energy consumption shares do not add up to 100%!","")</f>
        <v/>
      </c>
    </row>
    <row r="41" spans="2:39">
      <c r="B41" s="83" t="s">
        <v>181</v>
      </c>
      <c r="C41" s="63" t="e">
        <f>'Cath. Prod. Par.'!FH52</f>
        <v>#DIV/0!</v>
      </c>
      <c r="D41" s="97" t="e">
        <f>'Cath. Prod. Par.'!AH52</f>
        <v>#DIV/0!</v>
      </c>
      <c r="E41" s="97" t="e">
        <f>'Cath. Prod. Par.'!BH52</f>
        <v>#DIV/0!</v>
      </c>
      <c r="F41" s="97" t="e">
        <f>'Cath. Prod. Par.'!CH52</f>
        <v>#DIV/0!</v>
      </c>
      <c r="G41" s="97" t="e">
        <f>'Cath. Prod. Par.'!DH52</f>
        <v>#DIV/0!</v>
      </c>
      <c r="H41" s="1019" t="e">
        <f>'Cath. Prod. Par.'!EH52</f>
        <v>#DIV/0!</v>
      </c>
      <c r="AB41" s="29" t="s">
        <v>158</v>
      </c>
      <c r="AC41" s="1087">
        <f>IF(ISNUMBER(AL41),AL41,HLOOKUP($AC$9, $AD$39:$AK$42, ROW($AC41)-ROW($AC$40)+2, FALSE))</f>
        <v>0.17599999999999999</v>
      </c>
      <c r="AD41" s="1078">
        <v>0.17599999999999999</v>
      </c>
      <c r="AE41" s="1078">
        <v>0.17599999999999999</v>
      </c>
      <c r="AF41" s="1078">
        <v>0.17599999999999999</v>
      </c>
      <c r="AG41" s="1078">
        <v>0.17599999999999999</v>
      </c>
      <c r="AH41" s="1078">
        <v>0.17599999999999999</v>
      </c>
      <c r="AI41" s="1078">
        <v>0.17599999999999999</v>
      </c>
      <c r="AJ41" s="1078">
        <v>0.17599999999999999</v>
      </c>
      <c r="AK41" s="1078">
        <v>0.17599999999999999</v>
      </c>
      <c r="AL41" s="161">
        <v>0.17599999999999999</v>
      </c>
    </row>
    <row r="42" spans="2:39">
      <c r="B42" s="83" t="s">
        <v>182</v>
      </c>
      <c r="C42" s="63" t="e">
        <f>'Cath. Prod. Par.'!FH53</f>
        <v>#DIV/0!</v>
      </c>
      <c r="D42" s="97" t="e">
        <f>'Cath. Prod. Par.'!AH53</f>
        <v>#DIV/0!</v>
      </c>
      <c r="E42" s="97" t="e">
        <f>'Cath. Prod. Par.'!BH53</f>
        <v>#DIV/0!</v>
      </c>
      <c r="F42" s="97" t="e">
        <f>'Cath. Prod. Par.'!CH53</f>
        <v>#DIV/0!</v>
      </c>
      <c r="G42" s="97" t="e">
        <f>'Cath. Prod. Par.'!DH53</f>
        <v>#DIV/0!</v>
      </c>
      <c r="H42" s="1019" t="e">
        <f>'Cath. Prod. Par.'!EH53</f>
        <v>#DIV/0!</v>
      </c>
      <c r="AB42" s="15" t="s">
        <v>646</v>
      </c>
      <c r="AC42" s="1088">
        <f>IF(ISNUMBER(AL42),AL42,HLOOKUP($AC$9, $AD$39:$AK$42, ROW($AC42)-ROW($AC$40)+2, FALSE))</f>
        <v>0.82399999999999995</v>
      </c>
      <c r="AD42" s="1079">
        <v>0.82399999999999995</v>
      </c>
      <c r="AE42" s="1079">
        <v>0.82399999999999995</v>
      </c>
      <c r="AF42" s="1079">
        <v>0.82399999999999995</v>
      </c>
      <c r="AG42" s="1079">
        <v>0.82399999999999995</v>
      </c>
      <c r="AH42" s="1079">
        <v>0.82399999999999995</v>
      </c>
      <c r="AI42" s="1079">
        <v>0.82399999999999995</v>
      </c>
      <c r="AJ42" s="1079">
        <v>0.82399999999999995</v>
      </c>
      <c r="AK42" s="1079">
        <v>0.82399999999999995</v>
      </c>
      <c r="AL42" s="162">
        <v>0.82399999999999995</v>
      </c>
    </row>
    <row r="43" spans="2:39">
      <c r="B43" s="83" t="s">
        <v>183</v>
      </c>
      <c r="C43" s="63" t="e">
        <f>'Cath. Prod. Par.'!FH54</f>
        <v>#DIV/0!</v>
      </c>
      <c r="D43" s="97" t="e">
        <f>'Cath. Prod. Par.'!AH54</f>
        <v>#DIV/0!</v>
      </c>
      <c r="E43" s="97" t="e">
        <f>'Cath. Prod. Par.'!BH54</f>
        <v>#DIV/0!</v>
      </c>
      <c r="F43" s="97" t="e">
        <f>'Cath. Prod. Par.'!CH54</f>
        <v>#DIV/0!</v>
      </c>
      <c r="G43" s="97" t="e">
        <f>'Cath. Prod. Par.'!DH54</f>
        <v>#DIV/0!</v>
      </c>
      <c r="H43" s="1019" t="e">
        <f>'Cath. Prod. Par.'!EH54</f>
        <v>#DIV/0!</v>
      </c>
    </row>
    <row r="44" spans="2:39">
      <c r="B44" s="83" t="s">
        <v>184</v>
      </c>
      <c r="C44" s="63" t="e">
        <f>'Cath. Prod. Par.'!FH55</f>
        <v>#DIV/0!</v>
      </c>
      <c r="D44" s="97" t="e">
        <f>'Cath. Prod. Par.'!AH55</f>
        <v>#DIV/0!</v>
      </c>
      <c r="E44" s="97" t="e">
        <f>'Cath. Prod. Par.'!BH55</f>
        <v>#DIV/0!</v>
      </c>
      <c r="F44" s="97" t="e">
        <f>'Cath. Prod. Par.'!CH55</f>
        <v>#DIV/0!</v>
      </c>
      <c r="G44" s="97" t="e">
        <f>'Cath. Prod. Par.'!DH55</f>
        <v>#DIV/0!</v>
      </c>
      <c r="H44" s="1019" t="e">
        <f>'Cath. Prod. Par.'!EH55</f>
        <v>#DIV/0!</v>
      </c>
      <c r="AB44" s="2" t="s">
        <v>161</v>
      </c>
    </row>
    <row r="45" spans="2:39">
      <c r="B45" s="83" t="s">
        <v>185</v>
      </c>
      <c r="C45" s="63" t="e">
        <f>'Cath. Prod. Par.'!FH56</f>
        <v>#DIV/0!</v>
      </c>
      <c r="D45" s="97" t="e">
        <f>'Cath. Prod. Par.'!AH56</f>
        <v>#DIV/0!</v>
      </c>
      <c r="E45" s="97" t="e">
        <f>'Cath. Prod. Par.'!BH56</f>
        <v>#DIV/0!</v>
      </c>
      <c r="F45" s="97" t="e">
        <f>'Cath. Prod. Par.'!CH56</f>
        <v>#DIV/0!</v>
      </c>
      <c r="G45" s="97" t="e">
        <f>'Cath. Prod. Par.'!DH56</f>
        <v>#DIV/0!</v>
      </c>
      <c r="H45" s="1019" t="e">
        <f>'Cath. Prod. Par.'!EH56</f>
        <v>#DIV/0!</v>
      </c>
      <c r="AB45" t="s">
        <v>162</v>
      </c>
    </row>
    <row r="46" spans="2:39">
      <c r="B46" s="83" t="s">
        <v>186</v>
      </c>
      <c r="C46" s="63" t="e">
        <f>'Cath. Prod. Par.'!FH57</f>
        <v>#DIV/0!</v>
      </c>
      <c r="D46" s="97" t="e">
        <f>'Cath. Prod. Par.'!AH57</f>
        <v>#DIV/0!</v>
      </c>
      <c r="E46" s="97" t="e">
        <f>'Cath. Prod. Par.'!BH57</f>
        <v>#DIV/0!</v>
      </c>
      <c r="F46" s="97" t="e">
        <f>'Cath. Prod. Par.'!CH57</f>
        <v>#DIV/0!</v>
      </c>
      <c r="G46" s="97" t="e">
        <f>'Cath. Prod. Par.'!DH57</f>
        <v>#DIV/0!</v>
      </c>
      <c r="H46" s="1019" t="e">
        <f>'Cath. Prod. Par.'!EH57</f>
        <v>#DIV/0!</v>
      </c>
      <c r="AB46" s="35"/>
      <c r="AC46" s="79" t="s">
        <v>51</v>
      </c>
      <c r="AD46" s="144" t="s">
        <v>63</v>
      </c>
      <c r="AE46" s="34" t="s">
        <v>52</v>
      </c>
    </row>
    <row r="47" spans="2:39">
      <c r="B47" s="83" t="s">
        <v>187</v>
      </c>
      <c r="C47" s="63" t="e">
        <f>'Cath. Prod. Par.'!FH58</f>
        <v>#DIV/0!</v>
      </c>
      <c r="D47" s="97" t="e">
        <f>'Cath. Prod. Par.'!AH58</f>
        <v>#DIV/0!</v>
      </c>
      <c r="E47" s="97" t="e">
        <f>'Cath. Prod. Par.'!BH58</f>
        <v>#DIV/0!</v>
      </c>
      <c r="F47" s="97" t="e">
        <f>'Cath. Prod. Par.'!CH58</f>
        <v>#DIV/0!</v>
      </c>
      <c r="G47" s="97" t="e">
        <f>'Cath. Prod. Par.'!DH58</f>
        <v>#DIV/0!</v>
      </c>
      <c r="H47" s="1019" t="e">
        <f>'Cath. Prod. Par.'!EH58</f>
        <v>#DIV/0!</v>
      </c>
      <c r="AB47" s="15" t="s">
        <v>167</v>
      </c>
      <c r="AC47" s="39">
        <f>IF(AE47&gt;0,AE47,AD47)</f>
        <v>0.95</v>
      </c>
      <c r="AD47" s="38">
        <f>'BatPaC IO'!B14</f>
        <v>0.95</v>
      </c>
      <c r="AE47" s="107"/>
    </row>
    <row r="48" spans="2:39">
      <c r="B48" s="83" t="s">
        <v>188</v>
      </c>
      <c r="C48" s="63" t="e">
        <f>'Cath. Prod. Par.'!FH59</f>
        <v>#DIV/0!</v>
      </c>
      <c r="D48" s="97" t="e">
        <f>'Cath. Prod. Par.'!AH59</f>
        <v>#DIV/0!</v>
      </c>
      <c r="E48" s="97" t="e">
        <f>'Cath. Prod. Par.'!BH59</f>
        <v>#DIV/0!</v>
      </c>
      <c r="F48" s="97" t="e">
        <f>'Cath. Prod. Par.'!CH59</f>
        <v>#DIV/0!</v>
      </c>
      <c r="G48" s="97" t="e">
        <f>'Cath. Prod. Par.'!DH59</f>
        <v>#DIV/0!</v>
      </c>
      <c r="H48" s="1019" t="e">
        <f>'Cath. Prod. Par.'!EH59</f>
        <v>#DIV/0!</v>
      </c>
      <c r="AB48" t="s">
        <v>350</v>
      </c>
    </row>
    <row r="49" spans="2:43">
      <c r="B49" s="83" t="s">
        <v>189</v>
      </c>
      <c r="C49" s="63" t="e">
        <f>'Cath. Prod. Par.'!FH60</f>
        <v>#DIV/0!</v>
      </c>
      <c r="D49" s="97" t="e">
        <f>'Cath. Prod. Par.'!AH60</f>
        <v>#DIV/0!</v>
      </c>
      <c r="E49" s="97" t="e">
        <f>'Cath. Prod. Par.'!BH60</f>
        <v>#DIV/0!</v>
      </c>
      <c r="F49" s="97" t="e">
        <f>'Cath. Prod. Par.'!CH60</f>
        <v>#DIV/0!</v>
      </c>
      <c r="G49" s="97" t="e">
        <f>'Cath. Prod. Par.'!DH60</f>
        <v>#DIV/0!</v>
      </c>
      <c r="H49" s="1019" t="e">
        <f>'Cath. Prod. Par.'!EH60</f>
        <v>#DIV/0!</v>
      </c>
      <c r="AB49" s="35"/>
      <c r="AC49" s="79" t="s">
        <v>51</v>
      </c>
      <c r="AD49" s="144" t="s">
        <v>63</v>
      </c>
      <c r="AE49" s="34" t="s">
        <v>52</v>
      </c>
    </row>
    <row r="50" spans="2:43">
      <c r="B50" s="83" t="s">
        <v>190</v>
      </c>
      <c r="C50" s="59" t="e">
        <f>'Cath. Prod. Par.'!FH61</f>
        <v>#DIV/0!</v>
      </c>
      <c r="D50" s="835" t="e">
        <f>'Cath. Prod. Par.'!AH61</f>
        <v>#DIV/0!</v>
      </c>
      <c r="E50" s="835" t="e">
        <f>'Cath. Prod. Par.'!BH61</f>
        <v>#DIV/0!</v>
      </c>
      <c r="F50" s="835" t="e">
        <f>'Cath. Prod. Par.'!CH61</f>
        <v>#DIV/0!</v>
      </c>
      <c r="G50" s="836" t="e">
        <f>'Cath. Prod. Par.'!DH61</f>
        <v>#DIV/0!</v>
      </c>
      <c r="H50" s="836" t="e">
        <f>'Cath. Prod. Par.'!EH61</f>
        <v>#DIV/0!</v>
      </c>
      <c r="AB50" s="29" t="s">
        <v>53</v>
      </c>
      <c r="AC50" s="44">
        <f t="shared" ref="AC50:AC55" si="1">IF(AE50&gt;0,AE50,AD50)</f>
        <v>0.92178404999999985</v>
      </c>
      <c r="AD50" s="41">
        <f>'BatPaC IO'!B17</f>
        <v>0.92178404999999985</v>
      </c>
      <c r="AE50" s="106"/>
    </row>
    <row r="51" spans="2:43">
      <c r="B51" s="83" t="s">
        <v>198</v>
      </c>
      <c r="C51" s="59" t="e">
        <f>'Cath. Prod. Par.'!FH62</f>
        <v>#DIV/0!</v>
      </c>
      <c r="D51" s="835" t="e">
        <f>'Cath. Prod. Par.'!AH62</f>
        <v>#DIV/0!</v>
      </c>
      <c r="E51" s="835" t="e">
        <f>'Cath. Prod. Par.'!BH62</f>
        <v>#DIV/0!</v>
      </c>
      <c r="F51" s="835" t="e">
        <f>'Cath. Prod. Par.'!CH62</f>
        <v>#DIV/0!</v>
      </c>
      <c r="G51" s="836" t="e">
        <f>'Cath. Prod. Par.'!DH62</f>
        <v>#DIV/0!</v>
      </c>
      <c r="H51" s="836" t="e">
        <f>'Cath. Prod. Par.'!EH62</f>
        <v>#DIV/0!</v>
      </c>
      <c r="AB51" s="29" t="s">
        <v>83</v>
      </c>
      <c r="AC51" s="40">
        <f t="shared" si="1"/>
        <v>0.92178404999999985</v>
      </c>
      <c r="AD51" s="41">
        <f>'BatPaC IO'!C17</f>
        <v>0.92178404999999985</v>
      </c>
      <c r="AE51" s="77"/>
    </row>
    <row r="52" spans="2:43">
      <c r="B52" s="81" t="s">
        <v>199</v>
      </c>
      <c r="C52" s="57" t="e">
        <f>'Cath. Prod. Par.'!FH63</f>
        <v>#DIV/0!</v>
      </c>
      <c r="D52" s="834" t="e">
        <f>'Cath. Prod. Par.'!AH63</f>
        <v>#DIV/0!</v>
      </c>
      <c r="E52" s="834" t="e">
        <f>'Cath. Prod. Par.'!BH63</f>
        <v>#DIV/0!</v>
      </c>
      <c r="F52" s="837" t="e">
        <f>'Cath. Prod. Par.'!CH63</f>
        <v>#DIV/0!</v>
      </c>
      <c r="G52" s="834" t="e">
        <f>'Cath. Prod. Par.'!DH63</f>
        <v>#DIV/0!</v>
      </c>
      <c r="H52" s="1233" t="e">
        <f>'Cath. Prod. Par.'!EH63</f>
        <v>#DIV/0!</v>
      </c>
      <c r="AB52" s="29" t="s">
        <v>84</v>
      </c>
      <c r="AC52" s="40">
        <f t="shared" si="1"/>
        <v>0.86526000000000003</v>
      </c>
      <c r="AD52" s="41">
        <f>'BatPaC IO'!D17</f>
        <v>0.86526000000000003</v>
      </c>
      <c r="AE52" s="77"/>
    </row>
    <row r="53" spans="2:43">
      <c r="AB53" s="29" t="s">
        <v>85</v>
      </c>
      <c r="AC53" s="40">
        <f t="shared" si="1"/>
        <v>0.86526000000000003</v>
      </c>
      <c r="AD53" s="41">
        <f>'BatPaC IO'!E17</f>
        <v>0.86526000000000003</v>
      </c>
      <c r="AE53" s="77"/>
    </row>
    <row r="54" spans="2:43">
      <c r="B54" s="2" t="s">
        <v>1023</v>
      </c>
      <c r="I54" s="1280" t="s">
        <v>1958</v>
      </c>
      <c r="AB54" s="29" t="s">
        <v>86</v>
      </c>
      <c r="AC54" s="40">
        <f t="shared" si="1"/>
        <v>0.98</v>
      </c>
      <c r="AD54" s="41">
        <f>'BatPaC IO'!F17</f>
        <v>0.98</v>
      </c>
      <c r="AE54" s="77"/>
    </row>
    <row r="55" spans="2:43">
      <c r="B55" s="93"/>
      <c r="C55" s="94" t="s">
        <v>42</v>
      </c>
      <c r="D55" s="94" t="s">
        <v>1029</v>
      </c>
      <c r="E55" s="1282" t="s">
        <v>1540</v>
      </c>
      <c r="F55" s="94" t="s">
        <v>667</v>
      </c>
      <c r="G55" s="94" t="s">
        <v>669</v>
      </c>
      <c r="H55" s="94" t="s">
        <v>73</v>
      </c>
      <c r="I55" s="94" t="s">
        <v>148</v>
      </c>
      <c r="J55" s="91" t="s">
        <v>149</v>
      </c>
      <c r="AB55" s="15" t="s">
        <v>70</v>
      </c>
      <c r="AC55" s="42">
        <f t="shared" si="1"/>
        <v>0.99</v>
      </c>
      <c r="AD55" s="43">
        <f>'BatPaC IO'!G17</f>
        <v>0.99</v>
      </c>
      <c r="AE55" s="78"/>
    </row>
    <row r="56" spans="2:43">
      <c r="B56" s="88" t="s">
        <v>346</v>
      </c>
      <c r="C56" s="90"/>
      <c r="D56" s="90"/>
      <c r="F56" s="90"/>
      <c r="G56" s="90"/>
      <c r="H56" s="90"/>
      <c r="I56" s="90"/>
      <c r="J56" s="89"/>
      <c r="AB56" t="s">
        <v>163</v>
      </c>
      <c r="AN56" s="27"/>
    </row>
    <row r="57" spans="2:43">
      <c r="B57" s="83" t="s">
        <v>173</v>
      </c>
      <c r="C57" s="97">
        <f t="array" ref="C57">IF(VLOOKUP(C$55,'Mat. Conv Par.'!$B$9:$F$27,4,FALSE)=0,HLOOKUP(C$55,'GREET IO'!$A$77:$AZ$98,ROW(A57)-ROW(A$55)+1,FALSE)/907.2,'Mat. Conv Par.'!$E114*VLOOKUP(C$55,'Mat. Conv Par.'!$B$14:$E$21,4,FALSE)*HLOOKUP(C$55,'Mat. Conv Par.'!$G$52:$N$53,2,FALSE)/MMULT('Mat. Conv Par.'!$G$53:$N$53,'Mat. Conv Par.'!$E$14:$E$21)/VLOOKUP(C$55,'Mat. Conv Par.'!$B$14:$E$21,4,FALSE))</f>
        <v>0.28213894567254821</v>
      </c>
      <c r="D57" s="97">
        <f t="array" ref="D57">IF(VLOOKUP(D$55,'Mat. Conv Par.'!$B$9:$F$27,4,FALSE)=0,HLOOKUP(D$55,'GREET IO'!$A$77:$AZ$98,ROW(B57)-ROW(B$55)+1,FALSE)/907.2,'Mat. Conv Par.'!$E114*VLOOKUP(D$55,'Mat. Conv Par.'!$B$14:$E$21,4,FALSE)*HLOOKUP(D$55,'Mat. Conv Par.'!$G$52:$N$53,2,FALSE)/MMULT('Mat. Conv Par.'!$G$53:$N$53,'Mat. Conv Par.'!$E$14:$E$21)/VLOOKUP(D$55,'Mat. Conv Par.'!$B$14:$E$21,4,FALSE))</f>
        <v>0.28451252801415688</v>
      </c>
      <c r="E57" s="97">
        <f t="array" ref="E57">IF(VLOOKUP(E$55,'Mat. Conv Par.'!$B$9:$F$27,4,FALSE)=0,HLOOKUP(E$55,'GREET IO'!$A$77:$AZ$98,ROW(C57)-ROW(C$55)+1,FALSE)/907.2,'Mat. Conv Par.'!$E114*VLOOKUP(E$55,'Mat. Conv Par.'!$B$14:$E$21,4,FALSE)*HLOOKUP(E$55,'Mat. Conv Par.'!$G$52:$N$53,2,FALSE)/MMULT('Mat. Conv Par.'!$G$53:$N$53,'Mat. Conv Par.'!$E$14:$E$21)/VLOOKUP(E$55,'Mat. Conv Par.'!$B$14:$E$21,4,FALSE))</f>
        <v>0.2926730611416174</v>
      </c>
      <c r="F57" s="97">
        <f t="array" aca="1" ref="F57" ca="1">IF(VLOOKUP(F$55,'Mat. Conv Par.'!$B$9:$F$27,4,FALSE)=0,HLOOKUP(F$55,'GREET IO'!$A$77:$AZ$98,ROW(D57)-ROW(D$55)+1,FALSE)/907.2,'Mat. Conv Par.'!$E114*VLOOKUP(F$55,'Mat. Conv Par.'!$B$14:$E$21,4,FALSE)*HLOOKUP(F$55,'Mat. Conv Par.'!$G$52:$N$53,2,FALSE)/MMULT('Mat. Conv Par.'!$G$53:$N$53,'Mat. Conv Par.'!$E$14:$E$21)/VLOOKUP(F$55,'Mat. Conv Par.'!$B$14:$E$21,4,FALSE))</f>
        <v>8.6532617007757301E-2</v>
      </c>
      <c r="G57" s="97">
        <f t="array" ref="G57">IF(VLOOKUP(G$55,'Mat. Conv Par.'!$B$9:$F$27,4,FALSE)=0,HLOOKUP(G$55,'GREET IO'!$A$77:$AZ$98,ROW(E57)-ROW(E$55)+1,FALSE)/907.2,'Mat. Conv Par.'!$E114*VLOOKUP(G$55,'Mat. Conv Par.'!$B$14:$E$21,4,FALSE)*HLOOKUP(G$55,'Mat. Conv Par.'!$G$52:$N$53,2,FALSE)/MMULT('Mat. Conv Par.'!$G$53:$N$53,'Mat. Conv Par.'!$E$14:$E$21)/VLOOKUP(G$55,'Mat. Conv Par.'!$B$14:$E$21,4,FALSE))</f>
        <v>0.34655588344512017</v>
      </c>
      <c r="H57" s="97">
        <f t="array" ref="H57">IF(VLOOKUP(H$55,'Mat. Conv Par.'!$B$9:$F$27,4,FALSE)=0,HLOOKUP(H$55,'GREET IO'!$A$77:$AZ$98,ROW(F57)-ROW(F$55)+1,FALSE)/907.2,'Mat. Conv Par.'!$E114*VLOOKUP(H$55,'Mat. Conv Par.'!$B$14:$E$21,4,FALSE)*HLOOKUP(H$55,'Mat. Conv Par.'!$G$52:$N$53,2,FALSE)/MMULT('Mat. Conv Par.'!$G$53:$N$53,'Mat. Conv Par.'!$E$14:$E$21)/VLOOKUP(H$55,'Mat. Conv Par.'!$B$14:$E$21,4,FALSE))</f>
        <v>0.36745369765606012</v>
      </c>
      <c r="I57" s="97">
        <f t="array" ref="I57">IF(VLOOKUP(I$55,'Mat. Conv Par.'!$B$9:$F$27,4,FALSE)=0,HLOOKUP(I$55,'GREET IO'!$A$77:$AZ$98,ROW(G57)-ROW(G$55)+1,FALSE)/907.2,'Mat. Conv Par.'!$E114*VLOOKUP(I$55,'Mat. Conv Par.'!$B$14:$E$21,4,FALSE)*HLOOKUP(I$55,'Mat. Conv Par.'!$G$52:$N$53,2,FALSE)/MMULT('Mat. Conv Par.'!$G$53:$N$53,'Mat. Conv Par.'!$E$14:$E$21)/VLOOKUP(I$55,'Mat. Conv Par.'!$B$14:$E$21,4,FALSE))</f>
        <v>4.0189563067946479E-2</v>
      </c>
      <c r="J57" s="97">
        <f t="array" ref="J57">IF(VLOOKUP(J$55,'Mat. Conv Par.'!$B$9:$F$27,4,FALSE)=0,HLOOKUP(J$55,'GREET IO'!$A$77:$AZ$98,ROW(H57)-ROW(H$55)+1,FALSE)/907.2,'Mat. Conv Par.'!$E114*VLOOKUP(J$55,'Mat. Conv Par.'!$B$14:$E$21,4,FALSE)*HLOOKUP(J$55,'Mat. Conv Par.'!$G$52:$N$53,2,FALSE)/MMULT('Mat. Conv Par.'!$G$53:$N$53,'Mat. Conv Par.'!$E$14:$E$21)/VLOOKUP(J$55,'Mat. Conv Par.'!$B$14:$E$21,4,FALSE))</f>
        <v>0.11836717861632862</v>
      </c>
      <c r="AB57" s="37"/>
      <c r="AC57" s="37"/>
      <c r="AD57" s="1703" t="s">
        <v>166</v>
      </c>
      <c r="AE57" s="1704"/>
      <c r="AF57" s="1705"/>
      <c r="AG57" s="1703" t="s">
        <v>89</v>
      </c>
      <c r="AH57" s="1704"/>
      <c r="AI57" s="1705"/>
      <c r="AN57" s="27"/>
    </row>
    <row r="58" spans="2:43">
      <c r="B58" s="83" t="s">
        <v>174</v>
      </c>
      <c r="C58" s="97">
        <f t="array" ref="C58">IF(VLOOKUP(C$55,'Mat. Conv Par.'!$B$9:$F$27,4,FALSE)=0,HLOOKUP(C$55,'GREET IO'!$A$77:$AZ$98,ROW(A58)-ROW(A$55)+1,FALSE)/907.2,'Mat. Conv Par.'!$E115*VLOOKUP(C$55,'Mat. Conv Par.'!$B$14:$E$21,4,FALSE)*HLOOKUP(C$55,'Mat. Conv Par.'!$G$52:$N$53,2,FALSE)/MMULT('Mat. Conv Par.'!$G$53:$N$53,'Mat. Conv Par.'!$E$14:$E$21)/VLOOKUP(C$55,'Mat. Conv Par.'!$B$14:$E$21,4,FALSE))</f>
        <v>0.25370526156924839</v>
      </c>
      <c r="D58" s="97">
        <f t="array" ref="D58">IF(VLOOKUP(D$55,'Mat. Conv Par.'!$B$9:$F$27,4,FALSE)=0,HLOOKUP(D$55,'GREET IO'!$A$77:$AZ$98,ROW(B58)-ROW(B$55)+1,FALSE)/907.2,'Mat. Conv Par.'!$E115*VLOOKUP(D$55,'Mat. Conv Par.'!$B$14:$E$21,4,FALSE)*HLOOKUP(D$55,'Mat. Conv Par.'!$G$52:$N$53,2,FALSE)/MMULT('Mat. Conv Par.'!$G$53:$N$53,'Mat. Conv Par.'!$E$14:$E$21)/VLOOKUP(D$55,'Mat. Conv Par.'!$B$14:$E$21,4,FALSE))</f>
        <v>0.26030330149573366</v>
      </c>
      <c r="E58" s="97">
        <f t="array" ref="E58">IF(VLOOKUP(E$55,'Mat. Conv Par.'!$B$9:$F$27,4,FALSE)=0,HLOOKUP(E$55,'GREET IO'!$A$77:$AZ$98,ROW(C58)-ROW(C$55)+1,FALSE)/907.2,'Mat. Conv Par.'!$E115*VLOOKUP(E$55,'Mat. Conv Par.'!$B$14:$E$21,4,FALSE)*HLOOKUP(E$55,'Mat. Conv Par.'!$G$52:$N$53,2,FALSE)/MMULT('Mat. Conv Par.'!$G$53:$N$53,'Mat. Conv Par.'!$E$14:$E$21)/VLOOKUP(E$55,'Mat. Conv Par.'!$B$14:$E$21,4,FALSE))</f>
        <v>0.26897437618410164</v>
      </c>
      <c r="F58" s="97">
        <f t="array" aca="1" ref="F58" ca="1">IF(VLOOKUP(F$55,'Mat. Conv Par.'!$B$9:$F$27,4,FALSE)=0,HLOOKUP(F$55,'GREET IO'!$A$77:$AZ$98,ROW(D58)-ROW(D$55)+1,FALSE)/907.2,'Mat. Conv Par.'!$E115*VLOOKUP(F$55,'Mat. Conv Par.'!$B$14:$E$21,4,FALSE)*HLOOKUP(F$55,'Mat. Conv Par.'!$G$52:$N$53,2,FALSE)/MMULT('Mat. Conv Par.'!$G$53:$N$53,'Mat. Conv Par.'!$E$14:$E$21)/VLOOKUP(F$55,'Mat. Conv Par.'!$B$14:$E$21,4,FALSE))</f>
        <v>7.2911393633854585E-2</v>
      </c>
      <c r="G58" s="97">
        <f t="array" ref="G58">IF(VLOOKUP(G$55,'Mat. Conv Par.'!$B$9:$F$27,4,FALSE)=0,HLOOKUP(G$55,'GREET IO'!$A$77:$AZ$98,ROW(E58)-ROW(E$55)+1,FALSE)/907.2,'Mat. Conv Par.'!$E115*VLOOKUP(G$55,'Mat. Conv Par.'!$B$14:$E$21,4,FALSE)*HLOOKUP(G$55,'Mat. Conv Par.'!$G$52:$N$53,2,FALSE)/MMULT('Mat. Conv Par.'!$G$53:$N$53,'Mat. Conv Par.'!$E$14:$E$21)/VLOOKUP(G$55,'Mat. Conv Par.'!$B$14:$E$21,4,FALSE))</f>
        <v>0.31807200116074819</v>
      </c>
      <c r="H58" s="97">
        <f t="array" ref="H58">IF(VLOOKUP(H$55,'Mat. Conv Par.'!$B$9:$F$27,4,FALSE)=0,HLOOKUP(H$55,'GREET IO'!$A$77:$AZ$98,ROW(F58)-ROW(F$55)+1,FALSE)/907.2,'Mat. Conv Par.'!$E115*VLOOKUP(H$55,'Mat. Conv Par.'!$B$14:$E$21,4,FALSE)*HLOOKUP(H$55,'Mat. Conv Par.'!$G$52:$N$53,2,FALSE)/MMULT('Mat. Conv Par.'!$G$53:$N$53,'Mat. Conv Par.'!$E$14:$E$21)/VLOOKUP(H$55,'Mat. Conv Par.'!$B$14:$E$21,4,FALSE))</f>
        <v>0.33803324049297712</v>
      </c>
      <c r="I58" s="97">
        <f t="array" ref="I58">IF(VLOOKUP(I$55,'Mat. Conv Par.'!$B$9:$F$27,4,FALSE)=0,HLOOKUP(I$55,'GREET IO'!$A$77:$AZ$98,ROW(G58)-ROW(G$55)+1,FALSE)/907.2,'Mat. Conv Par.'!$E115*VLOOKUP(I$55,'Mat. Conv Par.'!$B$14:$E$21,4,FALSE)*HLOOKUP(I$55,'Mat. Conv Par.'!$G$52:$N$53,2,FALSE)/MMULT('Mat. Conv Par.'!$G$53:$N$53,'Mat. Conv Par.'!$E$14:$E$21)/VLOOKUP(I$55,'Mat. Conv Par.'!$B$14:$E$21,4,FALSE))</f>
        <v>3.6979962293304795E-2</v>
      </c>
      <c r="J58" s="97">
        <f t="array" ref="J58">IF(VLOOKUP(J$55,'Mat. Conv Par.'!$B$9:$F$27,4,FALSE)=0,HLOOKUP(J$55,'GREET IO'!$A$77:$AZ$98,ROW(H58)-ROW(H$55)+1,FALSE)/907.2,'Mat. Conv Par.'!$E115*VLOOKUP(J$55,'Mat. Conv Par.'!$B$14:$E$21,4,FALSE)*HLOOKUP(J$55,'Mat. Conv Par.'!$G$52:$N$53,2,FALSE)/MMULT('Mat. Conv Par.'!$G$53:$N$53,'Mat. Conv Par.'!$E$14:$E$21)/VLOOKUP(J$55,'Mat. Conv Par.'!$B$14:$E$21,4,FALSE))</f>
        <v>0.11364315762204505</v>
      </c>
      <c r="AB58" s="15"/>
      <c r="AC58" s="15"/>
      <c r="AD58" s="80" t="s">
        <v>51</v>
      </c>
      <c r="AE58" s="80" t="s">
        <v>63</v>
      </c>
      <c r="AF58" s="7" t="s">
        <v>52</v>
      </c>
      <c r="AG58" s="80" t="s">
        <v>51</v>
      </c>
      <c r="AH58" s="80" t="s">
        <v>63</v>
      </c>
      <c r="AI58" s="7" t="s">
        <v>52</v>
      </c>
      <c r="AN58" s="27"/>
    </row>
    <row r="59" spans="2:43">
      <c r="B59" s="83" t="s">
        <v>175</v>
      </c>
      <c r="C59" s="97">
        <f t="array" ref="C59">IF(VLOOKUP(C$55,'Mat. Conv Par.'!$B$9:$F$27,4,FALSE)=0,HLOOKUP(C$55,'GREET IO'!$A$77:$AZ$98,ROW(A59)-ROW(A$55)+1,FALSE)/907.2,'Mat. Conv Par.'!$E116*VLOOKUP(C$55,'Mat. Conv Par.'!$B$14:$E$21,4,FALSE)*HLOOKUP(C$55,'Mat. Conv Par.'!$G$52:$N$53,2,FALSE)/MMULT('Mat. Conv Par.'!$G$53:$N$53,'Mat. Conv Par.'!$E$14:$E$21)/VLOOKUP(C$55,'Mat. Conv Par.'!$B$14:$E$21,4,FALSE))</f>
        <v>8.0920427528929986E-2</v>
      </c>
      <c r="D59" s="97">
        <f t="array" ref="D59">IF(VLOOKUP(D$55,'Mat. Conv Par.'!$B$9:$F$27,4,FALSE)=0,HLOOKUP(D$55,'GREET IO'!$A$77:$AZ$98,ROW(B59)-ROW(B$55)+1,FALSE)/907.2,'Mat. Conv Par.'!$E116*VLOOKUP(D$55,'Mat. Conv Par.'!$B$14:$E$21,4,FALSE)*HLOOKUP(D$55,'Mat. Conv Par.'!$G$52:$N$53,2,FALSE)/MMULT('Mat. Conv Par.'!$G$53:$N$53,'Mat. Conv Par.'!$E$14:$E$21)/VLOOKUP(D$55,'Mat. Conv Par.'!$B$14:$E$21,4,FALSE))</f>
        <v>7.7928260160770466E-2</v>
      </c>
      <c r="E59" s="97">
        <f t="array" ref="E59">IF(VLOOKUP(E$55,'Mat. Conv Par.'!$B$9:$F$27,4,FALSE)=0,HLOOKUP(E$55,'GREET IO'!$A$77:$AZ$98,ROW(C59)-ROW(C$55)+1,FALSE)/907.2,'Mat. Conv Par.'!$E116*VLOOKUP(E$55,'Mat. Conv Par.'!$B$14:$E$21,4,FALSE)*HLOOKUP(E$55,'Mat. Conv Par.'!$G$52:$N$53,2,FALSE)/MMULT('Mat. Conv Par.'!$G$53:$N$53,'Mat. Conv Par.'!$E$14:$E$21)/VLOOKUP(E$55,'Mat. Conv Par.'!$B$14:$E$21,4,FALSE))</f>
        <v>7.8892456725724314E-2</v>
      </c>
      <c r="F59" s="97">
        <f t="array" aca="1" ref="F59" ca="1">IF(VLOOKUP(F$55,'Mat. Conv Par.'!$B$9:$F$27,4,FALSE)=0,HLOOKUP(F$55,'GREET IO'!$A$77:$AZ$98,ROW(D59)-ROW(D$55)+1,FALSE)/907.2,'Mat. Conv Par.'!$E116*VLOOKUP(F$55,'Mat. Conv Par.'!$B$14:$E$21,4,FALSE)*HLOOKUP(F$55,'Mat. Conv Par.'!$G$52:$N$53,2,FALSE)/MMULT('Mat. Conv Par.'!$G$53:$N$53,'Mat. Conv Par.'!$E$14:$E$21)/VLOOKUP(F$55,'Mat. Conv Par.'!$B$14:$E$21,4,FALSE))</f>
        <v>6.0531776743433283E-2</v>
      </c>
      <c r="G59" s="97">
        <f t="array" ref="G59">IF(VLOOKUP(G$55,'Mat. Conv Par.'!$B$9:$F$27,4,FALSE)=0,HLOOKUP(G$55,'GREET IO'!$A$77:$AZ$98,ROW(E59)-ROW(E$55)+1,FALSE)/907.2,'Mat. Conv Par.'!$E116*VLOOKUP(G$55,'Mat. Conv Par.'!$B$14:$E$21,4,FALSE)*HLOOKUP(G$55,'Mat. Conv Par.'!$G$52:$N$53,2,FALSE)/MMULT('Mat. Conv Par.'!$G$53:$N$53,'Mat. Conv Par.'!$E$14:$E$21)/VLOOKUP(G$55,'Mat. Conv Par.'!$B$14:$E$21,4,FALSE))</f>
        <v>8.7580398136294202E-2</v>
      </c>
      <c r="H59" s="97">
        <f t="array" ref="H59">IF(VLOOKUP(H$55,'Mat. Conv Par.'!$B$9:$F$27,4,FALSE)=0,HLOOKUP(H$55,'GREET IO'!$A$77:$AZ$98,ROW(F59)-ROW(F$55)+1,FALSE)/907.2,'Mat. Conv Par.'!$E116*VLOOKUP(H$55,'Mat. Conv Par.'!$B$14:$E$21,4,FALSE)*HLOOKUP(H$55,'Mat. Conv Par.'!$G$52:$N$53,2,FALSE)/MMULT('Mat. Conv Par.'!$G$53:$N$53,'Mat. Conv Par.'!$E$14:$E$21)/VLOOKUP(H$55,'Mat. Conv Par.'!$B$14:$E$21,4,FALSE))</f>
        <v>8.9790434678015521E-2</v>
      </c>
      <c r="I59" s="97">
        <f t="array" ref="I59">IF(VLOOKUP(I$55,'Mat. Conv Par.'!$B$9:$F$27,4,FALSE)=0,HLOOKUP(I$55,'GREET IO'!$A$77:$AZ$98,ROW(G59)-ROW(G$55)+1,FALSE)/907.2,'Mat. Conv Par.'!$E116*VLOOKUP(I$55,'Mat. Conv Par.'!$B$14:$E$21,4,FALSE)*HLOOKUP(I$55,'Mat. Conv Par.'!$G$52:$N$53,2,FALSE)/MMULT('Mat. Conv Par.'!$G$53:$N$53,'Mat. Conv Par.'!$E$14:$E$21)/VLOOKUP(I$55,'Mat. Conv Par.'!$B$14:$E$21,4,FALSE))</f>
        <v>7.2230170632712996E-3</v>
      </c>
      <c r="J59" s="97">
        <f t="array" ref="J59">IF(VLOOKUP(J$55,'Mat. Conv Par.'!$B$9:$F$27,4,FALSE)=0,HLOOKUP(J$55,'GREET IO'!$A$77:$AZ$98,ROW(H59)-ROW(H$55)+1,FALSE)/907.2,'Mat. Conv Par.'!$E116*VLOOKUP(J$55,'Mat. Conv Par.'!$B$14:$E$21,4,FALSE)*HLOOKUP(J$55,'Mat. Conv Par.'!$G$52:$N$53,2,FALSE)/MMULT('Mat. Conv Par.'!$G$53:$N$53,'Mat. Conv Par.'!$E$14:$E$21)/VLOOKUP(J$55,'Mat. Conv Par.'!$B$14:$E$21,4,FALSE))</f>
        <v>4.0023736199000758E-2</v>
      </c>
      <c r="AB59" s="29" t="s">
        <v>164</v>
      </c>
      <c r="AC59" s="65" t="s">
        <v>67</v>
      </c>
      <c r="AD59" s="45">
        <f>IF(AF59&gt;0,AF59,AE59)</f>
        <v>16</v>
      </c>
      <c r="AE59">
        <f>IF(AC59="NMP",'BatPaC IO'!A20,'BatPaC IO'!B20)</f>
        <v>16</v>
      </c>
      <c r="AF59" s="32"/>
      <c r="AG59" s="44">
        <f>IF(AC59="NMP",IF(AI59&gt;0,AI59,AH59),"N/A")</f>
        <v>0.995</v>
      </c>
      <c r="AH59" s="41">
        <f>IF(AC59="NMP", 'BatPaC IO'!C20, "N/A")</f>
        <v>0.995</v>
      </c>
      <c r="AI59" s="106"/>
      <c r="AN59" s="27"/>
    </row>
    <row r="60" spans="2:43">
      <c r="B60" s="83" t="s">
        <v>176</v>
      </c>
      <c r="C60" s="97">
        <f t="array" ref="C60">IF(VLOOKUP(C$55,'Mat. Conv Par.'!$B$9:$F$27,4,FALSE)=0,HLOOKUP(C$55,'GREET IO'!$A$77:$AZ$98,ROW(A60)-ROW(A$55)+1,FALSE)/907.2,'Mat. Conv Par.'!$E117*VLOOKUP(C$55,'Mat. Conv Par.'!$B$14:$E$21,4,FALSE)*HLOOKUP(C$55,'Mat. Conv Par.'!$G$52:$N$53,2,FALSE)/MMULT('Mat. Conv Par.'!$G$53:$N$53,'Mat. Conv Par.'!$E$14:$E$21)/VLOOKUP(C$55,'Mat. Conv Par.'!$B$14:$E$21,4,FALSE))</f>
        <v>0.13502289118024657</v>
      </c>
      <c r="D60" s="97">
        <f t="array" ref="D60">IF(VLOOKUP(D$55,'Mat. Conv Par.'!$B$9:$F$27,4,FALSE)=0,HLOOKUP(D$55,'GREET IO'!$A$77:$AZ$98,ROW(B60)-ROW(B$55)+1,FALSE)/907.2,'Mat. Conv Par.'!$E117*VLOOKUP(D$55,'Mat. Conv Par.'!$B$14:$E$21,4,FALSE)*HLOOKUP(D$55,'Mat. Conv Par.'!$G$52:$N$53,2,FALSE)/MMULT('Mat. Conv Par.'!$G$53:$N$53,'Mat. Conv Par.'!$E$14:$E$21)/VLOOKUP(D$55,'Mat. Conv Par.'!$B$14:$E$21,4,FALSE))</f>
        <v>0.13969373962820045</v>
      </c>
      <c r="E60" s="97">
        <f t="array" ref="E60">IF(VLOOKUP(E$55,'Mat. Conv Par.'!$B$9:$F$27,4,FALSE)=0,HLOOKUP(E$55,'GREET IO'!$A$77:$AZ$98,ROW(C60)-ROW(C$55)+1,FALSE)/907.2,'Mat. Conv Par.'!$E117*VLOOKUP(E$55,'Mat. Conv Par.'!$B$14:$E$21,4,FALSE)*HLOOKUP(E$55,'Mat. Conv Par.'!$G$52:$N$53,2,FALSE)/MMULT('Mat. Conv Par.'!$G$53:$N$53,'Mat. Conv Par.'!$E$14:$E$21)/VLOOKUP(E$55,'Mat. Conv Par.'!$B$14:$E$21,4,FALSE))</f>
        <v>0.13985754366380085</v>
      </c>
      <c r="F60" s="97">
        <f t="array" aca="1" ref="F60" ca="1">IF(VLOOKUP(F$55,'Mat. Conv Par.'!$B$9:$F$27,4,FALSE)=0,HLOOKUP(F$55,'GREET IO'!$A$77:$AZ$98,ROW(D60)-ROW(D$55)+1,FALSE)/907.2,'Mat. Conv Par.'!$E117*VLOOKUP(F$55,'Mat. Conv Par.'!$B$14:$E$21,4,FALSE)*HLOOKUP(F$55,'Mat. Conv Par.'!$G$52:$N$53,2,FALSE)/MMULT('Mat. Conv Par.'!$G$53:$N$53,'Mat. Conv Par.'!$E$14:$E$21)/VLOOKUP(F$55,'Mat. Conv Par.'!$B$14:$E$21,4,FALSE))</f>
        <v>5.5397606929701373E-3</v>
      </c>
      <c r="G60" s="97">
        <f t="array" ref="G60">IF(VLOOKUP(G$55,'Mat. Conv Par.'!$B$9:$F$27,4,FALSE)=0,HLOOKUP(G$55,'GREET IO'!$A$77:$AZ$98,ROW(E60)-ROW(E$55)+1,FALSE)/907.2,'Mat. Conv Par.'!$E117*VLOOKUP(G$55,'Mat. Conv Par.'!$B$14:$E$21,4,FALSE)*HLOOKUP(G$55,'Mat. Conv Par.'!$G$52:$N$53,2,FALSE)/MMULT('Mat. Conv Par.'!$G$53:$N$53,'Mat. Conv Par.'!$E$14:$E$21)/VLOOKUP(G$55,'Mat. Conv Par.'!$B$14:$E$21,4,FALSE))</f>
        <v>0.16206073770299154</v>
      </c>
      <c r="H60" s="97">
        <f t="array" ref="H60">IF(VLOOKUP(H$55,'Mat. Conv Par.'!$B$9:$F$27,4,FALSE)=0,HLOOKUP(H$55,'GREET IO'!$A$77:$AZ$98,ROW(F60)-ROW(F$55)+1,FALSE)/907.2,'Mat. Conv Par.'!$E117*VLOOKUP(H$55,'Mat. Conv Par.'!$B$14:$E$21,4,FALSE)*HLOOKUP(H$55,'Mat. Conv Par.'!$G$52:$N$53,2,FALSE)/MMULT('Mat. Conv Par.'!$G$53:$N$53,'Mat. Conv Par.'!$E$14:$E$21)/VLOOKUP(H$55,'Mat. Conv Par.'!$B$14:$E$21,4,FALSE))</f>
        <v>0.17727715658380361</v>
      </c>
      <c r="I60" s="97">
        <f t="array" ref="I60">IF(VLOOKUP(I$55,'Mat. Conv Par.'!$B$9:$F$27,4,FALSE)=0,HLOOKUP(I$55,'GREET IO'!$A$77:$AZ$98,ROW(G60)-ROW(G$55)+1,FALSE)/907.2,'Mat. Conv Par.'!$E117*VLOOKUP(I$55,'Mat. Conv Par.'!$B$14:$E$21,4,FALSE)*HLOOKUP(I$55,'Mat. Conv Par.'!$G$52:$N$53,2,FALSE)/MMULT('Mat. Conv Par.'!$G$53:$N$53,'Mat. Conv Par.'!$E$14:$E$21)/VLOOKUP(I$55,'Mat. Conv Par.'!$B$14:$E$21,4,FALSE))</f>
        <v>2.5666445877546757E-2</v>
      </c>
      <c r="J60" s="97">
        <f t="array" ref="J60">IF(VLOOKUP(J$55,'Mat. Conv Par.'!$B$9:$F$27,4,FALSE)=0,HLOOKUP(J$55,'GREET IO'!$A$77:$AZ$98,ROW(H60)-ROW(H$55)+1,FALSE)/907.2,'Mat. Conv Par.'!$E117*VLOOKUP(J$55,'Mat. Conv Par.'!$B$14:$E$21,4,FALSE)*HLOOKUP(J$55,'Mat. Conv Par.'!$G$52:$N$53,2,FALSE)/MMULT('Mat. Conv Par.'!$G$53:$N$53,'Mat. Conv Par.'!$E$14:$E$21)/VLOOKUP(J$55,'Mat. Conv Par.'!$B$14:$E$21,4,FALSE))</f>
        <v>5.5667970932409466E-2</v>
      </c>
      <c r="AB60" s="15" t="s">
        <v>165</v>
      </c>
      <c r="AC60" s="65" t="s">
        <v>93</v>
      </c>
      <c r="AD60" s="46">
        <f>IF(AF60&gt;0,AF60,AE60)</f>
        <v>40</v>
      </c>
      <c r="AE60" s="6">
        <f>IF(AC60="NMP",'BatPaC IO'!A20,'BatPaC IO'!B20)</f>
        <v>40</v>
      </c>
      <c r="AF60" s="31"/>
      <c r="AG60" s="47" t="str">
        <f>IF(AC60="NMP",IF(AI60&gt;0,AI60,AH60),"N/A")</f>
        <v>N/A</v>
      </c>
      <c r="AH60" s="49" t="str">
        <f>IF(AC60="NMP", 'BatPaC IO'!C20, "N/A")</f>
        <v>N/A</v>
      </c>
      <c r="AI60" s="78"/>
      <c r="AN60" s="27"/>
    </row>
    <row r="61" spans="2:43">
      <c r="B61" s="83" t="s">
        <v>177</v>
      </c>
      <c r="C61" s="97">
        <f t="array" ref="C61">IF(VLOOKUP(C$55,'Mat. Conv Par.'!$B$9:$F$27,4,FALSE)=0,HLOOKUP(C$55,'GREET IO'!$A$77:$AZ$98,ROW(A61)-ROW(A$55)+1,FALSE)/907.2,'Mat. Conv Par.'!$E118*VLOOKUP(C$55,'Mat. Conv Par.'!$B$14:$E$21,4,FALSE)*HLOOKUP(C$55,'Mat. Conv Par.'!$G$52:$N$53,2,FALSE)/MMULT('Mat. Conv Par.'!$G$53:$N$53,'Mat. Conv Par.'!$E$14:$E$21)/VLOOKUP(C$55,'Mat. Conv Par.'!$B$14:$E$21,4,FALSE))</f>
        <v>3.7761942860071784E-2</v>
      </c>
      <c r="D61" s="97">
        <f t="array" ref="D61">IF(VLOOKUP(D$55,'Mat. Conv Par.'!$B$9:$F$27,4,FALSE)=0,HLOOKUP(D$55,'GREET IO'!$A$77:$AZ$98,ROW(B61)-ROW(B$55)+1,FALSE)/907.2,'Mat. Conv Par.'!$E118*VLOOKUP(D$55,'Mat. Conv Par.'!$B$14:$E$21,4,FALSE)*HLOOKUP(D$55,'Mat. Conv Par.'!$G$52:$N$53,2,FALSE)/MMULT('Mat. Conv Par.'!$G$53:$N$53,'Mat. Conv Par.'!$E$14:$E$21)/VLOOKUP(D$55,'Mat. Conv Par.'!$B$14:$E$21,4,FALSE))</f>
        <v>4.268130170676273E-2</v>
      </c>
      <c r="E61" s="97">
        <f t="array" ref="E61">IF(VLOOKUP(E$55,'Mat. Conv Par.'!$B$9:$F$27,4,FALSE)=0,HLOOKUP(E$55,'GREET IO'!$A$77:$AZ$98,ROW(C61)-ROW(C$55)+1,FALSE)/907.2,'Mat. Conv Par.'!$E118*VLOOKUP(E$55,'Mat. Conv Par.'!$B$14:$E$21,4,FALSE)*HLOOKUP(E$55,'Mat. Conv Par.'!$G$52:$N$53,2,FALSE)/MMULT('Mat. Conv Par.'!$G$53:$N$53,'Mat. Conv Par.'!$E$14:$E$21)/VLOOKUP(E$55,'Mat. Conv Par.'!$B$14:$E$21,4,FALSE))</f>
        <v>5.0224375794576497E-2</v>
      </c>
      <c r="F61" s="97">
        <f t="array" aca="1" ref="F61" ca="1">IF(VLOOKUP(F$55,'Mat. Conv Par.'!$B$9:$F$27,4,FALSE)=0,HLOOKUP(F$55,'GREET IO'!$A$77:$AZ$98,ROW(D61)-ROW(D$55)+1,FALSE)/907.2,'Mat. Conv Par.'!$E118*VLOOKUP(F$55,'Mat. Conv Par.'!$B$14:$E$21,4,FALSE)*HLOOKUP(F$55,'Mat. Conv Par.'!$G$52:$N$53,2,FALSE)/MMULT('Mat. Conv Par.'!$G$53:$N$53,'Mat. Conv Par.'!$E$14:$E$21)/VLOOKUP(F$55,'Mat. Conv Par.'!$B$14:$E$21,4,FALSE))</f>
        <v>6.8398561974511666E-3</v>
      </c>
      <c r="G61" s="97">
        <f t="array" ref="G61">IF(VLOOKUP(G$55,'Mat. Conv Par.'!$B$9:$F$27,4,FALSE)=0,HLOOKUP(G$55,'GREET IO'!$A$77:$AZ$98,ROW(E61)-ROW(E$55)+1,FALSE)/907.2,'Mat. Conv Par.'!$E118*VLOOKUP(G$55,'Mat. Conv Par.'!$B$14:$E$21,4,FALSE)*HLOOKUP(G$55,'Mat. Conv Par.'!$G$52:$N$53,2,FALSE)/MMULT('Mat. Conv Par.'!$G$53:$N$53,'Mat. Conv Par.'!$E$14:$E$21)/VLOOKUP(G$55,'Mat. Conv Par.'!$B$14:$E$21,4,FALSE))</f>
        <v>6.8430865321462531E-2</v>
      </c>
      <c r="H61" s="97">
        <f t="array" ref="H61">IF(VLOOKUP(H$55,'Mat. Conv Par.'!$B$9:$F$27,4,FALSE)=0,HLOOKUP(H$55,'GREET IO'!$A$77:$AZ$98,ROW(F61)-ROW(F$55)+1,FALSE)/907.2,'Mat. Conv Par.'!$E118*VLOOKUP(H$55,'Mat. Conv Par.'!$B$14:$E$21,4,FALSE)*HLOOKUP(H$55,'Mat. Conv Par.'!$G$52:$N$53,2,FALSE)/MMULT('Mat. Conv Par.'!$G$53:$N$53,'Mat. Conv Par.'!$E$14:$E$21)/VLOOKUP(H$55,'Mat. Conv Par.'!$B$14:$E$21,4,FALSE))</f>
        <v>7.0965649231157973E-2</v>
      </c>
      <c r="I61" s="97">
        <f t="array" ref="I61">IF(VLOOKUP(I$55,'Mat. Conv Par.'!$B$9:$F$27,4,FALSE)=0,HLOOKUP(I$55,'GREET IO'!$A$77:$AZ$98,ROW(G61)-ROW(G$55)+1,FALSE)/907.2,'Mat. Conv Par.'!$E118*VLOOKUP(I$55,'Mat. Conv Par.'!$B$14:$E$21,4,FALSE)*HLOOKUP(I$55,'Mat. Conv Par.'!$G$52:$N$53,2,FALSE)/MMULT('Mat. Conv Par.'!$G$53:$N$53,'Mat. Conv Par.'!$E$14:$E$21)/VLOOKUP(I$55,'Mat. Conv Par.'!$B$14:$E$21,4,FALSE))</f>
        <v>4.0904993524867369E-3</v>
      </c>
      <c r="J61" s="97">
        <f t="array" ref="J61">IF(VLOOKUP(J$55,'Mat. Conv Par.'!$B$9:$F$27,4,FALSE)=0,HLOOKUP(J$55,'GREET IO'!$A$77:$AZ$98,ROW(H61)-ROW(H$55)+1,FALSE)/907.2,'Mat. Conv Par.'!$E118*VLOOKUP(J$55,'Mat. Conv Par.'!$B$14:$E$21,4,FALSE)*HLOOKUP(J$55,'Mat. Conv Par.'!$G$52:$N$53,2,FALSE)/MMULT('Mat. Conv Par.'!$G$53:$N$53,'Mat. Conv Par.'!$E$14:$E$21)/VLOOKUP(J$55,'Mat. Conv Par.'!$B$14:$E$21,4,FALSE))</f>
        <v>1.7951450490634829E-2</v>
      </c>
    </row>
    <row r="62" spans="2:43">
      <c r="B62" s="86" t="s">
        <v>344</v>
      </c>
      <c r="C62" s="838">
        <f t="array" ref="C62">IF(VLOOKUP(C$55,'Mat. Conv Par.'!$B$9:$F$27,4,FALSE)=0,HLOOKUP(C$55,'GREET IO'!$A$77:$AZ$98,ROW(A62)-ROW(A$55)+1,FALSE)/907.2,'Mat. Conv Par.'!$E119*VLOOKUP(C$55,'Mat. Conv Par.'!$B$14:$E$21,4,FALSE)*HLOOKUP(C$55,'Mat. Conv Par.'!$G$52:$N$53,2,FALSE)/MMULT('Mat. Conv Par.'!$G$53:$N$53,'Mat. Conv Par.'!$E$14:$E$21)/VLOOKUP(C$55,'Mat. Conv Par.'!$B$14:$E$21,4,FALSE))</f>
        <v>46.068703443544422</v>
      </c>
      <c r="D62" s="838">
        <f t="array" ref="D62">IF(VLOOKUP(D$55,'Mat. Conv Par.'!$B$9:$F$27,4,FALSE)=0,HLOOKUP(D$55,'GREET IO'!$A$77:$AZ$98,ROW(B62)-ROW(B$55)+1,FALSE)/907.2,'Mat. Conv Par.'!$E119*VLOOKUP(D$55,'Mat. Conv Par.'!$B$14:$E$21,4,FALSE)*HLOOKUP(D$55,'Mat. Conv Par.'!$G$52:$N$53,2,FALSE)/MMULT('Mat. Conv Par.'!$G$53:$N$53,'Mat. Conv Par.'!$E$14:$E$21)/VLOOKUP(D$55,'Mat. Conv Par.'!$B$14:$E$21,4,FALSE))</f>
        <v>28.508206339655892</v>
      </c>
      <c r="E62" s="838">
        <f t="array" ref="E62">IF(VLOOKUP(E$55,'Mat. Conv Par.'!$B$9:$F$27,4,FALSE)=0,HLOOKUP(E$55,'GREET IO'!$A$77:$AZ$98,ROW(C62)-ROW(C$55)+1,FALSE)/907.2,'Mat. Conv Par.'!$E119*VLOOKUP(E$55,'Mat. Conv Par.'!$B$14:$E$21,4,FALSE)*HLOOKUP(E$55,'Mat. Conv Par.'!$G$52:$N$53,2,FALSE)/MMULT('Mat. Conv Par.'!$G$53:$N$53,'Mat. Conv Par.'!$E$14:$E$21)/VLOOKUP(E$55,'Mat. Conv Par.'!$B$14:$E$21,4,FALSE))</f>
        <v>26.304074676634006</v>
      </c>
      <c r="F62" s="838">
        <f t="array" aca="1" ref="F62" ca="1">IF(VLOOKUP(F$55,'Mat. Conv Par.'!$B$9:$F$27,4,FALSE)=0,HLOOKUP(F$55,'GREET IO'!$A$77:$AZ$98,ROW(D62)-ROW(D$55)+1,FALSE)/907.2,'Mat. Conv Par.'!$E119*VLOOKUP(F$55,'Mat. Conv Par.'!$B$14:$E$21,4,FALSE)*HLOOKUP(F$55,'Mat. Conv Par.'!$G$52:$N$53,2,FALSE)/MMULT('Mat. Conv Par.'!$G$53:$N$53,'Mat. Conv Par.'!$E$14:$E$21)/VLOOKUP(F$55,'Mat. Conv Par.'!$B$14:$E$21,4,FALSE))</f>
        <v>12.058548086343865</v>
      </c>
      <c r="G62" s="838">
        <f t="array" ref="G62">IF(VLOOKUP(G$55,'Mat. Conv Par.'!$B$9:$F$27,4,FALSE)=0,HLOOKUP(G$55,'GREET IO'!$A$77:$AZ$98,ROW(E62)-ROW(E$55)+1,FALSE)/907.2,'Mat. Conv Par.'!$E119*VLOOKUP(G$55,'Mat. Conv Par.'!$B$14:$E$21,4,FALSE)*HLOOKUP(G$55,'Mat. Conv Par.'!$G$52:$N$53,2,FALSE)/MMULT('Mat. Conv Par.'!$G$53:$N$53,'Mat. Conv Par.'!$E$14:$E$21)/VLOOKUP(G$55,'Mat. Conv Par.'!$B$14:$E$21,4,FALSE))</f>
        <v>28.441364659587052</v>
      </c>
      <c r="H62" s="838">
        <f t="array" ref="H62">IF(VLOOKUP(H$55,'Mat. Conv Par.'!$B$9:$F$27,4,FALSE)=0,HLOOKUP(H$55,'GREET IO'!$A$77:$AZ$98,ROW(F62)-ROW(F$55)+1,FALSE)/907.2,'Mat. Conv Par.'!$E119*VLOOKUP(H$55,'Mat. Conv Par.'!$B$14:$E$21,4,FALSE)*HLOOKUP(H$55,'Mat. Conv Par.'!$G$52:$N$53,2,FALSE)/MMULT('Mat. Conv Par.'!$G$53:$N$53,'Mat. Conv Par.'!$E$14:$E$21)/VLOOKUP(H$55,'Mat. Conv Par.'!$B$14:$E$21,4,FALSE))</f>
        <v>30.576279992228237</v>
      </c>
      <c r="I62" s="838">
        <f t="array" ref="I62">IF(VLOOKUP(I$55,'Mat. Conv Par.'!$B$9:$F$27,4,FALSE)=0,HLOOKUP(I$55,'GREET IO'!$A$77:$AZ$98,ROW(G62)-ROW(G$55)+1,FALSE)/907.2,'Mat. Conv Par.'!$E119*VLOOKUP(I$55,'Mat. Conv Par.'!$B$14:$E$21,4,FALSE)*HLOOKUP(I$55,'Mat. Conv Par.'!$G$52:$N$53,2,FALSE)/MMULT('Mat. Conv Par.'!$G$53:$N$53,'Mat. Conv Par.'!$E$14:$E$21)/VLOOKUP(I$55,'Mat. Conv Par.'!$B$14:$E$21,4,FALSE))</f>
        <v>2.0528765097227599</v>
      </c>
      <c r="J62" s="838">
        <f t="array" ref="J62">IF(VLOOKUP(J$55,'Mat. Conv Par.'!$B$9:$F$27,4,FALSE)=0,HLOOKUP(J$55,'GREET IO'!$A$77:$AZ$98,ROW(H62)-ROW(H$55)+1,FALSE)/907.2,'Mat. Conv Par.'!$E119*VLOOKUP(J$55,'Mat. Conv Par.'!$B$14:$E$21,4,FALSE)*HLOOKUP(J$55,'Mat. Conv Par.'!$G$52:$N$53,2,FALSE)/MMULT('Mat. Conv Par.'!$G$53:$N$53,'Mat. Conv Par.'!$E$14:$E$21)/VLOOKUP(J$55,'Mat. Conv Par.'!$B$14:$E$21,4,FALSE))</f>
        <v>11.121102338671713</v>
      </c>
      <c r="AB62" s="2" t="s">
        <v>159</v>
      </c>
    </row>
    <row r="63" spans="2:43" ht="30" customHeight="1">
      <c r="B63" s="88" t="s">
        <v>345</v>
      </c>
      <c r="C63" s="98"/>
      <c r="D63" s="98"/>
      <c r="E63" s="98"/>
      <c r="F63" s="98"/>
      <c r="G63" s="98"/>
      <c r="H63" s="98"/>
      <c r="I63" s="98"/>
      <c r="J63" s="98"/>
      <c r="AB63" s="2" t="s">
        <v>169</v>
      </c>
    </row>
    <row r="64" spans="2:43" ht="28">
      <c r="B64" s="83" t="s">
        <v>180</v>
      </c>
      <c r="C64" s="97">
        <f t="array" ref="C64">IF(VLOOKUP(C$55,'Mat. Conv Par.'!$B$9:$F$27,4,FALSE)=0,HLOOKUP(C$55,'GREET IO'!$A$77:$AZ$98,ROW(A64)-ROW(A$55)+1,FALSE)/907.2,'Mat. Conv Par.'!$E121*VLOOKUP(C$55,'Mat. Conv Par.'!$B$14:$E$21,4,FALSE)*HLOOKUP(C$55,'Mat. Conv Par.'!$G$52:$N$53,2,FALSE)/MMULT('Mat. Conv Par.'!$G$53:$N$53,'Mat. Conv Par.'!$E$14:$E$21)/VLOOKUP(C$55,'Mat. Conv Par.'!$B$14:$E$21,4,FALSE))</f>
        <v>4.8112177746621425</v>
      </c>
      <c r="D64" s="97">
        <f t="array" ref="D64">IF(VLOOKUP(D$55,'Mat. Conv Par.'!$B$9:$F$27,4,FALSE)=0,HLOOKUP(D$55,'GREET IO'!$A$77:$AZ$98,ROW(B64)-ROW(B$55)+1,FALSE)/907.2,'Mat. Conv Par.'!$E121*VLOOKUP(D$55,'Mat. Conv Par.'!$B$14:$E$21,4,FALSE)*HLOOKUP(D$55,'Mat. Conv Par.'!$G$52:$N$53,2,FALSE)/MMULT('Mat. Conv Par.'!$G$53:$N$53,'Mat. Conv Par.'!$E$14:$E$21)/VLOOKUP(D$55,'Mat. Conv Par.'!$B$14:$E$21,4,FALSE))</f>
        <v>4.2189807123534084</v>
      </c>
      <c r="E64" s="97">
        <f t="array" ref="E64">IF(VLOOKUP(E$55,'Mat. Conv Par.'!$B$9:$F$27,4,FALSE)=0,HLOOKUP(E$55,'GREET IO'!$A$77:$AZ$98,ROW(C64)-ROW(C$55)+1,FALSE)/907.2,'Mat. Conv Par.'!$E121*VLOOKUP(E$55,'Mat. Conv Par.'!$B$14:$E$21,4,FALSE)*HLOOKUP(E$55,'Mat. Conv Par.'!$G$52:$N$53,2,FALSE)/MMULT('Mat. Conv Par.'!$G$53:$N$53,'Mat. Conv Par.'!$E$14:$E$21)/VLOOKUP(E$55,'Mat. Conv Par.'!$B$14:$E$21,4,FALSE))</f>
        <v>4.556390751193713</v>
      </c>
      <c r="F64" s="97">
        <f t="array" aca="1" ref="F64" ca="1">IF(VLOOKUP(F$55,'Mat. Conv Par.'!$B$9:$F$27,4,FALSE)=0,HLOOKUP(F$55,'GREET IO'!$A$77:$AZ$98,ROW(D64)-ROW(D$55)+1,FALSE)/907.2,'Mat. Conv Par.'!$E121*VLOOKUP(F$55,'Mat. Conv Par.'!$B$14:$E$21,4,FALSE)*HLOOKUP(F$55,'Mat. Conv Par.'!$G$52:$N$53,2,FALSE)/MMULT('Mat. Conv Par.'!$G$53:$N$53,'Mat. Conv Par.'!$E$14:$E$21)/VLOOKUP(F$55,'Mat. Conv Par.'!$B$14:$E$21,4,FALSE))</f>
        <v>0.77597878560358569</v>
      </c>
      <c r="G64" s="97">
        <f t="array" ref="G64">IF(VLOOKUP(G$55,'Mat. Conv Par.'!$B$9:$F$27,4,FALSE)=0,HLOOKUP(G$55,'GREET IO'!$A$77:$AZ$98,ROW(E64)-ROW(E$55)+1,FALSE)/907.2,'Mat. Conv Par.'!$E121*VLOOKUP(G$55,'Mat. Conv Par.'!$B$14:$E$21,4,FALSE)*HLOOKUP(G$55,'Mat. Conv Par.'!$G$52:$N$53,2,FALSE)/MMULT('Mat. Conv Par.'!$G$53:$N$53,'Mat. Conv Par.'!$E$14:$E$21)/VLOOKUP(G$55,'Mat. Conv Par.'!$B$14:$E$21,4,FALSE))</f>
        <v>5.6641647795148842</v>
      </c>
      <c r="H64" s="97">
        <f t="array" ref="H64">IF(VLOOKUP(H$55,'Mat. Conv Par.'!$B$9:$F$27,4,FALSE)=0,HLOOKUP(H$55,'GREET IO'!$A$77:$AZ$98,ROW(F64)-ROW(F$55)+1,FALSE)/907.2,'Mat. Conv Par.'!$E121*VLOOKUP(H$55,'Mat. Conv Par.'!$B$14:$E$21,4,FALSE)*HLOOKUP(H$55,'Mat. Conv Par.'!$G$52:$N$53,2,FALSE)/MMULT('Mat. Conv Par.'!$G$53:$N$53,'Mat. Conv Par.'!$E$14:$E$21)/VLOOKUP(H$55,'Mat. Conv Par.'!$B$14:$E$21,4,FALSE))</f>
        <v>7.3393285813736195</v>
      </c>
      <c r="I64" s="97">
        <f t="array" ref="I64">IF(VLOOKUP(I$55,'Mat. Conv Par.'!$B$9:$F$27,4,FALSE)=0,HLOOKUP(I$55,'GREET IO'!$A$77:$AZ$98,ROW(G64)-ROW(G$55)+1,FALSE)/907.2,'Mat. Conv Par.'!$E121*VLOOKUP(I$55,'Mat. Conv Par.'!$B$14:$E$21,4,FALSE)*HLOOKUP(I$55,'Mat. Conv Par.'!$G$52:$N$53,2,FALSE)/MMULT('Mat. Conv Par.'!$G$53:$N$53,'Mat. Conv Par.'!$E$14:$E$21)/VLOOKUP(I$55,'Mat. Conv Par.'!$B$14:$E$21,4,FALSE))</f>
        <v>2.1680553820517905</v>
      </c>
      <c r="J64" s="97">
        <f t="array" ref="J64">IF(VLOOKUP(J$55,'Mat. Conv Par.'!$B$9:$F$27,4,FALSE)=0,HLOOKUP(J$55,'GREET IO'!$A$77:$AZ$98,ROW(H64)-ROW(H$55)+1,FALSE)/907.2,'Mat. Conv Par.'!$E121*VLOOKUP(J$55,'Mat. Conv Par.'!$B$14:$E$21,4,FALSE)*HLOOKUP(J$55,'Mat. Conv Par.'!$G$52:$N$53,2,FALSE)/MMULT('Mat. Conv Par.'!$G$53:$N$53,'Mat. Conv Par.'!$E$14:$E$21)/VLOOKUP(J$55,'Mat. Conv Par.'!$B$14:$E$21,4,FALSE))</f>
        <v>1.774706850156176</v>
      </c>
      <c r="AB64" s="35"/>
      <c r="AC64" s="48" t="s">
        <v>53</v>
      </c>
      <c r="AD64" s="48" t="s">
        <v>54</v>
      </c>
      <c r="AE64" s="48" t="s">
        <v>55</v>
      </c>
      <c r="AF64" s="48" t="s">
        <v>1621</v>
      </c>
      <c r="AG64" s="48" t="s">
        <v>41</v>
      </c>
      <c r="AH64" s="48" t="s">
        <v>398</v>
      </c>
      <c r="AI64" s="48" t="s">
        <v>57</v>
      </c>
      <c r="AJ64" s="48" t="s">
        <v>58</v>
      </c>
      <c r="AK64" s="48" t="s">
        <v>59</v>
      </c>
      <c r="AL64" s="48" t="s">
        <v>60</v>
      </c>
      <c r="AM64" s="48" t="s">
        <v>61</v>
      </c>
      <c r="AN64" s="48" t="s">
        <v>62</v>
      </c>
      <c r="AO64" s="48" t="s">
        <v>439</v>
      </c>
      <c r="AP64" s="171" t="s">
        <v>67</v>
      </c>
      <c r="AQ64" s="172" t="s">
        <v>1623</v>
      </c>
    </row>
    <row r="65" spans="2:43">
      <c r="B65" s="83" t="s">
        <v>181</v>
      </c>
      <c r="C65" s="97">
        <f t="array" ref="C65">IF(VLOOKUP(C$55,'Mat. Conv Par.'!$B$9:$F$27,4,FALSE)=0,HLOOKUP(C$55,'GREET IO'!$A$77:$AZ$98,ROW(A65)-ROW(A$55)+1,FALSE)/907.2,'Mat. Conv Par.'!$E122*VLOOKUP(C$55,'Mat. Conv Par.'!$B$14:$E$21,4,FALSE)*HLOOKUP(C$55,'Mat. Conv Par.'!$G$52:$N$53,2,FALSE)/MMULT('Mat. Conv Par.'!$G$53:$N$53,'Mat. Conv Par.'!$E$14:$E$21)/VLOOKUP(C$55,'Mat. Conv Par.'!$B$14:$E$21,4,FALSE))</f>
        <v>14.779889170168259</v>
      </c>
      <c r="D65" s="97">
        <f t="array" ref="D65">IF(VLOOKUP(D$55,'Mat. Conv Par.'!$B$9:$F$27,4,FALSE)=0,HLOOKUP(D$55,'GREET IO'!$A$77:$AZ$98,ROW(B65)-ROW(B$55)+1,FALSE)/907.2,'Mat. Conv Par.'!$E122*VLOOKUP(D$55,'Mat. Conv Par.'!$B$14:$E$21,4,FALSE)*HLOOKUP(D$55,'Mat. Conv Par.'!$G$52:$N$53,2,FALSE)/MMULT('Mat. Conv Par.'!$G$53:$N$53,'Mat. Conv Par.'!$E$14:$E$21)/VLOOKUP(D$55,'Mat. Conv Par.'!$B$14:$E$21,4,FALSE))</f>
        <v>15.893960077689188</v>
      </c>
      <c r="E65" s="97">
        <f t="array" ref="E65">IF(VLOOKUP(E$55,'Mat. Conv Par.'!$B$9:$F$27,4,FALSE)=0,HLOOKUP(E$55,'GREET IO'!$A$77:$AZ$98,ROW(C65)-ROW(C$55)+1,FALSE)/907.2,'Mat. Conv Par.'!$E122*VLOOKUP(E$55,'Mat. Conv Par.'!$B$14:$E$21,4,FALSE)*HLOOKUP(E$55,'Mat. Conv Par.'!$G$52:$N$53,2,FALSE)/MMULT('Mat. Conv Par.'!$G$53:$N$53,'Mat. Conv Par.'!$E$14:$E$21)/VLOOKUP(E$55,'Mat. Conv Par.'!$B$14:$E$21,4,FALSE))</f>
        <v>17.31723662275299</v>
      </c>
      <c r="F65" s="97">
        <f t="array" aca="1" ref="F65" ca="1">IF(VLOOKUP(F$55,'Mat. Conv Par.'!$B$9:$F$27,4,FALSE)=0,HLOOKUP(F$55,'GREET IO'!$A$77:$AZ$98,ROW(D65)-ROW(D$55)+1,FALSE)/907.2,'Mat. Conv Par.'!$E122*VLOOKUP(F$55,'Mat. Conv Par.'!$B$14:$E$21,4,FALSE)*HLOOKUP(F$55,'Mat. Conv Par.'!$G$52:$N$53,2,FALSE)/MMULT('Mat. Conv Par.'!$G$53:$N$53,'Mat. Conv Par.'!$E$14:$E$21)/VLOOKUP(F$55,'Mat. Conv Par.'!$B$14:$E$21,4,FALSE))</f>
        <v>3.2393476207523886</v>
      </c>
      <c r="G65" s="97">
        <f t="array" ref="G65">IF(VLOOKUP(G$55,'Mat. Conv Par.'!$B$9:$F$27,4,FALSE)=0,HLOOKUP(G$55,'GREET IO'!$A$77:$AZ$98,ROW(E65)-ROW(E$55)+1,FALSE)/907.2,'Mat. Conv Par.'!$E122*VLOOKUP(G$55,'Mat. Conv Par.'!$B$14:$E$21,4,FALSE)*HLOOKUP(G$55,'Mat. Conv Par.'!$G$52:$N$53,2,FALSE)/MMULT('Mat. Conv Par.'!$G$53:$N$53,'Mat. Conv Par.'!$E$14:$E$21)/VLOOKUP(G$55,'Mat. Conv Par.'!$B$14:$E$21,4,FALSE))</f>
        <v>20.753642688393438</v>
      </c>
      <c r="H65" s="97">
        <f t="array" ref="H65">IF(VLOOKUP(H$55,'Mat. Conv Par.'!$B$9:$F$27,4,FALSE)=0,HLOOKUP(H$55,'GREET IO'!$A$77:$AZ$98,ROW(F65)-ROW(F$55)+1,FALSE)/907.2,'Mat. Conv Par.'!$E122*VLOOKUP(H$55,'Mat. Conv Par.'!$B$14:$E$21,4,FALSE)*HLOOKUP(H$55,'Mat. Conv Par.'!$G$52:$N$53,2,FALSE)/MMULT('Mat. Conv Par.'!$G$53:$N$53,'Mat. Conv Par.'!$E$14:$E$21)/VLOOKUP(H$55,'Mat. Conv Par.'!$B$14:$E$21,4,FALSE))</f>
        <v>22.9122693065436</v>
      </c>
      <c r="I65" s="97">
        <f t="array" ref="I65">IF(VLOOKUP(I$55,'Mat. Conv Par.'!$B$9:$F$27,4,FALSE)=0,HLOOKUP(I$55,'GREET IO'!$A$77:$AZ$98,ROW(G65)-ROW(G$55)+1,FALSE)/907.2,'Mat. Conv Par.'!$E122*VLOOKUP(I$55,'Mat. Conv Par.'!$B$14:$E$21,4,FALSE)*HLOOKUP(I$55,'Mat. Conv Par.'!$G$52:$N$53,2,FALSE)/MMULT('Mat. Conv Par.'!$G$53:$N$53,'Mat. Conv Par.'!$E$14:$E$21)/VLOOKUP(I$55,'Mat. Conv Par.'!$B$14:$E$21,4,FALSE))</f>
        <v>2.8055940860850708</v>
      </c>
      <c r="J65" s="97">
        <f t="array" ref="J65">IF(VLOOKUP(J$55,'Mat. Conv Par.'!$B$9:$F$27,4,FALSE)=0,HLOOKUP(J$55,'GREET IO'!$A$77:$AZ$98,ROW(H65)-ROW(H$55)+1,FALSE)/907.2,'Mat. Conv Par.'!$E122*VLOOKUP(J$55,'Mat. Conv Par.'!$B$14:$E$21,4,FALSE)*HLOOKUP(J$55,'Mat. Conv Par.'!$G$52:$N$53,2,FALSE)/MMULT('Mat. Conv Par.'!$G$53:$N$53,'Mat. Conv Par.'!$E$14:$E$21)/VLOOKUP(J$55,'Mat. Conv Par.'!$B$14:$E$21,4,FALSE))</f>
        <v>6.3344824886728901</v>
      </c>
      <c r="AB65" s="15" t="s">
        <v>170</v>
      </c>
      <c r="AC65" s="60">
        <f>1/$AC$47/AC50*AC23</f>
        <v>0.51159373756621318</v>
      </c>
      <c r="AD65" s="61">
        <f>1/$AC$47/AC51*AC24</f>
        <v>0.30946853321527629</v>
      </c>
      <c r="AE65" s="61">
        <f>1/$AC$47/AC50*AC25</f>
        <v>1.0277552763606961E-2</v>
      </c>
      <c r="AF65" s="61">
        <f>1/$AC$47/AC50*AC26</f>
        <v>9.1356024565395211E-3</v>
      </c>
      <c r="AG65" s="61">
        <f>1/$AC$47/AC53*AC28</f>
        <v>9.7323956170156337E-2</v>
      </c>
      <c r="AH65" s="61">
        <f>1/$AC$47/AC52*AC29</f>
        <v>6.3260571510601618E-2</v>
      </c>
      <c r="AI65" s="61">
        <f>1/$AC$47/$AC55*AC30</f>
        <v>1.8075491759702286E-2</v>
      </c>
      <c r="AJ65" s="61">
        <f>1/$AC$47/$AC55*AC31</f>
        <v>5.6353003721424773E-2</v>
      </c>
      <c r="AK65" s="61">
        <f>1/$AC$47/$AC55*AC32</f>
        <v>4.5720361509835189E-2</v>
      </c>
      <c r="AL65" s="61">
        <f>1/$AC$47/$AC54*AC33</f>
        <v>8.5929108485499461E-3</v>
      </c>
      <c r="AM65" s="61">
        <f>1/$AC$47/$AC54*AC34</f>
        <v>2.1482277121374865E-3</v>
      </c>
      <c r="AN65" s="61">
        <f>1/$AC$47*AC35</f>
        <v>3.1578947368421052E-3</v>
      </c>
      <c r="AO65" s="61">
        <f>1/$AC$47*AC36</f>
        <v>0</v>
      </c>
      <c r="AP65" s="174">
        <f>1/$AC$47*(AC26/AC50*AD59*IF(AC59=AP64,1,0)+AC27/AC51*AD60*IF(AC60=AP64,1,0))</f>
        <v>0.14616963930463231</v>
      </c>
      <c r="AQ65" s="175">
        <f>1/$AC$47/AC51*AC27</f>
        <v>6.8517018424046408E-3</v>
      </c>
    </row>
    <row r="66" spans="2:43">
      <c r="B66" s="83" t="s">
        <v>182</v>
      </c>
      <c r="C66" s="97">
        <f t="array" ref="C66">IF(VLOOKUP(C$55,'Mat. Conv Par.'!$B$9:$F$27,4,FALSE)=0,HLOOKUP(C$55,'GREET IO'!$A$77:$AZ$98,ROW(A66)-ROW(A$55)+1,FALSE)/907.2,'Mat. Conv Par.'!$E123*VLOOKUP(C$55,'Mat. Conv Par.'!$B$14:$E$21,4,FALSE)*HLOOKUP(C$55,'Mat. Conv Par.'!$G$52:$N$53,2,FALSE)/MMULT('Mat. Conv Par.'!$G$53:$N$53,'Mat. Conv Par.'!$E$14:$E$21)/VLOOKUP(C$55,'Mat. Conv Par.'!$B$14:$E$21,4,FALSE))</f>
        <v>24.902665450473087</v>
      </c>
      <c r="D66" s="97">
        <f t="array" ref="D66">IF(VLOOKUP(D$55,'Mat. Conv Par.'!$B$9:$F$27,4,FALSE)=0,HLOOKUP(D$55,'GREET IO'!$A$77:$AZ$98,ROW(B66)-ROW(B$55)+1,FALSE)/907.2,'Mat. Conv Par.'!$E123*VLOOKUP(D$55,'Mat. Conv Par.'!$B$14:$E$21,4,FALSE)*HLOOKUP(D$55,'Mat. Conv Par.'!$G$52:$N$53,2,FALSE)/MMULT('Mat. Conv Par.'!$G$53:$N$53,'Mat. Conv Par.'!$E$14:$E$21)/VLOOKUP(D$55,'Mat. Conv Par.'!$B$14:$E$21,4,FALSE))</f>
        <v>27.892610829189749</v>
      </c>
      <c r="E66" s="97">
        <f t="array" ref="E66">IF(VLOOKUP(E$55,'Mat. Conv Par.'!$B$9:$F$27,4,FALSE)=0,HLOOKUP(E$55,'GREET IO'!$A$77:$AZ$98,ROW(C66)-ROW(C$55)+1,FALSE)/907.2,'Mat. Conv Par.'!$E123*VLOOKUP(E$55,'Mat. Conv Par.'!$B$14:$E$21,4,FALSE)*HLOOKUP(E$55,'Mat. Conv Par.'!$G$52:$N$53,2,FALSE)/MMULT('Mat. Conv Par.'!$G$53:$N$53,'Mat. Conv Par.'!$E$14:$E$21)/VLOOKUP(E$55,'Mat. Conv Par.'!$B$14:$E$21,4,FALSE))</f>
        <v>30.682391383019613</v>
      </c>
      <c r="F66" s="97">
        <f t="array" aca="1" ref="F66" ca="1">IF(VLOOKUP(F$55,'Mat. Conv Par.'!$B$9:$F$27,4,FALSE)=0,HLOOKUP(F$55,'GREET IO'!$A$77:$AZ$98,ROW(D66)-ROW(D$55)+1,FALSE)/907.2,'Mat. Conv Par.'!$E123*VLOOKUP(F$55,'Mat. Conv Par.'!$B$14:$E$21,4,FALSE)*HLOOKUP(F$55,'Mat. Conv Par.'!$G$52:$N$53,2,FALSE)/MMULT('Mat. Conv Par.'!$G$53:$N$53,'Mat. Conv Par.'!$E$14:$E$21)/VLOOKUP(F$55,'Mat. Conv Par.'!$B$14:$E$21,4,FALSE))</f>
        <v>6.8876158367264795</v>
      </c>
      <c r="G66" s="97">
        <f t="array" ref="G66">IF(VLOOKUP(G$55,'Mat. Conv Par.'!$B$9:$F$27,4,FALSE)=0,HLOOKUP(G$55,'GREET IO'!$A$77:$AZ$98,ROW(E66)-ROW(E$55)+1,FALSE)/907.2,'Mat. Conv Par.'!$E123*VLOOKUP(G$55,'Mat. Conv Par.'!$B$14:$E$21,4,FALSE)*HLOOKUP(G$55,'Mat. Conv Par.'!$G$52:$N$53,2,FALSE)/MMULT('Mat. Conv Par.'!$G$53:$N$53,'Mat. Conv Par.'!$E$14:$E$21)/VLOOKUP(G$55,'Mat. Conv Par.'!$B$14:$E$21,4,FALSE))</f>
        <v>39.336525903272737</v>
      </c>
      <c r="H66" s="97">
        <f t="array" ref="H66">IF(VLOOKUP(H$55,'Mat. Conv Par.'!$B$9:$F$27,4,FALSE)=0,HLOOKUP(H$55,'GREET IO'!$A$77:$AZ$98,ROW(F66)-ROW(F$55)+1,FALSE)/907.2,'Mat. Conv Par.'!$E123*VLOOKUP(H$55,'Mat. Conv Par.'!$B$14:$E$21,4,FALSE)*HLOOKUP(H$55,'Mat. Conv Par.'!$G$52:$N$53,2,FALSE)/MMULT('Mat. Conv Par.'!$G$53:$N$53,'Mat. Conv Par.'!$E$14:$E$21)/VLOOKUP(H$55,'Mat. Conv Par.'!$B$14:$E$21,4,FALSE))</f>
        <v>41.096053283321503</v>
      </c>
      <c r="I66" s="97">
        <f t="array" ref="I66">IF(VLOOKUP(I$55,'Mat. Conv Par.'!$B$9:$F$27,4,FALSE)=0,HLOOKUP(I$55,'GREET IO'!$A$77:$AZ$98,ROW(G66)-ROW(G$55)+1,FALSE)/907.2,'Mat. Conv Par.'!$E123*VLOOKUP(I$55,'Mat. Conv Par.'!$B$14:$E$21,4,FALSE)*HLOOKUP(I$55,'Mat. Conv Par.'!$G$52:$N$53,2,FALSE)/MMULT('Mat. Conv Par.'!$G$53:$N$53,'Mat. Conv Par.'!$E$14:$E$21)/VLOOKUP(I$55,'Mat. Conv Par.'!$B$14:$E$21,4,FALSE))</f>
        <v>4.7141102363658227</v>
      </c>
      <c r="J66" s="97">
        <f t="array" ref="J66">IF(VLOOKUP(J$55,'Mat. Conv Par.'!$B$9:$F$27,4,FALSE)=0,HLOOKUP(J$55,'GREET IO'!$A$77:$AZ$98,ROW(H66)-ROW(H$55)+1,FALSE)/907.2,'Mat. Conv Par.'!$E123*VLOOKUP(J$55,'Mat. Conv Par.'!$B$14:$E$21,4,FALSE)*HLOOKUP(J$55,'Mat. Conv Par.'!$G$52:$N$53,2,FALSE)/MMULT('Mat. Conv Par.'!$G$53:$N$53,'Mat. Conv Par.'!$E$14:$E$21)/VLOOKUP(J$55,'Mat. Conv Par.'!$B$14:$E$21,4,FALSE))</f>
        <v>14.543298435633041</v>
      </c>
    </row>
    <row r="67" spans="2:43">
      <c r="B67" s="83" t="s">
        <v>183</v>
      </c>
      <c r="C67" s="97">
        <f t="array" ref="C67">IF(VLOOKUP(C$55,'Mat. Conv Par.'!$B$9:$F$27,4,FALSE)=0,HLOOKUP(C$55,'GREET IO'!$A$77:$AZ$98,ROW(A67)-ROW(A$55)+1,FALSE)/907.2,'Mat. Conv Par.'!$E124*VLOOKUP(C$55,'Mat. Conv Par.'!$B$14:$E$21,4,FALSE)*HLOOKUP(C$55,'Mat. Conv Par.'!$G$52:$N$53,2,FALSE)/MMULT('Mat. Conv Par.'!$G$53:$N$53,'Mat. Conv Par.'!$E$14:$E$21)/VLOOKUP(C$55,'Mat. Conv Par.'!$B$14:$E$21,4,FALSE))</f>
        <v>39.980545088024044</v>
      </c>
      <c r="D67" s="97">
        <f t="array" ref="D67">IF(VLOOKUP(D$55,'Mat. Conv Par.'!$B$9:$F$27,4,FALSE)=0,HLOOKUP(D$55,'GREET IO'!$A$77:$AZ$98,ROW(B67)-ROW(B$55)+1,FALSE)/907.2,'Mat. Conv Par.'!$E124*VLOOKUP(D$55,'Mat. Conv Par.'!$B$14:$E$21,4,FALSE)*HLOOKUP(D$55,'Mat. Conv Par.'!$G$52:$N$53,2,FALSE)/MMULT('Mat. Conv Par.'!$G$53:$N$53,'Mat. Conv Par.'!$E$14:$E$21)/VLOOKUP(D$55,'Mat. Conv Par.'!$B$14:$E$21,4,FALSE))</f>
        <v>16.728364623725046</v>
      </c>
      <c r="E67" s="97">
        <f t="array" ref="E67">IF(VLOOKUP(E$55,'Mat. Conv Par.'!$B$9:$F$27,4,FALSE)=0,HLOOKUP(E$55,'GREET IO'!$A$77:$AZ$98,ROW(C67)-ROW(C$55)+1,FALSE)/907.2,'Mat. Conv Par.'!$E124*VLOOKUP(E$55,'Mat. Conv Par.'!$B$14:$E$21,4,FALSE)*HLOOKUP(E$55,'Mat. Conv Par.'!$G$52:$N$53,2,FALSE)/MMULT('Mat. Conv Par.'!$G$53:$N$53,'Mat. Conv Par.'!$E$14:$E$21)/VLOOKUP(E$55,'Mat. Conv Par.'!$B$14:$E$21,4,FALSE))</f>
        <v>12.108701925191831</v>
      </c>
      <c r="F67" s="97">
        <f t="array" aca="1" ref="F67" ca="1">IF(VLOOKUP(F$55,'Mat. Conv Par.'!$B$9:$F$27,4,FALSE)=0,HLOOKUP(F$55,'GREET IO'!$A$77:$AZ$98,ROW(D67)-ROW(D$55)+1,FALSE)/907.2,'Mat. Conv Par.'!$E124*VLOOKUP(F$55,'Mat. Conv Par.'!$B$14:$E$21,4,FALSE)*HLOOKUP(F$55,'Mat. Conv Par.'!$G$52:$N$53,2,FALSE)/MMULT('Mat. Conv Par.'!$G$53:$N$53,'Mat. Conv Par.'!$E$14:$E$21)/VLOOKUP(F$55,'Mat. Conv Par.'!$B$14:$E$21,4,FALSE))</f>
        <v>1.1927928590215171</v>
      </c>
      <c r="G67" s="97">
        <f t="array" ref="G67">IF(VLOOKUP(G$55,'Mat. Conv Par.'!$B$9:$F$27,4,FALSE)=0,HLOOKUP(G$55,'GREET IO'!$A$77:$AZ$98,ROW(E67)-ROW(E$55)+1,FALSE)/907.2,'Mat. Conv Par.'!$E124*VLOOKUP(G$55,'Mat. Conv Par.'!$B$14:$E$21,4,FALSE)*HLOOKUP(G$55,'Mat. Conv Par.'!$G$52:$N$53,2,FALSE)/MMULT('Mat. Conv Par.'!$G$53:$N$53,'Mat. Conv Par.'!$E$14:$E$21)/VLOOKUP(G$55,'Mat. Conv Par.'!$B$14:$E$21,4,FALSE))</f>
        <v>8.2146121821066096</v>
      </c>
      <c r="H67" s="97">
        <f t="array" ref="H67">IF(VLOOKUP(H$55,'Mat. Conv Par.'!$B$9:$F$27,4,FALSE)=0,HLOOKUP(H$55,'GREET IO'!$A$77:$AZ$98,ROW(F67)-ROW(F$55)+1,FALSE)/907.2,'Mat. Conv Par.'!$E124*VLOOKUP(H$55,'Mat. Conv Par.'!$B$14:$E$21,4,FALSE)*HLOOKUP(H$55,'Mat. Conv Par.'!$G$52:$N$53,2,FALSE)/MMULT('Mat. Conv Par.'!$G$53:$N$53,'Mat. Conv Par.'!$E$14:$E$21)/VLOOKUP(H$55,'Mat. Conv Par.'!$B$14:$E$21,4,FALSE))</f>
        <v>10.11077730049203</v>
      </c>
      <c r="I67" s="97">
        <f t="array" ref="I67">IF(VLOOKUP(I$55,'Mat. Conv Par.'!$B$9:$F$27,4,FALSE)=0,HLOOKUP(I$55,'GREET IO'!$A$77:$AZ$98,ROW(G67)-ROW(G$55)+1,FALSE)/907.2,'Mat. Conv Par.'!$E124*VLOOKUP(I$55,'Mat. Conv Par.'!$B$14:$E$21,4,FALSE)*HLOOKUP(I$55,'Mat. Conv Par.'!$G$52:$N$53,2,FALSE)/MMULT('Mat. Conv Par.'!$G$53:$N$53,'Mat. Conv Par.'!$E$14:$E$21)/VLOOKUP(I$55,'Mat. Conv Par.'!$B$14:$E$21,4,FALSE))</f>
        <v>5.3076822994258253</v>
      </c>
      <c r="J67" s="97">
        <f t="array" ref="J67">IF(VLOOKUP(J$55,'Mat. Conv Par.'!$B$9:$F$27,4,FALSE)=0,HLOOKUP(J$55,'GREET IO'!$A$77:$AZ$98,ROW(H67)-ROW(H$55)+1,FALSE)/907.2,'Mat. Conv Par.'!$E124*VLOOKUP(J$55,'Mat. Conv Par.'!$B$14:$E$21,4,FALSE)*HLOOKUP(J$55,'Mat. Conv Par.'!$G$52:$N$53,2,FALSE)/MMULT('Mat. Conv Par.'!$G$53:$N$53,'Mat. Conv Par.'!$E$14:$E$21)/VLOOKUP(J$55,'Mat. Conv Par.'!$B$14:$E$21,4,FALSE))</f>
        <v>1.9854924816904211</v>
      </c>
      <c r="AB67" s="2" t="s">
        <v>171</v>
      </c>
      <c r="AD67" s="62"/>
    </row>
    <row r="68" spans="2:43">
      <c r="B68" s="83" t="s">
        <v>184</v>
      </c>
      <c r="C68" s="97">
        <f t="array" ref="C68">IF(VLOOKUP(C$55,'Mat. Conv Par.'!$B$9:$F$27,4,FALSE)=0,HLOOKUP(C$55,'GREET IO'!$A$77:$AZ$98,ROW(A68)-ROW(A$55)+1,FALSE)/907.2,'Mat. Conv Par.'!$E125*VLOOKUP(C$55,'Mat. Conv Par.'!$B$14:$E$21,4,FALSE)*HLOOKUP(C$55,'Mat. Conv Par.'!$G$52:$N$53,2,FALSE)/MMULT('Mat. Conv Par.'!$G$53:$N$53,'Mat. Conv Par.'!$E$14:$E$21)/VLOOKUP(C$55,'Mat. Conv Par.'!$B$14:$E$21,4,FALSE))</f>
        <v>5.8692523596269242</v>
      </c>
      <c r="D68" s="97">
        <f t="array" ref="D68">IF(VLOOKUP(D$55,'Mat. Conv Par.'!$B$9:$F$27,4,FALSE)=0,HLOOKUP(D$55,'GREET IO'!$A$77:$AZ$98,ROW(B68)-ROW(B$55)+1,FALSE)/907.2,'Mat. Conv Par.'!$E125*VLOOKUP(D$55,'Mat. Conv Par.'!$B$14:$E$21,4,FALSE)*HLOOKUP(D$55,'Mat. Conv Par.'!$G$52:$N$53,2,FALSE)/MMULT('Mat. Conv Par.'!$G$53:$N$53,'Mat. Conv Par.'!$E$14:$E$21)/VLOOKUP(D$55,'Mat. Conv Par.'!$B$14:$E$21,4,FALSE))</f>
        <v>4.0582798034349441</v>
      </c>
      <c r="E68" s="97">
        <f t="array" ref="E68">IF(VLOOKUP(E$55,'Mat. Conv Par.'!$B$9:$F$27,4,FALSE)=0,HLOOKUP(E$55,'GREET IO'!$A$77:$AZ$98,ROW(C68)-ROW(C$55)+1,FALSE)/907.2,'Mat. Conv Par.'!$E125*VLOOKUP(E$55,'Mat. Conv Par.'!$B$14:$E$21,4,FALSE)*HLOOKUP(E$55,'Mat. Conv Par.'!$G$52:$N$53,2,FALSE)/MMULT('Mat. Conv Par.'!$G$53:$N$53,'Mat. Conv Par.'!$E$14:$E$21)/VLOOKUP(E$55,'Mat. Conv Par.'!$B$14:$E$21,4,FALSE))</f>
        <v>3.7155962241903278</v>
      </c>
      <c r="F68" s="97">
        <f t="array" aca="1" ref="F68" ca="1">IF(VLOOKUP(F$55,'Mat. Conv Par.'!$B$9:$F$27,4,FALSE)=0,HLOOKUP(F$55,'GREET IO'!$A$77:$AZ$98,ROW(D68)-ROW(D$55)+1,FALSE)/907.2,'Mat. Conv Par.'!$E125*VLOOKUP(F$55,'Mat. Conv Par.'!$B$14:$E$21,4,FALSE)*HLOOKUP(F$55,'Mat. Conv Par.'!$G$52:$N$53,2,FALSE)/MMULT('Mat. Conv Par.'!$G$53:$N$53,'Mat. Conv Par.'!$E$14:$E$21)/VLOOKUP(F$55,'Mat. Conv Par.'!$B$14:$E$21,4,FALSE))</f>
        <v>0.62576564735357121</v>
      </c>
      <c r="G68" s="97">
        <f t="array" ref="G68">IF(VLOOKUP(G$55,'Mat. Conv Par.'!$B$9:$F$27,4,FALSE)=0,HLOOKUP(G$55,'GREET IO'!$A$77:$AZ$98,ROW(E68)-ROW(E$55)+1,FALSE)/907.2,'Mat. Conv Par.'!$E125*VLOOKUP(G$55,'Mat. Conv Par.'!$B$14:$E$21,4,FALSE)*HLOOKUP(G$55,'Mat. Conv Par.'!$G$52:$N$53,2,FALSE)/MMULT('Mat. Conv Par.'!$G$53:$N$53,'Mat. Conv Par.'!$E$14:$E$21)/VLOOKUP(G$55,'Mat. Conv Par.'!$B$14:$E$21,4,FALSE))</f>
        <v>3.5474277150245297</v>
      </c>
      <c r="H68" s="97">
        <f t="array" ref="H68">IF(VLOOKUP(H$55,'Mat. Conv Par.'!$B$9:$F$27,4,FALSE)=0,HLOOKUP(H$55,'GREET IO'!$A$77:$AZ$98,ROW(F68)-ROW(F$55)+1,FALSE)/907.2,'Mat. Conv Par.'!$E125*VLOOKUP(H$55,'Mat. Conv Par.'!$B$14:$E$21,4,FALSE)*HLOOKUP(H$55,'Mat. Conv Par.'!$G$52:$N$53,2,FALSE)/MMULT('Mat. Conv Par.'!$G$53:$N$53,'Mat. Conv Par.'!$E$14:$E$21)/VLOOKUP(H$55,'Mat. Conv Par.'!$B$14:$E$21,4,FALSE))</f>
        <v>3.7179754732142127</v>
      </c>
      <c r="I68" s="97">
        <f t="array" ref="I68">IF(VLOOKUP(I$55,'Mat. Conv Par.'!$B$9:$F$27,4,FALSE)=0,HLOOKUP(I$55,'GREET IO'!$A$77:$AZ$98,ROW(G68)-ROW(G$55)+1,FALSE)/907.2,'Mat. Conv Par.'!$E125*VLOOKUP(I$55,'Mat. Conv Par.'!$B$14:$E$21,4,FALSE)*HLOOKUP(I$55,'Mat. Conv Par.'!$G$52:$N$53,2,FALSE)/MMULT('Mat. Conv Par.'!$G$53:$N$53,'Mat. Conv Par.'!$E$14:$E$21)/VLOOKUP(I$55,'Mat. Conv Par.'!$B$14:$E$21,4,FALSE))</f>
        <v>3.5054635150810585</v>
      </c>
      <c r="J68" s="97">
        <f t="array" ref="J68">IF(VLOOKUP(J$55,'Mat. Conv Par.'!$B$9:$F$27,4,FALSE)=0,HLOOKUP(J$55,'GREET IO'!$A$77:$AZ$98,ROW(H68)-ROW(H$55)+1,FALSE)/907.2,'Mat. Conv Par.'!$E125*VLOOKUP(J$55,'Mat. Conv Par.'!$B$14:$E$21,4,FALSE)*HLOOKUP(J$55,'Mat. Conv Par.'!$G$52:$N$53,2,FALSE)/MMULT('Mat. Conv Par.'!$G$53:$N$53,'Mat. Conv Par.'!$E$14:$E$21)/VLOOKUP(J$55,'Mat. Conv Par.'!$B$14:$E$21,4,FALSE))</f>
        <v>1.501834183190877</v>
      </c>
      <c r="AB68" s="35"/>
      <c r="AC68" s="79" t="s">
        <v>191</v>
      </c>
      <c r="AD68" s="79" t="s">
        <v>191</v>
      </c>
      <c r="AE68" s="79" t="s">
        <v>191</v>
      </c>
      <c r="AF68" s="79" t="s">
        <v>191</v>
      </c>
      <c r="AG68" s="79" t="s">
        <v>192</v>
      </c>
      <c r="AH68" s="34" t="s">
        <v>193</v>
      </c>
      <c r="AI68" s="34" t="s">
        <v>193</v>
      </c>
      <c r="AJ68" s="34" t="s">
        <v>193</v>
      </c>
      <c r="AK68" s="34" t="s">
        <v>193</v>
      </c>
      <c r="AP68" s="56" t="s">
        <v>270</v>
      </c>
      <c r="AQ68" s="56"/>
    </row>
    <row r="69" spans="2:43">
      <c r="B69" s="83" t="s">
        <v>185</v>
      </c>
      <c r="C69" s="97">
        <f t="array" ref="C69">IF(VLOOKUP(C$55,'Mat. Conv Par.'!$B$9:$F$27,4,FALSE)=0,HLOOKUP(C$55,'GREET IO'!$A$77:$AZ$98,ROW(A69)-ROW(A$55)+1,FALSE)/907.2,'Mat. Conv Par.'!$E126*VLOOKUP(C$55,'Mat. Conv Par.'!$B$14:$E$21,4,FALSE)*HLOOKUP(C$55,'Mat. Conv Par.'!$G$52:$N$53,2,FALSE)/MMULT('Mat. Conv Par.'!$G$53:$N$53,'Mat. Conv Par.'!$E$14:$E$21)/VLOOKUP(C$55,'Mat. Conv Par.'!$B$14:$E$21,4,FALSE))</f>
        <v>48.142891407776709</v>
      </c>
      <c r="D69" s="97">
        <f t="array" ref="D69">IF(VLOOKUP(D$55,'Mat. Conv Par.'!$B$9:$F$27,4,FALSE)=0,HLOOKUP(D$55,'GREET IO'!$A$77:$AZ$98,ROW(B69)-ROW(B$55)+1,FALSE)/907.2,'Mat. Conv Par.'!$E126*VLOOKUP(D$55,'Mat. Conv Par.'!$B$14:$E$21,4,FALSE)*HLOOKUP(D$55,'Mat. Conv Par.'!$G$52:$N$53,2,FALSE)/MMULT('Mat. Conv Par.'!$G$53:$N$53,'Mat. Conv Par.'!$E$14:$E$21)/VLOOKUP(D$55,'Mat. Conv Par.'!$B$14:$E$21,4,FALSE))</f>
        <v>81.053567750786172</v>
      </c>
      <c r="E69" s="97">
        <f t="array" ref="E69">IF(VLOOKUP(E$55,'Mat. Conv Par.'!$B$9:$F$27,4,FALSE)=0,HLOOKUP(E$55,'GREET IO'!$A$77:$AZ$98,ROW(C69)-ROW(C$55)+1,FALSE)/907.2,'Mat. Conv Par.'!$E126*VLOOKUP(E$55,'Mat. Conv Par.'!$B$14:$E$21,4,FALSE)*HLOOKUP(E$55,'Mat. Conv Par.'!$G$52:$N$53,2,FALSE)/MMULT('Mat. Conv Par.'!$G$53:$N$53,'Mat. Conv Par.'!$E$14:$E$21)/VLOOKUP(E$55,'Mat. Conv Par.'!$B$14:$E$21,4,FALSE))</f>
        <v>106.4539062840273</v>
      </c>
      <c r="F69" s="97">
        <f t="array" aca="1" ref="F69" ca="1">IF(VLOOKUP(F$55,'Mat. Conv Par.'!$B$9:$F$27,4,FALSE)=0,HLOOKUP(F$55,'GREET IO'!$A$77:$AZ$98,ROW(D69)-ROW(D$55)+1,FALSE)/907.2,'Mat. Conv Par.'!$E126*VLOOKUP(F$55,'Mat. Conv Par.'!$B$14:$E$21,4,FALSE)*HLOOKUP(F$55,'Mat. Conv Par.'!$G$52:$N$53,2,FALSE)/MMULT('Mat. Conv Par.'!$G$53:$N$53,'Mat. Conv Par.'!$E$14:$E$21)/VLOOKUP(F$55,'Mat. Conv Par.'!$B$14:$E$21,4,FALSE))</f>
        <v>7.1843282844875853</v>
      </c>
      <c r="G69" s="97">
        <f t="array" ref="G69">IF(VLOOKUP(G$55,'Mat. Conv Par.'!$B$9:$F$27,4,FALSE)=0,HLOOKUP(G$55,'GREET IO'!$A$77:$AZ$98,ROW(E69)-ROW(E$55)+1,FALSE)/907.2,'Mat. Conv Par.'!$E126*VLOOKUP(G$55,'Mat. Conv Par.'!$B$14:$E$21,4,FALSE)*HLOOKUP(G$55,'Mat. Conv Par.'!$G$52:$N$53,2,FALSE)/MMULT('Mat. Conv Par.'!$G$53:$N$53,'Mat. Conv Par.'!$E$14:$E$21)/VLOOKUP(G$55,'Mat. Conv Par.'!$B$14:$E$21,4,FALSE))</f>
        <v>152.4444160232905</v>
      </c>
      <c r="H69" s="97">
        <f t="array" ref="H69">IF(VLOOKUP(H$55,'Mat. Conv Par.'!$B$9:$F$27,4,FALSE)=0,HLOOKUP(H$55,'GREET IO'!$A$77:$AZ$98,ROW(F69)-ROW(F$55)+1,FALSE)/907.2,'Mat. Conv Par.'!$E126*VLOOKUP(H$55,'Mat. Conv Par.'!$B$14:$E$21,4,FALSE)*HLOOKUP(H$55,'Mat. Conv Par.'!$G$52:$N$53,2,FALSE)/MMULT('Mat. Conv Par.'!$G$53:$N$53,'Mat. Conv Par.'!$E$14:$E$21)/VLOOKUP(H$55,'Mat. Conv Par.'!$B$14:$E$21,4,FALSE))</f>
        <v>156.94720780625104</v>
      </c>
      <c r="I69" s="97">
        <f t="array" ref="I69">IF(VLOOKUP(I$55,'Mat. Conv Par.'!$B$9:$F$27,4,FALSE)=0,HLOOKUP(I$55,'GREET IO'!$A$77:$AZ$98,ROW(G69)-ROW(G$55)+1,FALSE)/907.2,'Mat. Conv Par.'!$E126*VLOOKUP(I$55,'Mat. Conv Par.'!$B$14:$E$21,4,FALSE)*HLOOKUP(I$55,'Mat. Conv Par.'!$G$52:$N$53,2,FALSE)/MMULT('Mat. Conv Par.'!$G$53:$N$53,'Mat. Conv Par.'!$E$14:$E$21)/VLOOKUP(I$55,'Mat. Conv Par.'!$B$14:$E$21,4,FALSE))</f>
        <v>2.1200993055115753</v>
      </c>
      <c r="J69" s="97">
        <f t="array" ref="J69">IF(VLOOKUP(J$55,'Mat. Conv Par.'!$B$9:$F$27,4,FALSE)=0,HLOOKUP(J$55,'GREET IO'!$A$77:$AZ$98,ROW(H69)-ROW(H$55)+1,FALSE)/907.2,'Mat. Conv Par.'!$E126*VLOOKUP(J$55,'Mat. Conv Par.'!$B$14:$E$21,4,FALSE)*HLOOKUP(J$55,'Mat. Conv Par.'!$G$52:$N$53,2,FALSE)/MMULT('Mat. Conv Par.'!$G$53:$N$53,'Mat. Conv Par.'!$E$14:$E$21)/VLOOKUP(J$55,'Mat. Conv Par.'!$B$14:$E$21,4,FALSE))</f>
        <v>12.995698982937721</v>
      </c>
      <c r="AB69" s="29" t="s">
        <v>194</v>
      </c>
      <c r="AC69" t="s">
        <v>677</v>
      </c>
      <c r="AD69" t="s">
        <v>426</v>
      </c>
      <c r="AE69" t="s">
        <v>672</v>
      </c>
      <c r="AF69" t="s">
        <v>36</v>
      </c>
      <c r="AH69" s="58" t="s">
        <v>677</v>
      </c>
      <c r="AI69" t="s">
        <v>426</v>
      </c>
      <c r="AJ69" t="s">
        <v>672</v>
      </c>
      <c r="AK69" s="840" t="s">
        <v>36</v>
      </c>
      <c r="AP69" s="56" t="s">
        <v>271</v>
      </c>
      <c r="AQ69" s="1224">
        <f>1/907.2</f>
        <v>1.1022927689594356E-3</v>
      </c>
    </row>
    <row r="70" spans="2:43">
      <c r="B70" s="83" t="s">
        <v>186</v>
      </c>
      <c r="C70" s="97">
        <f t="array" ref="C70">IF(VLOOKUP(C$55,'Mat. Conv Par.'!$B$9:$F$27,4,FALSE)=0,HLOOKUP(C$55,'GREET IO'!$A$77:$AZ$98,ROW(A70)-ROW(A$55)+1,FALSE)/907.2,'Mat. Conv Par.'!$E127*VLOOKUP(C$55,'Mat. Conv Par.'!$B$14:$E$21,4,FALSE)*HLOOKUP(C$55,'Mat. Conv Par.'!$G$52:$N$53,2,FALSE)/MMULT('Mat. Conv Par.'!$G$53:$N$53,'Mat. Conv Par.'!$E$14:$E$21)/VLOOKUP(C$55,'Mat. Conv Par.'!$B$14:$E$21,4,FALSE))</f>
        <v>0.31722595837900064</v>
      </c>
      <c r="D70" s="97">
        <f t="array" ref="D70">IF(VLOOKUP(D$55,'Mat. Conv Par.'!$B$9:$F$27,4,FALSE)=0,HLOOKUP(D$55,'GREET IO'!$A$77:$AZ$98,ROW(B70)-ROW(B$55)+1,FALSE)/907.2,'Mat. Conv Par.'!$E127*VLOOKUP(D$55,'Mat. Conv Par.'!$B$14:$E$21,4,FALSE)*HLOOKUP(D$55,'Mat. Conv Par.'!$G$52:$N$53,2,FALSE)/MMULT('Mat. Conv Par.'!$G$53:$N$53,'Mat. Conv Par.'!$E$14:$E$21)/VLOOKUP(D$55,'Mat. Conv Par.'!$B$14:$E$21,4,FALSE))</f>
        <v>0.25477224111164493</v>
      </c>
      <c r="E70" s="97">
        <f t="array" ref="E70">IF(VLOOKUP(E$55,'Mat. Conv Par.'!$B$9:$F$27,4,FALSE)=0,HLOOKUP(E$55,'GREET IO'!$A$77:$AZ$98,ROW(C70)-ROW(C$55)+1,FALSE)/907.2,'Mat. Conv Par.'!$E127*VLOOKUP(E$55,'Mat. Conv Par.'!$B$14:$E$21,4,FALSE)*HLOOKUP(E$55,'Mat. Conv Par.'!$G$52:$N$53,2,FALSE)/MMULT('Mat. Conv Par.'!$G$53:$N$53,'Mat. Conv Par.'!$E$14:$E$21)/VLOOKUP(E$55,'Mat. Conv Par.'!$B$14:$E$21,4,FALSE))</f>
        <v>0.25438863838535714</v>
      </c>
      <c r="F70" s="97">
        <f t="array" aca="1" ref="F70" ca="1">IF(VLOOKUP(F$55,'Mat. Conv Par.'!$B$9:$F$27,4,FALSE)=0,HLOOKUP(F$55,'GREET IO'!$A$77:$AZ$98,ROW(D70)-ROW(D$55)+1,FALSE)/907.2,'Mat. Conv Par.'!$E127*VLOOKUP(F$55,'Mat. Conv Par.'!$B$14:$E$21,4,FALSE)*HLOOKUP(F$55,'Mat. Conv Par.'!$G$52:$N$53,2,FALSE)/MMULT('Mat. Conv Par.'!$G$53:$N$53,'Mat. Conv Par.'!$E$14:$E$21)/VLOOKUP(F$55,'Mat. Conv Par.'!$B$14:$E$21,4,FALSE))</f>
        <v>5.5577457460273885E-2</v>
      </c>
      <c r="G70" s="97">
        <f t="array" ref="G70">IF(VLOOKUP(G$55,'Mat. Conv Par.'!$B$9:$F$27,4,FALSE)=0,HLOOKUP(G$55,'GREET IO'!$A$77:$AZ$98,ROW(E70)-ROW(E$55)+1,FALSE)/907.2,'Mat. Conv Par.'!$E127*VLOOKUP(G$55,'Mat. Conv Par.'!$B$14:$E$21,4,FALSE)*HLOOKUP(G$55,'Mat. Conv Par.'!$G$52:$N$53,2,FALSE)/MMULT('Mat. Conv Par.'!$G$53:$N$53,'Mat. Conv Par.'!$E$14:$E$21)/VLOOKUP(G$55,'Mat. Conv Par.'!$B$14:$E$21,4,FALSE))</f>
        <v>0.31528695629394321</v>
      </c>
      <c r="H70" s="97">
        <f t="array" ref="H70">IF(VLOOKUP(H$55,'Mat. Conv Par.'!$B$9:$F$27,4,FALSE)=0,HLOOKUP(H$55,'GREET IO'!$A$77:$AZ$98,ROW(F70)-ROW(F$55)+1,FALSE)/907.2,'Mat. Conv Par.'!$E127*VLOOKUP(H$55,'Mat. Conv Par.'!$B$14:$E$21,4,FALSE)*HLOOKUP(H$55,'Mat. Conv Par.'!$G$52:$N$53,2,FALSE)/MMULT('Mat. Conv Par.'!$G$53:$N$53,'Mat. Conv Par.'!$E$14:$E$21)/VLOOKUP(H$55,'Mat. Conv Par.'!$B$14:$E$21,4,FALSE))</f>
        <v>0.33408367116895293</v>
      </c>
      <c r="I70" s="97">
        <f t="array" ref="I70">IF(VLOOKUP(I$55,'Mat. Conv Par.'!$B$9:$F$27,4,FALSE)=0,HLOOKUP(I$55,'GREET IO'!$A$77:$AZ$98,ROW(G70)-ROW(G$55)+1,FALSE)/907.2,'Mat. Conv Par.'!$E127*VLOOKUP(I$55,'Mat. Conv Par.'!$B$14:$E$21,4,FALSE)*HLOOKUP(I$55,'Mat. Conv Par.'!$G$52:$N$53,2,FALSE)/MMULT('Mat. Conv Par.'!$G$53:$N$53,'Mat. Conv Par.'!$E$14:$E$21)/VLOOKUP(I$55,'Mat. Conv Par.'!$B$14:$E$21,4,FALSE))</f>
        <v>0.28420802875468454</v>
      </c>
      <c r="J70" s="97">
        <f t="array" ref="J70">IF(VLOOKUP(J$55,'Mat. Conv Par.'!$B$9:$F$27,4,FALSE)=0,HLOOKUP(J$55,'GREET IO'!$A$77:$AZ$98,ROW(H70)-ROW(H$55)+1,FALSE)/907.2,'Mat. Conv Par.'!$E127*VLOOKUP(J$55,'Mat. Conv Par.'!$B$14:$E$21,4,FALSE)*HLOOKUP(J$55,'Mat. Conv Par.'!$G$52:$N$53,2,FALSE)/MMULT('Mat. Conv Par.'!$G$53:$N$53,'Mat. Conv Par.'!$E$14:$E$21)/VLOOKUP(J$55,'Mat. Conv Par.'!$B$14:$E$21,4,FALSE))</f>
        <v>0.17015978189533368</v>
      </c>
      <c r="AB70" s="29" t="s">
        <v>173</v>
      </c>
      <c r="AC70" s="177" t="e">
        <f>(AC$65*(1-AC$11)*HLOOKUP($AC$9, 'GREET IO'!$B$77:$AZ$98, ROW($AB70)-ROW($AB$68)+1, FALSE)+(AD$65+AE$65)*'GREET IO'!$K79+SUMPRODUCT(AF$65:AO$65,'GREET IO'!$L79:$U79)+AP$65*'GREET IO'!$H79+AQ$65*'GREET IO'!$L79)*$AQ$69+AC$65*AC$11*HLOOKUP($AC$9, $B$7:$I$28, ROW($AB70)-ROW($AB$68)+1, FALSE)-(AC$12*IF(AB$12="Electrolyte organics",AJ$65+AK$65,IFERROR(HLOOKUP(AB$12,AC$64:AP$65,2,FALSE),0))*IFERROR(HLOOKUP(AB$12, 'GREET IO'!$B$77:$AZ$98, ROW($AB70)-ROW($AB$68)+1, FALSE),0)+AC$13*IF(AB$13="Electrolyte organics",AJ$65+AK$65,IFERROR(HLOOKUP(AB$13,AC$64:AP$65,2,FALSE),0))*IFERROR(HLOOKUP(AB$13, 'GREET IO'!$B$77:$AZ$98, ROW($AB70)-ROW($AB$68)+1, FALSE),0))*$AQ$69</f>
        <v>#N/A</v>
      </c>
      <c r="AD70" s="177" t="e">
        <f>(AC$65*(1-AC$11)*HLOOKUP($AC$9, 'GREET IO'!$B$77:$AZ$98, ROW($AB70)-ROW($AB$68)+1, FALSE)+(AD$65+AE$65)*'GREET IO'!$K79+SUMPRODUCT(AF$65:AO$65,'GREET IO'!$L79:$U79)+AP$65*'GREET IO'!$H79+AQ$65*'GREET IO'!$L79)*$AQ$69+AC$65*AC$11*HLOOKUP($AC$9, $B$31:$I$52, ROW($AB70)-ROW($AB$68)+1, FALSE)-(AC$12*IF(AB$12="Electrolyte organics",AJ$65+AK$65,IFERROR(HLOOKUP(AB$12,AC$64:AP$65,2,FALSE),0))*IFERROR(HLOOKUP(AB$12, 'GREET IO'!$B$77:$AZ$98, ROW($AB70)-ROW($AB$68)+1, FALSE),0)+AC$13*IF(AB$13="Electrolyte organics",AJ$65+AK$65,IFERROR(HLOOKUP(AB$13,AC$64:AP$65,2,FALSE),0))*IFERROR(HLOOKUP(AB$13, 'GREET IO'!$B$77:$AZ$98, ROW($AB70)-ROW($AB$68)+1, FALSE),0))*$AQ$69</f>
        <v>#N/A</v>
      </c>
      <c r="AE70" s="177" t="e">
        <f>(AC$65*(1-AC$11)*HLOOKUP($AC$9, 'GREET IO'!$B$77:$AZ$98, ROW($AB70)-ROW($AB$68)+1, FALSE)+(AD$65+AE$65)*'GREET IO'!$K79+SUMPRODUCT(AF$65:AO$65,'GREET IO'!$L79:$U79)+AP$65*'GREET IO'!$H79+AQ$65*'GREET IO'!$L79)*$AQ$69+AC$65*AC$11*HLOOKUP($AC$9, $B$55:$J$76, ROW($AB70)-ROW($AB$68)+1, FALSE)-(AC$12*IF(AB$12="Electrolyte organics",AJ$65+AK$65,IFERROR(HLOOKUP(AB$12,AC$64:AP$65,2,FALSE),0))*IFERROR(HLOOKUP(AB$12, 'GREET IO'!$B$77:$AZ$98, ROW($AB70)-ROW($AB$68)+1, FALSE),0)+AC$13*IF(AB$13="Electrolyte organics",AJ$65+AK$65,IFERROR(HLOOKUP(AB$13,AC$64:AP$65,2,FALSE),0))*IFERROR(HLOOKUP(AB$13, 'GREET IO'!$B$77:$AZ$98, ROW($AB70)-ROW($AB$68)+1, FALSE),0))*$AQ$69</f>
        <v>#N/A</v>
      </c>
      <c r="AF70" s="177" t="e">
        <f>(AC$65*(1-AC$11)*HLOOKUP($AC$9, 'GREET IO'!$B$77:$AZ$98, ROW($AB70)-ROW($AB$68)+1, FALSE)+(AD$65+AE$65)*'GREET IO'!$K79+SUMPRODUCT(AF$65:AO$65,'GREET IO'!$L79:$U79)+AP$65*'GREET IO'!$H79+AQ$65*'GREET IO'!$L79)*$AQ$69+AC$65*AC$11*HLOOKUP($AC$9, $B$79:$I$100, ROW($AB70)-ROW($AB$68)+1, FALSE)-(AC$12*IF(AB$12="Electrolyte organics",AJ$65+AK$65,IFERROR(HLOOKUP(AB$12,AC$64:AP$65,2,FALSE),0))*IFERROR(HLOOKUP(AB$12, 'GREET IO'!$B$77:$AZ$98, ROW($AB70)-ROW($AB$68)+1, FALSE),0)+AC$13*IF(AB$13="Electrolyte organics",AJ$65+AK$65,IFERROR(HLOOKUP(AB$13,AC$64:AP$65,2,FALSE),0))*IFERROR(HLOOKUP(AB$13, 'GREET IO'!$B$77:$AZ$98, ROW($AB70)-ROW($AB$68)+1, FALSE),0))*$AQ$69</f>
        <v>#N/A</v>
      </c>
      <c r="AG70" s="177">
        <f>AC$40/$AQ$70*AC$42*('GREET IO'!$B22/1000000+1)+AC$40/$AQ$70*AC$41/1000000*IF(AC$10=Input!$AD$35, 'Geographic Par.'!$E70, IF(AC$10=Input!$AD$36, 'Geographic Par.'!$F70, IF(AC$10=Input!$AD$37, 'Geographic Par.'!$H70, IF(AC$10=Input!$AD$38,'Geographic Par.'!$G70,'Geographic Par.'!$L70))))</f>
        <v>6.7877695312092992E-2</v>
      </c>
      <c r="AH70" s="177" t="e">
        <f t="shared" ref="AH70:AK75" si="2">AC70+$AG70</f>
        <v>#N/A</v>
      </c>
      <c r="AI70" s="177" t="e">
        <f t="shared" si="2"/>
        <v>#N/A</v>
      </c>
      <c r="AJ70" s="177" t="e">
        <f t="shared" si="2"/>
        <v>#N/A</v>
      </c>
      <c r="AK70" s="181" t="e">
        <f t="shared" si="2"/>
        <v>#N/A</v>
      </c>
      <c r="AP70" s="56" t="s">
        <v>1292</v>
      </c>
      <c r="AQ70" s="56">
        <v>1055</v>
      </c>
    </row>
    <row r="71" spans="2:43">
      <c r="B71" s="83" t="s">
        <v>187</v>
      </c>
      <c r="C71" s="97">
        <f t="array" ref="C71">IF(VLOOKUP(C$55,'Mat. Conv Par.'!$B$9:$F$27,4,FALSE)=0,HLOOKUP(C$55,'GREET IO'!$A$77:$AZ$98,ROW(A71)-ROW(A$55)+1,FALSE)/907.2,'Mat. Conv Par.'!$E128*VLOOKUP(C$55,'Mat. Conv Par.'!$B$14:$E$21,4,FALSE)*HLOOKUP(C$55,'Mat. Conv Par.'!$G$52:$N$53,2,FALSE)/MMULT('Mat. Conv Par.'!$G$53:$N$53,'Mat. Conv Par.'!$E$14:$E$21)/VLOOKUP(C$55,'Mat. Conv Par.'!$B$14:$E$21,4,FALSE))</f>
        <v>0.49029840434293398</v>
      </c>
      <c r="D71" s="97">
        <f t="array" ref="D71">IF(VLOOKUP(D$55,'Mat. Conv Par.'!$B$9:$F$27,4,FALSE)=0,HLOOKUP(D$55,'GREET IO'!$A$77:$AZ$98,ROW(B71)-ROW(B$55)+1,FALSE)/907.2,'Mat. Conv Par.'!$E128*VLOOKUP(D$55,'Mat. Conv Par.'!$B$14:$E$21,4,FALSE)*HLOOKUP(D$55,'Mat. Conv Par.'!$G$52:$N$53,2,FALSE)/MMULT('Mat. Conv Par.'!$G$53:$N$53,'Mat. Conv Par.'!$E$14:$E$21)/VLOOKUP(D$55,'Mat. Conv Par.'!$B$14:$E$21,4,FALSE))</f>
        <v>0.50309862213223122</v>
      </c>
      <c r="E71" s="97">
        <f t="array" ref="E71">IF(VLOOKUP(E$55,'Mat. Conv Par.'!$B$9:$F$27,4,FALSE)=0,HLOOKUP(E$55,'GREET IO'!$A$77:$AZ$98,ROW(C71)-ROW(C$55)+1,FALSE)/907.2,'Mat. Conv Par.'!$E128*VLOOKUP(E$55,'Mat. Conv Par.'!$B$14:$E$21,4,FALSE)*HLOOKUP(E$55,'Mat. Conv Par.'!$G$52:$N$53,2,FALSE)/MMULT('Mat. Conv Par.'!$G$53:$N$53,'Mat. Conv Par.'!$E$14:$E$21)/VLOOKUP(E$55,'Mat. Conv Par.'!$B$14:$E$21,4,FALSE))</f>
        <v>0.52606052524037583</v>
      </c>
      <c r="F71" s="97">
        <f t="array" aca="1" ref="F71" ca="1">IF(VLOOKUP(F$55,'Mat. Conv Par.'!$B$9:$F$27,4,FALSE)=0,HLOOKUP(F$55,'GREET IO'!$A$77:$AZ$98,ROW(D71)-ROW(D$55)+1,FALSE)/907.2,'Mat. Conv Par.'!$E128*VLOOKUP(F$55,'Mat. Conv Par.'!$B$14:$E$21,4,FALSE)*HLOOKUP(F$55,'Mat. Conv Par.'!$G$52:$N$53,2,FALSE)/MMULT('Mat. Conv Par.'!$G$53:$N$53,'Mat. Conv Par.'!$E$14:$E$21)/VLOOKUP(F$55,'Mat. Conv Par.'!$B$14:$E$21,4,FALSE))</f>
        <v>9.2301621907025691E-2</v>
      </c>
      <c r="G71" s="97">
        <f t="array" ref="G71">IF(VLOOKUP(G$55,'Mat. Conv Par.'!$B$9:$F$27,4,FALSE)=0,HLOOKUP(G$55,'GREET IO'!$A$77:$AZ$98,ROW(E71)-ROW(E$55)+1,FALSE)/907.2,'Mat. Conv Par.'!$E128*VLOOKUP(G$55,'Mat. Conv Par.'!$B$14:$E$21,4,FALSE)*HLOOKUP(G$55,'Mat. Conv Par.'!$G$52:$N$53,2,FALSE)/MMULT('Mat. Conv Par.'!$G$53:$N$53,'Mat. Conv Par.'!$E$14:$E$21)/VLOOKUP(G$55,'Mat. Conv Par.'!$B$14:$E$21,4,FALSE))</f>
        <v>0.68424455036375142</v>
      </c>
      <c r="H71" s="97">
        <f t="array" ref="H71">IF(VLOOKUP(H$55,'Mat. Conv Par.'!$B$9:$F$27,4,FALSE)=0,HLOOKUP(H$55,'GREET IO'!$A$77:$AZ$98,ROW(F71)-ROW(F$55)+1,FALSE)/907.2,'Mat. Conv Par.'!$E128*VLOOKUP(H$55,'Mat. Conv Par.'!$B$14:$E$21,4,FALSE)*HLOOKUP(H$55,'Mat. Conv Par.'!$G$52:$N$53,2,FALSE)/MMULT('Mat. Conv Par.'!$G$53:$N$53,'Mat. Conv Par.'!$E$14:$E$21)/VLOOKUP(H$55,'Mat. Conv Par.'!$B$14:$E$21,4,FALSE))</f>
        <v>0.71392243491116791</v>
      </c>
      <c r="I71" s="97">
        <f t="array" ref="I71">IF(VLOOKUP(I$55,'Mat. Conv Par.'!$B$9:$F$27,4,FALSE)=0,HLOOKUP(I$55,'GREET IO'!$A$77:$AZ$98,ROW(G71)-ROW(G$55)+1,FALSE)/907.2,'Mat. Conv Par.'!$E128*VLOOKUP(I$55,'Mat. Conv Par.'!$B$14:$E$21,4,FALSE)*HLOOKUP(I$55,'Mat. Conv Par.'!$G$52:$N$53,2,FALSE)/MMULT('Mat. Conv Par.'!$G$53:$N$53,'Mat. Conv Par.'!$E$14:$E$21)/VLOOKUP(I$55,'Mat. Conv Par.'!$B$14:$E$21,4,FALSE))</f>
        <v>0.72756599447156756</v>
      </c>
      <c r="J71" s="97">
        <f t="array" ref="J71">IF(VLOOKUP(J$55,'Mat. Conv Par.'!$B$9:$F$27,4,FALSE)=0,HLOOKUP(J$55,'GREET IO'!$A$77:$AZ$98,ROW(H71)-ROW(H$55)+1,FALSE)/907.2,'Mat. Conv Par.'!$E128*VLOOKUP(J$55,'Mat. Conv Par.'!$B$14:$E$21,4,FALSE)*HLOOKUP(J$55,'Mat. Conv Par.'!$G$52:$N$53,2,FALSE)/MMULT('Mat. Conv Par.'!$G$53:$N$53,'Mat. Conv Par.'!$E$14:$E$21)/VLOOKUP(J$55,'Mat. Conv Par.'!$B$14:$E$21,4,FALSE))</f>
        <v>0.35747114129595403</v>
      </c>
      <c r="AB71" s="29" t="s">
        <v>174</v>
      </c>
      <c r="AC71" s="177" t="e">
        <f>(AC$65*(1-AC$11)*HLOOKUP($AC$9, 'GREET IO'!$B$77:$AZ$98, ROW($AB71)-ROW($AB$68)+1, FALSE)+(AD$65+AE$65)*'GREET IO'!$K80+SUMPRODUCT(AF$65:AO$65,'GREET IO'!$L80:$U80)+AP$65*'GREET IO'!$H80+AQ$65*'GREET IO'!$L80)*$AQ$69+AC$65*AC$11*HLOOKUP($AC$9, $B$7:$I$28, ROW($AB71)-ROW($AB$68)+1, FALSE)-(AC$12*IF(AB$12="Electrolyte organics",AJ$65+AK$65,IFERROR(HLOOKUP(AB$12,AC$64:AP$65,2,FALSE),0))*IFERROR(HLOOKUP(AB$12, 'GREET IO'!$B$77:$AZ$98, ROW($AB71)-ROW($AB$68)+1, FALSE),0)+AC$13*IF(AB$13="Electrolyte organics",AJ$65+AK$65,IFERROR(HLOOKUP(AB$13,AC$64:AP$65,2,FALSE),0))*IFERROR(HLOOKUP(AB$13, 'GREET IO'!$B$77:$AZ$98, ROW($AB71)-ROW($AB$68)+1, FALSE),0))*$AQ$69</f>
        <v>#N/A</v>
      </c>
      <c r="AD71" s="177" t="e">
        <f>(AC$65*(1-AC$11)*HLOOKUP($AC$9, 'GREET IO'!$B$77:$AZ$98, ROW($AB71)-ROW($AB$68)+1, FALSE)+(AD$65+AE$65)*'GREET IO'!$K80+SUMPRODUCT(AF$65:AO$65,'GREET IO'!$L80:$U80)+AP$65*'GREET IO'!$H80+AQ$65*'GREET IO'!$L80)*$AQ$69+AC$65*AC$11*HLOOKUP($AC$9, $B$31:$I$52, ROW($AB71)-ROW($AB$68)+1, FALSE)-(AC$12*IF(AB$12="Electrolyte organics",AJ$65+AK$65,IFERROR(HLOOKUP(AB$12,AC$64:AP$65,2,FALSE),0))*IFERROR(HLOOKUP(AB$12, 'GREET IO'!$B$77:$AZ$98, ROW($AB71)-ROW($AB$68)+1, FALSE),0)+AC$13*IF(AB$13="Electrolyte organics",AJ$65+AK$65,IFERROR(HLOOKUP(AB$13,AC$64:AP$65,2,FALSE),0))*IFERROR(HLOOKUP(AB$13, 'GREET IO'!$B$77:$AZ$98, ROW($AB71)-ROW($AB$68)+1, FALSE),0))*$AQ$69</f>
        <v>#N/A</v>
      </c>
      <c r="AE71" s="177" t="e">
        <f>(AC$65*(1-AC$11)*HLOOKUP($AC$9, 'GREET IO'!$B$77:$AZ$98, ROW($AB71)-ROW($AB$68)+1, FALSE)+(AD$65+AE$65)*'GREET IO'!$K80+SUMPRODUCT(AF$65:AO$65,'GREET IO'!$L80:$U80)+AP$65*'GREET IO'!$H80+AQ$65*'GREET IO'!$L80)*$AQ$69+AC$65*AC$11*HLOOKUP($AC$9, $B$55:$J$76, ROW($AB71)-ROW($AB$68)+1, FALSE)-(AC$12*IF(AB$12="Electrolyte organics",AJ$65+AK$65,IFERROR(HLOOKUP(AB$12,AC$64:AP$65,2,FALSE),0))*IFERROR(HLOOKUP(AB$12, 'GREET IO'!$B$77:$AZ$98, ROW($AB71)-ROW($AB$68)+1, FALSE),0)+AC$13*IF(AB$13="Electrolyte organics",AJ$65+AK$65,IFERROR(HLOOKUP(AB$13,AC$64:AP$65,2,FALSE),0))*IFERROR(HLOOKUP(AB$13, 'GREET IO'!$B$77:$AZ$98, ROW($AB71)-ROW($AB$68)+1, FALSE),0))*$AQ$69</f>
        <v>#N/A</v>
      </c>
      <c r="AF71" s="177" t="e">
        <f>(AC$65*(1-AC$11)*HLOOKUP($AC$9, 'GREET IO'!$B$77:$AZ$98, ROW($AB71)-ROW($AB$68)+1, FALSE)+(AD$65+AE$65)*'GREET IO'!$K80+SUMPRODUCT(AF$65:AO$65,'GREET IO'!$L80:$U80)+AP$65*'GREET IO'!$H80+AQ$65*'GREET IO'!$L80)*$AQ$69+AC$65*AC$11*HLOOKUP($AC$9, $B$79:$I$100, ROW($AB71)-ROW($AB$68)+1, FALSE)-(AC$12*IF(AB$12="Electrolyte organics",AJ$65+AK$65,IFERROR(HLOOKUP(AB$12,AC$64:AP$65,2,FALSE),0))*IFERROR(HLOOKUP(AB$12, 'GREET IO'!$B$77:$AZ$98, ROW($AB71)-ROW($AB$68)+1, FALSE),0)+AC$13*IF(AB$13="Electrolyte organics",AJ$65+AK$65,IFERROR(HLOOKUP(AB$13,AC$64:AP$65,2,FALSE),0))*IFERROR(HLOOKUP(AB$13, 'GREET IO'!$B$77:$AZ$98, ROW($AB71)-ROW($AB$68)+1, FALSE),0))*$AQ$69</f>
        <v>#N/A</v>
      </c>
      <c r="AG71" s="177">
        <f>AC$40/$AQ$70*AC$42*('GREET IO'!$B23/1000000+1)+AC$40/$AQ$70*AC$41/1000000*IF(AC$10=Input!$AD$35, 'Geographic Par.'!$E71, IF(AC$10=Input!$AD$36, 'Geographic Par.'!$F71, IF(AC$10=Input!$AD$37, 'Geographic Par.'!$H71, IF(AC$10=Input!$AD$38,'Geographic Par.'!$G71,'Geographic Par.'!$L71))))</f>
        <v>6.384990203466831E-2</v>
      </c>
      <c r="AH71" s="177" t="e">
        <f t="shared" si="2"/>
        <v>#N/A</v>
      </c>
      <c r="AI71" s="177" t="e">
        <f t="shared" si="2"/>
        <v>#N/A</v>
      </c>
      <c r="AJ71" s="177" t="e">
        <f t="shared" si="2"/>
        <v>#N/A</v>
      </c>
      <c r="AK71" s="181" t="e">
        <f t="shared" si="2"/>
        <v>#N/A</v>
      </c>
      <c r="AP71" s="56" t="s">
        <v>1387</v>
      </c>
      <c r="AQ71" s="56">
        <v>1E-3</v>
      </c>
    </row>
    <row r="72" spans="2:43">
      <c r="B72" s="83" t="s">
        <v>188</v>
      </c>
      <c r="C72" s="97">
        <f t="array" ref="C72">IF(VLOOKUP(C$55,'Mat. Conv Par.'!$B$9:$F$27,4,FALSE)=0,HLOOKUP(C$55,'GREET IO'!$A$77:$AZ$98,ROW(A72)-ROW(A$55)+1,FALSE)/907.2,'Mat. Conv Par.'!$E129*VLOOKUP(C$55,'Mat. Conv Par.'!$B$14:$E$21,4,FALSE)*HLOOKUP(C$55,'Mat. Conv Par.'!$G$52:$N$53,2,FALSE)/MMULT('Mat. Conv Par.'!$G$53:$N$53,'Mat. Conv Par.'!$E$14:$E$21)/VLOOKUP(C$55,'Mat. Conv Par.'!$B$14:$E$21,4,FALSE))</f>
        <v>46.055231270147438</v>
      </c>
      <c r="D72" s="97">
        <f t="array" ref="D72">IF(VLOOKUP(D$55,'Mat. Conv Par.'!$B$9:$F$27,4,FALSE)=0,HLOOKUP(D$55,'GREET IO'!$A$77:$AZ$98,ROW(B72)-ROW(B$55)+1,FALSE)/907.2,'Mat. Conv Par.'!$E129*VLOOKUP(D$55,'Mat. Conv Par.'!$B$14:$E$21,4,FALSE)*HLOOKUP(D$55,'Mat. Conv Par.'!$G$52:$N$53,2,FALSE)/MMULT('Mat. Conv Par.'!$G$53:$N$53,'Mat. Conv Par.'!$E$14:$E$21)/VLOOKUP(D$55,'Mat. Conv Par.'!$B$14:$E$21,4,FALSE))</f>
        <v>44.437701447039721</v>
      </c>
      <c r="E72" s="97">
        <f t="array" ref="E72">IF(VLOOKUP(E$55,'Mat. Conv Par.'!$B$9:$F$27,4,FALSE)=0,HLOOKUP(E$55,'GREET IO'!$A$77:$AZ$98,ROW(C72)-ROW(C$55)+1,FALSE)/907.2,'Mat. Conv Par.'!$E129*VLOOKUP(E$55,'Mat. Conv Par.'!$B$14:$E$21,4,FALSE)*HLOOKUP(E$55,'Mat. Conv Par.'!$G$52:$N$53,2,FALSE)/MMULT('Mat. Conv Par.'!$G$53:$N$53,'Mat. Conv Par.'!$E$14:$E$21)/VLOOKUP(E$55,'Mat. Conv Par.'!$B$14:$E$21,4,FALSE))</f>
        <v>45.518509981043273</v>
      </c>
      <c r="F72" s="97">
        <f t="array" aca="1" ref="F72" ca="1">IF(VLOOKUP(F$55,'Mat. Conv Par.'!$B$9:$F$27,4,FALSE)=0,HLOOKUP(F$55,'GREET IO'!$A$77:$AZ$98,ROW(D72)-ROW(D$55)+1,FALSE)/907.2,'Mat. Conv Par.'!$E129*VLOOKUP(F$55,'Mat. Conv Par.'!$B$14:$E$21,4,FALSE)*HLOOKUP(F$55,'Mat. Conv Par.'!$G$52:$N$53,2,FALSE)/MMULT('Mat. Conv Par.'!$G$53:$N$53,'Mat. Conv Par.'!$E$14:$E$21)/VLOOKUP(F$55,'Mat. Conv Par.'!$B$14:$E$21,4,FALSE))</f>
        <v>11.33328153253272</v>
      </c>
      <c r="G72" s="97">
        <f t="array" ref="G72">IF(VLOOKUP(G$55,'Mat. Conv Par.'!$B$9:$F$27,4,FALSE)=0,HLOOKUP(G$55,'GREET IO'!$A$77:$AZ$98,ROW(E72)-ROW(E$55)+1,FALSE)/907.2,'Mat. Conv Par.'!$E129*VLOOKUP(G$55,'Mat. Conv Par.'!$B$14:$E$21,4,FALSE)*HLOOKUP(G$55,'Mat. Conv Par.'!$G$52:$N$53,2,FALSE)/MMULT('Mat. Conv Par.'!$G$53:$N$53,'Mat. Conv Par.'!$E$14:$E$21)/VLOOKUP(G$55,'Mat. Conv Par.'!$B$14:$E$21,4,FALSE))</f>
        <v>53.416182313694762</v>
      </c>
      <c r="H72" s="97">
        <f t="array" ref="H72">IF(VLOOKUP(H$55,'Mat. Conv Par.'!$B$9:$F$27,4,FALSE)=0,HLOOKUP(H$55,'GREET IO'!$A$77:$AZ$98,ROW(F72)-ROW(F$55)+1,FALSE)/907.2,'Mat. Conv Par.'!$E129*VLOOKUP(H$55,'Mat. Conv Par.'!$B$14:$E$21,4,FALSE)*HLOOKUP(H$55,'Mat. Conv Par.'!$G$52:$N$53,2,FALSE)/MMULT('Mat. Conv Par.'!$G$53:$N$53,'Mat. Conv Par.'!$E$14:$E$21)/VLOOKUP(H$55,'Mat. Conv Par.'!$B$14:$E$21,4,FALSE))</f>
        <v>61.183009521097354</v>
      </c>
      <c r="I72" s="97">
        <f t="array" ref="I72">IF(VLOOKUP(I$55,'Mat. Conv Par.'!$B$9:$F$27,4,FALSE)=0,HLOOKUP(I$55,'GREET IO'!$A$77:$AZ$98,ROW(G72)-ROW(G$55)+1,FALSE)/907.2,'Mat. Conv Par.'!$E129*VLOOKUP(I$55,'Mat. Conv Par.'!$B$14:$E$21,4,FALSE)*HLOOKUP(I$55,'Mat. Conv Par.'!$G$52:$N$53,2,FALSE)/MMULT('Mat. Conv Par.'!$G$53:$N$53,'Mat. Conv Par.'!$E$14:$E$21)/VLOOKUP(I$55,'Mat. Conv Par.'!$B$14:$E$21,4,FALSE))</f>
        <v>6.5448420108205898</v>
      </c>
      <c r="J72" s="97">
        <f t="array" ref="J72">IF(VLOOKUP(J$55,'Mat. Conv Par.'!$B$9:$F$27,4,FALSE)=0,HLOOKUP(J$55,'GREET IO'!$A$77:$AZ$98,ROW(H72)-ROW(H$55)+1,FALSE)/907.2,'Mat. Conv Par.'!$E129*VLOOKUP(J$55,'Mat. Conv Par.'!$B$14:$E$21,4,FALSE)*HLOOKUP(J$55,'Mat. Conv Par.'!$G$52:$N$53,2,FALSE)/MMULT('Mat. Conv Par.'!$G$53:$N$53,'Mat. Conv Par.'!$E$14:$E$21)/VLOOKUP(J$55,'Mat. Conv Par.'!$B$14:$E$21,4,FALSE))</f>
        <v>18.794660895785903</v>
      </c>
      <c r="AB72" s="29" t="s">
        <v>175</v>
      </c>
      <c r="AC72" s="177" t="e">
        <f>(AC$65*(1-AC$11)*HLOOKUP($AC$9, 'GREET IO'!$B$77:$AZ$98, ROW($AB72)-ROW($AB$68)+1, FALSE)+(AD$65+AE$65)*'GREET IO'!$K81+SUMPRODUCT(AF$65:AO$65,'GREET IO'!$L81:$U81)+AP$65*'GREET IO'!$H81+AQ$65*'GREET IO'!$L81)*$AQ$69+AC$65*AC$11*HLOOKUP($AC$9, $B$7:$I$28, ROW($AB72)-ROW($AB$68)+1, FALSE)-(AC$12*IF(AB$12="Electrolyte organics",AJ$65+AK$65,IFERROR(HLOOKUP(AB$12,AC$64:AP$65,2,FALSE),0))*IFERROR(HLOOKUP(AB$12, 'GREET IO'!$B$77:$AZ$98, ROW($AB72)-ROW($AB$68)+1, FALSE),0)+AC$13*IF(AB$13="Electrolyte organics",AJ$65+AK$65,IFERROR(HLOOKUP(AB$13,AC$64:AP$65,2,FALSE),0))*IFERROR(HLOOKUP(AB$13, 'GREET IO'!$B$77:$AZ$98, ROW($AB72)-ROW($AB$68)+1, FALSE),0))*$AQ$69</f>
        <v>#N/A</v>
      </c>
      <c r="AD72" s="177" t="e">
        <f>(AC$65*(1-AC$11)*HLOOKUP($AC$9, 'GREET IO'!$B$77:$AZ$98, ROW($AB72)-ROW($AB$68)+1, FALSE)+(AD$65+AE$65)*'GREET IO'!$K81+SUMPRODUCT(AF$65:AO$65,'GREET IO'!$L81:$U81)+AP$65*'GREET IO'!$H81+AQ$65*'GREET IO'!$L81)*$AQ$69+AC$65*AC$11*HLOOKUP($AC$9, $B$31:$I$52, ROW($AB72)-ROW($AB$68)+1, FALSE)-(AC$12*IF(AB$12="Electrolyte organics",AJ$65+AK$65,IFERROR(HLOOKUP(AB$12,AC$64:AP$65,2,FALSE),0))*IFERROR(HLOOKUP(AB$12, 'GREET IO'!$B$77:$AZ$98, ROW($AB72)-ROW($AB$68)+1, FALSE),0)+AC$13*IF(AB$13="Electrolyte organics",AJ$65+AK$65,IFERROR(HLOOKUP(AB$13,AC$64:AP$65,2,FALSE),0))*IFERROR(HLOOKUP(AB$13, 'GREET IO'!$B$77:$AZ$98, ROW($AB72)-ROW($AB$68)+1, FALSE),0))*$AQ$69</f>
        <v>#N/A</v>
      </c>
      <c r="AE72" s="177" t="e">
        <f>(AC$65*(1-AC$11)*HLOOKUP($AC$9, 'GREET IO'!$B$77:$AZ$98, ROW($AB72)-ROW($AB$68)+1, FALSE)+(AD$65+AE$65)*'GREET IO'!$K81+SUMPRODUCT(AF$65:AO$65,'GREET IO'!$L81:$U81)+AP$65*'GREET IO'!$H81+AQ$65*'GREET IO'!$L81)*$AQ$69+AC$65*AC$11*HLOOKUP($AC$9, $B$55:$J$76, ROW($AB72)-ROW($AB$68)+1, FALSE)-(AC$12*IF(AB$12="Electrolyte organics",AJ$65+AK$65,IFERROR(HLOOKUP(AB$12,AC$64:AP$65,2,FALSE),0))*IFERROR(HLOOKUP(AB$12, 'GREET IO'!$B$77:$AZ$98, ROW($AB72)-ROW($AB$68)+1, FALSE),0)+AC$13*IF(AB$13="Electrolyte organics",AJ$65+AK$65,IFERROR(HLOOKUP(AB$13,AC$64:AP$65,2,FALSE),0))*IFERROR(HLOOKUP(AB$13, 'GREET IO'!$B$77:$AZ$98, ROW($AB72)-ROW($AB$68)+1, FALSE),0))*$AQ$69</f>
        <v>#N/A</v>
      </c>
      <c r="AF72" s="177" t="e">
        <f>(AC$65*(1-AC$11)*HLOOKUP($AC$9, 'GREET IO'!$B$77:$AZ$98, ROW($AB72)-ROW($AB$68)+1, FALSE)+(AD$65+AE$65)*'GREET IO'!$K81+SUMPRODUCT(AF$65:AO$65,'GREET IO'!$L81:$U81)+AP$65*'GREET IO'!$H81+AQ$65*'GREET IO'!$L81)*$AQ$69+AC$65*AC$11*HLOOKUP($AC$9, $B$79:$I$100, ROW($AB72)-ROW($AB$68)+1, FALSE)-(AC$12*IF(AB$12="Electrolyte organics",AJ$65+AK$65,IFERROR(HLOOKUP(AB$12,AC$64:AP$65,2,FALSE),0))*IFERROR(HLOOKUP(AB$12, 'GREET IO'!$B$77:$AZ$98, ROW($AB72)-ROW($AB$68)+1, FALSE),0)+AC$13*IF(AB$13="Electrolyte organics",AJ$65+AK$65,IFERROR(HLOOKUP(AB$13,AC$64:AP$65,2,FALSE),0))*IFERROR(HLOOKUP(AB$13, 'GREET IO'!$B$77:$AZ$98, ROW($AB72)-ROW($AB$68)+1, FALSE),0))*$AQ$69</f>
        <v>#N/A</v>
      </c>
      <c r="AG72" s="177">
        <f>AC$40/$AQ$70*AC$42*'GREET IO'!$B24/1000000+AC$40/$AQ$70*AC$41/1000000*IF(AC$10=Input!$AD$35, 'Geographic Par.'!$E72, IF(AC$10=Input!$AD$36, 'Geographic Par.'!$F72, IF(AC$10=Input!$AD$37, 'Geographic Par.'!$H72, IF(AC$10=Input!$AD$38,'Geographic Par.'!$G72,'Geographic Par.'!$L72))))</f>
        <v>1.660116307203546E-2</v>
      </c>
      <c r="AH72" s="177" t="e">
        <f t="shared" si="2"/>
        <v>#N/A</v>
      </c>
      <c r="AI72" s="177" t="e">
        <f t="shared" si="2"/>
        <v>#N/A</v>
      </c>
      <c r="AJ72" s="177" t="e">
        <f t="shared" si="2"/>
        <v>#N/A</v>
      </c>
      <c r="AK72" s="181" t="e">
        <f t="shared" si="2"/>
        <v>#N/A</v>
      </c>
    </row>
    <row r="73" spans="2:43">
      <c r="B73" s="83" t="s">
        <v>189</v>
      </c>
      <c r="C73" s="97">
        <f t="array" ref="C73">IF(VLOOKUP(C$55,'Mat. Conv Par.'!$B$9:$F$27,4,FALSE)=0,HLOOKUP(C$55,'GREET IO'!$A$77:$AZ$98,ROW(A73)-ROW(A$55)+1,FALSE)/907.2,'Mat. Conv Par.'!$E130*VLOOKUP(C$55,'Mat. Conv Par.'!$B$14:$E$21,4,FALSE)*HLOOKUP(C$55,'Mat. Conv Par.'!$G$52:$N$53,2,FALSE)/MMULT('Mat. Conv Par.'!$G$53:$N$53,'Mat. Conv Par.'!$E$14:$E$21)/VLOOKUP(C$55,'Mat. Conv Par.'!$B$14:$E$21,4,FALSE))</f>
        <v>0.38005278700954115</v>
      </c>
      <c r="D73" s="97">
        <f t="array" ref="D73">IF(VLOOKUP(D$55,'Mat. Conv Par.'!$B$9:$F$27,4,FALSE)=0,HLOOKUP(D$55,'GREET IO'!$A$77:$AZ$98,ROW(B73)-ROW(B$55)+1,FALSE)/907.2,'Mat. Conv Par.'!$E130*VLOOKUP(D$55,'Mat. Conv Par.'!$B$14:$E$21,4,FALSE)*HLOOKUP(D$55,'Mat. Conv Par.'!$G$52:$N$53,2,FALSE)/MMULT('Mat. Conv Par.'!$G$53:$N$53,'Mat. Conv Par.'!$E$14:$E$21)/VLOOKUP(D$55,'Mat. Conv Par.'!$B$14:$E$21,4,FALSE))</f>
        <v>0.40956232958153921</v>
      </c>
      <c r="E73" s="97">
        <f t="array" ref="E73">IF(VLOOKUP(E$55,'Mat. Conv Par.'!$B$9:$F$27,4,FALSE)=0,HLOOKUP(E$55,'GREET IO'!$A$77:$AZ$98,ROW(C73)-ROW(C$55)+1,FALSE)/907.2,'Mat. Conv Par.'!$E130*VLOOKUP(E$55,'Mat. Conv Par.'!$B$14:$E$21,4,FALSE)*HLOOKUP(E$55,'Mat. Conv Par.'!$G$52:$N$53,2,FALSE)/MMULT('Mat. Conv Par.'!$G$53:$N$53,'Mat. Conv Par.'!$E$14:$E$21)/VLOOKUP(E$55,'Mat. Conv Par.'!$B$14:$E$21,4,FALSE))</f>
        <v>0.43077088592345647</v>
      </c>
      <c r="F73" s="97">
        <f t="array" aca="1" ref="F73" ca="1">IF(VLOOKUP(F$55,'Mat. Conv Par.'!$B$9:$F$27,4,FALSE)=0,HLOOKUP(F$55,'GREET IO'!$A$77:$AZ$98,ROW(D73)-ROW(D$55)+1,FALSE)/907.2,'Mat. Conv Par.'!$E130*VLOOKUP(F$55,'Mat. Conv Par.'!$B$14:$E$21,4,FALSE)*HLOOKUP(F$55,'Mat. Conv Par.'!$G$52:$N$53,2,FALSE)/MMULT('Mat. Conv Par.'!$G$53:$N$53,'Mat. Conv Par.'!$E$14:$E$21)/VLOOKUP(F$55,'Mat. Conv Par.'!$B$14:$E$21,4,FALSE))</f>
        <v>0.15334467376269298</v>
      </c>
      <c r="G73" s="97">
        <f t="array" ref="G73">IF(VLOOKUP(G$55,'Mat. Conv Par.'!$B$9:$F$27,4,FALSE)=0,HLOOKUP(G$55,'GREET IO'!$A$77:$AZ$98,ROW(E73)-ROW(E$55)+1,FALSE)/907.2,'Mat. Conv Par.'!$E130*VLOOKUP(G$55,'Mat. Conv Par.'!$B$14:$E$21,4,FALSE)*HLOOKUP(G$55,'Mat. Conv Par.'!$G$52:$N$53,2,FALSE)/MMULT('Mat. Conv Par.'!$G$53:$N$53,'Mat. Conv Par.'!$E$14:$E$21)/VLOOKUP(G$55,'Mat. Conv Par.'!$B$14:$E$21,4,FALSE))</f>
        <v>0.5370810373509517</v>
      </c>
      <c r="H73" s="97">
        <f t="array" ref="H73">IF(VLOOKUP(H$55,'Mat. Conv Par.'!$B$9:$F$27,4,FALSE)=0,HLOOKUP(H$55,'GREET IO'!$A$77:$AZ$98,ROW(F73)-ROW(F$55)+1,FALSE)/907.2,'Mat. Conv Par.'!$E130*VLOOKUP(H$55,'Mat. Conv Par.'!$B$14:$E$21,4,FALSE)*HLOOKUP(H$55,'Mat. Conv Par.'!$G$52:$N$53,2,FALSE)/MMULT('Mat. Conv Par.'!$G$53:$N$53,'Mat. Conv Par.'!$E$14:$E$21)/VLOOKUP(H$55,'Mat. Conv Par.'!$B$14:$E$21,4,FALSE))</f>
        <v>0.56619867645826272</v>
      </c>
      <c r="I73" s="97">
        <f t="array" ref="I73">IF(VLOOKUP(I$55,'Mat. Conv Par.'!$B$9:$F$27,4,FALSE)=0,HLOOKUP(I$55,'GREET IO'!$A$77:$AZ$98,ROW(G73)-ROW(G$55)+1,FALSE)/907.2,'Mat. Conv Par.'!$E130*VLOOKUP(I$55,'Mat. Conv Par.'!$B$14:$E$21,4,FALSE)*HLOOKUP(I$55,'Mat. Conv Par.'!$G$52:$N$53,2,FALSE)/MMULT('Mat. Conv Par.'!$G$53:$N$53,'Mat. Conv Par.'!$E$14:$E$21)/VLOOKUP(I$55,'Mat. Conv Par.'!$B$14:$E$21,4,FALSE))</f>
        <v>4.6906908416529204E-2</v>
      </c>
      <c r="J73" s="97">
        <f t="array" ref="J73">IF(VLOOKUP(J$55,'Mat. Conv Par.'!$B$9:$F$27,4,FALSE)=0,HLOOKUP(J$55,'GREET IO'!$A$77:$AZ$98,ROW(H73)-ROW(H$55)+1,FALSE)/907.2,'Mat. Conv Par.'!$E130*VLOOKUP(J$55,'Mat. Conv Par.'!$B$14:$E$21,4,FALSE)*HLOOKUP(J$55,'Mat. Conv Par.'!$G$52:$N$53,2,FALSE)/MMULT('Mat. Conv Par.'!$G$53:$N$53,'Mat. Conv Par.'!$E$14:$E$21)/VLOOKUP(J$55,'Mat. Conv Par.'!$B$14:$E$21,4,FALSE))</f>
        <v>0.16481232808020477</v>
      </c>
      <c r="AB73" s="29" t="s">
        <v>176</v>
      </c>
      <c r="AC73" s="177" t="e">
        <f>(AC$65*(1-AC$11)*HLOOKUP($AC$9, 'GREET IO'!$B$77:$AZ$98, ROW($AB73)-ROW($AB$68)+1, FALSE)+(AD$65+AE$65)*'GREET IO'!$K82+SUMPRODUCT(AF$65:AO$65,'GREET IO'!$L82:$U82)+AP$65*'GREET IO'!$H82+AQ$65*'GREET IO'!$L82)*$AQ$69+AC$65*AC$11*HLOOKUP($AC$9, $B$7:$I$28, ROW($AB73)-ROW($AB$68)+1, FALSE)-(AC$12*IF(AB$12="Electrolyte organics",AJ$65+AK$65,IFERROR(HLOOKUP(AB$12,AC$64:AP$65,2,FALSE),0))*IFERROR(HLOOKUP(AB$12, 'GREET IO'!$B$77:$AZ$98, ROW($AB73)-ROW($AB$68)+1, FALSE),0)+AC$13*IF(AB$13="Electrolyte organics",AJ$65+AK$65,IFERROR(HLOOKUP(AB$13,AC$64:AP$65,2,FALSE),0))*IFERROR(HLOOKUP(AB$13, 'GREET IO'!$B$77:$AZ$98, ROW($AB73)-ROW($AB$68)+1, FALSE),0))*$AQ$69</f>
        <v>#N/A</v>
      </c>
      <c r="AD73" s="177" t="e">
        <f>(AC$65*(1-AC$11)*HLOOKUP($AC$9, 'GREET IO'!$B$77:$AZ$98, ROW($AB73)-ROW($AB$68)+1, FALSE)+(AD$65+AE$65)*'GREET IO'!$K82+SUMPRODUCT(AF$65:AO$65,'GREET IO'!$L82:$U82)+AP$65*'GREET IO'!$H82+AQ$65*'GREET IO'!$L82)*$AQ$69+AC$65*AC$11*HLOOKUP($AC$9, $B$31:$I$52, ROW($AB73)-ROW($AB$68)+1, FALSE)-(AC$12*IF(AB$12="Electrolyte organics",AJ$65+AK$65,IFERROR(HLOOKUP(AB$12,AC$64:AP$65,2,FALSE),0))*IFERROR(HLOOKUP(AB$12, 'GREET IO'!$B$77:$AZ$98, ROW($AB73)-ROW($AB$68)+1, FALSE),0)+AC$13*IF(AB$13="Electrolyte organics",AJ$65+AK$65,IFERROR(HLOOKUP(AB$13,AC$64:AP$65,2,FALSE),0))*IFERROR(HLOOKUP(AB$13, 'GREET IO'!$B$77:$AZ$98, ROW($AB73)-ROW($AB$68)+1, FALSE),0))*$AQ$69</f>
        <v>#N/A</v>
      </c>
      <c r="AE73" s="177" t="e">
        <f>(AC$65*(1-AC$11)*HLOOKUP($AC$9, 'GREET IO'!$B$77:$AZ$98, ROW($AB73)-ROW($AB$68)+1, FALSE)+(AD$65+AE$65)*'GREET IO'!$K82+SUMPRODUCT(AF$65:AO$65,'GREET IO'!$L82:$U82)+AP$65*'GREET IO'!$H82+AQ$65*'GREET IO'!$L82)*$AQ$69+AC$65*AC$11*HLOOKUP($AC$9, $B$55:$J$76, ROW($AB73)-ROW($AB$68)+1, FALSE)-(AC$12*IF(AB$12="Electrolyte organics",AJ$65+AK$65,IFERROR(HLOOKUP(AB$12,AC$64:AP$65,2,FALSE),0))*IFERROR(HLOOKUP(AB$12, 'GREET IO'!$B$77:$AZ$98, ROW($AB73)-ROW($AB$68)+1, FALSE),0)+AC$13*IF(AB$13="Electrolyte organics",AJ$65+AK$65,IFERROR(HLOOKUP(AB$13,AC$64:AP$65,2,FALSE),0))*IFERROR(HLOOKUP(AB$13, 'GREET IO'!$B$77:$AZ$98, ROW($AB73)-ROW($AB$68)+1, FALSE),0))*$AQ$69</f>
        <v>#N/A</v>
      </c>
      <c r="AF73" s="177" t="e">
        <f>(AC$65*(1-AC$11)*HLOOKUP($AC$9, 'GREET IO'!$B$77:$AZ$98, ROW($AB73)-ROW($AB$68)+1, FALSE)+(AD$65+AE$65)*'GREET IO'!$K82+SUMPRODUCT(AF$65:AO$65,'GREET IO'!$L82:$U82)+AP$65*'GREET IO'!$H82+AQ$65*'GREET IO'!$L82)*$AQ$69+AC$65*AC$11*HLOOKUP($AC$9, $B$79:$I$100, ROW($AB73)-ROW($AB$68)+1, FALSE)-(AC$12*IF(AB$12="Electrolyte organics",AJ$65+AK$65,IFERROR(HLOOKUP(AB$12,AC$64:AP$65,2,FALSE),0))*IFERROR(HLOOKUP(AB$12, 'GREET IO'!$B$77:$AZ$98, ROW($AB73)-ROW($AB$68)+1, FALSE),0)+AC$13*IF(AB$13="Electrolyte organics",AJ$65+AK$65,IFERROR(HLOOKUP(AB$13,AC$64:AP$65,2,FALSE),0))*IFERROR(HLOOKUP(AB$13, 'GREET IO'!$B$77:$AZ$98, ROW($AB73)-ROW($AB$68)+1, FALSE),0))*$AQ$69</f>
        <v>#N/A</v>
      </c>
      <c r="AG73" s="177">
        <f>AC$40/$AQ$70*AC$42*('GREET IO'!$B25/1000000+1)+AC$40/$AQ$70*AC$41/1000000*IF(AC$10=Input!$AD$35, 'Geographic Par.'!$E73, IF(AC$10=Input!$AD$36, 'Geographic Par.'!$F73, IF(AC$10=Input!$AD$37, 'Geographic Par.'!$H73, IF(AC$10=Input!$AD$38,'Geographic Par.'!$G73,'Geographic Par.'!$L73))))</f>
        <v>4.695230552990106E-2</v>
      </c>
      <c r="AH73" s="177" t="e">
        <f t="shared" si="2"/>
        <v>#N/A</v>
      </c>
      <c r="AI73" s="177" t="e">
        <f t="shared" si="2"/>
        <v>#N/A</v>
      </c>
      <c r="AJ73" s="177" t="e">
        <f t="shared" si="2"/>
        <v>#N/A</v>
      </c>
      <c r="AK73" s="181" t="e">
        <f t="shared" si="2"/>
        <v>#N/A</v>
      </c>
    </row>
    <row r="74" spans="2:43">
      <c r="B74" s="83" t="s">
        <v>190</v>
      </c>
      <c r="C74" s="835">
        <f t="array" ref="C74">IF(VLOOKUP(C$55,'Mat. Conv Par.'!$B$9:$F$27,4,FALSE)=0,HLOOKUP(C$55,'GREET IO'!$A$77:$AZ$98,ROW(A74)-ROW(A$55)+1,FALSE)/907.2,'Mat. Conv Par.'!$E131*VLOOKUP(C$55,'Mat. Conv Par.'!$B$14:$E$21,4,FALSE)*HLOOKUP(C$55,'Mat. Conv Par.'!$G$52:$N$53,2,FALSE)/MMULT('Mat. Conv Par.'!$G$53:$N$53,'Mat. Conv Par.'!$E$14:$E$21)/VLOOKUP(C$55,'Mat. Conv Par.'!$B$14:$E$21,4,FALSE))</f>
        <v>20001.750961169477</v>
      </c>
      <c r="D74" s="835">
        <f t="array" ref="D74">IF(VLOOKUP(D$55,'Mat. Conv Par.'!$B$9:$F$27,4,FALSE)=0,HLOOKUP(D$55,'GREET IO'!$A$77:$AZ$98,ROW(B74)-ROW(B$55)+1,FALSE)/907.2,'Mat. Conv Par.'!$E131*VLOOKUP(D$55,'Mat. Conv Par.'!$B$14:$E$21,4,FALSE)*HLOOKUP(D$55,'Mat. Conv Par.'!$G$52:$N$53,2,FALSE)/MMULT('Mat. Conv Par.'!$G$53:$N$53,'Mat. Conv Par.'!$E$14:$E$21)/VLOOKUP(D$55,'Mat. Conv Par.'!$B$14:$E$21,4,FALSE))</f>
        <v>19886.450819236623</v>
      </c>
      <c r="E74" s="835">
        <f t="array" ref="E74">IF(VLOOKUP(E$55,'Mat. Conv Par.'!$B$9:$F$27,4,FALSE)=0,HLOOKUP(E$55,'GREET IO'!$A$77:$AZ$98,ROW(C74)-ROW(C$55)+1,FALSE)/907.2,'Mat. Conv Par.'!$E131*VLOOKUP(E$55,'Mat. Conv Par.'!$B$14:$E$21,4,FALSE)*HLOOKUP(E$55,'Mat. Conv Par.'!$G$52:$N$53,2,FALSE)/MMULT('Mat. Conv Par.'!$G$53:$N$53,'Mat. Conv Par.'!$E$14:$E$21)/VLOOKUP(E$55,'Mat. Conv Par.'!$B$14:$E$21,4,FALSE))</f>
        <v>20501.452991563343</v>
      </c>
      <c r="F74" s="835">
        <f t="array" aca="1" ref="F74" ca="1">IF(VLOOKUP(F$55,'Mat. Conv Par.'!$B$9:$F$27,4,FALSE)=0,HLOOKUP(F$55,'GREET IO'!$A$77:$AZ$98,ROW(D74)-ROW(D$55)+1,FALSE)/907.2,'Mat. Conv Par.'!$E131*VLOOKUP(F$55,'Mat. Conv Par.'!$B$14:$E$21,4,FALSE)*HLOOKUP(F$55,'Mat. Conv Par.'!$G$52:$N$53,2,FALSE)/MMULT('Mat. Conv Par.'!$G$53:$N$53,'Mat. Conv Par.'!$E$14:$E$21)/VLOOKUP(F$55,'Mat. Conv Par.'!$B$14:$E$21,4,FALSE))</f>
        <v>7160.7919408556363</v>
      </c>
      <c r="G74" s="835">
        <f t="array" ref="G74">IF(VLOOKUP(G$55,'Mat. Conv Par.'!$B$9:$F$27,4,FALSE)=0,HLOOKUP(G$55,'GREET IO'!$A$77:$AZ$98,ROW(E74)-ROW(E$55)+1,FALSE)/907.2,'Mat. Conv Par.'!$E131*VLOOKUP(G$55,'Mat. Conv Par.'!$B$14:$E$21,4,FALSE)*HLOOKUP(G$55,'Mat. Conv Par.'!$G$52:$N$53,2,FALSE)/MMULT('Mat. Conv Par.'!$G$53:$N$53,'Mat. Conv Par.'!$E$14:$E$21)/VLOOKUP(G$55,'Mat. Conv Par.'!$B$14:$E$21,4,FALSE))</f>
        <v>23699.811884000221</v>
      </c>
      <c r="H74" s="835">
        <f t="array" ref="H74">IF(VLOOKUP(H$55,'Mat. Conv Par.'!$B$9:$F$27,4,FALSE)=0,HLOOKUP(H$55,'GREET IO'!$A$77:$AZ$98,ROW(F74)-ROW(F$55)+1,FALSE)/907.2,'Mat. Conv Par.'!$E131*VLOOKUP(H$55,'Mat. Conv Par.'!$B$14:$E$21,4,FALSE)*HLOOKUP(H$55,'Mat. Conv Par.'!$G$52:$N$53,2,FALSE)/MMULT('Mat. Conv Par.'!$G$53:$N$53,'Mat. Conv Par.'!$E$14:$E$21)/VLOOKUP(H$55,'Mat. Conv Par.'!$B$14:$E$21,4,FALSE))</f>
        <v>24996.173124049252</v>
      </c>
      <c r="I74" s="835">
        <f t="array" ref="I74">IF(VLOOKUP(I$55,'Mat. Conv Par.'!$B$9:$F$27,4,FALSE)=0,HLOOKUP(I$55,'GREET IO'!$A$77:$AZ$98,ROW(G74)-ROW(G$55)+1,FALSE)/907.2,'Mat. Conv Par.'!$E131*VLOOKUP(I$55,'Mat. Conv Par.'!$B$14:$E$21,4,FALSE)*HLOOKUP(I$55,'Mat. Conv Par.'!$G$52:$N$53,2,FALSE)/MMULT('Mat. Conv Par.'!$G$53:$N$53,'Mat. Conv Par.'!$E$14:$E$21)/VLOOKUP(I$55,'Mat. Conv Par.'!$B$14:$E$21,4,FALSE))</f>
        <v>3239.9553860662381</v>
      </c>
      <c r="J74" s="835">
        <f t="array" ref="J74">IF(VLOOKUP(J$55,'Mat. Conv Par.'!$B$9:$F$27,4,FALSE)=0,HLOOKUP(J$55,'GREET IO'!$A$77:$AZ$98,ROW(H74)-ROW(H$55)+1,FALSE)/907.2,'Mat. Conv Par.'!$E131*VLOOKUP(J$55,'Mat. Conv Par.'!$B$14:$E$21,4,FALSE)*HLOOKUP(J$55,'Mat. Conv Par.'!$G$52:$N$53,2,FALSE)/MMULT('Mat. Conv Par.'!$G$53:$N$53,'Mat. Conv Par.'!$E$14:$E$21)/VLOOKUP(J$55,'Mat. Conv Par.'!$B$14:$E$21,4,FALSE))</f>
        <v>8824.8339015402853</v>
      </c>
      <c r="AB74" s="29" t="s">
        <v>177</v>
      </c>
      <c r="AC74" s="177" t="e">
        <f>(AC$65*(1-AC$11)*HLOOKUP($AC$9, 'GREET IO'!$B$77:$AZ$98, ROW($AB74)-ROW($AB$68)+1, FALSE)+(AD$65+AE$65)*'GREET IO'!$K83+SUMPRODUCT(AF$65:AO$65,'GREET IO'!$L83:$U83)+AP$65*'GREET IO'!$H83+AQ$65*'GREET IO'!$L83)*$AQ$69+AC$65*AC$11*HLOOKUP($AC$9, $B$7:$I$28, ROW($AB74)-ROW($AB$68)+1, FALSE)-(AC$12*IF(AB$12="Electrolyte organics",AJ$65+AK$65,IFERROR(HLOOKUP(AB$12,AC$64:AP$65,2,FALSE),0))*IFERROR(HLOOKUP(AB$12, 'GREET IO'!$B$77:$AZ$98, ROW($AB74)-ROW($AB$68)+1, FALSE),0)+AC$13*IF(AB$13="Electrolyte organics",AJ$65+AK$65,IFERROR(HLOOKUP(AB$13,AC$64:AP$65,2,FALSE),0))*IFERROR(HLOOKUP(AB$13, 'GREET IO'!$B$77:$AZ$98, ROW($AB74)-ROW($AB$68)+1, FALSE),0))*$AQ$69</f>
        <v>#N/A</v>
      </c>
      <c r="AD74" s="177" t="e">
        <f>(AC$65*(1-AC$11)*HLOOKUP($AC$9, 'GREET IO'!$B$77:$AZ$98, ROW($AB74)-ROW($AB$68)+1, FALSE)+(AD$65+AE$65)*'GREET IO'!$K83+SUMPRODUCT(AF$65:AO$65,'GREET IO'!$L83:$U83)+AP$65*'GREET IO'!$H83+AQ$65*'GREET IO'!$L83)*$AQ$69+AC$65*AC$11*HLOOKUP($AC$9, $B$31:$I$52, ROW($AB74)-ROW($AB$68)+1, FALSE)-(AC$12*IF(AB$12="Electrolyte organics",AJ$65+AK$65,IFERROR(HLOOKUP(AB$12,AC$64:AP$65,2,FALSE),0))*IFERROR(HLOOKUP(AB$12, 'GREET IO'!$B$77:$AZ$98, ROW($AB74)-ROW($AB$68)+1, FALSE),0)+AC$13*IF(AB$13="Electrolyte organics",AJ$65+AK$65,IFERROR(HLOOKUP(AB$13,AC$64:AP$65,2,FALSE),0))*IFERROR(HLOOKUP(AB$13, 'GREET IO'!$B$77:$AZ$98, ROW($AB74)-ROW($AB$68)+1, FALSE),0))*$AQ$69</f>
        <v>#N/A</v>
      </c>
      <c r="AE74" s="177" t="e">
        <f>(AC$65*(1-AC$11)*HLOOKUP($AC$9, 'GREET IO'!$B$77:$AZ$98, ROW($AB74)-ROW($AB$68)+1, FALSE)+(AD$65+AE$65)*'GREET IO'!$K83+SUMPRODUCT(AF$65:AO$65,'GREET IO'!$L83:$U83)+AP$65*'GREET IO'!$H83+AQ$65*'GREET IO'!$L83)*$AQ$69+AC$65*AC$11*HLOOKUP($AC$9, $B$55:$J$76, ROW($AB74)-ROW($AB$68)+1, FALSE)-(AC$12*IF(AB$12="Electrolyte organics",AJ$65+AK$65,IFERROR(HLOOKUP(AB$12,AC$64:AP$65,2,FALSE),0))*IFERROR(HLOOKUP(AB$12, 'GREET IO'!$B$77:$AZ$98, ROW($AB74)-ROW($AB$68)+1, FALSE),0)+AC$13*IF(AB$13="Electrolyte organics",AJ$65+AK$65,IFERROR(HLOOKUP(AB$13,AC$64:AP$65,2,FALSE),0))*IFERROR(HLOOKUP(AB$13, 'GREET IO'!$B$77:$AZ$98, ROW($AB74)-ROW($AB$68)+1, FALSE),0))*$AQ$69</f>
        <v>#N/A</v>
      </c>
      <c r="AF74" s="177" t="e">
        <f>(AC$65*(1-AC$11)*HLOOKUP($AC$9, 'GREET IO'!$B$77:$AZ$98, ROW($AB74)-ROW($AB$68)+1, FALSE)+(AD$65+AE$65)*'GREET IO'!$K83+SUMPRODUCT(AF$65:AO$65,'GREET IO'!$L83:$U83)+AP$65*'GREET IO'!$H83+AQ$65*'GREET IO'!$L83)*$AQ$69+AC$65*AC$11*HLOOKUP($AC$9, $B$79:$I$100, ROW($AB74)-ROW($AB$68)+1, FALSE)-(AC$12*IF(AB$12="Electrolyte organics",AJ$65+AK$65,IFERROR(HLOOKUP(AB$12,AC$64:AP$65,2,FALSE),0))*IFERROR(HLOOKUP(AB$12, 'GREET IO'!$B$77:$AZ$98, ROW($AB74)-ROW($AB$68)+1, FALSE),0)+AC$13*IF(AB$13="Electrolyte organics",AJ$65+AK$65,IFERROR(HLOOKUP(AB$13,AC$64:AP$65,2,FALSE),0))*IFERROR(HLOOKUP(AB$13, 'GREET IO'!$B$77:$AZ$98, ROW($AB74)-ROW($AB$68)+1, FALSE),0))*$AQ$69</f>
        <v>#N/A</v>
      </c>
      <c r="AG74" s="177">
        <f>AC$40/$AQ$70*AC$42*'GREET IO'!$B26/1000000+AC$40/$AQ$70*AC$41/1000000*IF(AC$10=Input!$AD$35, 'Geographic Par.'!$E74, IF(AC$10=Input!$AD$36, 'Geographic Par.'!$F74, IF(AC$10=Input!$AD$37, 'Geographic Par.'!$H74, IF(AC$10=Input!$AD$38,'Geographic Par.'!$G74,'Geographic Par.'!$L74))))</f>
        <v>2.9643343273179259E-4</v>
      </c>
      <c r="AH74" s="177" t="e">
        <f t="shared" si="2"/>
        <v>#N/A</v>
      </c>
      <c r="AI74" s="177" t="e">
        <f t="shared" si="2"/>
        <v>#N/A</v>
      </c>
      <c r="AJ74" s="177" t="e">
        <f t="shared" si="2"/>
        <v>#N/A</v>
      </c>
      <c r="AK74" s="181" t="e">
        <f t="shared" si="2"/>
        <v>#N/A</v>
      </c>
    </row>
    <row r="75" spans="2:43">
      <c r="B75" s="83" t="s">
        <v>198</v>
      </c>
      <c r="C75" s="835">
        <f t="array" ref="C75">IF(VLOOKUP(C$55,'Mat. Conv Par.'!$B$9:$F$27,4,FALSE)=0,HLOOKUP(C$55,'GREET IO'!$A$77:$AZ$98,ROW(A75)-ROW(A$55)+1,FALSE)/907.2,'Mat. Conv Par.'!$E132*VLOOKUP(C$55,'Mat. Conv Par.'!$B$14:$E$21,4,FALSE)*HLOOKUP(C$55,'Mat. Conv Par.'!$G$52:$N$53,2,FALSE)/MMULT('Mat. Conv Par.'!$G$53:$N$53,'Mat. Conv Par.'!$E$14:$E$21)/VLOOKUP(C$55,'Mat. Conv Par.'!$B$14:$E$21,4,FALSE))</f>
        <v>20039.97146335839</v>
      </c>
      <c r="D75" s="835">
        <f t="array" ref="D75">IF(VLOOKUP(D$55,'Mat. Conv Par.'!$B$9:$F$27,4,FALSE)=0,HLOOKUP(D$55,'GREET IO'!$A$77:$AZ$98,ROW(B75)-ROW(B$55)+1,FALSE)/907.2,'Mat. Conv Par.'!$E132*VLOOKUP(D$55,'Mat. Conv Par.'!$B$14:$E$21,4,FALSE)*HLOOKUP(D$55,'Mat. Conv Par.'!$G$52:$N$53,2,FALSE)/MMULT('Mat. Conv Par.'!$G$53:$N$53,'Mat. Conv Par.'!$E$14:$E$21)/VLOOKUP(D$55,'Mat. Conv Par.'!$B$14:$E$21,4,FALSE))</f>
        <v>19924.576198769351</v>
      </c>
      <c r="E75" s="835">
        <f t="array" ref="E75">IF(VLOOKUP(E$55,'Mat. Conv Par.'!$B$9:$F$27,4,FALSE)=0,HLOOKUP(E$55,'GREET IO'!$A$77:$AZ$98,ROW(C75)-ROW(C$55)+1,FALSE)/907.2,'Mat. Conv Par.'!$E132*VLOOKUP(E$55,'Mat. Conv Par.'!$B$14:$E$21,4,FALSE)*HLOOKUP(E$55,'Mat. Conv Par.'!$G$52:$N$53,2,FALSE)/MMULT('Mat. Conv Par.'!$G$53:$N$53,'Mat. Conv Par.'!$E$14:$E$21)/VLOOKUP(E$55,'Mat. Conv Par.'!$B$14:$E$21,4,FALSE))</f>
        <v>20542.866543145079</v>
      </c>
      <c r="F75" s="835">
        <f t="array" aca="1" ref="F75" ca="1">IF(VLOOKUP(F$55,'Mat. Conv Par.'!$B$9:$F$27,4,FALSE)=0,HLOOKUP(F$55,'GREET IO'!$A$77:$AZ$98,ROW(D75)-ROW(D$55)+1,FALSE)/907.2,'Mat. Conv Par.'!$E132*VLOOKUP(F$55,'Mat. Conv Par.'!$B$14:$E$21,4,FALSE)*HLOOKUP(F$55,'Mat. Conv Par.'!$G$52:$N$53,2,FALSE)/MMULT('Mat. Conv Par.'!$G$53:$N$53,'Mat. Conv Par.'!$E$14:$E$21)/VLOOKUP(F$55,'Mat. Conv Par.'!$B$14:$E$21,4,FALSE))</f>
        <v>7168.3008114748081</v>
      </c>
      <c r="G75" s="835">
        <f t="array" ref="G75">IF(VLOOKUP(G$55,'Mat. Conv Par.'!$B$9:$F$27,4,FALSE)=0,HLOOKUP(G$55,'GREET IO'!$A$77:$AZ$98,ROW(E75)-ROW(E$55)+1,FALSE)/907.2,'Mat. Conv Par.'!$E132*VLOOKUP(G$55,'Mat. Conv Par.'!$B$14:$E$21,4,FALSE)*HLOOKUP(G$55,'Mat. Conv Par.'!$G$52:$N$53,2,FALSE)/MMULT('Mat. Conv Par.'!$G$53:$N$53,'Mat. Conv Par.'!$E$14:$E$21)/VLOOKUP(G$55,'Mat. Conv Par.'!$B$14:$E$21,4,FALSE))</f>
        <v>23750.078064644807</v>
      </c>
      <c r="H75" s="835">
        <f t="array" ref="H75">IF(VLOOKUP(H$55,'Mat. Conv Par.'!$B$9:$F$27,4,FALSE)=0,HLOOKUP(H$55,'GREET IO'!$A$77:$AZ$98,ROW(F75)-ROW(F$55)+1,FALSE)/907.2,'Mat. Conv Par.'!$E132*VLOOKUP(H$55,'Mat. Conv Par.'!$B$14:$E$21,4,FALSE)*HLOOKUP(H$55,'Mat. Conv Par.'!$G$52:$N$53,2,FALSE)/MMULT('Mat. Conv Par.'!$G$53:$N$53,'Mat. Conv Par.'!$E$14:$E$21)/VLOOKUP(H$55,'Mat. Conv Par.'!$B$14:$E$21,4,FALSE))</f>
        <v>25055.052359419104</v>
      </c>
      <c r="I75" s="835">
        <f t="array" ref="I75">IF(VLOOKUP(I$55,'Mat. Conv Par.'!$B$9:$F$27,4,FALSE)=0,HLOOKUP(I$55,'GREET IO'!$A$77:$AZ$98,ROW(G75)-ROW(G$55)+1,FALSE)/907.2,'Mat. Conv Par.'!$E132*VLOOKUP(I$55,'Mat. Conv Par.'!$B$14:$E$21,4,FALSE)*HLOOKUP(I$55,'Mat. Conv Par.'!$G$52:$N$53,2,FALSE)/MMULT('Mat. Conv Par.'!$G$53:$N$53,'Mat. Conv Par.'!$E$14:$E$21)/VLOOKUP(I$55,'Mat. Conv Par.'!$B$14:$E$21,4,FALSE))</f>
        <v>3251.121282713671</v>
      </c>
      <c r="J75" s="835">
        <f t="array" ref="J75">IF(VLOOKUP(J$55,'Mat. Conv Par.'!$B$9:$F$27,4,FALSE)=0,HLOOKUP(J$55,'GREET IO'!$A$77:$AZ$98,ROW(H75)-ROW(H$55)+1,FALSE)/907.2,'Mat. Conv Par.'!$E132*VLOOKUP(J$55,'Mat. Conv Par.'!$B$14:$E$21,4,FALSE)*HLOOKUP(J$55,'Mat. Conv Par.'!$G$52:$N$53,2,FALSE)/MMULT('Mat. Conv Par.'!$G$53:$N$53,'Mat. Conv Par.'!$E$14:$E$21)/VLOOKUP(J$55,'Mat. Conv Par.'!$B$14:$E$21,4,FALSE))</f>
        <v>8840.3192579911865</v>
      </c>
      <c r="AB75" s="35" t="s">
        <v>195</v>
      </c>
      <c r="AC75" s="645" t="e">
        <f>(AC$65*(1-AC$11)*HLOOKUP($AC$9, 'GREET IO'!$B$77:$AZ$98, ROW($AB75)-ROW($AB$68)+1, FALSE)+(AD$65+AE$65)*'GREET IO'!$K84+SUMPRODUCT(AF$65:AO$65,'GREET IO'!$L84:$U84)+AP$65*'GREET IO'!$H84+AQ$65*'GREET IO'!$L84)*$AQ$69+AC$65*AC$11*HLOOKUP($AC$9, $B$7:$I$28, ROW($AB75)-ROW($AB$68)+1, FALSE)-(AC$12*IF(AB$12="Electrolyte organics",AJ$65+AK$65,IFERROR(HLOOKUP(AB$12,AC$64:AP$65,2,FALSE),0))*IFERROR(HLOOKUP(AB$12, 'GREET IO'!$B$77:$AZ$98, ROW($AB75)-ROW($AB$68)+1, FALSE),0)+AC$13*IF(AB$13="Electrolyte organics",AJ$65+AK$65,IFERROR(HLOOKUP(AB$13,AC$64:AP$65,2,FALSE),0))*IFERROR(HLOOKUP(AB$13, 'GREET IO'!$B$77:$AZ$98, ROW($AB75)-ROW($AB$68)+1, FALSE),0))*$AQ$69</f>
        <v>#N/A</v>
      </c>
      <c r="AD75" s="645" t="e">
        <f>(AC$65*(1-AC$11)*HLOOKUP($AC$9, 'GREET IO'!$B$77:$AZ$98, ROW($AB75)-ROW($AB$68)+1, FALSE)+(AD$65+AE$65)*'GREET IO'!$K84+SUMPRODUCT(AF$65:AO$65,'GREET IO'!$L84:$U84)+AP$65*'GREET IO'!$H84+AQ$65*'GREET IO'!$L84)*$AQ$69+AC$65*AC$11*HLOOKUP($AC$9, $B$31:$I$52, ROW($AB75)-ROW($AB$68)+1, FALSE)-(AC$12*IF(AB$12="Electrolyte organics",AJ$65+AK$65,IFERROR(HLOOKUP(AB$12,AC$64:AP$65,2,FALSE),0))*IFERROR(HLOOKUP(AB$12, 'GREET IO'!$B$77:$AZ$98, ROW($AB75)-ROW($AB$68)+1, FALSE),0)+AC$13*IF(AB$13="Electrolyte organics",AJ$65+AK$65,IFERROR(HLOOKUP(AB$13,AC$64:AP$65,2,FALSE),0))*IFERROR(HLOOKUP(AB$13, 'GREET IO'!$B$77:$AZ$98, ROW($AB75)-ROW($AB$68)+1, FALSE),0))*$AQ$69</f>
        <v>#N/A</v>
      </c>
      <c r="AE75" s="645" t="e">
        <f>(AC$65*(1-AC$11)*HLOOKUP($AC$9, 'GREET IO'!$B$77:$AZ$98, ROW($AB75)-ROW($AB$68)+1, FALSE)+(AD$65+AE$65)*'GREET IO'!$K84+SUMPRODUCT(AF$65:AO$65,'GREET IO'!$L84:$U84)+AP$65*'GREET IO'!$H84+AQ$65*'GREET IO'!$L84)*$AQ$69+AC$65*AC$11*HLOOKUP($AC$9, $B$55:$J$76, ROW($AB75)-ROW($AB$68)+1, FALSE)-(AC$12*IF(AB$12="Electrolyte organics",AJ$65+AK$65,IFERROR(HLOOKUP(AB$12,AC$64:AP$65,2,FALSE),0))*IFERROR(HLOOKUP(AB$12, 'GREET IO'!$B$77:$AZ$98, ROW($AB75)-ROW($AB$68)+1, FALSE),0)+AC$13*IF(AB$13="Electrolyte organics",AJ$65+AK$65,IFERROR(HLOOKUP(AB$13,AC$64:AP$65,2,FALSE),0))*IFERROR(HLOOKUP(AB$13, 'GREET IO'!$B$77:$AZ$98, ROW($AB75)-ROW($AB$68)+1, FALSE),0))*$AQ$69</f>
        <v>#N/A</v>
      </c>
      <c r="AF75" s="645" t="e">
        <f>(AC$65*(1-AC$11)*HLOOKUP($AC$9, 'GREET IO'!$B$77:$AZ$98, ROW($AB75)-ROW($AB$68)+1, FALSE)+(AD$65+AE$65)*'GREET IO'!$K84+SUMPRODUCT(AF$65:AO$65,'GREET IO'!$L84:$U84)+AP$65*'GREET IO'!$H84+AQ$65*'GREET IO'!$L84)*$AQ$69+AC$65*AC$11*HLOOKUP($AC$9, $B$79:$I$100, ROW($AB75)-ROW($AB$68)+1, FALSE)-(AC$12*IF(AB$12="Electrolyte organics",AJ$65+AK$65,IFERROR(HLOOKUP(AB$12,AC$64:AP$65,2,FALSE),0))*IFERROR(HLOOKUP(AB$12, 'GREET IO'!$B$77:$AZ$98, ROW($AB75)-ROW($AB$68)+1, FALSE),0)+AC$13*IF(AB$13="Electrolyte organics",AJ$65+AK$65,IFERROR(HLOOKUP(AB$13,AC$64:AP$65,2,FALSE),0))*IFERROR(HLOOKUP(AB$13, 'GREET IO'!$B$77:$AZ$98, ROW($AB75)-ROW($AB$68)+1, FALSE),0))*$AQ$69</f>
        <v>#N/A</v>
      </c>
      <c r="AG75" s="645">
        <f>AC$40/$AQ$70*AC$42*'GREET IO'!$B27+AC$40/$AQ$70*AC$41*IF(AC$10=Input!$AD$35, 'Geographic Par.'!$E75, IF(AC$10=Input!$AD$36, 'Geographic Par.'!$F75, IF(AC$10=Input!$AD$37, 'Geographic Par.'!$H75, IF(AC$10=Input!$AD$38,'Geographic Par.'!$G75,'Geographic Par.'!$L75))))</f>
        <v>3.1375476380233929</v>
      </c>
      <c r="AH75" s="645" t="e">
        <f t="shared" si="2"/>
        <v>#N/A</v>
      </c>
      <c r="AI75" s="645" t="e">
        <f t="shared" si="2"/>
        <v>#N/A</v>
      </c>
      <c r="AJ75" s="645" t="e">
        <f t="shared" si="2"/>
        <v>#N/A</v>
      </c>
      <c r="AK75" s="1363" t="e">
        <f t="shared" si="2"/>
        <v>#N/A</v>
      </c>
    </row>
    <row r="76" spans="2:43">
      <c r="B76" s="81" t="s">
        <v>199</v>
      </c>
      <c r="C76" s="837">
        <f t="array" ref="C76">IF(VLOOKUP(C$55,'Mat. Conv Par.'!$B$9:$F$27,4,FALSE)=0,HLOOKUP(C$55,'GREET IO'!$A$77:$AZ$98,ROW(A76)-ROW(A$55)+1,FALSE)/907.2,'Mat. Conv Par.'!$E133*VLOOKUP(C$55,'Mat. Conv Par.'!$B$14:$E$21,4,FALSE)*HLOOKUP(C$55,'Mat. Conv Par.'!$G$52:$N$53,2,FALSE)/MMULT('Mat. Conv Par.'!$G$53:$N$53,'Mat. Conv Par.'!$E$14:$E$21)/VLOOKUP(C$55,'Mat. Conv Par.'!$B$14:$E$21,4,FALSE))</f>
        <v>21516.171766062387</v>
      </c>
      <c r="D76" s="837">
        <f t="array" ref="D76">IF(VLOOKUP(D$55,'Mat. Conv Par.'!$B$9:$F$27,4,FALSE)=0,HLOOKUP(D$55,'GREET IO'!$A$77:$AZ$98,ROW(B76)-ROW(B$55)+1,FALSE)/907.2,'Mat. Conv Par.'!$E133*VLOOKUP(D$55,'Mat. Conv Par.'!$B$14:$E$21,4,FALSE)*HLOOKUP(D$55,'Mat. Conv Par.'!$G$52:$N$53,2,FALSE)/MMULT('Mat. Conv Par.'!$G$53:$N$53,'Mat. Conv Par.'!$E$14:$E$21)/VLOOKUP(D$55,'Mat. Conv Par.'!$B$14:$E$21,4,FALSE))</f>
        <v>21360.630217866896</v>
      </c>
      <c r="E76" s="837">
        <f t="array" ref="E76">IF(VLOOKUP(E$55,'Mat. Conv Par.'!$B$9:$F$27,4,FALSE)=0,HLOOKUP(E$55,'GREET IO'!$A$77:$AZ$98,ROW(C76)-ROW(C$55)+1,FALSE)/907.2,'Mat. Conv Par.'!$E133*VLOOKUP(E$55,'Mat. Conv Par.'!$B$14:$E$21,4,FALSE)*HLOOKUP(E$55,'Mat. Conv Par.'!$G$52:$N$53,2,FALSE)/MMULT('Mat. Conv Par.'!$G$53:$N$53,'Mat. Conv Par.'!$E$14:$E$21)/VLOOKUP(E$55,'Mat. Conv Par.'!$B$14:$E$21,4,FALSE))</f>
        <v>22016.918592437269</v>
      </c>
      <c r="F76" s="837">
        <f t="array" aca="1" ref="F76" ca="1">IF(VLOOKUP(F$55,'Mat. Conv Par.'!$B$9:$F$27,4,FALSE)=0,HLOOKUP(F$55,'GREET IO'!$A$77:$AZ$98,ROW(D76)-ROW(D$55)+1,FALSE)/907.2,'Mat. Conv Par.'!$E133*VLOOKUP(F$55,'Mat. Conv Par.'!$B$14:$E$21,4,FALSE)*HLOOKUP(F$55,'Mat. Conv Par.'!$G$52:$N$53,2,FALSE)/MMULT('Mat. Conv Par.'!$G$53:$N$53,'Mat. Conv Par.'!$E$14:$E$21)/VLOOKUP(F$55,'Mat. Conv Par.'!$B$14:$E$21,4,FALSE))</f>
        <v>7547.8956970814952</v>
      </c>
      <c r="G76" s="837">
        <f t="array" ref="G76">IF(VLOOKUP(G$55,'Mat. Conv Par.'!$B$9:$F$27,4,FALSE)=0,HLOOKUP(G$55,'GREET IO'!$A$77:$AZ$98,ROW(E76)-ROW(E$55)+1,FALSE)/907.2,'Mat. Conv Par.'!$E133*VLOOKUP(G$55,'Mat. Conv Par.'!$B$14:$E$21,4,FALSE)*HLOOKUP(G$55,'Mat. Conv Par.'!$G$52:$N$53,2,FALSE)/MMULT('Mat. Conv Par.'!$G$53:$N$53,'Mat. Conv Par.'!$E$14:$E$21)/VLOOKUP(G$55,'Mat. Conv Par.'!$B$14:$E$21,4,FALSE))</f>
        <v>25488.503420789719</v>
      </c>
      <c r="H76" s="837">
        <f t="array" ref="H76">IF(VLOOKUP(H$55,'Mat. Conv Par.'!$B$9:$F$27,4,FALSE)=0,HLOOKUP(H$55,'GREET IO'!$A$77:$AZ$98,ROW(F76)-ROW(F$55)+1,FALSE)/907.2,'Mat. Conv Par.'!$E133*VLOOKUP(H$55,'Mat. Conv Par.'!$B$14:$E$21,4,FALSE)*HLOOKUP(H$55,'Mat. Conv Par.'!$G$52:$N$53,2,FALSE)/MMULT('Mat. Conv Par.'!$G$53:$N$53,'Mat. Conv Par.'!$E$14:$E$21)/VLOOKUP(H$55,'Mat. Conv Par.'!$B$14:$E$21,4,FALSE))</f>
        <v>27032.878281820911</v>
      </c>
      <c r="I76" s="837">
        <f t="array" ref="I76">IF(VLOOKUP(I$55,'Mat. Conv Par.'!$B$9:$F$27,4,FALSE)=0,HLOOKUP(I$55,'GREET IO'!$A$77:$AZ$98,ROW(G76)-ROW(G$55)+1,FALSE)/907.2,'Mat. Conv Par.'!$E133*VLOOKUP(I$55,'Mat. Conv Par.'!$B$14:$E$21,4,FALSE)*HLOOKUP(I$55,'Mat. Conv Par.'!$G$52:$N$53,2,FALSE)/MMULT('Mat. Conv Par.'!$G$53:$N$53,'Mat. Conv Par.'!$E$14:$E$21)/VLOOKUP(I$55,'Mat. Conv Par.'!$B$14:$E$21,4,FALSE))</f>
        <v>3458.9631606338371</v>
      </c>
      <c r="J76" s="837">
        <f t="array" ref="J76">IF(VLOOKUP(J$55,'Mat. Conv Par.'!$B$9:$F$27,4,FALSE)=0,HLOOKUP(J$55,'GREET IO'!$A$77:$AZ$98,ROW(H76)-ROW(H$55)+1,FALSE)/907.2,'Mat. Conv Par.'!$E133*VLOOKUP(J$55,'Mat. Conv Par.'!$B$14:$E$21,4,FALSE)*HLOOKUP(J$55,'Mat. Conv Par.'!$G$52:$N$53,2,FALSE)/MMULT('Mat. Conv Par.'!$G$53:$N$53,'Mat. Conv Par.'!$E$14:$E$21)/VLOOKUP(J$55,'Mat. Conv Par.'!$B$14:$E$21,4,FALSE))</f>
        <v>9445.3939182515023</v>
      </c>
      <c r="AB76" s="29" t="s">
        <v>196</v>
      </c>
      <c r="AC76" s="111"/>
      <c r="AD76" s="111"/>
      <c r="AE76" s="111"/>
      <c r="AF76" s="111"/>
      <c r="AG76" s="111"/>
      <c r="AH76" s="111"/>
      <c r="AI76" s="111"/>
      <c r="AJ76" s="111"/>
      <c r="AK76" s="230"/>
    </row>
    <row r="77" spans="2:43">
      <c r="AB77" s="29" t="s">
        <v>180</v>
      </c>
      <c r="AC77" s="178" t="e">
        <f>(AC$65*(1-AC$11)*HLOOKUP($AC$9, 'GREET IO'!$B$77:$AZ$98, ROW($AB77)-ROW($AB$68)+1, FALSE)+(AD$65+AE$65)*'GREET IO'!$K86+SUMPRODUCT(AF$65:AO$65,'GREET IO'!$L86:$U86)+AP$65*'GREET IO'!$H86+AQ$65*'GREET IO'!$L86)*$AQ$69+AC$65*AC$11*HLOOKUP($AC$9, $B$7:$I$28, ROW($AB77)-ROW($AB$68)+1, FALSE)-(AC$12*IF(AB$12="Electrolyte organics",AJ$65+AK$65,IFERROR(HLOOKUP(AB$12,AC$64:AP$65,2,FALSE),0))*IFERROR(HLOOKUP(AB$12, 'GREET IO'!$B$77:$AZ$98, ROW($AB77)-ROW($AB$68)+1, FALSE),0)+AC$13*IF(AB$13="Electrolyte organics",AJ$65+AK$65,IFERROR(HLOOKUP(AB$13,AC$64:AP$65,2,FALSE),0))*IFERROR(HLOOKUP(AB$13, 'GREET IO'!$B$77:$AZ$98, ROW($AB77)-ROW($AB$68)+1, FALSE),0))*$AQ$69</f>
        <v>#N/A</v>
      </c>
      <c r="AD77" s="178" t="e">
        <f>(AC$65*(1-AC$11)*HLOOKUP($AC$9, 'GREET IO'!$B$77:$AZ$98, ROW($AB77)-ROW($AB$68)+1, FALSE)+(AD$65+AE$65)*'GREET IO'!$K86+SUMPRODUCT(AF$65:AO$65,'GREET IO'!$L86:$U86)+AP$65*'GREET IO'!$H86+AQ$65*'GREET IO'!$L86)*$AQ$69+AC$65*AC$11*HLOOKUP($AC$9, $B$31:$I$52, ROW($AB77)-ROW($AB$68)+1, FALSE)-(AC$12*IF(AB$12="Electrolyte organics",AJ$65+AK$65,IFERROR(HLOOKUP(AB$12,AC$64:AP$65,2,FALSE),0))*IFERROR(HLOOKUP(AB$12, 'GREET IO'!$B$77:$AZ$98, ROW($AB77)-ROW($AB$68)+1, FALSE),0)+AC$13*IF(AB$13="Electrolyte organics",AJ$65+AK$65,IFERROR(HLOOKUP(AB$13,AC$64:AP$65,2,FALSE),0))*IFERROR(HLOOKUP(AB$13, 'GREET IO'!$B$77:$AZ$98, ROW($AB77)-ROW($AB$68)+1, FALSE),0))*$AQ$69</f>
        <v>#N/A</v>
      </c>
      <c r="AE77" s="178" t="e">
        <f>(AC$65*(1-AC$11)*HLOOKUP($AC$9, 'GREET IO'!$B$77:$AZ$98, ROW($AB77)-ROW($AB$68)+1, FALSE)+(AD$65+AE$65)*'GREET IO'!$K86+SUMPRODUCT(AF$65:AO$65,'GREET IO'!$L86:$U86)+AP$65*'GREET IO'!$H86+AQ$65*'GREET IO'!$L86)*$AQ$69+AC$65*AC$11*HLOOKUP($AC$9, $B$55:$J$76, ROW($AB77)-ROW($AB$68)+1, FALSE)-(AC$12*IF(AB$12="Electrolyte organics",AJ$65+AK$65,IFERROR(HLOOKUP(AB$12,AC$64:AP$65,2,FALSE),0))*IFERROR(HLOOKUP(AB$12, 'GREET IO'!$B$77:$AZ$98, ROW($AB77)-ROW($AB$68)+1, FALSE),0)+AC$13*IF(AB$13="Electrolyte organics",AJ$65+AK$65,IFERROR(HLOOKUP(AB$13,AC$64:AP$65,2,FALSE),0))*IFERROR(HLOOKUP(AB$13, 'GREET IO'!$B$77:$AZ$98, ROW($AB77)-ROW($AB$68)+1, FALSE),0))*$AQ$69</f>
        <v>#N/A</v>
      </c>
      <c r="AF77" s="178" t="e">
        <f>(AC$65*(1-AC$11)*HLOOKUP($AC$9, 'GREET IO'!$B$77:$AZ$98, ROW($AB77)-ROW($AB$68)+1, FALSE)+(AD$65+AE$65)*'GREET IO'!$K86+SUMPRODUCT(AF$65:AO$65,'GREET IO'!$L86:$U86)+AP$65*'GREET IO'!$H86+AQ$65*'GREET IO'!$L86)*$AQ$69+AC$65*AC$11*HLOOKUP($AC$9, $B$79:$I$100, ROW($AB77)-ROW($AB$68)+1, FALSE)-(AC$12*IF(AB$12="Electrolyte organics",AJ$65+AK$65,IFERROR(HLOOKUP(AB$12,AC$64:AP$65,2,FALSE),0))*IFERROR(HLOOKUP(AB$12, 'GREET IO'!$B$77:$AZ$98, ROW($AB77)-ROW($AB$68)+1, FALSE),0)+AC$13*IF(AB$13="Electrolyte organics",AJ$65+AK$65,IFERROR(HLOOKUP(AB$13,AC$64:AP$65,2,FALSE),0))*IFERROR(HLOOKUP(AB$13, 'GREET IO'!$B$77:$AZ$98, ROW($AB77)-ROW($AB$68)+1, FALSE),0))*$AQ$69</f>
        <v>#N/A</v>
      </c>
      <c r="AG77" s="178">
        <f>AC$40/$AQ$70*AC$42*('GREET IO'!$B28+'GREET IO'!$B4)+AC$40/$AQ$70*AC$41*IF(AC$10=Input!$AD$35, 'Geographic Par.'!$E76, IF(AC$10=Input!$AD$36, 'Geographic Par.'!$F76, IF(AC$10=Input!$AD$37,'Geographic Par.'!$H76, IF(AC$10=Input!$AD$38,'Geographic Par.'!$G76,'Geographic Par.'!$L76))))</f>
        <v>0.72062821157559231</v>
      </c>
      <c r="AH77" s="178" t="e">
        <f t="shared" ref="AH77:AH89" si="3">AC77+$AG77</f>
        <v>#N/A</v>
      </c>
      <c r="AI77" s="178" t="e">
        <f t="shared" ref="AI77:AI89" si="4">AD77+$AG77</f>
        <v>#N/A</v>
      </c>
      <c r="AJ77" s="178" t="e">
        <f t="shared" ref="AJ77:AJ89" si="5">AE77+$AG77</f>
        <v>#N/A</v>
      </c>
      <c r="AK77" s="179" t="e">
        <f t="shared" ref="AK77:AK89" si="6">AF77+$AG77</f>
        <v>#N/A</v>
      </c>
    </row>
    <row r="78" spans="2:43">
      <c r="B78" s="2" t="s">
        <v>1024</v>
      </c>
      <c r="AB78" s="29" t="s">
        <v>181</v>
      </c>
      <c r="AC78" s="178" t="e">
        <f>(AC$65*(1-AC$11)*HLOOKUP($AC$9, 'GREET IO'!$B$77:$AZ$98, ROW($AB78)-ROW($AB$68)+1, FALSE)+(AD$65+AE$65)*'GREET IO'!$K87+SUMPRODUCT(AF$65:AO$65,'GREET IO'!$L87:$U87)+AP$65*'GREET IO'!$H87+AQ$65*'GREET IO'!$L87)*$AQ$69+AC$65*AC$11*HLOOKUP($AC$9, $B$7:$I$28, ROW($AB78)-ROW($AB$68)+1, FALSE)-(AC$12*IF(AB$12="Electrolyte organics",AJ$65+AK$65,IFERROR(HLOOKUP(AB$12,AC$64:AP$65,2,FALSE),0))*IFERROR(HLOOKUP(AB$12, 'GREET IO'!$B$77:$AZ$98, ROW($AB78)-ROW($AB$68)+1, FALSE),0)+AC$13*IF(AB$13="Electrolyte organics",AJ$65+AK$65,IFERROR(HLOOKUP(AB$13,AC$64:AP$65,2,FALSE),0))*IFERROR(HLOOKUP(AB$13, 'GREET IO'!$B$77:$AZ$98, ROW($AB78)-ROW($AB$68)+1, FALSE),0))*$AQ$69</f>
        <v>#N/A</v>
      </c>
      <c r="AD78" s="178" t="e">
        <f>(AC$65*(1-AC$11)*HLOOKUP($AC$9, 'GREET IO'!$B$77:$AZ$98, ROW($AB78)-ROW($AB$68)+1, FALSE)+(AD$65+AE$65)*'GREET IO'!$K87+SUMPRODUCT(AF$65:AO$65,'GREET IO'!$L87:$U87)+AP$65*'GREET IO'!$H87+AQ$65*'GREET IO'!$L87)*$AQ$69+AC$65*AC$11*HLOOKUP($AC$9, $B$31:$I$52, ROW($AB78)-ROW($AB$68)+1, FALSE)-(AC$12*IF(AB$12="Electrolyte organics",AJ$65+AK$65,IFERROR(HLOOKUP(AB$12,AC$64:AP$65,2,FALSE),0))*IFERROR(HLOOKUP(AB$12, 'GREET IO'!$B$77:$AZ$98, ROW($AB78)-ROW($AB$68)+1, FALSE),0)+AC$13*IF(AB$13="Electrolyte organics",AJ$65+AK$65,IFERROR(HLOOKUP(AB$13,AC$64:AP$65,2,FALSE),0))*IFERROR(HLOOKUP(AB$13, 'GREET IO'!$B$77:$AZ$98, ROW($AB78)-ROW($AB$68)+1, FALSE),0))*$AQ$69</f>
        <v>#N/A</v>
      </c>
      <c r="AE78" s="178" t="e">
        <f>(AC$65*(1-AC$11)*HLOOKUP($AC$9, 'GREET IO'!$B$77:$AZ$98, ROW($AB78)-ROW($AB$68)+1, FALSE)+(AD$65+AE$65)*'GREET IO'!$K87+SUMPRODUCT(AF$65:AO$65,'GREET IO'!$L87:$U87)+AP$65*'GREET IO'!$H87+AQ$65*'GREET IO'!$L87)*$AQ$69+AC$65*AC$11*HLOOKUP($AC$9, $B$55:$J$76, ROW($AB78)-ROW($AB$68)+1, FALSE)-(AC$12*IF(AB$12="Electrolyte organics",AJ$65+AK$65,IFERROR(HLOOKUP(AB$12,AC$64:AP$65,2,FALSE),0))*IFERROR(HLOOKUP(AB$12, 'GREET IO'!$B$77:$AZ$98, ROW($AB78)-ROW($AB$68)+1, FALSE),0)+AC$13*IF(AB$13="Electrolyte organics",AJ$65+AK$65,IFERROR(HLOOKUP(AB$13,AC$64:AP$65,2,FALSE),0))*IFERROR(HLOOKUP(AB$13, 'GREET IO'!$B$77:$AZ$98, ROW($AB78)-ROW($AB$68)+1, FALSE),0))*$AQ$69</f>
        <v>#N/A</v>
      </c>
      <c r="AF78" s="178" t="e">
        <f>(AC$65*(1-AC$11)*HLOOKUP($AC$9, 'GREET IO'!$B$77:$AZ$98, ROW($AB78)-ROW($AB$68)+1, FALSE)+(AD$65+AE$65)*'GREET IO'!$K87+SUMPRODUCT(AF$65:AO$65,'GREET IO'!$L87:$U87)+AP$65*'GREET IO'!$H87+AQ$65*'GREET IO'!$L87)*$AQ$69+AC$65*AC$11*HLOOKUP($AC$9, $B$79:$I$100, ROW($AB78)-ROW($AB$68)+1, FALSE)-(AC$12*IF(AB$12="Electrolyte organics",AJ$65+AK$65,IFERROR(HLOOKUP(AB$12,AC$64:AP$65,2,FALSE),0))*IFERROR(HLOOKUP(AB$12, 'GREET IO'!$B$77:$AZ$98, ROW($AB78)-ROW($AB$68)+1, FALSE),0)+AC$13*IF(AB$13="Electrolyte organics",AJ$65+AK$65,IFERROR(HLOOKUP(AB$13,AC$64:AP$65,2,FALSE),0))*IFERROR(HLOOKUP(AB$13, 'GREET IO'!$B$77:$AZ$98, ROW($AB78)-ROW($AB$68)+1, FALSE),0))*$AQ$69</f>
        <v>#N/A</v>
      </c>
      <c r="AG78" s="178">
        <f>AC$40/$AQ$70*AC$42*('GREET IO'!$B29+'GREET IO'!$B5)+AC$40/$AQ$70*AC$41*IF(AC$10=Input!$AD$35, 'Geographic Par.'!$E77, IF(AC$10=Input!$AD$36, 'Geographic Par.'!$F77, IF(AC$10=Input!$AD$37,'Geographic Par.'!$H77, IF(AC$10=Input!$AD$38,'Geographic Par.'!$G77,'Geographic Par.'!$L77))))</f>
        <v>2.9916545132204257</v>
      </c>
      <c r="AH78" s="178" t="e">
        <f t="shared" si="3"/>
        <v>#N/A</v>
      </c>
      <c r="AI78" s="178" t="e">
        <f t="shared" si="4"/>
        <v>#N/A</v>
      </c>
      <c r="AJ78" s="178" t="e">
        <f t="shared" si="5"/>
        <v>#N/A</v>
      </c>
      <c r="AK78" s="179" t="e">
        <f t="shared" si="6"/>
        <v>#N/A</v>
      </c>
    </row>
    <row r="79" spans="2:43">
      <c r="B79" s="93"/>
      <c r="C79" s="94" t="s">
        <v>42</v>
      </c>
      <c r="D79" s="94" t="s">
        <v>1029</v>
      </c>
      <c r="E79" s="1282" t="s">
        <v>1540</v>
      </c>
      <c r="F79" s="94" t="s">
        <v>667</v>
      </c>
      <c r="G79" s="94" t="s">
        <v>669</v>
      </c>
      <c r="H79" s="1231" t="s">
        <v>73</v>
      </c>
      <c r="AB79" s="29" t="s">
        <v>182</v>
      </c>
      <c r="AC79" s="178" t="e">
        <f>(AC$65*(1-AC$11)*HLOOKUP($AC$9, 'GREET IO'!$B$77:$AZ$98, ROW($AB79)-ROW($AB$68)+1, FALSE)+(AD$65+AE$65)*'GREET IO'!$K88+SUMPRODUCT(AF$65:AO$65,'GREET IO'!$L88:$U88)+AP$65*'GREET IO'!$H88+AQ$65*'GREET IO'!$L88)*$AQ$69+AC$65*AC$11*HLOOKUP($AC$9, $B$7:$I$28, ROW($AB79)-ROW($AB$68)+1, FALSE)-(AC$12*IF(AB$12="Electrolyte organics",AJ$65+AK$65,IFERROR(HLOOKUP(AB$12,AC$64:AP$65,2,FALSE),0))*IFERROR(HLOOKUP(AB$12, 'GREET IO'!$B$77:$AZ$98, ROW($AB79)-ROW($AB$68)+1, FALSE),0)+AC$13*IF(AB$13="Electrolyte organics",AJ$65+AK$65,IFERROR(HLOOKUP(AB$13,AC$64:AP$65,2,FALSE),0))*IFERROR(HLOOKUP(AB$13, 'GREET IO'!$B$77:$AZ$98, ROW($AB79)-ROW($AB$68)+1, FALSE),0))*$AQ$69</f>
        <v>#N/A</v>
      </c>
      <c r="AD79" s="178" t="e">
        <f>(AC$65*(1-AC$11)*HLOOKUP($AC$9, 'GREET IO'!$B$77:$AZ$98, ROW($AB79)-ROW($AB$68)+1, FALSE)+(AD$65+AE$65)*'GREET IO'!$K88+SUMPRODUCT(AF$65:AO$65,'GREET IO'!$L88:$U88)+AP$65*'GREET IO'!$H88+AQ$65*'GREET IO'!$L88)*$AQ$69+AC$65*AC$11*HLOOKUP($AC$9, $B$31:$I$52, ROW($AB79)-ROW($AB$68)+1, FALSE)-(AC$12*IF(AB$12="Electrolyte organics",AJ$65+AK$65,IFERROR(HLOOKUP(AB$12,AC$64:AP$65,2,FALSE),0))*IFERROR(HLOOKUP(AB$12, 'GREET IO'!$B$77:$AZ$98, ROW($AB79)-ROW($AB$68)+1, FALSE),0)+AC$13*IF(AB$13="Electrolyte organics",AJ$65+AK$65,IFERROR(HLOOKUP(AB$13,AC$64:AP$65,2,FALSE),0))*IFERROR(HLOOKUP(AB$13, 'GREET IO'!$B$77:$AZ$98, ROW($AB79)-ROW($AB$68)+1, FALSE),0))*$AQ$69</f>
        <v>#N/A</v>
      </c>
      <c r="AE79" s="178" t="e">
        <f>(AC$65*(1-AC$11)*HLOOKUP($AC$9, 'GREET IO'!$B$77:$AZ$98, ROW($AB79)-ROW($AB$68)+1, FALSE)+(AD$65+AE$65)*'GREET IO'!$K88+SUMPRODUCT(AF$65:AO$65,'GREET IO'!$L88:$U88)+AP$65*'GREET IO'!$H88+AQ$65*'GREET IO'!$L88)*$AQ$69+AC$65*AC$11*HLOOKUP($AC$9, $B$55:$J$76, ROW($AB79)-ROW($AB$68)+1, FALSE)-(AC$12*IF(AB$12="Electrolyte organics",AJ$65+AK$65,IFERROR(HLOOKUP(AB$12,AC$64:AP$65,2,FALSE),0))*IFERROR(HLOOKUP(AB$12, 'GREET IO'!$B$77:$AZ$98, ROW($AB79)-ROW($AB$68)+1, FALSE),0)+AC$13*IF(AB$13="Electrolyte organics",AJ$65+AK$65,IFERROR(HLOOKUP(AB$13,AC$64:AP$65,2,FALSE),0))*IFERROR(HLOOKUP(AB$13, 'GREET IO'!$B$77:$AZ$98, ROW($AB79)-ROW($AB$68)+1, FALSE),0))*$AQ$69</f>
        <v>#N/A</v>
      </c>
      <c r="AF79" s="178" t="e">
        <f>(AC$65*(1-AC$11)*HLOOKUP($AC$9, 'GREET IO'!$B$77:$AZ$98, ROW($AB79)-ROW($AB$68)+1, FALSE)+(AD$65+AE$65)*'GREET IO'!$K88+SUMPRODUCT(AF$65:AO$65,'GREET IO'!$L88:$U88)+AP$65*'GREET IO'!$H88+AQ$65*'GREET IO'!$L88)*$AQ$69+AC$65*AC$11*HLOOKUP($AC$9, $B$79:$I$100, ROW($AB79)-ROW($AB$68)+1, FALSE)-(AC$12*IF(AB$12="Electrolyte organics",AJ$65+AK$65,IFERROR(HLOOKUP(AB$12,AC$64:AP$65,2,FALSE),0))*IFERROR(HLOOKUP(AB$12, 'GREET IO'!$B$77:$AZ$98, ROW($AB79)-ROW($AB$68)+1, FALSE),0)+AC$13*IF(AB$13="Electrolyte organics",AJ$65+AK$65,IFERROR(HLOOKUP(AB$13,AC$64:AP$65,2,FALSE),0))*IFERROR(HLOOKUP(AB$13, 'GREET IO'!$B$77:$AZ$98, ROW($AB79)-ROW($AB$68)+1, FALSE),0))*$AQ$69</f>
        <v>#N/A</v>
      </c>
      <c r="AG79" s="178">
        <f>AC$40/$AQ$70*AC$42*('GREET IO'!$B30+'GREET IO'!$B6)+AC$40/$AQ$70*AC$41*IF(AC$10=Input!$AD$35, 'Geographic Par.'!$E78, IF(AC$10=Input!$AD$36, 'Geographic Par.'!$F78, IF(AC$10=Input!$AD$37,'Geographic Par.'!$H78, IF(AC$10=Input!$AD$38,'Geographic Par.'!$G78,'Geographic Par.'!$L78))))</f>
        <v>4.5721205513836383</v>
      </c>
      <c r="AH79" s="178" t="e">
        <f t="shared" si="3"/>
        <v>#N/A</v>
      </c>
      <c r="AI79" s="178" t="e">
        <f t="shared" si="4"/>
        <v>#N/A</v>
      </c>
      <c r="AJ79" s="178" t="e">
        <f t="shared" si="5"/>
        <v>#N/A</v>
      </c>
      <c r="AK79" s="179" t="e">
        <f t="shared" si="6"/>
        <v>#N/A</v>
      </c>
    </row>
    <row r="80" spans="2:43">
      <c r="B80" s="88" t="s">
        <v>346</v>
      </c>
      <c r="C80" s="90"/>
      <c r="D80" s="90"/>
      <c r="F80" s="90"/>
      <c r="G80" s="90"/>
      <c r="H80" s="1217"/>
      <c r="AB80" s="29" t="s">
        <v>183</v>
      </c>
      <c r="AC80" s="178" t="e">
        <f>(AC$65*(1-AC$11)*HLOOKUP($AC$9, 'GREET IO'!$B$77:$AZ$98, ROW($AB80)-ROW($AB$68)+1, FALSE)+(AD$65+AE$65)*'GREET IO'!$K89+SUMPRODUCT(AF$65:AO$65,'GREET IO'!$L89:$U89)+AP$65*'GREET IO'!$H89+AQ$65*'GREET IO'!$L89)*$AQ$69+AC$65*AC$11*HLOOKUP($AC$9, $B$7:$I$28, ROW($AB80)-ROW($AB$68)+1, FALSE)-(AC$12*IF(AB$12="Electrolyte organics",AJ$65+AK$65,IFERROR(HLOOKUP(AB$12,AC$64:AP$65,2,FALSE),0))*IFERROR(HLOOKUP(AB$12, 'GREET IO'!$B$77:$AZ$98, ROW($AB80)-ROW($AB$68)+1, FALSE),0)+AC$13*IF(AB$13="Electrolyte organics",AJ$65+AK$65,IFERROR(HLOOKUP(AB$13,AC$64:AP$65,2,FALSE),0))*IFERROR(HLOOKUP(AB$13, 'GREET IO'!$B$77:$AZ$98, ROW($AB80)-ROW($AB$68)+1, FALSE),0))*$AQ$69</f>
        <v>#N/A</v>
      </c>
      <c r="AD80" s="178" t="e">
        <f>(AC$65*(1-AC$11)*HLOOKUP($AC$9, 'GREET IO'!$B$77:$AZ$98, ROW($AB80)-ROW($AB$68)+1, FALSE)+(AD$65+AE$65)*'GREET IO'!$K89+SUMPRODUCT(AF$65:AO$65,'GREET IO'!$L89:$U89)+AP$65*'GREET IO'!$H89+AQ$65*'GREET IO'!$L89)*$AQ$69+AC$65*AC$11*HLOOKUP($AC$9, $B$31:$I$52, ROW($AB80)-ROW($AB$68)+1, FALSE)-(AC$12*IF(AB$12="Electrolyte organics",AJ$65+AK$65,IFERROR(HLOOKUP(AB$12,AC$64:AP$65,2,FALSE),0))*IFERROR(HLOOKUP(AB$12, 'GREET IO'!$B$77:$AZ$98, ROW($AB80)-ROW($AB$68)+1, FALSE),0)+AC$13*IF(AB$13="Electrolyte organics",AJ$65+AK$65,IFERROR(HLOOKUP(AB$13,AC$64:AP$65,2,FALSE),0))*IFERROR(HLOOKUP(AB$13, 'GREET IO'!$B$77:$AZ$98, ROW($AB80)-ROW($AB$68)+1, FALSE),0))*$AQ$69</f>
        <v>#N/A</v>
      </c>
      <c r="AE80" s="178" t="e">
        <f>(AC$65*(1-AC$11)*HLOOKUP($AC$9, 'GREET IO'!$B$77:$AZ$98, ROW($AB80)-ROW($AB$68)+1, FALSE)+(AD$65+AE$65)*'GREET IO'!$K89+SUMPRODUCT(AF$65:AO$65,'GREET IO'!$L89:$U89)+AP$65*'GREET IO'!$H89+AQ$65*'GREET IO'!$L89)*$AQ$69+AC$65*AC$11*HLOOKUP($AC$9, $B$55:$J$76, ROW($AB80)-ROW($AB$68)+1, FALSE)-(AC$12*IF(AB$12="Electrolyte organics",AJ$65+AK$65,IFERROR(HLOOKUP(AB$12,AC$64:AP$65,2,FALSE),0))*IFERROR(HLOOKUP(AB$12, 'GREET IO'!$B$77:$AZ$98, ROW($AB80)-ROW($AB$68)+1, FALSE),0)+AC$13*IF(AB$13="Electrolyte organics",AJ$65+AK$65,IFERROR(HLOOKUP(AB$13,AC$64:AP$65,2,FALSE),0))*IFERROR(HLOOKUP(AB$13, 'GREET IO'!$B$77:$AZ$98, ROW($AB80)-ROW($AB$68)+1, FALSE),0))*$AQ$69</f>
        <v>#N/A</v>
      </c>
      <c r="AF80" s="178" t="e">
        <f>(AC$65*(1-AC$11)*HLOOKUP($AC$9, 'GREET IO'!$B$77:$AZ$98, ROW($AB80)-ROW($AB$68)+1, FALSE)+(AD$65+AE$65)*'GREET IO'!$K89+SUMPRODUCT(AF$65:AO$65,'GREET IO'!$L89:$U89)+AP$65*'GREET IO'!$H89+AQ$65*'GREET IO'!$L89)*$AQ$69+AC$65*AC$11*HLOOKUP($AC$9, $B$79:$I$100, ROW($AB80)-ROW($AB$68)+1, FALSE)-(AC$12*IF(AB$12="Electrolyte organics",AJ$65+AK$65,IFERROR(HLOOKUP(AB$12,AC$64:AP$65,2,FALSE),0))*IFERROR(HLOOKUP(AB$12, 'GREET IO'!$B$77:$AZ$98, ROW($AB80)-ROW($AB$68)+1, FALSE),0)+AC$13*IF(AB$13="Electrolyte organics",AJ$65+AK$65,IFERROR(HLOOKUP(AB$13,AC$64:AP$65,2,FALSE),0))*IFERROR(HLOOKUP(AB$13, 'GREET IO'!$B$77:$AZ$98, ROW($AB80)-ROW($AB$68)+1, FALSE),0))*$AQ$69</f>
        <v>#N/A</v>
      </c>
      <c r="AG80" s="178">
        <f>AC$40/$AQ$70*AC$42*('GREET IO'!$B31+'GREET IO'!$B7)+AC$40/$AQ$70*AC$41*IF(AC$10=Input!$AD$35, 'Geographic Par.'!$E79, IF(AC$10=Input!$AD$36, 'Geographic Par.'!$F79, IF(AC$10=Input!$AD$37,'Geographic Par.'!$H79, IF(AC$10=Input!$AD$38,'Geographic Par.'!$G79,'Geographic Par.'!$L79))))</f>
        <v>0.4377239534188091</v>
      </c>
      <c r="AH80" s="178" t="e">
        <f t="shared" si="3"/>
        <v>#N/A</v>
      </c>
      <c r="AI80" s="178" t="e">
        <f t="shared" si="4"/>
        <v>#N/A</v>
      </c>
      <c r="AJ80" s="178" t="e">
        <f t="shared" si="5"/>
        <v>#N/A</v>
      </c>
      <c r="AK80" s="179" t="e">
        <f t="shared" si="6"/>
        <v>#N/A</v>
      </c>
    </row>
    <row r="81" spans="2:46">
      <c r="B81" s="83" t="s">
        <v>173</v>
      </c>
      <c r="C81" s="97" t="e">
        <f>'Cath. Prod. Par.'!FI44</f>
        <v>#DIV/0!</v>
      </c>
      <c r="D81" s="97" t="e">
        <f>'Cath. Prod. Par.'!AI44</f>
        <v>#DIV/0!</v>
      </c>
      <c r="E81" s="97" t="e">
        <f>'Cath. Prod. Par.'!BI44</f>
        <v>#DIV/0!</v>
      </c>
      <c r="F81" s="97" t="e">
        <f>'Cath. Prod. Par.'!CI44</f>
        <v>#DIV/0!</v>
      </c>
      <c r="G81" s="97" t="e">
        <f>'Cath. Prod. Par.'!DI44</f>
        <v>#DIV/0!</v>
      </c>
      <c r="H81" s="1019" t="e">
        <f>'Cath. Prod. Par.'!EI44</f>
        <v>#DIV/0!</v>
      </c>
      <c r="AB81" s="29" t="s">
        <v>184</v>
      </c>
      <c r="AC81" s="178" t="e">
        <f>(AC$65*(1-AC$11)*HLOOKUP($AC$9, 'GREET IO'!$B$77:$AZ$98, ROW($AB81)-ROW($AB$68)+1, FALSE)+(AD$65+AE$65)*'GREET IO'!$K90+SUMPRODUCT(AF$65:AO$65,'GREET IO'!$L90:$U90)+AP$65*'GREET IO'!$H90+AQ$65*'GREET IO'!$L90)*$AQ$69+AC$65*AC$11*HLOOKUP($AC$9, $B$7:$I$28, ROW($AB81)-ROW($AB$68)+1, FALSE)-(AC$12*IF(AB$12="Electrolyte organics",AJ$65+AK$65,IFERROR(HLOOKUP(AB$12,AC$64:AP$65,2,FALSE),0))*IFERROR(HLOOKUP(AB$12, 'GREET IO'!$B$77:$AZ$98, ROW($AB81)-ROW($AB$68)+1, FALSE),0)+AC$13*IF(AB$13="Electrolyte organics",AJ$65+AK$65,IFERROR(HLOOKUP(AB$13,AC$64:AP$65,2,FALSE),0))*IFERROR(HLOOKUP(AB$13, 'GREET IO'!$B$77:$AZ$98, ROW($AB81)-ROW($AB$68)+1, FALSE),0))*$AQ$69</f>
        <v>#N/A</v>
      </c>
      <c r="AD81" s="178" t="e">
        <f>(AC$65*(1-AC$11)*HLOOKUP($AC$9, 'GREET IO'!$B$77:$AZ$98, ROW($AB81)-ROW($AB$68)+1, FALSE)+(AD$65+AE$65)*'GREET IO'!$K90+SUMPRODUCT(AF$65:AO$65,'GREET IO'!$L90:$U90)+AP$65*'GREET IO'!$H90+AQ$65*'GREET IO'!$L90)*$AQ$69+AC$65*AC$11*HLOOKUP($AC$9, $B$31:$I$52, ROW($AB81)-ROW($AB$68)+1, FALSE)-(AC$12*IF(AB$12="Electrolyte organics",AJ$65+AK$65,IFERROR(HLOOKUP(AB$12,AC$64:AP$65,2,FALSE),0))*IFERROR(HLOOKUP(AB$12, 'GREET IO'!$B$77:$AZ$98, ROW($AB81)-ROW($AB$68)+1, FALSE),0)+AC$13*IF(AB$13="Electrolyte organics",AJ$65+AK$65,IFERROR(HLOOKUP(AB$13,AC$64:AP$65,2,FALSE),0))*IFERROR(HLOOKUP(AB$13, 'GREET IO'!$B$77:$AZ$98, ROW($AB81)-ROW($AB$68)+1, FALSE),0))*$AQ$69</f>
        <v>#N/A</v>
      </c>
      <c r="AE81" s="178" t="e">
        <f>(AC$65*(1-AC$11)*HLOOKUP($AC$9, 'GREET IO'!$B$77:$AZ$98, ROW($AB81)-ROW($AB$68)+1, FALSE)+(AD$65+AE$65)*'GREET IO'!$K90+SUMPRODUCT(AF$65:AO$65,'GREET IO'!$L90:$U90)+AP$65*'GREET IO'!$H90+AQ$65*'GREET IO'!$L90)*$AQ$69+AC$65*AC$11*HLOOKUP($AC$9, $B$55:$J$76, ROW($AB81)-ROW($AB$68)+1, FALSE)-(AC$12*IF(AB$12="Electrolyte organics",AJ$65+AK$65,IFERROR(HLOOKUP(AB$12,AC$64:AP$65,2,FALSE),0))*IFERROR(HLOOKUP(AB$12, 'GREET IO'!$B$77:$AZ$98, ROW($AB81)-ROW($AB$68)+1, FALSE),0)+AC$13*IF(AB$13="Electrolyte organics",AJ$65+AK$65,IFERROR(HLOOKUP(AB$13,AC$64:AP$65,2,FALSE),0))*IFERROR(HLOOKUP(AB$13, 'GREET IO'!$B$77:$AZ$98, ROW($AB81)-ROW($AB$68)+1, FALSE),0))*$AQ$69</f>
        <v>#N/A</v>
      </c>
      <c r="AF81" s="178" t="e">
        <f>(AC$65*(1-AC$11)*HLOOKUP($AC$9, 'GREET IO'!$B$77:$AZ$98, ROW($AB81)-ROW($AB$68)+1, FALSE)+(AD$65+AE$65)*'GREET IO'!$K90+SUMPRODUCT(AF$65:AO$65,'GREET IO'!$L90:$U90)+AP$65*'GREET IO'!$H90+AQ$65*'GREET IO'!$L90)*$AQ$69+AC$65*AC$11*HLOOKUP($AC$9, $B$79:$I$100, ROW($AB81)-ROW($AB$68)+1, FALSE)-(AC$12*IF(AB$12="Electrolyte organics",AJ$65+AK$65,IFERROR(HLOOKUP(AB$12,AC$64:AP$65,2,FALSE),0))*IFERROR(HLOOKUP(AB$12, 'GREET IO'!$B$77:$AZ$98, ROW($AB81)-ROW($AB$68)+1, FALSE),0)+AC$13*IF(AB$13="Electrolyte organics",AJ$65+AK$65,IFERROR(HLOOKUP(AB$13,AC$64:AP$65,2,FALSE),0))*IFERROR(HLOOKUP(AB$13, 'GREET IO'!$B$77:$AZ$98, ROW($AB81)-ROW($AB$68)+1, FALSE),0))*$AQ$69</f>
        <v>#N/A</v>
      </c>
      <c r="AG81" s="178">
        <f>AC$40/$AQ$70*AC$42*('GREET IO'!$B32+'GREET IO'!$B8)+AC$40/$AQ$70*AC$41*IF(AC$10=Input!$AD$35, 'Geographic Par.'!$E80, IF(AC$10=Input!$AD$36, 'Geographic Par.'!$F80, IF(AC$10=Input!$AD$37,'Geographic Par.'!$H80, IF(AC$10=Input!$AD$38,'Geographic Par.'!$G80,'Geographic Par.'!$L80))))</f>
        <v>0.28695361679954173</v>
      </c>
      <c r="AH81" s="178" t="e">
        <f t="shared" si="3"/>
        <v>#N/A</v>
      </c>
      <c r="AI81" s="178" t="e">
        <f t="shared" si="4"/>
        <v>#N/A</v>
      </c>
      <c r="AJ81" s="178" t="e">
        <f t="shared" si="5"/>
        <v>#N/A</v>
      </c>
      <c r="AK81" s="179" t="e">
        <f t="shared" si="6"/>
        <v>#N/A</v>
      </c>
    </row>
    <row r="82" spans="2:46">
      <c r="B82" s="83" t="s">
        <v>174</v>
      </c>
      <c r="C82" s="97" t="e">
        <f>'Cath. Prod. Par.'!FI45</f>
        <v>#DIV/0!</v>
      </c>
      <c r="D82" s="97" t="e">
        <f>'Cath. Prod. Par.'!AI45</f>
        <v>#DIV/0!</v>
      </c>
      <c r="E82" s="97" t="e">
        <f>'Cath. Prod. Par.'!BI45</f>
        <v>#DIV/0!</v>
      </c>
      <c r="F82" s="97" t="e">
        <f>'Cath. Prod. Par.'!CI45</f>
        <v>#DIV/0!</v>
      </c>
      <c r="G82" s="97" t="e">
        <f>'Cath. Prod. Par.'!DI45</f>
        <v>#DIV/0!</v>
      </c>
      <c r="H82" s="1019" t="e">
        <f>'Cath. Prod. Par.'!EI45</f>
        <v>#DIV/0!</v>
      </c>
      <c r="AB82" s="29" t="s">
        <v>185</v>
      </c>
      <c r="AC82" s="178" t="e">
        <f>(AC$65*(1-AC$11)*HLOOKUP($AC$9, 'GREET IO'!$B$77:$AZ$98, ROW($AB82)-ROW($AB$68)+1, FALSE)+(AD$65+AE$65)*'GREET IO'!$K91+SUMPRODUCT(AF$65:AO$65,'GREET IO'!$L91:$U91)+AP$65*'GREET IO'!$H91+AQ$65*'GREET IO'!$L91)*$AQ$69+AC$65*AC$11*HLOOKUP($AC$9, $B$7:$I$28, ROW($AB82)-ROW($AB$68)+1, FALSE)-(AC$12*IF(AB$12="Electrolyte organics",AJ$65+AK$65,IFERROR(HLOOKUP(AB$12,AC$64:AP$65,2,FALSE),0))*IFERROR(HLOOKUP(AB$12, 'GREET IO'!$B$77:$AZ$98, ROW($AB82)-ROW($AB$68)+1, FALSE),0)+AC$13*IF(AB$13="Electrolyte organics",AJ$65+AK$65,IFERROR(HLOOKUP(AB$13,AC$64:AP$65,2,FALSE),0))*IFERROR(HLOOKUP(AB$13, 'GREET IO'!$B$77:$AZ$98, ROW($AB82)-ROW($AB$68)+1, FALSE),0))*$AQ$69</f>
        <v>#N/A</v>
      </c>
      <c r="AD82" s="178" t="e">
        <f>(AC$65*(1-AC$11)*HLOOKUP($AC$9, 'GREET IO'!$B$77:$AZ$98, ROW($AB82)-ROW($AB$68)+1, FALSE)+(AD$65+AE$65)*'GREET IO'!$K91+SUMPRODUCT(AF$65:AO$65,'GREET IO'!$L91:$U91)+AP$65*'GREET IO'!$H91+AQ$65*'GREET IO'!$L91)*$AQ$69+AC$65*AC$11*HLOOKUP($AC$9, $B$31:$I$52, ROW($AB82)-ROW($AB$68)+1, FALSE)-(AC$12*IF(AB$12="Electrolyte organics",AJ$65+AK$65,IFERROR(HLOOKUP(AB$12,AC$64:AP$65,2,FALSE),0))*IFERROR(HLOOKUP(AB$12, 'GREET IO'!$B$77:$AZ$98, ROW($AB82)-ROW($AB$68)+1, FALSE),0)+AC$13*IF(AB$13="Electrolyte organics",AJ$65+AK$65,IFERROR(HLOOKUP(AB$13,AC$64:AP$65,2,FALSE),0))*IFERROR(HLOOKUP(AB$13, 'GREET IO'!$B$77:$AZ$98, ROW($AB82)-ROW($AB$68)+1, FALSE),0))*$AQ$69</f>
        <v>#N/A</v>
      </c>
      <c r="AE82" s="178" t="e">
        <f>(AC$65*(1-AC$11)*HLOOKUP($AC$9, 'GREET IO'!$B$77:$AZ$98, ROW($AB82)-ROW($AB$68)+1, FALSE)+(AD$65+AE$65)*'GREET IO'!$K91+SUMPRODUCT(AF$65:AO$65,'GREET IO'!$L91:$U91)+AP$65*'GREET IO'!$H91+AQ$65*'GREET IO'!$L91)*$AQ$69+AC$65*AC$11*HLOOKUP($AC$9, $B$55:$J$76, ROW($AB82)-ROW($AB$68)+1, FALSE)-(AC$12*IF(AB$12="Electrolyte organics",AJ$65+AK$65,IFERROR(HLOOKUP(AB$12,AC$64:AP$65,2,FALSE),0))*IFERROR(HLOOKUP(AB$12, 'GREET IO'!$B$77:$AZ$98, ROW($AB82)-ROW($AB$68)+1, FALSE),0)+AC$13*IF(AB$13="Electrolyte organics",AJ$65+AK$65,IFERROR(HLOOKUP(AB$13,AC$64:AP$65,2,FALSE),0))*IFERROR(HLOOKUP(AB$13, 'GREET IO'!$B$77:$AZ$98, ROW($AB82)-ROW($AB$68)+1, FALSE),0))*$AQ$69</f>
        <v>#N/A</v>
      </c>
      <c r="AF82" s="178" t="e">
        <f>(AC$65*(1-AC$11)*HLOOKUP($AC$9, 'GREET IO'!$B$77:$AZ$98, ROW($AB82)-ROW($AB$68)+1, FALSE)+(AD$65+AE$65)*'GREET IO'!$K91+SUMPRODUCT(AF$65:AO$65,'GREET IO'!$L91:$U91)+AP$65*'GREET IO'!$H91+AQ$65*'GREET IO'!$L91)*$AQ$69+AC$65*AC$11*HLOOKUP($AC$9, $B$79:$I$100, ROW($AB82)-ROW($AB$68)+1, FALSE)-(AC$12*IF(AB$12="Electrolyte organics",AJ$65+AK$65,IFERROR(HLOOKUP(AB$12,AC$64:AP$65,2,FALSE),0))*IFERROR(HLOOKUP(AB$12, 'GREET IO'!$B$77:$AZ$98, ROW($AB82)-ROW($AB$68)+1, FALSE),0)+AC$13*IF(AB$13="Electrolyte organics",AJ$65+AK$65,IFERROR(HLOOKUP(AB$13,AC$64:AP$65,2,FALSE),0))*IFERROR(HLOOKUP(AB$13, 'GREET IO'!$B$77:$AZ$98, ROW($AB82)-ROW($AB$68)+1, FALSE),0))*$AQ$69</f>
        <v>#N/A</v>
      </c>
      <c r="AG82" s="178">
        <f>AC$40/$AQ$70*AC$42*('GREET IO'!$B33+'GREET IO'!$B9)+AC$40/$AQ$70*AC$41*IF(AC$10=Input!$AD$35, 'Geographic Par.'!$E81, IF(AC$10=Input!$AD$36, 'Geographic Par.'!$F81, IF(AC$10=Input!$AD$37,'Geographic Par.'!$H81, IF(AC$10=Input!$AD$38,'Geographic Par.'!$G81,'Geographic Par.'!$L81))))</f>
        <v>2.2073470524645087</v>
      </c>
      <c r="AH82" s="178" t="e">
        <f t="shared" si="3"/>
        <v>#N/A</v>
      </c>
      <c r="AI82" s="178" t="e">
        <f t="shared" si="4"/>
        <v>#N/A</v>
      </c>
      <c r="AJ82" s="178" t="e">
        <f t="shared" si="5"/>
        <v>#N/A</v>
      </c>
      <c r="AK82" s="179" t="e">
        <f t="shared" si="6"/>
        <v>#N/A</v>
      </c>
    </row>
    <row r="83" spans="2:46">
      <c r="B83" s="83" t="s">
        <v>175</v>
      </c>
      <c r="C83" s="97" t="e">
        <f>'Cath. Prod. Par.'!FI46</f>
        <v>#DIV/0!</v>
      </c>
      <c r="D83" s="97" t="e">
        <f>'Cath. Prod. Par.'!AI46</f>
        <v>#DIV/0!</v>
      </c>
      <c r="E83" s="97" t="e">
        <f>'Cath. Prod. Par.'!BI46</f>
        <v>#DIV/0!</v>
      </c>
      <c r="F83" s="97" t="e">
        <f>'Cath. Prod. Par.'!CI46</f>
        <v>#DIV/0!</v>
      </c>
      <c r="G83" s="97" t="e">
        <f>'Cath. Prod. Par.'!DI46</f>
        <v>#DIV/0!</v>
      </c>
      <c r="H83" s="1019" t="e">
        <f>'Cath. Prod. Par.'!EI46</f>
        <v>#DIV/0!</v>
      </c>
      <c r="AB83" s="29" t="s">
        <v>186</v>
      </c>
      <c r="AC83" s="178" t="e">
        <f>(AC$65*(1-AC$11)*HLOOKUP($AC$9, 'GREET IO'!$B$77:$AZ$98, ROW($AB83)-ROW($AB$68)+1, FALSE)+(AD$65+AE$65)*'GREET IO'!$K92+SUMPRODUCT(AF$65:AO$65,'GREET IO'!$L92:$U92)+AP$65*'GREET IO'!$H92+AQ$65*'GREET IO'!$L92)*$AQ$69+AC$65*AC$11*HLOOKUP($AC$9, $B$7:$I$28, ROW($AB83)-ROW($AB$68)+1, FALSE)-(AC$12*IF(AB$12="Electrolyte organics",AJ$65+AK$65,IFERROR(HLOOKUP(AB$12,AC$64:AP$65,2,FALSE),0))*IFERROR(HLOOKUP(AB$12, 'GREET IO'!$B$77:$AZ$98, ROW($AB83)-ROW($AB$68)+1, FALSE),0)+AC$13*IF(AB$13="Electrolyte organics",AJ$65+AK$65,IFERROR(HLOOKUP(AB$13,AC$64:AP$65,2,FALSE),0))*IFERROR(HLOOKUP(AB$13, 'GREET IO'!$B$77:$AZ$98, ROW($AB83)-ROW($AB$68)+1, FALSE),0))*$AQ$69</f>
        <v>#N/A</v>
      </c>
      <c r="AD83" s="178" t="e">
        <f>(AC$65*(1-AC$11)*HLOOKUP($AC$9, 'GREET IO'!$B$77:$AZ$98, ROW($AB83)-ROW($AB$68)+1, FALSE)+(AD$65+AE$65)*'GREET IO'!$K92+SUMPRODUCT(AF$65:AO$65,'GREET IO'!$L92:$U92)+AP$65*'GREET IO'!$H92+AQ$65*'GREET IO'!$L92)*$AQ$69+AC$65*AC$11*HLOOKUP($AC$9, $B$31:$I$52, ROW($AB83)-ROW($AB$68)+1, FALSE)-(AC$12*IF(AB$12="Electrolyte organics",AJ$65+AK$65,IFERROR(HLOOKUP(AB$12,AC$64:AP$65,2,FALSE),0))*IFERROR(HLOOKUP(AB$12, 'GREET IO'!$B$77:$AZ$98, ROW($AB83)-ROW($AB$68)+1, FALSE),0)+AC$13*IF(AB$13="Electrolyte organics",AJ$65+AK$65,IFERROR(HLOOKUP(AB$13,AC$64:AP$65,2,FALSE),0))*IFERROR(HLOOKUP(AB$13, 'GREET IO'!$B$77:$AZ$98, ROW($AB83)-ROW($AB$68)+1, FALSE),0))*$AQ$69</f>
        <v>#N/A</v>
      </c>
      <c r="AE83" s="178" t="e">
        <f>(AC$65*(1-AC$11)*HLOOKUP($AC$9, 'GREET IO'!$B$77:$AZ$98, ROW($AB83)-ROW($AB$68)+1, FALSE)+(AD$65+AE$65)*'GREET IO'!$K92+SUMPRODUCT(AF$65:AO$65,'GREET IO'!$L92:$U92)+AP$65*'GREET IO'!$H92+AQ$65*'GREET IO'!$L92)*$AQ$69+AC$65*AC$11*HLOOKUP($AC$9, $B$55:$J$76, ROW($AB83)-ROW($AB$68)+1, FALSE)-(AC$12*IF(AB$12="Electrolyte organics",AJ$65+AK$65,IFERROR(HLOOKUP(AB$12,AC$64:AP$65,2,FALSE),0))*IFERROR(HLOOKUP(AB$12, 'GREET IO'!$B$77:$AZ$98, ROW($AB83)-ROW($AB$68)+1, FALSE),0)+AC$13*IF(AB$13="Electrolyte organics",AJ$65+AK$65,IFERROR(HLOOKUP(AB$13,AC$64:AP$65,2,FALSE),0))*IFERROR(HLOOKUP(AB$13, 'GREET IO'!$B$77:$AZ$98, ROW($AB83)-ROW($AB$68)+1, FALSE),0))*$AQ$69</f>
        <v>#N/A</v>
      </c>
      <c r="AF83" s="178" t="e">
        <f>(AC$65*(1-AC$11)*HLOOKUP($AC$9, 'GREET IO'!$B$77:$AZ$98, ROW($AB83)-ROW($AB$68)+1, FALSE)+(AD$65+AE$65)*'GREET IO'!$K92+SUMPRODUCT(AF$65:AO$65,'GREET IO'!$L92:$U92)+AP$65*'GREET IO'!$H92+AQ$65*'GREET IO'!$L92)*$AQ$69+AC$65*AC$11*HLOOKUP($AC$9, $B$79:$I$100, ROW($AB83)-ROW($AB$68)+1, FALSE)-(AC$12*IF(AB$12="Electrolyte organics",AJ$65+AK$65,IFERROR(HLOOKUP(AB$12,AC$64:AP$65,2,FALSE),0))*IFERROR(HLOOKUP(AB$12, 'GREET IO'!$B$77:$AZ$98, ROW($AB83)-ROW($AB$68)+1, FALSE),0)+AC$13*IF(AB$13="Electrolyte organics",AJ$65+AK$65,IFERROR(HLOOKUP(AB$13,AC$64:AP$65,2,FALSE),0))*IFERROR(HLOOKUP(AB$13, 'GREET IO'!$B$77:$AZ$98, ROW($AB83)-ROW($AB$68)+1, FALSE),0))*$AQ$69</f>
        <v>#N/A</v>
      </c>
      <c r="AG83" s="178">
        <f>AC$40/$AQ$70*AC$42*('GREET IO'!$B34+'GREET IO'!$B10)+AC$40/$AQ$70*AC$41*IF(AC$10=Input!$AD$35, 'Geographic Par.'!$E82, IF(AC$10=Input!$AD$36, 'Geographic Par.'!$F82, IF(AC$10=Input!$AD$37,'Geographic Par.'!$H82, IF(AC$10=Input!$AD$38,'Geographic Par.'!$G82,'Geographic Par.'!$L82))))</f>
        <v>3.2971403655834196E-2</v>
      </c>
      <c r="AH83" s="178" t="e">
        <f t="shared" si="3"/>
        <v>#N/A</v>
      </c>
      <c r="AI83" s="178" t="e">
        <f t="shared" si="4"/>
        <v>#N/A</v>
      </c>
      <c r="AJ83" s="178" t="e">
        <f t="shared" si="5"/>
        <v>#N/A</v>
      </c>
      <c r="AK83" s="179" t="e">
        <f t="shared" si="6"/>
        <v>#N/A</v>
      </c>
    </row>
    <row r="84" spans="2:46">
      <c r="B84" s="83" t="s">
        <v>176</v>
      </c>
      <c r="C84" s="97" t="e">
        <f>'Cath. Prod. Par.'!FI47</f>
        <v>#DIV/0!</v>
      </c>
      <c r="D84" s="97" t="e">
        <f>'Cath. Prod. Par.'!AI47</f>
        <v>#DIV/0!</v>
      </c>
      <c r="E84" s="97" t="e">
        <f>'Cath. Prod. Par.'!BI47</f>
        <v>#DIV/0!</v>
      </c>
      <c r="F84" s="97" t="e">
        <f>'Cath. Prod. Par.'!CI47</f>
        <v>#DIV/0!</v>
      </c>
      <c r="G84" s="97" t="e">
        <f>'Cath. Prod. Par.'!DI47</f>
        <v>#DIV/0!</v>
      </c>
      <c r="H84" s="1019" t="e">
        <f>'Cath. Prod. Par.'!EI47</f>
        <v>#DIV/0!</v>
      </c>
      <c r="AB84" s="29" t="s">
        <v>187</v>
      </c>
      <c r="AC84" s="178" t="e">
        <f>(AC$65*(1-AC$11)*HLOOKUP($AC$9, 'GREET IO'!$B$77:$AZ$98, ROW($AB84)-ROW($AB$68)+1, FALSE)+(AD$65+AE$65)*'GREET IO'!$K93+SUMPRODUCT(AF$65:AO$65,'GREET IO'!$L93:$U93)+AP$65*'GREET IO'!$H93+AQ$65*'GREET IO'!$L93)*$AQ$69+AC$65*AC$11*HLOOKUP($AC$9, $B$7:$I$28, ROW($AB84)-ROW($AB$68)+1, FALSE)-(AC$12*IF(AB$12="Electrolyte organics",AJ$65+AK$65,IFERROR(HLOOKUP(AB$12,AC$64:AP$65,2,FALSE),0))*IFERROR(HLOOKUP(AB$12, 'GREET IO'!$B$77:$AZ$98, ROW($AB84)-ROW($AB$68)+1, FALSE),0)+AC$13*IF(AB$13="Electrolyte organics",AJ$65+AK$65,IFERROR(HLOOKUP(AB$13,AC$64:AP$65,2,FALSE),0))*IFERROR(HLOOKUP(AB$13, 'GREET IO'!$B$77:$AZ$98, ROW($AB84)-ROW($AB$68)+1, FALSE),0))*$AQ$69</f>
        <v>#N/A</v>
      </c>
      <c r="AD84" s="178" t="e">
        <f>(AC$65*(1-AC$11)*HLOOKUP($AC$9, 'GREET IO'!$B$77:$AZ$98, ROW($AB84)-ROW($AB$68)+1, FALSE)+(AD$65+AE$65)*'GREET IO'!$K93+SUMPRODUCT(AF$65:AO$65,'GREET IO'!$L93:$U93)+AP$65*'GREET IO'!$H93+AQ$65*'GREET IO'!$L93)*$AQ$69+AC$65*AC$11*HLOOKUP($AC$9, $B$31:$I$52, ROW($AB84)-ROW($AB$68)+1, FALSE)-(AC$12*IF(AB$12="Electrolyte organics",AJ$65+AK$65,IFERROR(HLOOKUP(AB$12,AC$64:AP$65,2,FALSE),0))*IFERROR(HLOOKUP(AB$12, 'GREET IO'!$B$77:$AZ$98, ROW($AB84)-ROW($AB$68)+1, FALSE),0)+AC$13*IF(AB$13="Electrolyte organics",AJ$65+AK$65,IFERROR(HLOOKUP(AB$13,AC$64:AP$65,2,FALSE),0))*IFERROR(HLOOKUP(AB$13, 'GREET IO'!$B$77:$AZ$98, ROW($AB84)-ROW($AB$68)+1, FALSE),0))*$AQ$69</f>
        <v>#N/A</v>
      </c>
      <c r="AE84" s="178" t="e">
        <f>(AC$65*(1-AC$11)*HLOOKUP($AC$9, 'GREET IO'!$B$77:$AZ$98, ROW($AB84)-ROW($AB$68)+1, FALSE)+(AD$65+AE$65)*'GREET IO'!$K93+SUMPRODUCT(AF$65:AO$65,'GREET IO'!$L93:$U93)+AP$65*'GREET IO'!$H93+AQ$65*'GREET IO'!$L93)*$AQ$69+AC$65*AC$11*HLOOKUP($AC$9, $B$55:$J$76, ROW($AB84)-ROW($AB$68)+1, FALSE)-(AC$12*IF(AB$12="Electrolyte organics",AJ$65+AK$65,IFERROR(HLOOKUP(AB$12,AC$64:AP$65,2,FALSE),0))*IFERROR(HLOOKUP(AB$12, 'GREET IO'!$B$77:$AZ$98, ROW($AB84)-ROW($AB$68)+1, FALSE),0)+AC$13*IF(AB$13="Electrolyte organics",AJ$65+AK$65,IFERROR(HLOOKUP(AB$13,AC$64:AP$65,2,FALSE),0))*IFERROR(HLOOKUP(AB$13, 'GREET IO'!$B$77:$AZ$98, ROW($AB84)-ROW($AB$68)+1, FALSE),0))*$AQ$69</f>
        <v>#N/A</v>
      </c>
      <c r="AF84" s="178" t="e">
        <f>(AC$65*(1-AC$11)*HLOOKUP($AC$9, 'GREET IO'!$B$77:$AZ$98, ROW($AB84)-ROW($AB$68)+1, FALSE)+(AD$65+AE$65)*'GREET IO'!$K93+SUMPRODUCT(AF$65:AO$65,'GREET IO'!$L93:$U93)+AP$65*'GREET IO'!$H93+AQ$65*'GREET IO'!$L93)*$AQ$69+AC$65*AC$11*HLOOKUP($AC$9, $B$79:$I$100, ROW($AB84)-ROW($AB$68)+1, FALSE)-(AC$12*IF(AB$12="Electrolyte organics",AJ$65+AK$65,IFERROR(HLOOKUP(AB$12,AC$64:AP$65,2,FALSE),0))*IFERROR(HLOOKUP(AB$12, 'GREET IO'!$B$77:$AZ$98, ROW($AB84)-ROW($AB$68)+1, FALSE),0)+AC$13*IF(AB$13="Electrolyte organics",AJ$65+AK$65,IFERROR(HLOOKUP(AB$13,AC$64:AP$65,2,FALSE),0))*IFERROR(HLOOKUP(AB$13, 'GREET IO'!$B$77:$AZ$98, ROW($AB84)-ROW($AB$68)+1, FALSE),0))*$AQ$69</f>
        <v>#N/A</v>
      </c>
      <c r="AG84" s="178">
        <f>AC$40/$AQ$70*AC$42*('GREET IO'!$B35+'GREET IO'!$B11)+AC$40/$AQ$70*AC$41*IF(AC$10=Input!$AD$35, 'Geographic Par.'!$E83, IF(AC$10=Input!$AD$36, 'Geographic Par.'!$F83, IF(AC$10=Input!$AD$37,'Geographic Par.'!$H83, IF(AC$10=Input!$AD$38,'Geographic Par.'!$G83,'Geographic Par.'!$L83))))</f>
        <v>8.0953186625163709E-2</v>
      </c>
      <c r="AH84" s="178" t="e">
        <f t="shared" si="3"/>
        <v>#N/A</v>
      </c>
      <c r="AI84" s="178" t="e">
        <f t="shared" si="4"/>
        <v>#N/A</v>
      </c>
      <c r="AJ84" s="178" t="e">
        <f t="shared" si="5"/>
        <v>#N/A</v>
      </c>
      <c r="AK84" s="179" t="e">
        <f t="shared" si="6"/>
        <v>#N/A</v>
      </c>
    </row>
    <row r="85" spans="2:46">
      <c r="B85" s="83" t="s">
        <v>177</v>
      </c>
      <c r="C85" s="97" t="e">
        <f>'Cath. Prod. Par.'!FI48</f>
        <v>#DIV/0!</v>
      </c>
      <c r="D85" s="97" t="e">
        <f>'Cath. Prod. Par.'!AI48</f>
        <v>#DIV/0!</v>
      </c>
      <c r="E85" s="97" t="e">
        <f>'Cath. Prod. Par.'!BI48</f>
        <v>#DIV/0!</v>
      </c>
      <c r="F85" s="97" t="e">
        <f>'Cath. Prod. Par.'!CI48</f>
        <v>#DIV/0!</v>
      </c>
      <c r="G85" s="97" t="e">
        <f>'Cath. Prod. Par.'!DI48</f>
        <v>#DIV/0!</v>
      </c>
      <c r="H85" s="1019" t="e">
        <f>'Cath. Prod. Par.'!EI48</f>
        <v>#DIV/0!</v>
      </c>
      <c r="AB85" s="29" t="s">
        <v>188</v>
      </c>
      <c r="AC85" s="178" t="e">
        <f>(AC$65*(1-AC$11)*HLOOKUP($AC$9, 'GREET IO'!$B$77:$AZ$98, ROW($AB85)-ROW($AB$68)+1, FALSE)+(AD$65+AE$65)*'GREET IO'!$K94+SUMPRODUCT(AF$65:AO$65,'GREET IO'!$L94:$U94)+AP$65*'GREET IO'!$H94+AQ$65*'GREET IO'!$L94)*$AQ$69+AC$65*AC$11*HLOOKUP($AC$9, $B$7:$I$28, ROW($AB85)-ROW($AB$68)+1, FALSE)-(AC$12*IF(AB$12="Electrolyte organics",AJ$65+AK$65,IFERROR(HLOOKUP(AB$12,AC$64:AP$65,2,FALSE),0))*IFERROR(HLOOKUP(AB$12, 'GREET IO'!$B$77:$AZ$98, ROW($AB85)-ROW($AB$68)+1, FALSE),0)+AC$13*IF(AB$13="Electrolyte organics",AJ$65+AK$65,IFERROR(HLOOKUP(AB$13,AC$64:AP$65,2,FALSE),0))*IFERROR(HLOOKUP(AB$13, 'GREET IO'!$B$77:$AZ$98, ROW($AB85)-ROW($AB$68)+1, FALSE),0))*$AQ$69</f>
        <v>#N/A</v>
      </c>
      <c r="AD85" s="178" t="e">
        <f>(AC$65*(1-AC$11)*HLOOKUP($AC$9, 'GREET IO'!$B$77:$AZ$98, ROW($AB85)-ROW($AB$68)+1, FALSE)+(AD$65+AE$65)*'GREET IO'!$K94+SUMPRODUCT(AF$65:AO$65,'GREET IO'!$L94:$U94)+AP$65*'GREET IO'!$H94+AQ$65*'GREET IO'!$L94)*$AQ$69+AC$65*AC$11*HLOOKUP($AC$9, $B$31:$I$52, ROW($AB85)-ROW($AB$68)+1, FALSE)-(AC$12*IF(AB$12="Electrolyte organics",AJ$65+AK$65,IFERROR(HLOOKUP(AB$12,AC$64:AP$65,2,FALSE),0))*IFERROR(HLOOKUP(AB$12, 'GREET IO'!$B$77:$AZ$98, ROW($AB85)-ROW($AB$68)+1, FALSE),0)+AC$13*IF(AB$13="Electrolyte organics",AJ$65+AK$65,IFERROR(HLOOKUP(AB$13,AC$64:AP$65,2,FALSE),0))*IFERROR(HLOOKUP(AB$13, 'GREET IO'!$B$77:$AZ$98, ROW($AB85)-ROW($AB$68)+1, FALSE),0))*$AQ$69</f>
        <v>#N/A</v>
      </c>
      <c r="AE85" s="178" t="e">
        <f>(AC$65*(1-AC$11)*HLOOKUP($AC$9, 'GREET IO'!$B$77:$AZ$98, ROW($AB85)-ROW($AB$68)+1, FALSE)+(AD$65+AE$65)*'GREET IO'!$K94+SUMPRODUCT(AF$65:AO$65,'GREET IO'!$L94:$U94)+AP$65*'GREET IO'!$H94+AQ$65*'GREET IO'!$L94)*$AQ$69+AC$65*AC$11*HLOOKUP($AC$9, $B$55:$J$76, ROW($AB85)-ROW($AB$68)+1, FALSE)-(AC$12*IF(AB$12="Electrolyte organics",AJ$65+AK$65,IFERROR(HLOOKUP(AB$12,AC$64:AP$65,2,FALSE),0))*IFERROR(HLOOKUP(AB$12, 'GREET IO'!$B$77:$AZ$98, ROW($AB85)-ROW($AB$68)+1, FALSE),0)+AC$13*IF(AB$13="Electrolyte organics",AJ$65+AK$65,IFERROR(HLOOKUP(AB$13,AC$64:AP$65,2,FALSE),0))*IFERROR(HLOOKUP(AB$13, 'GREET IO'!$B$77:$AZ$98, ROW($AB85)-ROW($AB$68)+1, FALSE),0))*$AQ$69</f>
        <v>#N/A</v>
      </c>
      <c r="AF85" s="178" t="e">
        <f>(AC$65*(1-AC$11)*HLOOKUP($AC$9, 'GREET IO'!$B$77:$AZ$98, ROW($AB85)-ROW($AB$68)+1, FALSE)+(AD$65+AE$65)*'GREET IO'!$K94+SUMPRODUCT(AF$65:AO$65,'GREET IO'!$L94:$U94)+AP$65*'GREET IO'!$H94+AQ$65*'GREET IO'!$L94)*$AQ$69+AC$65*AC$11*HLOOKUP($AC$9, $B$79:$I$100, ROW($AB85)-ROW($AB$68)+1, FALSE)-(AC$12*IF(AB$12="Electrolyte organics",AJ$65+AK$65,IFERROR(HLOOKUP(AB$12,AC$64:AP$65,2,FALSE),0))*IFERROR(HLOOKUP(AB$12, 'GREET IO'!$B$77:$AZ$98, ROW($AB85)-ROW($AB$68)+1, FALSE),0)+AC$13*IF(AB$13="Electrolyte organics",AJ$65+AK$65,IFERROR(HLOOKUP(AB$13,AC$64:AP$65,2,FALSE),0))*IFERROR(HLOOKUP(AB$13, 'GREET IO'!$B$77:$AZ$98, ROW($AB85)-ROW($AB$68)+1, FALSE),0))*$AQ$69</f>
        <v>#N/A</v>
      </c>
      <c r="AG85" s="178">
        <f>AC$40/$AQ$70*AC$42*('GREET IO'!$B36+'GREET IO'!$B12)+AC$40/$AQ$70*AC$41*IF(AC$10=Input!$AD$35, 'Geographic Par.'!$E84, IF(AC$10=Input!$AD$36, 'Geographic Par.'!$F84, IF(AC$10=Input!$AD$37,'Geographic Par.'!$H84, IF(AC$10=Input!$AD$38,'Geographic Par.'!$G84,'Geographic Par.'!$L84))))</f>
        <v>12.155811680980737</v>
      </c>
      <c r="AH85" s="178" t="e">
        <f t="shared" si="3"/>
        <v>#N/A</v>
      </c>
      <c r="AI85" s="178" t="e">
        <f t="shared" si="4"/>
        <v>#N/A</v>
      </c>
      <c r="AJ85" s="178" t="e">
        <f t="shared" si="5"/>
        <v>#N/A</v>
      </c>
      <c r="AK85" s="179" t="e">
        <f t="shared" si="6"/>
        <v>#N/A</v>
      </c>
    </row>
    <row r="86" spans="2:46">
      <c r="B86" s="86" t="s">
        <v>344</v>
      </c>
      <c r="C86" s="838" t="e">
        <f>'Cath. Prod. Par.'!FI49</f>
        <v>#DIV/0!</v>
      </c>
      <c r="D86" s="838" t="e">
        <f>'Cath. Prod. Par.'!AI49</f>
        <v>#DIV/0!</v>
      </c>
      <c r="E86" s="838" t="e">
        <f>'Cath. Prod. Par.'!BI49</f>
        <v>#DIV/0!</v>
      </c>
      <c r="F86" s="838" t="e">
        <f>'Cath. Prod. Par.'!CI49</f>
        <v>#DIV/0!</v>
      </c>
      <c r="G86" s="838" t="e">
        <f>'Cath. Prod. Par.'!DI49</f>
        <v>#DIV/0!</v>
      </c>
      <c r="H86" s="1020" t="e">
        <f>'Cath. Prod. Par.'!EI49</f>
        <v>#DIV/0!</v>
      </c>
      <c r="AB86" s="29" t="s">
        <v>189</v>
      </c>
      <c r="AC86" s="178" t="e">
        <f>(AC$65*(1-AC$11)*HLOOKUP($AC$9, 'GREET IO'!$B$77:$AZ$98, ROW($AB86)-ROW($AB$68)+1, FALSE)+(AD$65+AE$65)*'GREET IO'!$K95+SUMPRODUCT(AF$65:AO$65,'GREET IO'!$L95:$U95)+AP$65*'GREET IO'!$H95+AQ$65*'GREET IO'!$L95)*$AQ$69+AC$65*AC$11*HLOOKUP($AC$9, $B$7:$I$28, ROW($AB86)-ROW($AB$68)+1, FALSE)-(AC$12*IF(AB$12="Electrolyte organics",AJ$65+AK$65,IFERROR(HLOOKUP(AB$12,AC$64:AP$65,2,FALSE),0))*IFERROR(HLOOKUP(AB$12, 'GREET IO'!$B$77:$AZ$98, ROW($AB86)-ROW($AB$68)+1, FALSE),0)+AC$13*IF(AB$13="Electrolyte organics",AJ$65+AK$65,IFERROR(HLOOKUP(AB$13,AC$64:AP$65,2,FALSE),0))*IFERROR(HLOOKUP(AB$13, 'GREET IO'!$B$77:$AZ$98, ROW($AB86)-ROW($AB$68)+1, FALSE),0))*$AQ$69</f>
        <v>#N/A</v>
      </c>
      <c r="AD86" s="178" t="e">
        <f>(AC$65*(1-AC$11)*HLOOKUP($AC$9, 'GREET IO'!$B$77:$AZ$98, ROW($AB86)-ROW($AB$68)+1, FALSE)+(AD$65+AE$65)*'GREET IO'!$K95+SUMPRODUCT(AF$65:AO$65,'GREET IO'!$L95:$U95)+AP$65*'GREET IO'!$H95+AQ$65*'GREET IO'!$L95)*$AQ$69+AC$65*AC$11*HLOOKUP($AC$9, $B$31:$I$52, ROW($AB86)-ROW($AB$68)+1, FALSE)-(AC$12*IF(AB$12="Electrolyte organics",AJ$65+AK$65,IFERROR(HLOOKUP(AB$12,AC$64:AP$65,2,FALSE),0))*IFERROR(HLOOKUP(AB$12, 'GREET IO'!$B$77:$AZ$98, ROW($AB86)-ROW($AB$68)+1, FALSE),0)+AC$13*IF(AB$13="Electrolyte organics",AJ$65+AK$65,IFERROR(HLOOKUP(AB$13,AC$64:AP$65,2,FALSE),0))*IFERROR(HLOOKUP(AB$13, 'GREET IO'!$B$77:$AZ$98, ROW($AB86)-ROW($AB$68)+1, FALSE),0))*$AQ$69</f>
        <v>#N/A</v>
      </c>
      <c r="AE86" s="178" t="e">
        <f>(AC$65*(1-AC$11)*HLOOKUP($AC$9, 'GREET IO'!$B$77:$AZ$98, ROW($AB86)-ROW($AB$68)+1, FALSE)+(AD$65+AE$65)*'GREET IO'!$K95+SUMPRODUCT(AF$65:AO$65,'GREET IO'!$L95:$U95)+AP$65*'GREET IO'!$H95+AQ$65*'GREET IO'!$L95)*$AQ$69+AC$65*AC$11*HLOOKUP($AC$9, $B$55:$J$76, ROW($AB86)-ROW($AB$68)+1, FALSE)-(AC$12*IF(AB$12="Electrolyte organics",AJ$65+AK$65,IFERROR(HLOOKUP(AB$12,AC$64:AP$65,2,FALSE),0))*IFERROR(HLOOKUP(AB$12, 'GREET IO'!$B$77:$AZ$98, ROW($AB86)-ROW($AB$68)+1, FALSE),0)+AC$13*IF(AB$13="Electrolyte organics",AJ$65+AK$65,IFERROR(HLOOKUP(AB$13,AC$64:AP$65,2,FALSE),0))*IFERROR(HLOOKUP(AB$13, 'GREET IO'!$B$77:$AZ$98, ROW($AB86)-ROW($AB$68)+1, FALSE),0))*$AQ$69</f>
        <v>#N/A</v>
      </c>
      <c r="AF86" s="178" t="e">
        <f>(AC$65*(1-AC$11)*HLOOKUP($AC$9, 'GREET IO'!$B$77:$AZ$98, ROW($AB86)-ROW($AB$68)+1, FALSE)+(AD$65+AE$65)*'GREET IO'!$K95+SUMPRODUCT(AF$65:AO$65,'GREET IO'!$L95:$U95)+AP$65*'GREET IO'!$H95+AQ$65*'GREET IO'!$L95)*$AQ$69+AC$65*AC$11*HLOOKUP($AC$9, $B$79:$I$100, ROW($AB86)-ROW($AB$68)+1, FALSE)-(AC$12*IF(AB$12="Electrolyte organics",AJ$65+AK$65,IFERROR(HLOOKUP(AB$12,AC$64:AP$65,2,FALSE),0))*IFERROR(HLOOKUP(AB$12, 'GREET IO'!$B$77:$AZ$98, ROW($AB86)-ROW($AB$68)+1, FALSE),0)+AC$13*IF(AB$13="Electrolyte organics",AJ$65+AK$65,IFERROR(HLOOKUP(AB$13,AC$64:AP$65,2,FALSE),0))*IFERROR(HLOOKUP(AB$13, 'GREET IO'!$B$77:$AZ$98, ROW($AB86)-ROW($AB$68)+1, FALSE),0))*$AQ$69</f>
        <v>#N/A</v>
      </c>
      <c r="AG86" s="178">
        <f>AC$40/$AQ$70*AC$42*('GREET IO'!$B37+'GREET IO'!$B13)+AC$40/$AQ$70*AC$41*IF(AC$10=Input!$AD$35, 'Geographic Par.'!$E85, IF(AC$10=Input!$AD$36, 'Geographic Par.'!$F85, IF(AC$10=Input!$AD$37,'Geographic Par.'!$H85, IF(AC$10=Input!$AD$38,'Geographic Par.'!$G85,'Geographic Par.'!$L85))))</f>
        <v>0.13262272278407278</v>
      </c>
      <c r="AH86" s="178" t="e">
        <f t="shared" si="3"/>
        <v>#N/A</v>
      </c>
      <c r="AI86" s="178" t="e">
        <f t="shared" si="4"/>
        <v>#N/A</v>
      </c>
      <c r="AJ86" s="178" t="e">
        <f t="shared" si="5"/>
        <v>#N/A</v>
      </c>
      <c r="AK86" s="179" t="e">
        <f t="shared" si="6"/>
        <v>#N/A</v>
      </c>
    </row>
    <row r="87" spans="2:46">
      <c r="B87" s="88" t="s">
        <v>345</v>
      </c>
      <c r="C87" s="98"/>
      <c r="D87" s="98"/>
      <c r="E87" s="98"/>
      <c r="F87" s="98"/>
      <c r="G87" s="98"/>
      <c r="H87" s="1232"/>
      <c r="AB87" s="29" t="s">
        <v>190</v>
      </c>
      <c r="AC87" s="185" t="e">
        <f>(AC$65*(1-AC$11)*HLOOKUP($AC$9, 'GREET IO'!$B$77:$AZ$98, ROW($AB87)-ROW($AB$68)+1, FALSE)+(AD$65+AE$65)*'GREET IO'!$K96+SUMPRODUCT(AF$65:AO$65,'GREET IO'!$L96:$U96)+AP$65*'GREET IO'!$H96+AQ$65*'GREET IO'!$L96)*$AQ$69+AC$65*AC$11*HLOOKUP($AC$9, $B$7:$I$28, ROW($AB87)-ROW($AB$68)+1, FALSE)-(AC$12*IF(AB$12="Electrolyte organics",AJ$65+AK$65,IFERROR(HLOOKUP(AB$12,AC$64:AP$65,2,FALSE),0))*IFERROR(HLOOKUP(AB$12, 'GREET IO'!$B$77:$AZ$98, ROW($AB87)-ROW($AB$68)+1, FALSE),0)+AC$13*IF(AB$13="Electrolyte organics",AJ$65+AK$65,IFERROR(HLOOKUP(AB$13,AC$64:AP$65,2,FALSE),0))*IFERROR(HLOOKUP(AB$13, 'GREET IO'!$B$77:$AZ$98, ROW($AB87)-ROW($AB$68)+1, FALSE),0))*$AQ$69</f>
        <v>#N/A</v>
      </c>
      <c r="AD87" s="185" t="e">
        <f>(AC$65*(1-AC$11)*HLOOKUP($AC$9, 'GREET IO'!$B$77:$AZ$98, ROW($AB87)-ROW($AB$68)+1, FALSE)+(AD$65+AE$65)*'GREET IO'!$K96+SUMPRODUCT(AF$65:AO$65,'GREET IO'!$L96:$U96)+AP$65*'GREET IO'!$H96+AQ$65*'GREET IO'!$L96)*$AQ$69+AC$65*AC$11*HLOOKUP($AC$9, $B$31:$I$52, ROW($AB87)-ROW($AB$68)+1, FALSE)-(AC$12*IF(AB$12="Electrolyte organics",AJ$65+AK$65,IFERROR(HLOOKUP(AB$12,AC$64:AP$65,2,FALSE),0))*IFERROR(HLOOKUP(AB$12, 'GREET IO'!$B$77:$AZ$98, ROW($AB87)-ROW($AB$68)+1, FALSE),0)+AC$13*IF(AB$13="Electrolyte organics",AJ$65+AK$65,IFERROR(HLOOKUP(AB$13,AC$64:AP$65,2,FALSE),0))*IFERROR(HLOOKUP(AB$13, 'GREET IO'!$B$77:$AZ$98, ROW($AB87)-ROW($AB$68)+1, FALSE),0))*$AQ$69</f>
        <v>#N/A</v>
      </c>
      <c r="AE87" s="185" t="e">
        <f>(AC$65*(1-AC$11)*HLOOKUP($AC$9, 'GREET IO'!$B$77:$AZ$98, ROW($AB87)-ROW($AB$68)+1, FALSE)+(AD$65+AE$65)*'GREET IO'!$K96+SUMPRODUCT(AF$65:AO$65,'GREET IO'!$L96:$U96)+AP$65*'GREET IO'!$H96+AQ$65*'GREET IO'!$L96)*$AQ$69+AC$65*AC$11*HLOOKUP($AC$9, $B$55:$J$76, ROW($AB87)-ROW($AB$68)+1, FALSE)-(AC$12*IF(AB$12="Electrolyte organics",AJ$65+AK$65,IFERROR(HLOOKUP(AB$12,AC$64:AP$65,2,FALSE),0))*IFERROR(HLOOKUP(AB$12, 'GREET IO'!$B$77:$AZ$98, ROW($AB87)-ROW($AB$68)+1, FALSE),0)+AC$13*IF(AB$13="Electrolyte organics",AJ$65+AK$65,IFERROR(HLOOKUP(AB$13,AC$64:AP$65,2,FALSE),0))*IFERROR(HLOOKUP(AB$13, 'GREET IO'!$B$77:$AZ$98, ROW($AB87)-ROW($AB$68)+1, FALSE),0))*$AQ$69</f>
        <v>#N/A</v>
      </c>
      <c r="AF87" s="185" t="e">
        <f>(AC$65*(1-AC$11)*HLOOKUP($AC$9, 'GREET IO'!$B$77:$AZ$98, ROW($AB87)-ROW($AB$68)+1, FALSE)+(AD$65+AE$65)*'GREET IO'!$K96+SUMPRODUCT(AF$65:AO$65,'GREET IO'!$L96:$U96)+AP$65*'GREET IO'!$H96+AQ$65*'GREET IO'!$L96)*$AQ$69+AC$65*AC$11*HLOOKUP($AC$9, $B$79:$I$100, ROW($AB87)-ROW($AB$68)+1, FALSE)-(AC$12*IF(AB$12="Electrolyte organics",AJ$65+AK$65,IFERROR(HLOOKUP(AB$12,AC$64:AP$65,2,FALSE),0))*IFERROR(HLOOKUP(AB$12, 'GREET IO'!$B$77:$AZ$98, ROW($AB87)-ROW($AB$68)+1, FALSE),0)+AC$13*IF(AB$13="Electrolyte organics",AJ$65+AK$65,IFERROR(HLOOKUP(AB$13,AC$64:AP$65,2,FALSE),0))*IFERROR(HLOOKUP(AB$13, 'GREET IO'!$B$77:$AZ$98, ROW($AB87)-ROW($AB$68)+1, FALSE),0))*$AQ$69</f>
        <v>#N/A</v>
      </c>
      <c r="AG87" s="185">
        <f>AC$40/$AQ$70*AC$42*('GREET IO'!$B38+'GREET IO'!$B14)+AC$40/$AQ$70*AC$41*IF(AC$10=Input!$AD$35, 'Geographic Par.'!$E86, IF(AC$10=Input!$AD$36, 'Geographic Par.'!$F86, IF(AC$10=Input!$AD$37,'Geographic Par.'!$H86, IF(AC$10=Input!$AD$38,'Geographic Par.'!$G86,'Geographic Par.'!$L86))))</f>
        <v>4464.8862539288511</v>
      </c>
      <c r="AH87" s="185" t="e">
        <f t="shared" si="3"/>
        <v>#N/A</v>
      </c>
      <c r="AI87" s="185" t="e">
        <f t="shared" si="4"/>
        <v>#N/A</v>
      </c>
      <c r="AJ87" s="185" t="e">
        <f t="shared" si="5"/>
        <v>#N/A</v>
      </c>
      <c r="AK87" s="338" t="e">
        <f t="shared" si="6"/>
        <v>#N/A</v>
      </c>
    </row>
    <row r="88" spans="2:46">
      <c r="B88" s="83" t="s">
        <v>180</v>
      </c>
      <c r="C88" s="97" t="e">
        <f>'Cath. Prod. Par.'!FI51</f>
        <v>#DIV/0!</v>
      </c>
      <c r="D88" s="97" t="e">
        <f>'Cath. Prod. Par.'!AI51</f>
        <v>#DIV/0!</v>
      </c>
      <c r="E88" s="97" t="e">
        <f>'Cath. Prod. Par.'!BI51</f>
        <v>#DIV/0!</v>
      </c>
      <c r="F88" s="97" t="e">
        <f>'Cath. Prod. Par.'!CI51</f>
        <v>#DIV/0!</v>
      </c>
      <c r="G88" s="97" t="e">
        <f>'Cath. Prod. Par.'!DI51</f>
        <v>#DIV/0!</v>
      </c>
      <c r="H88" s="1019" t="e">
        <f>'Cath. Prod. Par.'!EI51</f>
        <v>#DIV/0!</v>
      </c>
      <c r="AB88" s="29" t="s">
        <v>198</v>
      </c>
      <c r="AC88" s="185" t="e">
        <f>(AC$65*(1-AC$11)*HLOOKUP($AC$9, 'GREET IO'!$B$77:$AZ$98, ROW($AB88)-ROW($AB$68)+1, FALSE)+(AD$65+AE$65)*'GREET IO'!$K97+SUMPRODUCT(AF$65:AO$65,'GREET IO'!$L97:$U97)+AP$65*'GREET IO'!$H97+AQ$65*'GREET IO'!$L97)*$AQ$69+AC$65*AC$11*HLOOKUP($AC$9, $B$7:$I$28, ROW($AB88)-ROW($AB$68)+1, FALSE)-(AC$12*IF(AB$12="Electrolyte organics",AJ$65+AK$65,IFERROR(HLOOKUP(AB$12,AC$64:AP$65,2,FALSE),0))*IFERROR(HLOOKUP(AB$12, 'GREET IO'!$B$77:$AZ$98, ROW($AB88)-ROW($AB$68)+1, FALSE),0)+AC$13*IF(AB$13="Electrolyte organics",AJ$65+AK$65,IFERROR(HLOOKUP(AB$13,AC$64:AP$65,2,FALSE),0))*IFERROR(HLOOKUP(AB$13, 'GREET IO'!$B$77:$AZ$98, ROW($AB88)-ROW($AB$68)+1, FALSE),0))*$AQ$69</f>
        <v>#N/A</v>
      </c>
      <c r="AD88" s="185" t="e">
        <f>(AC$65*(1-AC$11)*HLOOKUP($AC$9, 'GREET IO'!$B$77:$AZ$98, ROW($AB88)-ROW($AB$68)+1, FALSE)+(AD$65+AE$65)*'GREET IO'!$K97+SUMPRODUCT(AF$65:AO$65,'GREET IO'!$L97:$U97)+AP$65*'GREET IO'!$H97+AQ$65*'GREET IO'!$L97)*$AQ$69+AC$65*AC$11*HLOOKUP($AC$9, $B$31:$I$52, ROW($AB88)-ROW($AB$68)+1, FALSE)-(AC$12*IF(AB$12="Electrolyte organics",AJ$65+AK$65,IFERROR(HLOOKUP(AB$12,AC$64:AP$65,2,FALSE),0))*IFERROR(HLOOKUP(AB$12, 'GREET IO'!$B$77:$AZ$98, ROW($AB88)-ROW($AB$68)+1, FALSE),0)+AC$13*IF(AB$13="Electrolyte organics",AJ$65+AK$65,IFERROR(HLOOKUP(AB$13,AC$64:AP$65,2,FALSE),0))*IFERROR(HLOOKUP(AB$13, 'GREET IO'!$B$77:$AZ$98, ROW($AB88)-ROW($AB$68)+1, FALSE),0))*$AQ$69</f>
        <v>#N/A</v>
      </c>
      <c r="AE88" s="185" t="e">
        <f>(AC$65*(1-AC$11)*HLOOKUP($AC$9, 'GREET IO'!$B$77:$AZ$98, ROW($AB88)-ROW($AB$68)+1, FALSE)+(AD$65+AE$65)*'GREET IO'!$K97+SUMPRODUCT(AF$65:AO$65,'GREET IO'!$L97:$U97)+AP$65*'GREET IO'!$H97+AQ$65*'GREET IO'!$L97)*$AQ$69+AC$65*AC$11*HLOOKUP($AC$9, $B$55:$J$76, ROW($AB88)-ROW($AB$68)+1, FALSE)-(AC$12*IF(AB$12="Electrolyte organics",AJ$65+AK$65,IFERROR(HLOOKUP(AB$12,AC$64:AP$65,2,FALSE),0))*IFERROR(HLOOKUP(AB$12, 'GREET IO'!$B$77:$AZ$98, ROW($AB88)-ROW($AB$68)+1, FALSE),0)+AC$13*IF(AB$13="Electrolyte organics",AJ$65+AK$65,IFERROR(HLOOKUP(AB$13,AC$64:AP$65,2,FALSE),0))*IFERROR(HLOOKUP(AB$13, 'GREET IO'!$B$77:$AZ$98, ROW($AB88)-ROW($AB$68)+1, FALSE),0))*$AQ$69</f>
        <v>#N/A</v>
      </c>
      <c r="AF88" s="185" t="e">
        <f>(AC$65*(1-AC$11)*HLOOKUP($AC$9, 'GREET IO'!$B$77:$AZ$98, ROW($AB88)-ROW($AB$68)+1, FALSE)+(AD$65+AE$65)*'GREET IO'!$K97+SUMPRODUCT(AF$65:AO$65,'GREET IO'!$L97:$U97)+AP$65*'GREET IO'!$H97+AQ$65*'GREET IO'!$L97)*$AQ$69+AC$65*AC$11*HLOOKUP($AC$9, $B$79:$I$100, ROW($AB88)-ROW($AB$68)+1, FALSE)-(AC$12*IF(AB$12="Electrolyte organics",AJ$65+AK$65,IFERROR(HLOOKUP(AB$12,AC$64:AP$65,2,FALSE),0))*IFERROR(HLOOKUP(AB$12, 'GREET IO'!$B$77:$AZ$98, ROW($AB88)-ROW($AB$68)+1, FALSE),0)+AC$13*IF(AB$13="Electrolyte organics",AJ$65+AK$65,IFERROR(HLOOKUP(AB$13,AC$64:AP$65,2,FALSE),0))*IFERROR(HLOOKUP(AB$13, 'GREET IO'!$B$77:$AZ$98, ROW($AB88)-ROW($AB$68)+1, FALSE),0))*$AQ$69</f>
        <v>#N/A</v>
      </c>
      <c r="AG88" s="185">
        <f>AG$87+AG$77*'GREET IO'!$B$118/'GREET IO'!$B$120+AG$78*'GREET IO'!$B$119/'GREET IO'!$B$120</f>
        <v>4471.8333832328462</v>
      </c>
      <c r="AH88" s="185" t="e">
        <f t="shared" si="3"/>
        <v>#N/A</v>
      </c>
      <c r="AI88" s="185" t="e">
        <f t="shared" si="4"/>
        <v>#N/A</v>
      </c>
      <c r="AJ88" s="185" t="e">
        <f t="shared" si="5"/>
        <v>#N/A</v>
      </c>
      <c r="AK88" s="338" t="e">
        <f t="shared" si="6"/>
        <v>#N/A</v>
      </c>
    </row>
    <row r="89" spans="2:46">
      <c r="B89" s="83" t="s">
        <v>181</v>
      </c>
      <c r="C89" s="97" t="e">
        <f>'Cath. Prod. Par.'!FI52</f>
        <v>#DIV/0!</v>
      </c>
      <c r="D89" s="97" t="e">
        <f>'Cath. Prod. Par.'!AI52</f>
        <v>#DIV/0!</v>
      </c>
      <c r="E89" s="97" t="e">
        <f>'Cath. Prod. Par.'!BI52</f>
        <v>#DIV/0!</v>
      </c>
      <c r="F89" s="97" t="e">
        <f>'Cath. Prod. Par.'!CI52</f>
        <v>#DIV/0!</v>
      </c>
      <c r="G89" s="97" t="e">
        <f>'Cath. Prod. Par.'!DI52</f>
        <v>#DIV/0!</v>
      </c>
      <c r="H89" s="1019" t="e">
        <f>'Cath. Prod. Par.'!EI52</f>
        <v>#DIV/0!</v>
      </c>
      <c r="AB89" s="15" t="s">
        <v>199</v>
      </c>
      <c r="AC89" s="187" t="e">
        <f>(AC$65*(1-AC$11)*HLOOKUP($AC$9, 'GREET IO'!$B$77:$AZ$98, ROW($AB89)-ROW($AB$68)+1, FALSE)+(AD$65+AE$65)*'GREET IO'!$K98+SUMPRODUCT(AF$65:AO$65,'GREET IO'!$L98:$U98)+AP$65*'GREET IO'!$H98+AQ$65*'GREET IO'!$L98)*$AQ$69+AC$65*AC$11*HLOOKUP($AC$9, $B$7:$I$28, ROW($AB89)-ROW($AB$68)+1, FALSE)-(AC$12*IF(AB$12="Electrolyte organics",AJ$65+AK$65,IFERROR(HLOOKUP(AB$12,AC$64:AP$65,2,FALSE),0))*IFERROR(HLOOKUP(AB$12, 'GREET IO'!$B$77:$AZ$98, ROW($AB89)-ROW($AB$68)+1, FALSE),0)+AC$13*IF(AB$13="Electrolyte organics",AJ$65+AK$65,IFERROR(HLOOKUP(AB$13,AC$64:AP$65,2,FALSE),0))*IFERROR(HLOOKUP(AB$13, 'GREET IO'!$B$77:$AZ$98, ROW($AB89)-ROW($AB$68)+1, FALSE),0))*$AQ$69</f>
        <v>#N/A</v>
      </c>
      <c r="AD89" s="187" t="e">
        <f>(AC$65*(1-AC$11)*HLOOKUP($AC$9, 'GREET IO'!$B$77:$AZ$98, ROW($AB89)-ROW($AB$68)+1, FALSE)+(AD$65+AE$65)*'GREET IO'!$K98+SUMPRODUCT(AF$65:AO$65,'GREET IO'!$L98:$U98)+AP$65*'GREET IO'!$H98+AQ$65*'GREET IO'!$L98)*$AQ$69+AC$65*AC$11*HLOOKUP($AC$9, $B$31:$I$52, ROW($AB89)-ROW($AB$68)+1, FALSE)-(AC$12*IF(AB$12="Electrolyte organics",AJ$65+AK$65,IFERROR(HLOOKUP(AB$12,AC$64:AP$65,2,FALSE),0))*IFERROR(HLOOKUP(AB$12, 'GREET IO'!$B$77:$AZ$98, ROW($AB89)-ROW($AB$68)+1, FALSE),0)+AC$13*IF(AB$13="Electrolyte organics",AJ$65+AK$65,IFERROR(HLOOKUP(AB$13,AC$64:AP$65,2,FALSE),0))*IFERROR(HLOOKUP(AB$13, 'GREET IO'!$B$77:$AZ$98, ROW($AB89)-ROW($AB$68)+1, FALSE),0))*$AQ$69</f>
        <v>#N/A</v>
      </c>
      <c r="AE89" s="187" t="e">
        <f>(AC$65*(1-AC$11)*HLOOKUP($AC$9, 'GREET IO'!$B$77:$AZ$98, ROW($AB89)-ROW($AB$68)+1, FALSE)+(AD$65+AE$65)*'GREET IO'!$K98+SUMPRODUCT(AF$65:AO$65,'GREET IO'!$L98:$U98)+AP$65*'GREET IO'!$H98+AQ$65*'GREET IO'!$L98)*$AQ$69+AC$65*AC$11*HLOOKUP($AC$9, $B$55:$J$76, ROW($AB89)-ROW($AB$68)+1, FALSE)-(AC$12*IF(AB$12="Electrolyte organics",AJ$65+AK$65,IFERROR(HLOOKUP(AB$12,AC$64:AP$65,2,FALSE),0))*IFERROR(HLOOKUP(AB$12, 'GREET IO'!$B$77:$AZ$98, ROW($AB89)-ROW($AB$68)+1, FALSE),0)+AC$13*IF(AB$13="Electrolyte organics",AJ$65+AK$65,IFERROR(HLOOKUP(AB$13,AC$64:AP$65,2,FALSE),0))*IFERROR(HLOOKUP(AB$13, 'GREET IO'!$B$77:$AZ$98, ROW($AB89)-ROW($AB$68)+1, FALSE),0))*$AQ$69</f>
        <v>#N/A</v>
      </c>
      <c r="AF89" s="187" t="e">
        <f>(AC$65*(1-AC$11)*HLOOKUP($AC$9, 'GREET IO'!$B$77:$AZ$98, ROW($AB89)-ROW($AB$68)+1, FALSE)+(AD$65+AE$65)*'GREET IO'!$K98+SUMPRODUCT(AF$65:AO$65,'GREET IO'!$L98:$U98)+AP$65*'GREET IO'!$H98+AQ$65*'GREET IO'!$L98)*$AQ$69+AC$65*AC$11*HLOOKUP($AC$9, $B$79:$I$100, ROW($AB89)-ROW($AB$68)+1, FALSE)-(AC$12*IF(AB$12="Electrolyte organics",AJ$65+AK$65,IFERROR(HLOOKUP(AB$12,AC$64:AP$65,2,FALSE),0))*IFERROR(HLOOKUP(AB$12, 'GREET IO'!$B$77:$AZ$98, ROW($AB89)-ROW($AB$68)+1, FALSE),0)+AC$13*IF(AB$13="Electrolyte organics",AJ$65+AK$65,IFERROR(HLOOKUP(AB$13,AC$64:AP$65,2,FALSE),0))*IFERROR(HLOOKUP(AB$13, 'GREET IO'!$B$77:$AZ$98, ROW($AB89)-ROW($AB$68)+1, FALSE),0))*$AQ$69</f>
        <v>#N/A</v>
      </c>
      <c r="AG89" s="187">
        <f>AG$88+SUMPRODUCT(AG$85:AG$86,'GREET IO'!$B$114:$B$115)</f>
        <v>4870.282574646124</v>
      </c>
      <c r="AH89" s="187" t="e">
        <f t="shared" si="3"/>
        <v>#N/A</v>
      </c>
      <c r="AI89" s="187" t="e">
        <f t="shared" si="4"/>
        <v>#N/A</v>
      </c>
      <c r="AJ89" s="187" t="e">
        <f t="shared" si="5"/>
        <v>#N/A</v>
      </c>
      <c r="AK89" s="564" t="e">
        <f t="shared" si="6"/>
        <v>#N/A</v>
      </c>
    </row>
    <row r="90" spans="2:46">
      <c r="B90" s="83" t="s">
        <v>182</v>
      </c>
      <c r="C90" s="97" t="e">
        <f>'Cath. Prod. Par.'!FI53</f>
        <v>#DIV/0!</v>
      </c>
      <c r="D90" s="97" t="e">
        <f>'Cath. Prod. Par.'!AI53</f>
        <v>#DIV/0!</v>
      </c>
      <c r="E90" s="97" t="e">
        <f>'Cath. Prod. Par.'!BI53</f>
        <v>#DIV/0!</v>
      </c>
      <c r="F90" s="97" t="e">
        <f>'Cath. Prod. Par.'!CI53</f>
        <v>#DIV/0!</v>
      </c>
      <c r="G90" s="97" t="e">
        <f>'Cath. Prod. Par.'!DI53</f>
        <v>#DIV/0!</v>
      </c>
      <c r="H90" s="1019" t="e">
        <f>'Cath. Prod. Par.'!EI53</f>
        <v>#DIV/0!</v>
      </c>
    </row>
    <row r="91" spans="2:46">
      <c r="B91" s="83" t="s">
        <v>183</v>
      </c>
      <c r="C91" s="97" t="e">
        <f>'Cath. Prod. Par.'!FI54</f>
        <v>#DIV/0!</v>
      </c>
      <c r="D91" s="97" t="e">
        <f>'Cath. Prod. Par.'!AI54</f>
        <v>#DIV/0!</v>
      </c>
      <c r="E91" s="97" t="e">
        <f>'Cath. Prod. Par.'!BI54</f>
        <v>#DIV/0!</v>
      </c>
      <c r="F91" s="97" t="e">
        <f>'Cath. Prod. Par.'!CI54</f>
        <v>#DIV/0!</v>
      </c>
      <c r="G91" s="97" t="e">
        <f>'Cath. Prod. Par.'!DI54</f>
        <v>#DIV/0!</v>
      </c>
      <c r="H91" s="1019" t="e">
        <f>'Cath. Prod. Par.'!EI54</f>
        <v>#DIV/0!</v>
      </c>
      <c r="AB91" s="2" t="s">
        <v>272</v>
      </c>
    </row>
    <row r="92" spans="2:46">
      <c r="B92" s="83" t="s">
        <v>184</v>
      </c>
      <c r="C92" s="97" t="e">
        <f>'Cath. Prod. Par.'!FI55</f>
        <v>#DIV/0!</v>
      </c>
      <c r="D92" s="97" t="e">
        <f>'Cath. Prod. Par.'!AI55</f>
        <v>#DIV/0!</v>
      </c>
      <c r="E92" s="97" t="e">
        <f>'Cath. Prod. Par.'!BI55</f>
        <v>#DIV/0!</v>
      </c>
      <c r="F92" s="97" t="e">
        <f>'Cath. Prod. Par.'!CI55</f>
        <v>#DIV/0!</v>
      </c>
      <c r="G92" s="97" t="e">
        <f>'Cath. Prod. Par.'!DI55</f>
        <v>#DIV/0!</v>
      </c>
      <c r="H92" s="1019" t="e">
        <f>'Cath. Prod. Par.'!EI55</f>
        <v>#DIV/0!</v>
      </c>
      <c r="AB92" t="s">
        <v>273</v>
      </c>
      <c r="AC92" t="s">
        <v>677</v>
      </c>
      <c r="AD92" t="s">
        <v>426</v>
      </c>
      <c r="AE92" t="s">
        <v>672</v>
      </c>
      <c r="AF92" t="s">
        <v>36</v>
      </c>
      <c r="AQ92" t="s">
        <v>677</v>
      </c>
      <c r="AR92" t="s">
        <v>426</v>
      </c>
      <c r="AS92" t="s">
        <v>672</v>
      </c>
      <c r="AT92" t="s">
        <v>36</v>
      </c>
    </row>
    <row r="93" spans="2:46">
      <c r="B93" s="83" t="s">
        <v>185</v>
      </c>
      <c r="C93" s="97" t="e">
        <f>'Cath. Prod. Par.'!FI56</f>
        <v>#DIV/0!</v>
      </c>
      <c r="D93" s="97" t="e">
        <f>'Cath. Prod. Par.'!AI56</f>
        <v>#DIV/0!</v>
      </c>
      <c r="E93" s="97" t="e">
        <f>'Cath. Prod. Par.'!BI56</f>
        <v>#DIV/0!</v>
      </c>
      <c r="F93" s="97" t="e">
        <f>'Cath. Prod. Par.'!CI56</f>
        <v>#DIV/0!</v>
      </c>
      <c r="G93" s="97" t="e">
        <f>'Cath. Prod. Par.'!DI56</f>
        <v>#DIV/0!</v>
      </c>
      <c r="H93" s="1019" t="e">
        <f>'Cath. Prod. Par.'!EI56</f>
        <v>#DIV/0!</v>
      </c>
      <c r="AB93" s="34"/>
      <c r="AC93" s="79" t="s">
        <v>275</v>
      </c>
      <c r="AD93" s="79" t="s">
        <v>275</v>
      </c>
      <c r="AE93" s="79" t="s">
        <v>275</v>
      </c>
      <c r="AF93" s="79" t="s">
        <v>275</v>
      </c>
      <c r="AG93" s="79" t="s">
        <v>276</v>
      </c>
      <c r="AH93" s="79" t="s">
        <v>55</v>
      </c>
      <c r="AI93" s="79" t="s">
        <v>1621</v>
      </c>
      <c r="AJ93" s="79" t="s">
        <v>1623</v>
      </c>
      <c r="AK93" s="79" t="s">
        <v>67</v>
      </c>
      <c r="AL93" s="79" t="s">
        <v>296</v>
      </c>
      <c r="AM93" s="79" t="s">
        <v>295</v>
      </c>
      <c r="AN93" s="79" t="s">
        <v>86</v>
      </c>
      <c r="AO93" s="79" t="s">
        <v>70</v>
      </c>
      <c r="AP93" s="79" t="s">
        <v>1388</v>
      </c>
      <c r="AQ93" s="34" t="s">
        <v>193</v>
      </c>
      <c r="AR93" s="34" t="s">
        <v>193</v>
      </c>
      <c r="AS93" s="34" t="s">
        <v>193</v>
      </c>
      <c r="AT93" s="34" t="s">
        <v>193</v>
      </c>
    </row>
    <row r="94" spans="2:46">
      <c r="B94" s="83" t="s">
        <v>186</v>
      </c>
      <c r="C94" s="97" t="e">
        <f>'Cath. Prod. Par.'!FI57</f>
        <v>#DIV/0!</v>
      </c>
      <c r="D94" s="97" t="e">
        <f>'Cath. Prod. Par.'!AI57</f>
        <v>#DIV/0!</v>
      </c>
      <c r="E94" s="97" t="e">
        <f>'Cath. Prod. Par.'!BI57</f>
        <v>#DIV/0!</v>
      </c>
      <c r="F94" s="97" t="e">
        <f>'Cath. Prod. Par.'!CI57</f>
        <v>#DIV/0!</v>
      </c>
      <c r="G94" s="97" t="e">
        <f>'Cath. Prod. Par.'!DI57</f>
        <v>#DIV/0!</v>
      </c>
      <c r="H94" s="1019" t="e">
        <f>'Cath. Prod. Par.'!EI57</f>
        <v>#DIV/0!</v>
      </c>
      <c r="AB94" s="35" t="s">
        <v>274</v>
      </c>
      <c r="AC94" s="99" t="e">
        <f>HLOOKUP(AC$9,$C$103:$J$104,2,FALSE)*AC$11*AC$65+HLOOKUP(AC$9,$C$119:$J$120,2,FALSE)*(1-AC$11)*AC$65</f>
        <v>#N/A</v>
      </c>
      <c r="AD94" s="99" t="e">
        <f>HLOOKUP(AC$9,$C$107:$J$108,2,FALSE)*AC$11*AC$65+HLOOKUP(AC$9,$C$119:$J$120,2,FALSE)*(1-AC$11)*AC$65</f>
        <v>#N/A</v>
      </c>
      <c r="AE94" s="99" t="e">
        <f>HLOOKUP(AC$9,$C$111:$J$112,2,FALSE)*AC$11*AC$65+HLOOKUP(AC$9,$C$119:$J$120,2,FALSE)*(1-AC$11)*AC$65</f>
        <v>#N/A</v>
      </c>
      <c r="AF94" s="99" t="e">
        <f>HLOOKUP(AC$9,$C$115:$J$116,2,FALSE)*AC$11*AC$65+HLOOKUP(AC$9,$C$119:$J$120,2,FALSE)*(1-AC$11)*AC$65</f>
        <v>#N/A</v>
      </c>
      <c r="AG94" s="100">
        <f>AD$65*'BatPaC IO'!$F$5*(1-IFERROR(VLOOKUP("Graphite",AB12:AC13,2,FALSE),0))</f>
        <v>3.0946853321527628</v>
      </c>
      <c r="AH94" s="100">
        <f>AE$65*'BatPaC IO'!$C$5</f>
        <v>7.1942869345248725E-2</v>
      </c>
      <c r="AI94" s="100">
        <f>AF$65*'BatPaC IO'!$D$5</f>
        <v>0.13703403684809282</v>
      </c>
      <c r="AJ94" s="100">
        <f>AQ65*'BatPaC IO'!$T$5</f>
        <v>6.8517018424046408E-2</v>
      </c>
      <c r="AK94" s="100">
        <f>AP$65*'BatPaC IO'!$E$5</f>
        <v>0.39465802612250728</v>
      </c>
      <c r="AL94" s="100">
        <f>AH$65*'BatPaC IO'!$G$5*(1-IFERROR(VLOOKUP("Aluminum",AB12:AC13,2,FALSE),0))</f>
        <v>0.31239788400297092</v>
      </c>
      <c r="AM94" s="100">
        <f>AG$65*'BatPaC IO'!$H$5*(1-IFERROR(VLOOKUP("Copper",AB12:AC13,2,FALSE),0))</f>
        <v>1.3034458415645935</v>
      </c>
      <c r="AN94" s="100">
        <f>AM$65*5*'BatPaC IO'!$I$5</f>
        <v>1.3712091779600979</v>
      </c>
      <c r="AO94" s="100">
        <f>SUM(AI$65:AK$65)*'BatPaC IO'!$J$5-(AJ$65+AK$65)*IFERROR(VLOOKUP("Electrolyte organics",AB$12:AC$13,2,FALSE),0)*'BatPaC IO'!$J$5</f>
        <v>1.0012404749246855</v>
      </c>
      <c r="AP94" s="100">
        <f>'BatPaC IO'!B11*(AD98/'BatPaC IO'!D53)^'BatPaC IO'!L25+'BatPaC IO'!C11*(AD98/'BatPaC IO'!D53)^'BatPaC IO'!M25+'BatPaC IO'!D11*(AD98/'BatPaC IO'!D53)^'BatPaC IO'!N25</f>
        <v>0</v>
      </c>
      <c r="AQ94" s="101" t="e">
        <f>SUM($AG$94:$AP$94)+AC94</f>
        <v>#N/A</v>
      </c>
      <c r="AR94" s="101" t="e">
        <f>SUM($AG$94:$AP$94)+AD94</f>
        <v>#N/A</v>
      </c>
      <c r="AS94" s="101" t="e">
        <f>SUM($AG$94:$AP$94)+AE94</f>
        <v>#N/A</v>
      </c>
      <c r="AT94" s="101" t="e">
        <f>SUM($AG$94:$AP$94)+AF94</f>
        <v>#N/A</v>
      </c>
    </row>
    <row r="95" spans="2:46">
      <c r="B95" s="83" t="s">
        <v>187</v>
      </c>
      <c r="C95" s="97" t="e">
        <f>'Cath. Prod. Par.'!FI58</f>
        <v>#DIV/0!</v>
      </c>
      <c r="D95" s="97" t="e">
        <f>'Cath. Prod. Par.'!AI58</f>
        <v>#DIV/0!</v>
      </c>
      <c r="E95" s="97" t="e">
        <f>'Cath. Prod. Par.'!BI58</f>
        <v>#DIV/0!</v>
      </c>
      <c r="F95" s="97" t="e">
        <f>'Cath. Prod. Par.'!CI58</f>
        <v>#DIV/0!</v>
      </c>
      <c r="G95" s="97" t="e">
        <f>'Cath. Prod. Par.'!DI58</f>
        <v>#DIV/0!</v>
      </c>
      <c r="H95" s="1019" t="e">
        <f>'Cath. Prod. Par.'!EI58</f>
        <v>#DIV/0!</v>
      </c>
    </row>
    <row r="96" spans="2:46" ht="45" customHeight="1">
      <c r="B96" s="83" t="s">
        <v>188</v>
      </c>
      <c r="C96" s="97" t="e">
        <f>'Cath. Prod. Par.'!FI59</f>
        <v>#DIV/0!</v>
      </c>
      <c r="D96" s="97" t="e">
        <f>'Cath. Prod. Par.'!AI59</f>
        <v>#DIV/0!</v>
      </c>
      <c r="E96" s="97" t="e">
        <f>'Cath. Prod. Par.'!BI59</f>
        <v>#DIV/0!</v>
      </c>
      <c r="F96" s="97" t="e">
        <f>'Cath. Prod. Par.'!CI59</f>
        <v>#DIV/0!</v>
      </c>
      <c r="G96" s="97" t="e">
        <f>'Cath. Prod. Par.'!DI59</f>
        <v>#DIV/0!</v>
      </c>
      <c r="H96" s="1019" t="e">
        <f>'Cath. Prod. Par.'!EI59</f>
        <v>#DIV/0!</v>
      </c>
      <c r="AB96" t="s">
        <v>277</v>
      </c>
    </row>
    <row r="97" spans="2:51" ht="42">
      <c r="B97" s="83" t="s">
        <v>189</v>
      </c>
      <c r="C97" s="97" t="e">
        <f>'Cath. Prod. Par.'!FI60</f>
        <v>#DIV/0!</v>
      </c>
      <c r="D97" s="97" t="e">
        <f>'Cath. Prod. Par.'!AI60</f>
        <v>#DIV/0!</v>
      </c>
      <c r="E97" s="97" t="e">
        <f>'Cath. Prod. Par.'!BI60</f>
        <v>#DIV/0!</v>
      </c>
      <c r="F97" s="97" t="e">
        <f>'Cath. Prod. Par.'!CI60</f>
        <v>#DIV/0!</v>
      </c>
      <c r="G97" s="97" t="e">
        <f>'Cath. Prod. Par.'!DI60</f>
        <v>#DIV/0!</v>
      </c>
      <c r="H97" s="1019" t="e">
        <f>'Cath. Prod. Par.'!EI60</f>
        <v>#DIV/0!</v>
      </c>
      <c r="AB97" s="193" t="s">
        <v>278</v>
      </c>
      <c r="AC97" s="194" t="s">
        <v>1672</v>
      </c>
      <c r="AD97" s="194" t="s">
        <v>279</v>
      </c>
      <c r="AE97" s="194" t="s">
        <v>1662</v>
      </c>
      <c r="AF97" s="194" t="s">
        <v>1663</v>
      </c>
      <c r="AG97" s="194" t="s">
        <v>115</v>
      </c>
      <c r="AH97" s="194" t="s">
        <v>116</v>
      </c>
      <c r="AI97" s="195" t="s">
        <v>1674</v>
      </c>
    </row>
    <row r="98" spans="2:51">
      <c r="B98" s="83" t="s">
        <v>190</v>
      </c>
      <c r="C98" s="835" t="e">
        <f>'Cath. Prod. Par.'!FI61</f>
        <v>#DIV/0!</v>
      </c>
      <c r="D98" s="835" t="e">
        <f>'Cath. Prod. Par.'!AI61</f>
        <v>#DIV/0!</v>
      </c>
      <c r="E98" s="835" t="e">
        <f>'Cath. Prod. Par.'!BI61</f>
        <v>#DIV/0!</v>
      </c>
      <c r="F98" s="835" t="e">
        <f>'Cath. Prod. Par.'!CI61</f>
        <v>#DIV/0!</v>
      </c>
      <c r="G98" s="836" t="e">
        <f>'Cath. Prod. Par.'!DI61</f>
        <v>#DIV/0!</v>
      </c>
      <c r="H98" s="836" t="e">
        <f>'Cath. Prod. Par.'!EI61</f>
        <v>#DIV/0!</v>
      </c>
      <c r="AB98" s="196">
        <f>Input!E48*1000000</f>
        <v>0</v>
      </c>
      <c r="AC98" s="197">
        <f>AB98/AC18</f>
        <v>0</v>
      </c>
      <c r="AD98" s="197">
        <f>AC98/AC47</f>
        <v>0</v>
      </c>
      <c r="AE98" s="197" t="e">
        <f>HLOOKUP($AC$9,'BatPaC IO'!$B$62:$I$64,2,FALSE)*$AD$98/10000</f>
        <v>#N/A</v>
      </c>
      <c r="AF98" s="197" t="e">
        <f>HLOOKUP($AC$9,'BatPaC IO'!$B$62:$I$64,3,FALSE)*$AD$98/10000</f>
        <v>#N/A</v>
      </c>
      <c r="AG98" s="197">
        <f>$AC$19*AC65*$AC$98</f>
        <v>0</v>
      </c>
      <c r="AH98" s="197">
        <f>$AC$19*AD65*$AC$98</f>
        <v>0</v>
      </c>
      <c r="AI98" s="198">
        <f>1/$AC$47*(AC26/AC50*AD59*IF(AC59=AP64,1,0)+AC27/AC51*AD60*IF(AC60=AP64,1,0))*$AC$19*$AC$98</f>
        <v>0</v>
      </c>
    </row>
    <row r="99" spans="2:51">
      <c r="B99" s="83" t="s">
        <v>198</v>
      </c>
      <c r="C99" s="835" t="e">
        <f>'Cath. Prod. Par.'!FI62</f>
        <v>#DIV/0!</v>
      </c>
      <c r="D99" s="835" t="e">
        <f>'Cath. Prod. Par.'!AI62</f>
        <v>#DIV/0!</v>
      </c>
      <c r="E99" s="835" t="e">
        <f>'Cath. Prod. Par.'!BI62</f>
        <v>#DIV/0!</v>
      </c>
      <c r="F99" s="835" t="e">
        <f>'Cath. Prod. Par.'!CI62</f>
        <v>#DIV/0!</v>
      </c>
      <c r="G99" s="836" t="e">
        <f>'Cath. Prod. Par.'!DI62</f>
        <v>#DIV/0!</v>
      </c>
      <c r="H99" s="836" t="e">
        <f>'Cath. Prod. Par.'!EI62</f>
        <v>#DIV/0!</v>
      </c>
      <c r="AB99" s="50"/>
      <c r="AC99" s="50"/>
      <c r="AD99" s="50"/>
      <c r="AE99" s="50"/>
      <c r="AF99" s="50"/>
    </row>
    <row r="100" spans="2:51" ht="60" customHeight="1">
      <c r="B100" s="81" t="s">
        <v>199</v>
      </c>
      <c r="C100" s="837" t="e">
        <f>'Cath. Prod. Par.'!FI63</f>
        <v>#DIV/0!</v>
      </c>
      <c r="D100" s="837" t="e">
        <f>'Cath. Prod. Par.'!AI63</f>
        <v>#DIV/0!</v>
      </c>
      <c r="E100" s="837" t="e">
        <f>'Cath. Prod. Par.'!BI63</f>
        <v>#DIV/0!</v>
      </c>
      <c r="F100" s="837" t="e">
        <f>'Cath. Prod. Par.'!CI63</f>
        <v>#DIV/0!</v>
      </c>
      <c r="G100" s="834" t="e">
        <f>'Cath. Prod. Par.'!DI63</f>
        <v>#DIV/0!</v>
      </c>
      <c r="H100" s="1233" t="e">
        <f>'Cath. Prod. Par.'!EI63</f>
        <v>#DIV/0!</v>
      </c>
      <c r="AB100" t="s">
        <v>280</v>
      </c>
    </row>
    <row r="101" spans="2:51" ht="84">
      <c r="AB101" s="1315"/>
      <c r="AC101" s="1320" t="s">
        <v>1652</v>
      </c>
      <c r="AD101" s="1427" t="s">
        <v>1653</v>
      </c>
      <c r="AE101" s="1427" t="s">
        <v>1389</v>
      </c>
      <c r="AF101" s="1427" t="s">
        <v>1390</v>
      </c>
      <c r="AG101" s="1427" t="s">
        <v>1654</v>
      </c>
      <c r="AH101" s="1427" t="s">
        <v>1655</v>
      </c>
      <c r="AI101" s="1427" t="s">
        <v>1656</v>
      </c>
      <c r="AJ101" s="1427" t="s">
        <v>1657</v>
      </c>
      <c r="AK101" s="1427" t="s">
        <v>1658</v>
      </c>
      <c r="AL101" s="1427" t="s">
        <v>1659</v>
      </c>
      <c r="AM101" s="1427" t="s">
        <v>98</v>
      </c>
      <c r="AN101" s="1427" t="s">
        <v>100</v>
      </c>
      <c r="AO101" s="1427" t="s">
        <v>101</v>
      </c>
      <c r="AP101" s="1427" t="s">
        <v>1650</v>
      </c>
      <c r="AQ101" s="1427" t="s">
        <v>1651</v>
      </c>
      <c r="AR101" s="1427" t="s">
        <v>102</v>
      </c>
      <c r="AS101" s="1427" t="s">
        <v>1660</v>
      </c>
      <c r="AT101" s="1427" t="s">
        <v>1661</v>
      </c>
      <c r="AU101" s="1427" t="s">
        <v>1649</v>
      </c>
      <c r="AV101" s="1320" t="s">
        <v>293</v>
      </c>
      <c r="AW101" s="1427" t="s">
        <v>97</v>
      </c>
      <c r="AX101" s="1427" t="s">
        <v>103</v>
      </c>
      <c r="AY101" s="1321" t="s">
        <v>99</v>
      </c>
    </row>
    <row r="102" spans="2:51">
      <c r="B102" s="2" t="s">
        <v>1025</v>
      </c>
      <c r="AB102" s="167" t="s">
        <v>284</v>
      </c>
      <c r="AC102" s="199">
        <f>$AG$98/'BatPaC IO'!$G$53</f>
        <v>0</v>
      </c>
      <c r="AD102" s="200">
        <f>$AH$98/'BatPaC IO'!$H$53</f>
        <v>0</v>
      </c>
      <c r="AE102" s="200" t="e">
        <f>$AE$98/'BatPaC IO'!$E$53</f>
        <v>#N/A</v>
      </c>
      <c r="AF102" s="200" t="e">
        <f>$AF$98/'BatPaC IO'!$F$53</f>
        <v>#N/A</v>
      </c>
      <c r="AG102" s="200" t="e">
        <f>$AE$98/'BatPaC IO'!$E$53</f>
        <v>#N/A</v>
      </c>
      <c r="AH102" s="200" t="e">
        <f>$AF$98/'BatPaC IO'!$F$53</f>
        <v>#N/A</v>
      </c>
      <c r="AI102" s="200" t="e">
        <f>$AE$98/'BatPaC IO'!$E$53</f>
        <v>#N/A</v>
      </c>
      <c r="AJ102" s="200" t="e">
        <f>$AF$98/'BatPaC IO'!$F$53</f>
        <v>#N/A</v>
      </c>
      <c r="AK102" s="200" t="e">
        <f>$AE$98/'BatPaC IO'!$E$53</f>
        <v>#N/A</v>
      </c>
      <c r="AL102" s="200" t="e">
        <f>$AF$98/'BatPaC IO'!$F$53</f>
        <v>#N/A</v>
      </c>
      <c r="AM102" s="200" t="e">
        <f>(AE$98+AF$98)/('BatPaC IO'!$E$53+'BatPaC IO'!$F$53)</f>
        <v>#N/A</v>
      </c>
      <c r="AN102" s="200">
        <f>AD$98/'BatPaC IO'!$D$53</f>
        <v>0</v>
      </c>
      <c r="AO102" s="200">
        <f>AD$98/'BatPaC IO'!$D$53</f>
        <v>0</v>
      </c>
      <c r="AP102" s="200">
        <f>AD$98/'BatPaC IO'!$D$53</f>
        <v>0</v>
      </c>
      <c r="AQ102" s="200">
        <f>AD$98/'BatPaC IO'!$D$53</f>
        <v>0</v>
      </c>
      <c r="AR102" s="200">
        <f>AD$98/'BatPaC IO'!$D$53</f>
        <v>0</v>
      </c>
      <c r="AS102" s="200" t="e">
        <f>MAX(AD$98/'BatPaC IO'!$D$53,(AE$98+AF$98)/('BatPaC IO'!$E$53+'BatPaC IO'!$F$53))</f>
        <v>#N/A</v>
      </c>
      <c r="AT102" s="200">
        <f>AD$98/'BatPaC IO'!$D$53</f>
        <v>0</v>
      </c>
      <c r="AU102" s="201">
        <f>AB$98/'BatPaC IO'!$B$53</f>
        <v>0</v>
      </c>
      <c r="AV102" s="201">
        <f>AB$98/'BatPaC IO'!$B$53</f>
        <v>0</v>
      </c>
      <c r="AW102" s="201">
        <f>AI$98/'BatPaC IO'!$I$53</f>
        <v>0</v>
      </c>
      <c r="AX102" s="201">
        <f>AD$98/'BatPaC IO'!$D$53</f>
        <v>0</v>
      </c>
      <c r="AY102" s="201">
        <f>AB$98/'BatPaC IO'!$B$53</f>
        <v>0</v>
      </c>
    </row>
    <row r="103" spans="2:51">
      <c r="B103" s="84"/>
      <c r="C103" s="85" t="s">
        <v>42</v>
      </c>
      <c r="D103" s="94" t="s">
        <v>1029</v>
      </c>
      <c r="E103" s="94" t="s">
        <v>1540</v>
      </c>
      <c r="F103" s="94" t="s">
        <v>667</v>
      </c>
      <c r="G103" s="94" t="s">
        <v>669</v>
      </c>
      <c r="H103" s="1177" t="s">
        <v>73</v>
      </c>
      <c r="AB103" s="147" t="s">
        <v>281</v>
      </c>
      <c r="AC103" s="202">
        <f>'BatPaC IO'!A$41*AC$102^'BatPaC IO'!A$28</f>
        <v>0</v>
      </c>
      <c r="AD103" s="202">
        <f>'BatPaC IO'!B$41*AD$102^'BatPaC IO'!B$28</f>
        <v>0</v>
      </c>
      <c r="AE103" s="202" t="e">
        <f>'BatPaC IO'!C$41*AE$102^'BatPaC IO'!C$28</f>
        <v>#N/A</v>
      </c>
      <c r="AF103" s="202" t="e">
        <f>'BatPaC IO'!D$41*AF$102^'BatPaC IO'!D$28</f>
        <v>#N/A</v>
      </c>
      <c r="AG103" s="202" t="e">
        <f>'BatPaC IO'!E$41*AG$102^'BatPaC IO'!E$28</f>
        <v>#N/A</v>
      </c>
      <c r="AH103" s="202" t="e">
        <f>'BatPaC IO'!F$41*AH$102^'BatPaC IO'!F$28</f>
        <v>#N/A</v>
      </c>
      <c r="AI103" s="202" t="e">
        <f>'BatPaC IO'!G$41*AI$102^'BatPaC IO'!G$28</f>
        <v>#N/A</v>
      </c>
      <c r="AJ103" s="202" t="e">
        <f>'BatPaC IO'!H$41*AJ$102^'BatPaC IO'!H$28</f>
        <v>#N/A</v>
      </c>
      <c r="AK103" s="202" t="e">
        <f>'BatPaC IO'!I$41*AK$102^'BatPaC IO'!I$28</f>
        <v>#N/A</v>
      </c>
      <c r="AL103" s="202" t="e">
        <f>'BatPaC IO'!J$41*AL$102^'BatPaC IO'!J$28</f>
        <v>#N/A</v>
      </c>
      <c r="AM103" s="202" t="e">
        <f>'BatPaC IO'!K$41*AM$102^'BatPaC IO'!K$28</f>
        <v>#N/A</v>
      </c>
      <c r="AN103" s="202">
        <f>'BatPaC IO'!L$41*AN$102^'BatPaC IO'!L$28</f>
        <v>0</v>
      </c>
      <c r="AO103" s="202">
        <f>'BatPaC IO'!M$41*AO$102^'BatPaC IO'!M$28</f>
        <v>0</v>
      </c>
      <c r="AP103" s="202">
        <f>'BatPaC IO'!N$41*AP$102^'BatPaC IO'!N$28</f>
        <v>0</v>
      </c>
      <c r="AQ103" s="202">
        <f>'BatPaC IO'!O$41*AQ$102^'BatPaC IO'!O$28</f>
        <v>0</v>
      </c>
      <c r="AR103" s="202">
        <f>'BatPaC IO'!P$41*AR$102^'BatPaC IO'!P$28</f>
        <v>0</v>
      </c>
      <c r="AS103" s="202" t="e">
        <f>'BatPaC IO'!Q$41*AS$102^'BatPaC IO'!Q$28</f>
        <v>#N/A</v>
      </c>
      <c r="AT103" s="202">
        <f>'BatPaC IO'!R$41*AT$102^'BatPaC IO'!R$28</f>
        <v>0</v>
      </c>
      <c r="AU103" s="203">
        <f>'BatPaC IO'!U$41*AU$102^'BatPaC IO'!U$28</f>
        <v>0</v>
      </c>
      <c r="AV103" s="203">
        <f>'BatPaC IO'!V$41*AV$102^'BatPaC IO'!V$28</f>
        <v>0</v>
      </c>
      <c r="AW103" s="203">
        <f>'BatPaC IO'!W$41*AW$102^'BatPaC IO'!W$28</f>
        <v>0</v>
      </c>
      <c r="AX103" s="203">
        <f>'BatPaC IO'!X$41*AX$102^'BatPaC IO'!X$28</f>
        <v>0</v>
      </c>
      <c r="AY103" s="203">
        <f>'BatPaC IO'!Y$41*AY$102^'BatPaC IO'!Y$28</f>
        <v>0</v>
      </c>
    </row>
    <row r="104" spans="2:51">
      <c r="B104" s="87" t="s">
        <v>460</v>
      </c>
      <c r="C104" s="1143" t="e">
        <f ca="1">'Cath. Prod. Par.'!FB76</f>
        <v>#DIV/0!</v>
      </c>
      <c r="D104" s="839" t="e">
        <f ca="1">'Cath. Prod. Par.'!AB76</f>
        <v>#DIV/0!</v>
      </c>
      <c r="E104" s="839" t="e">
        <f ca="1">'Cath. Prod. Par.'!BB76</f>
        <v>#DIV/0!</v>
      </c>
      <c r="F104" s="839" t="e">
        <f ca="1">'Cath. Prod. Par.'!CB76</f>
        <v>#DIV/0!</v>
      </c>
      <c r="G104" s="839" t="e">
        <f ca="1">'Cath. Prod. Par.'!DB76</f>
        <v>#DIV/0!</v>
      </c>
      <c r="H104" s="1234" t="e">
        <f ca="1">'Cath. Prod. Par.'!EB76</f>
        <v>#DIV/0!</v>
      </c>
      <c r="AB104" s="147" t="s">
        <v>282</v>
      </c>
      <c r="AC104" s="204">
        <f>'BatPaC IO'!A$45*AC$102^'BatPaC IO'!A$31*'Geographic Par.'!$C$53</f>
        <v>0</v>
      </c>
      <c r="AD104" s="204">
        <f>'BatPaC IO'!B$45*AD$102^'BatPaC IO'!B$31*'Geographic Par.'!$C$53</f>
        <v>0</v>
      </c>
      <c r="AE104" s="204" t="e">
        <f>'BatPaC IO'!C$45*AE$102^'BatPaC IO'!C$31*'Geographic Par.'!$C$53</f>
        <v>#N/A</v>
      </c>
      <c r="AF104" s="204" t="e">
        <f>'BatPaC IO'!D$45*AF$102^'BatPaC IO'!D$31*'Geographic Par.'!$C$53</f>
        <v>#N/A</v>
      </c>
      <c r="AG104" s="204" t="e">
        <f>'BatPaC IO'!E$45*AG$102^'BatPaC IO'!E$31*'Geographic Par.'!$C$53</f>
        <v>#N/A</v>
      </c>
      <c r="AH104" s="204" t="e">
        <f>'BatPaC IO'!F$45*AH$102^'BatPaC IO'!F$31*'Geographic Par.'!$C$53</f>
        <v>#N/A</v>
      </c>
      <c r="AI104" s="204" t="e">
        <f>'BatPaC IO'!G$45*AI$102^'BatPaC IO'!G$31*'Geographic Par.'!$C$53</f>
        <v>#N/A</v>
      </c>
      <c r="AJ104" s="204" t="e">
        <f>'BatPaC IO'!H$45*AJ$102^'BatPaC IO'!H$31*'Geographic Par.'!$C$53</f>
        <v>#N/A</v>
      </c>
      <c r="AK104" s="204" t="e">
        <f>'BatPaC IO'!I$45*AK$102^'BatPaC IO'!I$31*'Geographic Par.'!$C$53</f>
        <v>#N/A</v>
      </c>
      <c r="AL104" s="204" t="e">
        <f>'BatPaC IO'!J$45*AL$102^'BatPaC IO'!J$31*'Geographic Par.'!$C$53</f>
        <v>#N/A</v>
      </c>
      <c r="AM104" s="204" t="e">
        <f>'BatPaC IO'!K$45*AM$102^'BatPaC IO'!K$31*'Geographic Par.'!$C$53</f>
        <v>#N/A</v>
      </c>
      <c r="AN104" s="204">
        <f>'BatPaC IO'!L$45*AN$102^'BatPaC IO'!L$31*'Geographic Par.'!$C$53</f>
        <v>0</v>
      </c>
      <c r="AO104" s="204">
        <f>'BatPaC IO'!M$45*AO$102^'BatPaC IO'!M$31*'Geographic Par.'!$C$53</f>
        <v>0</v>
      </c>
      <c r="AP104" s="204">
        <f>'BatPaC IO'!N$45*AP$102^'BatPaC IO'!N$31*'Geographic Par.'!$C$53</f>
        <v>0</v>
      </c>
      <c r="AQ104" s="204">
        <f>'BatPaC IO'!O$45*AQ$102^'BatPaC IO'!O$31*'Geographic Par.'!$C$53</f>
        <v>0</v>
      </c>
      <c r="AR104" s="204">
        <f>'BatPaC IO'!P$45*AR$102^'BatPaC IO'!P$31*'Geographic Par.'!$C$53</f>
        <v>0</v>
      </c>
      <c r="AS104" s="204" t="e">
        <f>'BatPaC IO'!Q$45*AS$102^'BatPaC IO'!Q$31*'Geographic Par.'!$C$53</f>
        <v>#N/A</v>
      </c>
      <c r="AT104" s="204">
        <f>'BatPaC IO'!R$45*AT$102^'BatPaC IO'!R$31*'Geographic Par.'!$C$53</f>
        <v>0</v>
      </c>
      <c r="AU104" s="204">
        <f>'BatPaC IO'!U$45*AU$102^'BatPaC IO'!U$31*'Geographic Par.'!$C$53</f>
        <v>0</v>
      </c>
      <c r="AV104" s="204">
        <f>'BatPaC IO'!V$45*AV$102^'BatPaC IO'!V$31*'Geographic Par.'!$C$53</f>
        <v>0</v>
      </c>
      <c r="AW104" s="204">
        <f>'BatPaC IO'!W$45*AW$102^'BatPaC IO'!W$31*'Geographic Par.'!$C$53</f>
        <v>0</v>
      </c>
      <c r="AX104" s="204">
        <f>'BatPaC IO'!X$45*AX$102^'BatPaC IO'!X$31*'Geographic Par.'!$C$53</f>
        <v>0</v>
      </c>
      <c r="AY104" s="204">
        <f>'BatPaC IO'!Y$45*AY$102^'BatPaC IO'!Y$31*'Geographic Par.'!$C$53</f>
        <v>0</v>
      </c>
    </row>
    <row r="105" spans="2:51" ht="16.5">
      <c r="AB105" s="149" t="s">
        <v>283</v>
      </c>
      <c r="AC105" s="205">
        <f>'BatPaC IO'!A$49*AC$102^'BatPaC IO'!A$34</f>
        <v>0</v>
      </c>
      <c r="AD105" s="205">
        <f>'BatPaC IO'!B$49*AD$102^'BatPaC IO'!B$34</f>
        <v>0</v>
      </c>
      <c r="AE105" s="205" t="e">
        <f>'BatPaC IO'!C$49*AE$102^'BatPaC IO'!C$34</f>
        <v>#N/A</v>
      </c>
      <c r="AF105" s="205" t="e">
        <f>'BatPaC IO'!D$49*AF$102^'BatPaC IO'!D$34</f>
        <v>#N/A</v>
      </c>
      <c r="AG105" s="205" t="e">
        <f>'BatPaC IO'!E$49*AG$102^'BatPaC IO'!E$34</f>
        <v>#N/A</v>
      </c>
      <c r="AH105" s="205" t="e">
        <f>'BatPaC IO'!F$49*AH$102^'BatPaC IO'!F$34</f>
        <v>#N/A</v>
      </c>
      <c r="AI105" s="205" t="e">
        <f>'BatPaC IO'!G$49*AI$102^'BatPaC IO'!G$34</f>
        <v>#N/A</v>
      </c>
      <c r="AJ105" s="205" t="e">
        <f>'BatPaC IO'!H$49*AJ$102^'BatPaC IO'!H$34</f>
        <v>#N/A</v>
      </c>
      <c r="AK105" s="205" t="e">
        <f>'BatPaC IO'!I$49*AK$102^'BatPaC IO'!I$34</f>
        <v>#N/A</v>
      </c>
      <c r="AL105" s="205" t="e">
        <f>'BatPaC IO'!J$49*AL$102^'BatPaC IO'!J$34</f>
        <v>#N/A</v>
      </c>
      <c r="AM105" s="205" t="e">
        <f>'BatPaC IO'!K$49*AM$102^'BatPaC IO'!K$34</f>
        <v>#N/A</v>
      </c>
      <c r="AN105" s="205">
        <f>'BatPaC IO'!L$49*AN$102^'BatPaC IO'!L$34</f>
        <v>0</v>
      </c>
      <c r="AO105" s="205">
        <f>'BatPaC IO'!M$49*AO$102^'BatPaC IO'!M$34</f>
        <v>0</v>
      </c>
      <c r="AP105" s="205">
        <f>'BatPaC IO'!N$49*AP$102^'BatPaC IO'!N$34</f>
        <v>0</v>
      </c>
      <c r="AQ105" s="205">
        <f>'BatPaC IO'!O$49*AQ$102^'BatPaC IO'!O$34</f>
        <v>0</v>
      </c>
      <c r="AR105" s="205">
        <f>'BatPaC IO'!P$49*AR$102^'BatPaC IO'!P$34</f>
        <v>0</v>
      </c>
      <c r="AS105" s="205" t="e">
        <f>'BatPaC IO'!Q$49*AS$102^'BatPaC IO'!Q$34</f>
        <v>#N/A</v>
      </c>
      <c r="AT105" s="205">
        <f>'BatPaC IO'!R$49*AT$102^'BatPaC IO'!R$34</f>
        <v>0</v>
      </c>
      <c r="AU105" s="188">
        <f>'BatPaC IO'!U$49*AU$102^'BatPaC IO'!U$34</f>
        <v>0</v>
      </c>
      <c r="AV105" s="188">
        <f>'BatPaC IO'!V$49*AV$102^'BatPaC IO'!V$34</f>
        <v>0</v>
      </c>
      <c r="AW105" s="188">
        <f>'BatPaC IO'!W$49*AW$102^'BatPaC IO'!W$34</f>
        <v>0</v>
      </c>
      <c r="AX105" s="188">
        <f>'BatPaC IO'!X$49*AX$102^'BatPaC IO'!X$34</f>
        <v>0</v>
      </c>
      <c r="AY105" s="188">
        <f>'BatPaC IO'!Y$49*AY$102^'BatPaC IO'!Y$34</f>
        <v>0</v>
      </c>
    </row>
    <row r="106" spans="2:51">
      <c r="B106" s="2" t="s">
        <v>1026</v>
      </c>
    </row>
    <row r="107" spans="2:51">
      <c r="B107" s="84"/>
      <c r="C107" s="85" t="s">
        <v>42</v>
      </c>
      <c r="D107" s="94" t="s">
        <v>1029</v>
      </c>
      <c r="E107" s="94" t="s">
        <v>1540</v>
      </c>
      <c r="F107" s="94" t="s">
        <v>667</v>
      </c>
      <c r="G107" s="94" t="s">
        <v>669</v>
      </c>
      <c r="H107" s="1177" t="s">
        <v>73</v>
      </c>
      <c r="AB107" t="s">
        <v>285</v>
      </c>
    </row>
    <row r="108" spans="2:51">
      <c r="B108" s="87" t="s">
        <v>460</v>
      </c>
      <c r="C108" s="1143" t="e">
        <f ca="1">'Cath. Prod. Par.'!FC76</f>
        <v>#DIV/0!</v>
      </c>
      <c r="D108" s="839" t="e">
        <f ca="1">'Cath. Prod. Par.'!AC76</f>
        <v>#DIV/0!</v>
      </c>
      <c r="E108" s="108" t="e">
        <f ca="1">'Cath. Prod. Par.'!BC76</f>
        <v>#DIV/0!</v>
      </c>
      <c r="F108" s="839" t="e">
        <f ca="1">'Cath. Prod. Par.'!CC76</f>
        <v>#DIV/0!</v>
      </c>
      <c r="G108" s="839" t="e">
        <f ca="1">'Cath. Prod. Par.'!DC76</f>
        <v>#DIV/0!</v>
      </c>
      <c r="H108" s="1234" t="e">
        <f ca="1">'Cath. Prod. Par.'!EC76</f>
        <v>#DIV/0!</v>
      </c>
      <c r="AC108" t="s">
        <v>677</v>
      </c>
      <c r="AD108" t="s">
        <v>426</v>
      </c>
      <c r="AE108" t="s">
        <v>672</v>
      </c>
      <c r="AF108" t="s">
        <v>36</v>
      </c>
    </row>
    <row r="109" spans="2:51">
      <c r="AB109" s="37" t="s">
        <v>286</v>
      </c>
      <c r="AC109" s="102" t="e">
        <f>AQ94</f>
        <v>#N/A</v>
      </c>
      <c r="AD109" s="102" t="e">
        <f>AR94</f>
        <v>#N/A</v>
      </c>
      <c r="AE109" s="102" t="e">
        <f>AS94</f>
        <v>#N/A</v>
      </c>
      <c r="AF109" s="102" t="e">
        <f>AT94</f>
        <v>#N/A</v>
      </c>
    </row>
    <row r="110" spans="2:51">
      <c r="B110" s="2" t="s">
        <v>1027</v>
      </c>
      <c r="H110" s="1280" t="s">
        <v>1957</v>
      </c>
      <c r="AB110" s="29" t="s">
        <v>287</v>
      </c>
      <c r="AC110" s="95" t="e">
        <f>SUM(AC$103:AY$103)*'Geographic Par.'!$C$52/(AC$8/$AQ$71)</f>
        <v>#N/A</v>
      </c>
      <c r="AD110" s="95" t="e">
        <f>AC110</f>
        <v>#N/A</v>
      </c>
      <c r="AE110" s="95" t="e">
        <f>AD110</f>
        <v>#N/A</v>
      </c>
      <c r="AF110" s="95" t="e">
        <f>AE110</f>
        <v>#N/A</v>
      </c>
    </row>
    <row r="111" spans="2:51">
      <c r="B111" s="84"/>
      <c r="C111" s="85" t="s">
        <v>42</v>
      </c>
      <c r="D111" s="94" t="s">
        <v>1029</v>
      </c>
      <c r="E111" s="94" t="s">
        <v>1540</v>
      </c>
      <c r="F111" s="94" t="s">
        <v>667</v>
      </c>
      <c r="G111" s="94" t="s">
        <v>669</v>
      </c>
      <c r="H111" s="84" t="s">
        <v>73</v>
      </c>
      <c r="I111" s="84" t="s">
        <v>148</v>
      </c>
      <c r="J111" s="85" t="s">
        <v>149</v>
      </c>
      <c r="AB111" s="29" t="s">
        <v>131</v>
      </c>
      <c r="AC111" s="95" t="e">
        <f>AC$119*'BatPaC IO'!$K$59+'BatPaC IO'!$L$59*AC$120</f>
        <v>#N/A</v>
      </c>
      <c r="AD111" s="95" t="e">
        <f>AD$119*'BatPaC IO'!$K$59+'BatPaC IO'!$L$59*AD$120</f>
        <v>#N/A</v>
      </c>
      <c r="AE111" s="95" t="e">
        <f>AE$119*'BatPaC IO'!$K$59+'BatPaC IO'!$L$59*AE$120</f>
        <v>#N/A</v>
      </c>
      <c r="AF111" s="95" t="e">
        <f>AF$119*'BatPaC IO'!$K$59+'BatPaC IO'!$L$59*AF$120</f>
        <v>#N/A</v>
      </c>
    </row>
    <row r="112" spans="2:51">
      <c r="B112" s="87" t="s">
        <v>460</v>
      </c>
      <c r="C112" s="108" t="e">
        <f t="array" aca="1" ref="C112" ca="1">_xlfn.SINGLE(IF(VLOOKUP(C111,'Mat. Conv Par.'!$B$14:$E$21,4,FALSE)=0,HLOOKUP(C111,'Mat. Conv Par.'!$G$52:$N$53,2,FALSE),'Mat. Conv Par.'!$E$64*VLOOKUP(C111,'Mat. Conv Par.'!$B$14:$E$21,4,FALSE)*HLOOKUP(C111,'Mat. Conv Par.'!$G$52:$N$53,2,FALSE)/MMULT('Mat. Conv Par.'!$G$53:$N$53,'Mat. Conv Par.'!$E$14:$E$21)/VLOOKUP(C111,'Mat. Conv Par.'!$B$14:$E$21,4,FALSE)))</f>
        <v>#NAME?</v>
      </c>
      <c r="D112" s="108" t="e">
        <f t="array" aca="1" ref="D112" ca="1">_xlfn.SINGLE(IF(VLOOKUP(D111,'Mat. Conv Par.'!$B$14:$E$21,4,FALSE)=0,HLOOKUP(D111,'Mat. Conv Par.'!$G$52:$N$53,2,FALSE),'Mat. Conv Par.'!$E$64*VLOOKUP(D111,'Mat. Conv Par.'!$B$14:$E$21,4,FALSE)*HLOOKUP(D111,'Mat. Conv Par.'!$G$52:$N$53,2,FALSE)/MMULT('Mat. Conv Par.'!$G$53:$N$53,'Mat. Conv Par.'!$E$14:$E$21)/VLOOKUP(D111,'Mat. Conv Par.'!$B$14:$E$21,4,FALSE)))</f>
        <v>#NAME?</v>
      </c>
      <c r="E112" s="108" t="e">
        <f t="array" aca="1" ref="E112" ca="1">_xlfn.SINGLE(IF(VLOOKUP(E111,'Mat. Conv Par.'!$B$14:$E$21,4,FALSE)=0,HLOOKUP(E111,'Mat. Conv Par.'!$G$52:$N$53,2,FALSE),'Mat. Conv Par.'!$E$64*VLOOKUP(E111,'Mat. Conv Par.'!$B$14:$E$21,4,FALSE)*HLOOKUP(E111,'Mat. Conv Par.'!$G$52:$N$53,2,FALSE)/MMULT('Mat. Conv Par.'!$G$53:$N$53,'Mat. Conv Par.'!$E$14:$E$21)/VLOOKUP(E111,'Mat. Conv Par.'!$B$14:$E$21,4,FALSE)))</f>
        <v>#NAME?</v>
      </c>
      <c r="F112" s="108" t="e">
        <f t="array" aca="1" ref="F112" ca="1">_xlfn.SINGLE(IF(VLOOKUP(F111,'Mat. Conv Par.'!$B$14:$E$21,4,FALSE)=0,HLOOKUP(F111,'Mat. Conv Par.'!$G$52:$N$53,2,FALSE),'Mat. Conv Par.'!$E$64*VLOOKUP(F111,'Mat. Conv Par.'!$B$14:$E$21,4,FALSE)*HLOOKUP(F111,'Mat. Conv Par.'!$G$52:$N$53,2,FALSE)/MMULT('Mat. Conv Par.'!$G$53:$N$53,'Mat. Conv Par.'!$E$14:$E$21)/VLOOKUP(F111,'Mat. Conv Par.'!$B$14:$E$21,4,FALSE)))</f>
        <v>#NAME?</v>
      </c>
      <c r="G112" s="108" t="e">
        <f t="array" aca="1" ref="G112" ca="1">_xlfn.SINGLE(IF(VLOOKUP(G111,'Mat. Conv Par.'!$B$14:$E$21,4,FALSE)=0,HLOOKUP(G111,'Mat. Conv Par.'!$G$52:$N$53,2,FALSE),'Mat. Conv Par.'!$E$64*VLOOKUP(G111,'Mat. Conv Par.'!$B$14:$E$21,4,FALSE)*HLOOKUP(G111,'Mat. Conv Par.'!$G$52:$N$53,2,FALSE)/MMULT('Mat. Conv Par.'!$G$53:$N$53,'Mat. Conv Par.'!$E$14:$E$21)/VLOOKUP(G111,'Mat. Conv Par.'!$B$14:$E$21,4,FALSE)))</f>
        <v>#NAME?</v>
      </c>
      <c r="H112" s="108" t="e">
        <f t="array" aca="1" ref="H112" ca="1">_xlfn.SINGLE(IF(VLOOKUP(H111,'Mat. Conv Par.'!$B$14:$E$21,4,FALSE)=0,HLOOKUP(H111,'Mat. Conv Par.'!$G$52:$N$53,2,FALSE),'Mat. Conv Par.'!$E$64*VLOOKUP(H111,'Mat. Conv Par.'!$B$14:$E$21,4,FALSE)*HLOOKUP(H111,'Mat. Conv Par.'!$G$52:$N$53,2,FALSE)/MMULT('Mat. Conv Par.'!$G$53:$N$53,'Mat. Conv Par.'!$E$14:$E$21)/VLOOKUP(H111,'Mat. Conv Par.'!$B$14:$E$21,4,FALSE)))</f>
        <v>#NAME?</v>
      </c>
      <c r="I112" s="108" t="e">
        <f t="array" aca="1" ref="I112" ca="1">_xlfn.SINGLE(IF(VLOOKUP(I111,'Mat. Conv Par.'!$B$14:$E$21,4,FALSE)=0,HLOOKUP(I111,'Mat. Conv Par.'!$G$52:$N$53,2,FALSE),'Mat. Conv Par.'!$E$64*VLOOKUP(I111,'Mat. Conv Par.'!$B$14:$E$21,4,FALSE)*HLOOKUP(I111,'Mat. Conv Par.'!$G$52:$N$53,2,FALSE)/MMULT('Mat. Conv Par.'!$G$53:$N$53,'Mat. Conv Par.'!$E$14:$E$21)/VLOOKUP(I111,'Mat. Conv Par.'!$B$14:$E$21,4,FALSE)))</f>
        <v>#NAME?</v>
      </c>
      <c r="J112" s="108" t="e">
        <f t="array" aca="1" ref="J112" ca="1">_xlfn.SINGLE(IF(VLOOKUP(J111,'Mat. Conv Par.'!$B$14:$E$21,4,FALSE)=0,HLOOKUP(J111,'Mat. Conv Par.'!$G$52:$N$53,2,FALSE),'Mat. Conv Par.'!$E$64*VLOOKUP(J111,'Mat. Conv Par.'!$B$14:$E$21,4,FALSE)*HLOOKUP(J111,'Mat. Conv Par.'!$G$52:$N$53,2,FALSE)/MMULT('Mat. Conv Par.'!$G$53:$N$53,'Mat. Conv Par.'!$E$14:$E$21)/VLOOKUP(J111,'Mat. Conv Par.'!$B$14:$E$21,4,FALSE)))</f>
        <v>#NAME?</v>
      </c>
      <c r="AB112" s="29" t="s">
        <v>128</v>
      </c>
      <c r="AC112" s="95" t="e">
        <f>AC$110*'BatPaC IO'!$F$59+'BatPaC IO'!$G$59*AC$111</f>
        <v>#N/A</v>
      </c>
      <c r="AD112" s="95" t="e">
        <f>AD$110*'BatPaC IO'!$F$59+'BatPaC IO'!$G$59*AD$111</f>
        <v>#N/A</v>
      </c>
      <c r="AE112" s="95" t="e">
        <f>AE$110*'BatPaC IO'!$F$59+'BatPaC IO'!$G$59*AE$111</f>
        <v>#N/A</v>
      </c>
      <c r="AF112" s="95" t="e">
        <f>AF$110*'BatPaC IO'!$F$59+'BatPaC IO'!$G$59*AF$111</f>
        <v>#N/A</v>
      </c>
    </row>
    <row r="113" spans="2:33">
      <c r="AB113" s="29" t="s">
        <v>129</v>
      </c>
      <c r="AC113" s="95" t="e">
        <f>(AC$110+AC$112)*'BatPaC IO'!$H$59+'BatPaC IO'!$I$59*AC$111</f>
        <v>#N/A</v>
      </c>
      <c r="AD113" s="95" t="e">
        <f>(AD$110+AD$112)*'BatPaC IO'!$H$59+'BatPaC IO'!$I$59*AD$111</f>
        <v>#N/A</v>
      </c>
      <c r="AE113" s="95" t="e">
        <f>(AE$110+AE$112)*'BatPaC IO'!$H$59+'BatPaC IO'!$I$59*AE$111</f>
        <v>#N/A</v>
      </c>
      <c r="AF113" s="95" t="e">
        <f>(AF$110+AF$112)*'BatPaC IO'!$H$59+'BatPaC IO'!$I$59*AF$111</f>
        <v>#N/A</v>
      </c>
    </row>
    <row r="114" spans="2:33">
      <c r="B114" s="2" t="s">
        <v>1028</v>
      </c>
      <c r="AB114" s="15" t="s">
        <v>288</v>
      </c>
      <c r="AC114" s="96" t="e">
        <f>AC$111*'BatPaC IO'!$J$59</f>
        <v>#N/A</v>
      </c>
      <c r="AD114" s="96" t="e">
        <f>AD$111*'BatPaC IO'!$J$59</f>
        <v>#N/A</v>
      </c>
      <c r="AE114" s="96" t="e">
        <f>AE$111*'BatPaC IO'!$J$59</f>
        <v>#N/A</v>
      </c>
      <c r="AF114" s="96" t="e">
        <f>AF$111*'BatPaC IO'!$J$59</f>
        <v>#N/A</v>
      </c>
    </row>
    <row r="115" spans="2:33">
      <c r="B115" s="84"/>
      <c r="C115" s="85" t="s">
        <v>42</v>
      </c>
      <c r="D115" s="94" t="s">
        <v>1029</v>
      </c>
      <c r="E115" s="94" t="s">
        <v>1540</v>
      </c>
      <c r="F115" s="94" t="s">
        <v>667</v>
      </c>
      <c r="G115" s="94" t="s">
        <v>669</v>
      </c>
      <c r="H115" s="1177" t="s">
        <v>73</v>
      </c>
      <c r="AB115" s="51" t="s">
        <v>289</v>
      </c>
      <c r="AC115" s="103" t="e">
        <f>AC109+AC110+AC112</f>
        <v>#N/A</v>
      </c>
      <c r="AD115" s="103" t="e">
        <f>AD109+AD110+AD112</f>
        <v>#N/A</v>
      </c>
      <c r="AE115" s="103" t="e">
        <f>AE109+AE110+AE112</f>
        <v>#N/A</v>
      </c>
      <c r="AF115" s="103" t="e">
        <f>AF109+AF110+AF112</f>
        <v>#N/A</v>
      </c>
    </row>
    <row r="116" spans="2:33">
      <c r="B116" s="87" t="s">
        <v>460</v>
      </c>
      <c r="C116" s="1143" t="e">
        <f ca="1">'Cath. Prod. Par.'!FD76</f>
        <v>#DIV/0!</v>
      </c>
      <c r="D116" s="839" t="e">
        <f ca="1">'Cath. Prod. Par.'!AD76</f>
        <v>#DIV/0!</v>
      </c>
      <c r="E116" s="108" t="e">
        <f ca="1">'Cath. Prod. Par.'!BD76</f>
        <v>#DIV/0!</v>
      </c>
      <c r="F116" s="839" t="e">
        <f ca="1">'Cath. Prod. Par.'!CD76</f>
        <v>#DIV/0!</v>
      </c>
      <c r="G116" s="839" t="e">
        <f ca="1">'Cath. Prod. Par.'!DD76</f>
        <v>#DIV/0!</v>
      </c>
      <c r="H116" s="1234" t="e">
        <f ca="1">'Cath. Prod. Par.'!ED76</f>
        <v>#DIV/0!</v>
      </c>
      <c r="AB116" s="51" t="s">
        <v>290</v>
      </c>
      <c r="AC116" s="95" t="e">
        <f>SUM(AC$117:AC$120)</f>
        <v>#N/A</v>
      </c>
      <c r="AD116" s="95" t="e">
        <f>SUM(AD$117:AD$120)</f>
        <v>#N/A</v>
      </c>
      <c r="AE116" s="95" t="e">
        <f>SUM(AE$117:AE$120)</f>
        <v>#N/A</v>
      </c>
      <c r="AF116" s="95" t="e">
        <f>SUM(AF$117:AF$120)</f>
        <v>#N/A</v>
      </c>
    </row>
    <row r="117" spans="2:33">
      <c r="AB117" s="52" t="s">
        <v>125</v>
      </c>
      <c r="AC117" s="95" t="e">
        <f>AC$109*'BatPaC IO'!$B$59+'BatPaC IO'!$C$59*(AC$110+AC$112)</f>
        <v>#N/A</v>
      </c>
      <c r="AD117" s="95" t="e">
        <f>AD$109*'BatPaC IO'!$B$59+'BatPaC IO'!$C$59*(AD$110+AD$112)</f>
        <v>#N/A</v>
      </c>
      <c r="AE117" s="95" t="e">
        <f>AE$109*'BatPaC IO'!$B$59+'BatPaC IO'!$C$59*(AE$110+AE$112)</f>
        <v>#N/A</v>
      </c>
      <c r="AF117" s="95" t="e">
        <f>AF$109*'BatPaC IO'!$B$59+'BatPaC IO'!$C$59*(AF$110+AF$112)</f>
        <v>#N/A</v>
      </c>
    </row>
    <row r="118" spans="2:33">
      <c r="B118" s="2" t="s">
        <v>1031</v>
      </c>
      <c r="AB118" s="52" t="s">
        <v>291</v>
      </c>
      <c r="AC118" s="95" t="e">
        <f>AC$115*'BatPaC IO'!$D$59</f>
        <v>#N/A</v>
      </c>
      <c r="AD118" s="95" t="e">
        <f>AD$115*'BatPaC IO'!$D$59</f>
        <v>#N/A</v>
      </c>
      <c r="AE118" s="95" t="e">
        <f>AE$115*'BatPaC IO'!$D$59</f>
        <v>#N/A</v>
      </c>
      <c r="AF118" s="95" t="e">
        <f>AF$115*'BatPaC IO'!$D$59</f>
        <v>#N/A</v>
      </c>
    </row>
    <row r="119" spans="2:33" ht="14.5">
      <c r="B119" s="84"/>
      <c r="C119" s="85" t="s">
        <v>42</v>
      </c>
      <c r="D119" s="94" t="s">
        <v>1029</v>
      </c>
      <c r="E119" s="94" t="s">
        <v>1540</v>
      </c>
      <c r="F119" s="94" t="s">
        <v>667</v>
      </c>
      <c r="G119" s="94" t="s">
        <v>669</v>
      </c>
      <c r="H119" s="84" t="s">
        <v>73</v>
      </c>
      <c r="I119" s="84" t="s">
        <v>148</v>
      </c>
      <c r="J119" s="85" t="s">
        <v>149</v>
      </c>
      <c r="AB119" s="52" t="s">
        <v>292</v>
      </c>
      <c r="AC119" s="1516" t="e">
        <f>(SUM(AC$104:AT$104)+AU$104/3+SUM(AW$104:AY$104)+AV$104*(SUM(AC$105:AY$105)-AU$105/3*2)/(SUM(AC$105:AY$105)+'Man Par.'!AC127+'Man Par.'!AD127))*1000000/(AC$8/$AQ$71)</f>
        <v>#N/A</v>
      </c>
      <c r="AD119" s="95" t="e">
        <f t="shared" ref="AD119:AF120" si="7">AC119</f>
        <v>#N/A</v>
      </c>
      <c r="AE119" s="95" t="e">
        <f t="shared" si="7"/>
        <v>#N/A</v>
      </c>
      <c r="AF119" s="95" t="e">
        <f t="shared" si="7"/>
        <v>#N/A</v>
      </c>
      <c r="AG119" s="899"/>
    </row>
    <row r="120" spans="2:33">
      <c r="B120" s="87" t="s">
        <v>460</v>
      </c>
      <c r="C120" s="1143">
        <f ca="1">'BatPaC IO'!K5</f>
        <v>50</v>
      </c>
      <c r="D120" s="839">
        <f ca="1">'BatPaC IO'!B5</f>
        <v>25.5</v>
      </c>
      <c r="E120" s="839">
        <f ca="1">'BatPaC IO'!O5</f>
        <v>24</v>
      </c>
      <c r="F120" s="839">
        <f ca="1">'BatPaC IO'!P5</f>
        <v>25</v>
      </c>
      <c r="G120" s="839">
        <f ca="1">'BatPaC IO'!Q5</f>
        <v>26</v>
      </c>
      <c r="H120" s="108">
        <f ca="1">'BatPaC IO'!R5</f>
        <v>26</v>
      </c>
      <c r="I120" s="108">
        <f>'BatPaC IO'!N5</f>
        <v>9</v>
      </c>
      <c r="J120" s="109">
        <f>'BatPaC IO'!S5</f>
        <v>10</v>
      </c>
      <c r="AB120" s="55" t="s">
        <v>293</v>
      </c>
      <c r="AC120" s="213" t="e">
        <f>(SUM(AC$105:AY$105)-AU105/3*2)*'BatPaC IO'!$A$59/(AC$8/AQ71)</f>
        <v>#N/A</v>
      </c>
      <c r="AD120" s="104" t="e">
        <f t="shared" si="7"/>
        <v>#N/A</v>
      </c>
      <c r="AE120" s="104" t="e">
        <f t="shared" si="7"/>
        <v>#N/A</v>
      </c>
      <c r="AF120" s="104" t="e">
        <f t="shared" si="7"/>
        <v>#N/A</v>
      </c>
    </row>
    <row r="121" spans="2:33">
      <c r="AB121" s="53" t="s">
        <v>294</v>
      </c>
      <c r="AC121" s="102" t="e">
        <f>AC$116*'BatPaC IO'!$M$59</f>
        <v>#N/A</v>
      </c>
      <c r="AD121" s="102" t="e">
        <f>AD$116*'BatPaC IO'!$M$59</f>
        <v>#N/A</v>
      </c>
      <c r="AE121" s="102" t="e">
        <f>AE$116*'BatPaC IO'!$M$59</f>
        <v>#N/A</v>
      </c>
      <c r="AF121" s="102" t="e">
        <f>AF$116*'BatPaC IO'!$M$59</f>
        <v>#N/A</v>
      </c>
    </row>
    <row r="122" spans="2:33">
      <c r="AB122" s="54" t="s">
        <v>124</v>
      </c>
      <c r="AC122" s="96" t="e">
        <f>(SUM(AC$109:AC$114)+AC$121)*'BatPaC IO'!$N$59</f>
        <v>#N/A</v>
      </c>
      <c r="AD122" s="96" t="e">
        <f>(SUM(AD$109:AD$114)+AD$121)*'BatPaC IO'!$N$59</f>
        <v>#N/A</v>
      </c>
      <c r="AE122" s="96" t="e">
        <f>(SUM(AE$109:AE$114)+AE$121)*'BatPaC IO'!$N$59</f>
        <v>#N/A</v>
      </c>
      <c r="AF122" s="96" t="e">
        <f>(SUM(AF$109:AF$114)+AF$121)*'BatPaC IO'!$N$59</f>
        <v>#N/A</v>
      </c>
    </row>
    <row r="123" spans="2:33">
      <c r="AB123" s="54" t="s">
        <v>193</v>
      </c>
      <c r="AC123" s="105" t="e">
        <f>SUM(AC$109:AC$114)+SUM(AC$121:AC$122)</f>
        <v>#N/A</v>
      </c>
      <c r="AD123" s="105" t="e">
        <f>SUM(AD$109:AD$114)+SUM(AD$121:AD$122)</f>
        <v>#N/A</v>
      </c>
      <c r="AE123" s="105" t="e">
        <f>SUM(AE$109:AE$114)+SUM(AE$121:AE$122)</f>
        <v>#N/A</v>
      </c>
      <c r="AF123" s="105" t="e">
        <f>SUM(AF$109:AF$114)+SUM(AF$121:AF$122)</f>
        <v>#N/A</v>
      </c>
    </row>
  </sheetData>
  <mergeCells count="5">
    <mergeCell ref="AD38:AK38"/>
    <mergeCell ref="AD57:AF57"/>
    <mergeCell ref="AG57:AI57"/>
    <mergeCell ref="AD16:AK16"/>
    <mergeCell ref="AD21:AK21"/>
  </mergeCells>
  <phoneticPr fontId="153" type="noConversion"/>
  <dataValidations disablePrompts="1" count="1">
    <dataValidation type="list" allowBlank="1" showInputMessage="1" showErrorMessage="1" sqref="AC59:AC60" xr:uid="{00000000-0002-0000-0800-000000000000}">
      <formula1>Solvent</formula1>
    </dataValidation>
  </dataValidations>
  <pageMargins left="0.7" right="0.7" top="0.75" bottom="0.75" header="0.3" footer="0.3"/>
  <pageSetup orientation="portrait" verticalDpi="0"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rgb="FF92D050"/>
  </sheetPr>
  <dimension ref="A1:DZ322"/>
  <sheetViews>
    <sheetView workbookViewId="0">
      <pane ySplit="5" topLeftCell="A54" activePane="bottomLeft" state="frozen"/>
      <selection pane="bottomLeft" activeCell="H59" sqref="H59"/>
    </sheetView>
  </sheetViews>
  <sheetFormatPr defaultColWidth="8.83203125" defaultRowHeight="14"/>
  <cols>
    <col min="1" max="1" width="8.83203125" style="111"/>
    <col min="2" max="2" width="26.75" style="111" customWidth="1"/>
    <col min="3" max="3" width="19.4140625" style="111" customWidth="1"/>
    <col min="4" max="4" width="18.75" style="111" customWidth="1"/>
    <col min="5" max="5" width="16.4140625" style="111" customWidth="1"/>
    <col min="6" max="6" width="22.75" style="111" customWidth="1"/>
    <col min="7" max="7" width="17.1640625" style="111" customWidth="1"/>
    <col min="8" max="8" width="18.4140625" style="111" customWidth="1"/>
    <col min="9" max="9" width="18.25" style="111" customWidth="1"/>
    <col min="10" max="10" width="12.25" style="111" customWidth="1"/>
    <col min="11" max="11" width="13.75" style="111" customWidth="1"/>
    <col min="12" max="12" width="10" style="111" customWidth="1"/>
    <col min="13" max="13" width="11.25" style="111" customWidth="1"/>
    <col min="14" max="14" width="12.1640625" style="111" customWidth="1"/>
    <col min="15" max="15" width="10.83203125" style="111" customWidth="1"/>
    <col min="16" max="16" width="8.1640625" style="111" customWidth="1"/>
    <col min="17" max="17" width="10.25" style="111" customWidth="1"/>
    <col min="18" max="18" width="7.75" style="111" customWidth="1"/>
    <col min="19" max="19" width="9.25" style="111" customWidth="1"/>
    <col min="20" max="20" width="16.4140625" style="111" customWidth="1"/>
    <col min="21" max="21" width="11.4140625" style="111" customWidth="1"/>
    <col min="22" max="26" width="8.83203125" style="111"/>
    <col min="27" max="27" width="32.1640625" style="111" customWidth="1"/>
    <col min="28" max="28" width="20.75" style="111" customWidth="1"/>
    <col min="29" max="29" width="17.75" style="111" customWidth="1"/>
    <col min="30" max="30" width="19.75" style="111" customWidth="1"/>
    <col min="31" max="31" width="13.83203125" style="111" customWidth="1"/>
    <col min="32" max="32" width="18.83203125" style="111" customWidth="1"/>
    <col min="33" max="33" width="13.25" style="111" customWidth="1"/>
    <col min="34" max="36" width="8.83203125" style="111"/>
    <col min="37" max="37" width="10.25" style="111" customWidth="1"/>
    <col min="38" max="52" width="8.83203125" style="111"/>
    <col min="53" max="53" width="36.4140625" style="111" customWidth="1"/>
    <col min="54" max="54" width="25.83203125" style="111" customWidth="1"/>
    <col min="55" max="55" width="19.25" style="111" customWidth="1"/>
    <col min="56" max="56" width="18.4140625" style="111" customWidth="1"/>
    <col min="57" max="57" width="19.4140625" style="111" customWidth="1"/>
    <col min="58" max="58" width="11.4140625" style="111" customWidth="1"/>
    <col min="59" max="78" width="8.83203125" style="111"/>
    <col min="79" max="79" width="23.4140625" style="111" customWidth="1"/>
    <col min="80" max="80" width="35" style="111" customWidth="1"/>
    <col min="81" max="81" width="22" style="111" customWidth="1"/>
    <col min="82" max="82" width="20.4140625" style="111" customWidth="1"/>
    <col min="83" max="83" width="16.4140625" style="111" customWidth="1"/>
    <col min="84" max="104" width="8.83203125" style="111"/>
    <col min="105" max="105" width="25.75" style="111" customWidth="1"/>
    <col min="106" max="106" width="36.83203125" style="111" customWidth="1"/>
    <col min="107" max="107" width="19.83203125" style="111" customWidth="1"/>
    <col min="108" max="108" width="22.4140625" style="111" customWidth="1"/>
    <col min="109" max="110" width="8.83203125" style="111"/>
    <col min="111" max="111" width="12.75" style="111" customWidth="1"/>
    <col min="112" max="16384" width="8.83203125" style="111"/>
  </cols>
  <sheetData>
    <row r="1" spans="2:130">
      <c r="B1"/>
    </row>
    <row r="2" spans="2:130">
      <c r="B2"/>
      <c r="D2" s="111" t="s">
        <v>684</v>
      </c>
      <c r="H2" s="111" t="s">
        <v>687</v>
      </c>
      <c r="AA2" s="111" t="s">
        <v>704</v>
      </c>
      <c r="BA2" s="111" t="s">
        <v>685</v>
      </c>
      <c r="CA2" s="111" t="s">
        <v>686</v>
      </c>
    </row>
    <row r="3" spans="2:130">
      <c r="B3"/>
      <c r="DA3"/>
      <c r="DB3"/>
      <c r="DC3"/>
      <c r="DD3"/>
      <c r="DE3"/>
      <c r="DF3"/>
      <c r="DG3"/>
      <c r="DH3"/>
      <c r="DI3"/>
      <c r="DJ3"/>
      <c r="DK3"/>
      <c r="DL3"/>
      <c r="DM3"/>
    </row>
    <row r="4" spans="2:130">
      <c r="DA4"/>
      <c r="DB4"/>
      <c r="DC4"/>
      <c r="DD4"/>
      <c r="DE4"/>
      <c r="DF4"/>
      <c r="DG4"/>
      <c r="DH4"/>
      <c r="DI4"/>
      <c r="DJ4"/>
      <c r="DK4"/>
      <c r="DL4"/>
      <c r="DM4"/>
    </row>
    <row r="5" spans="2:130" ht="19.5" thickBot="1">
      <c r="B5" s="142" t="s">
        <v>357</v>
      </c>
      <c r="C5" s="142"/>
      <c r="D5" s="142"/>
      <c r="E5" s="142"/>
      <c r="F5" s="142"/>
      <c r="G5" s="142"/>
      <c r="H5" s="142"/>
      <c r="I5" s="142"/>
      <c r="J5" s="142"/>
      <c r="K5" s="142"/>
      <c r="L5" s="142"/>
      <c r="M5" s="142"/>
      <c r="N5" s="142"/>
      <c r="O5" s="142"/>
      <c r="P5" s="142"/>
      <c r="Q5" s="142"/>
      <c r="R5" s="142"/>
      <c r="S5" s="142"/>
      <c r="T5" s="142"/>
      <c r="U5" s="142"/>
      <c r="AA5" s="142" t="s">
        <v>699</v>
      </c>
      <c r="AB5" s="142"/>
      <c r="AC5" s="142"/>
      <c r="AD5" s="142"/>
      <c r="AE5" s="142"/>
      <c r="AF5" s="142"/>
      <c r="AG5" s="142"/>
      <c r="AH5" s="142"/>
      <c r="AI5" s="142"/>
      <c r="AJ5" s="142"/>
      <c r="AK5" s="142"/>
      <c r="AL5" s="142"/>
      <c r="AM5" s="142"/>
      <c r="AN5" s="142"/>
      <c r="AO5" s="142"/>
      <c r="AP5" s="142"/>
      <c r="AQ5" s="142"/>
      <c r="AR5" s="142"/>
      <c r="AS5" s="142"/>
      <c r="AT5" s="142"/>
      <c r="AU5" s="142"/>
      <c r="BA5" s="142" t="s">
        <v>700</v>
      </c>
      <c r="BB5" s="142"/>
      <c r="BC5" s="142"/>
      <c r="BD5" s="142"/>
      <c r="BE5" s="142"/>
      <c r="BF5" s="142"/>
      <c r="BG5" s="142"/>
      <c r="BH5" s="142"/>
      <c r="BI5" s="142"/>
      <c r="BJ5" s="142"/>
      <c r="BK5" s="142"/>
      <c r="BL5" s="142"/>
      <c r="BM5" s="142"/>
      <c r="BN5" s="142"/>
      <c r="BO5" s="142"/>
      <c r="BP5" s="142"/>
      <c r="BQ5" s="142"/>
      <c r="BR5" s="142"/>
      <c r="BS5" s="142"/>
      <c r="BT5" s="142"/>
      <c r="CA5" s="142" t="s">
        <v>701</v>
      </c>
      <c r="CB5" s="142"/>
      <c r="CC5" s="142"/>
      <c r="CD5" s="142"/>
      <c r="CE5" s="142"/>
      <c r="CF5" s="142"/>
      <c r="CG5" s="142"/>
      <c r="CH5" s="142"/>
      <c r="CI5" s="142"/>
      <c r="CJ5" s="142"/>
      <c r="CK5" s="142"/>
      <c r="CL5" s="142"/>
      <c r="CM5" s="142"/>
      <c r="CN5" s="142"/>
      <c r="CO5" s="142"/>
      <c r="CP5" s="142"/>
      <c r="CQ5" s="142"/>
      <c r="CR5" s="142"/>
      <c r="CS5" s="142"/>
      <c r="CT5" s="142"/>
      <c r="DA5"/>
      <c r="DB5"/>
      <c r="DC5"/>
      <c r="DD5"/>
      <c r="DE5"/>
      <c r="DF5"/>
      <c r="DG5"/>
      <c r="DH5"/>
      <c r="DI5"/>
      <c r="DJ5"/>
      <c r="DK5"/>
      <c r="DL5"/>
      <c r="DM5"/>
      <c r="DN5"/>
      <c r="DO5"/>
      <c r="DP5"/>
      <c r="DQ5"/>
      <c r="DR5"/>
      <c r="DS5"/>
      <c r="DT5"/>
      <c r="DU5"/>
      <c r="DV5"/>
      <c r="DW5"/>
      <c r="DX5"/>
      <c r="DY5"/>
      <c r="DZ5"/>
    </row>
    <row r="6" spans="2:130" ht="14.5" thickTop="1">
      <c r="B6" s="133" t="s">
        <v>160</v>
      </c>
      <c r="AA6" s="133" t="s">
        <v>160</v>
      </c>
      <c r="BA6" s="133" t="s">
        <v>160</v>
      </c>
      <c r="BE6"/>
      <c r="BF6"/>
      <c r="CA6" s="133" t="s">
        <v>160</v>
      </c>
      <c r="CE6"/>
      <c r="CF6"/>
      <c r="CG6"/>
      <c r="CH6"/>
      <c r="DA6"/>
      <c r="DB6"/>
      <c r="DC6"/>
      <c r="DD6"/>
      <c r="DE6"/>
      <c r="DF6"/>
      <c r="DG6"/>
      <c r="DH6"/>
      <c r="DI6"/>
      <c r="DJ6"/>
      <c r="DK6"/>
      <c r="DL6"/>
      <c r="DM6"/>
    </row>
    <row r="7" spans="2:130">
      <c r="B7" s="133" t="s">
        <v>1887</v>
      </c>
      <c r="AA7" s="2" t="s">
        <v>708</v>
      </c>
      <c r="AB7"/>
      <c r="AC7"/>
      <c r="AD7"/>
      <c r="BA7" s="2" t="s">
        <v>708</v>
      </c>
      <c r="BB7"/>
      <c r="BC7"/>
      <c r="BD7"/>
      <c r="BE7"/>
      <c r="BF7"/>
      <c r="CA7" s="2" t="s">
        <v>708</v>
      </c>
      <c r="CB7"/>
      <c r="CC7"/>
      <c r="CD7"/>
      <c r="CE7"/>
      <c r="CF7"/>
      <c r="CG7"/>
      <c r="CH7"/>
      <c r="DA7"/>
      <c r="DB7"/>
      <c r="DC7"/>
      <c r="DD7"/>
      <c r="DE7"/>
      <c r="DF7"/>
      <c r="DG7"/>
      <c r="DH7"/>
      <c r="DI7"/>
      <c r="DJ7"/>
      <c r="DK7"/>
      <c r="DL7"/>
      <c r="DM7"/>
    </row>
    <row r="8" spans="2:130">
      <c r="B8" s="133" t="s">
        <v>1888</v>
      </c>
      <c r="M8" s="115"/>
      <c r="AA8" s="678"/>
      <c r="AB8" s="623" t="s">
        <v>705</v>
      </c>
      <c r="AC8" s="678" t="s">
        <v>542</v>
      </c>
      <c r="AD8"/>
      <c r="AE8"/>
      <c r="AF8"/>
      <c r="AG8"/>
      <c r="AH8"/>
      <c r="BA8" s="678"/>
      <c r="BB8" s="623" t="s">
        <v>543</v>
      </c>
      <c r="BC8"/>
      <c r="BD8"/>
      <c r="BE8"/>
      <c r="BF8"/>
      <c r="CA8" s="678"/>
      <c r="CB8" s="623" t="s">
        <v>546</v>
      </c>
      <c r="CC8"/>
      <c r="CD8"/>
      <c r="CE8"/>
      <c r="CF8"/>
      <c r="CG8"/>
      <c r="CH8"/>
      <c r="DA8"/>
      <c r="DB8"/>
      <c r="DC8"/>
      <c r="DD8"/>
      <c r="DE8"/>
      <c r="DF8"/>
      <c r="DG8"/>
      <c r="DH8"/>
      <c r="DI8"/>
      <c r="DJ8"/>
      <c r="DK8"/>
      <c r="DL8"/>
      <c r="DM8"/>
    </row>
    <row r="9" spans="2:130">
      <c r="B9" s="622"/>
      <c r="C9" s="622" t="s">
        <v>43</v>
      </c>
      <c r="D9" s="622" t="s">
        <v>44</v>
      </c>
      <c r="E9" s="622" t="s">
        <v>443</v>
      </c>
      <c r="F9" s="622" t="s">
        <v>36</v>
      </c>
      <c r="AA9" s="678" t="s">
        <v>539</v>
      </c>
      <c r="AB9" s="681">
        <f t="shared" ref="AB9:AC11" si="0">INDEX($B$40:$F$49, MATCH($AA9,$B$40:$B$49,0),MATCH(AB$8,$B$40:$F$40,0))</f>
        <v>0.46990743163271659</v>
      </c>
      <c r="AC9" s="681">
        <f t="shared" si="0"/>
        <v>0</v>
      </c>
      <c r="AD9"/>
      <c r="AE9"/>
      <c r="AF9"/>
      <c r="AG9"/>
      <c r="AH9"/>
      <c r="BA9" s="678" t="s">
        <v>538</v>
      </c>
      <c r="BB9" s="681">
        <f>INDEX($B$40:$F$49, MATCH(BA9,$B$40:$B$49,0),MATCH(BB$8,$B$40:$F$40,0))</f>
        <v>0.63348416289592768</v>
      </c>
      <c r="BC9"/>
      <c r="BD9"/>
      <c r="BE9"/>
      <c r="BF9"/>
      <c r="CA9" s="678" t="s">
        <v>400</v>
      </c>
      <c r="CB9" s="681">
        <f>INDEX($B$40:$F$49, MATCH(CA9,$B$40:$B$49,0),MATCH(CB$8,$B$40:$F$40,0))</f>
        <v>1.1666666666666667</v>
      </c>
      <c r="CC9"/>
      <c r="CD9"/>
      <c r="CE9"/>
      <c r="CF9"/>
      <c r="CG9"/>
      <c r="CH9"/>
      <c r="DA9"/>
      <c r="DB9"/>
      <c r="DC9"/>
      <c r="DD9"/>
      <c r="DE9"/>
      <c r="DF9"/>
      <c r="DG9"/>
      <c r="DH9"/>
      <c r="DI9"/>
      <c r="DJ9"/>
      <c r="DK9"/>
      <c r="DL9"/>
      <c r="DM9"/>
    </row>
    <row r="10" spans="2:130">
      <c r="B10" s="29" t="s">
        <v>1398</v>
      </c>
      <c r="C10" s="1112">
        <f>IFERROR(VLOOKUP($B10,'CM Rec Par.'!BB$127:BC$135,2,FALSE),0)*'CM Rec Par.'!BD$25/SUM(Input!$F$28:$F$32)</f>
        <v>0.122</v>
      </c>
      <c r="D10" s="1112">
        <f>IFERROR(VLOOKUP($B10,'CM Rec Par.'!CB$126:CC$136,2,FALSE),0)*'CM Rec Par.'!CD$25/SUM(Input!$F$28:$F$32)</f>
        <v>0.126</v>
      </c>
      <c r="E10" s="1112">
        <f>IFERROR(VLOOKUP($B10,'CM Rec Par.'!DB$126:DC$136,2,FALSE),0)*'CM Rec Par.'!DD$25/SUM(Input!$F$28:$F$32)</f>
        <v>0</v>
      </c>
      <c r="F10" s="1112">
        <f>IFERROR(VLOOKUP($B10,'CM Rec Par.'!EB$127:EC$137,2,FALSE),0)*'CM Rec Par.'!ED$26/SUM(Input!$F$28:$F$32)</f>
        <v>0</v>
      </c>
      <c r="AA10" s="678" t="s">
        <v>538</v>
      </c>
      <c r="AB10" s="681">
        <f t="shared" si="0"/>
        <v>0</v>
      </c>
      <c r="AC10" s="681">
        <f t="shared" si="0"/>
        <v>0.63266623628147189</v>
      </c>
      <c r="AD10"/>
      <c r="AE10"/>
      <c r="AF10"/>
      <c r="AG10"/>
      <c r="AH10"/>
      <c r="BA10"/>
      <c r="BB10"/>
      <c r="BC10"/>
      <c r="BD10"/>
      <c r="BE10"/>
      <c r="BF10"/>
      <c r="CA10"/>
      <c r="CB10"/>
      <c r="CC10"/>
      <c r="CD10"/>
      <c r="CE10"/>
      <c r="CF10"/>
      <c r="CG10"/>
      <c r="CH10"/>
      <c r="DA10"/>
      <c r="DB10"/>
      <c r="DC10"/>
      <c r="DD10"/>
      <c r="DE10"/>
      <c r="DF10"/>
      <c r="DG10"/>
      <c r="DH10"/>
      <c r="DI10"/>
      <c r="DJ10"/>
      <c r="DK10"/>
      <c r="DL10"/>
      <c r="DM10"/>
    </row>
    <row r="11" spans="2:130">
      <c r="B11" s="29" t="s">
        <v>1400</v>
      </c>
      <c r="C11" s="1112">
        <f>IFERROR(VLOOKUP($B11,'CM Rec Par.'!BB$127:BC$135,2,FALSE),0)*'CM Rec Par.'!BD$25/SUM(Input!$F$28:$F$32)</f>
        <v>0.122</v>
      </c>
      <c r="D11" s="1112">
        <f>IFERROR(VLOOKUP($B11,'CM Rec Par.'!CB$126:CC$136,2,FALSE),0)*'CM Rec Par.'!CD$25/SUM(Input!$F$28:$F$32)</f>
        <v>0.126</v>
      </c>
      <c r="E11" s="1112">
        <f>IFERROR(VLOOKUP($B11,'CM Rec Par.'!DB$126:DC$136,2,FALSE),0)*'CM Rec Par.'!DD$25/SUM(Input!$F$28:$F$32)</f>
        <v>0</v>
      </c>
      <c r="F11" s="1112">
        <f>IFERROR(VLOOKUP($B11,'CM Rec Par.'!EB$127:EC$137,2,FALSE),0)*'CM Rec Par.'!ED$26/SUM(Input!$F$28:$F$32)</f>
        <v>0</v>
      </c>
      <c r="AA11" s="1177" t="s">
        <v>1302</v>
      </c>
      <c r="AB11" s="681">
        <f t="shared" si="0"/>
        <v>1.3583261695633215</v>
      </c>
      <c r="AC11" s="681">
        <f t="shared" si="0"/>
        <v>0</v>
      </c>
      <c r="AH11"/>
      <c r="BA11" s="2" t="s">
        <v>707</v>
      </c>
      <c r="BB11"/>
      <c r="BC11"/>
      <c r="BD11"/>
      <c r="BE11"/>
      <c r="BF11"/>
      <c r="CA11" s="2" t="s">
        <v>707</v>
      </c>
      <c r="CB11"/>
      <c r="CC11"/>
      <c r="CD11"/>
      <c r="CE11"/>
      <c r="CF11"/>
      <c r="CG11"/>
      <c r="CH11"/>
      <c r="DA11"/>
      <c r="DB11"/>
      <c r="DC11"/>
      <c r="DD11"/>
      <c r="DE11"/>
      <c r="DF11"/>
      <c r="DG11"/>
      <c r="DH11"/>
      <c r="DI11"/>
      <c r="DJ11"/>
      <c r="DK11"/>
      <c r="DL11"/>
      <c r="DM11"/>
    </row>
    <row r="12" spans="2:130">
      <c r="B12" s="147" t="s">
        <v>1399</v>
      </c>
      <c r="C12" s="1112">
        <f>IFERROR(VLOOKUP($B12,'CM Rec Par.'!BB$127:BC$135,2,FALSE),0)*'CM Rec Par.'!BD$25/SUM(Input!$F$28:$F$32)</f>
        <v>0</v>
      </c>
      <c r="D12" s="1112">
        <f>IFERROR(VLOOKUP($B12,'CM Rec Par.'!CB$126:CC$136,2,FALSE),0)*'CM Rec Par.'!CD$25/SUM(Input!$F$28:$F$32)</f>
        <v>0.11799999999999999</v>
      </c>
      <c r="E12" s="1112">
        <f>IFERROR(VLOOKUP($B12,'CM Rec Par.'!DB$126:DC$136,2,FALSE),0)*'CM Rec Par.'!DD$25/SUM(Input!$F$28:$F$32)</f>
        <v>0</v>
      </c>
      <c r="F12" s="1112">
        <f>IFERROR(VLOOKUP($B12,'CM Rec Par.'!EB$127:EC$137,2,FALSE),0)*'CM Rec Par.'!ED$26/SUM(Input!$F$28:$F$32)</f>
        <v>0</v>
      </c>
      <c r="AA12"/>
      <c r="AB12"/>
      <c r="AC12"/>
      <c r="AD12"/>
      <c r="AE12"/>
      <c r="AF12"/>
      <c r="AG12"/>
      <c r="AH12"/>
      <c r="AI12"/>
      <c r="AJ12"/>
      <c r="AK12"/>
      <c r="AL12"/>
      <c r="BA12" s="678"/>
      <c r="BB12" s="623" t="s">
        <v>543</v>
      </c>
      <c r="BC12"/>
      <c r="BD12"/>
      <c r="BE12"/>
      <c r="BF12"/>
      <c r="CA12" s="678"/>
      <c r="CB12" s="623" t="s">
        <v>546</v>
      </c>
      <c r="CC12"/>
      <c r="CD12"/>
      <c r="CE12"/>
      <c r="CF12"/>
      <c r="CG12"/>
      <c r="CH12"/>
      <c r="DA12"/>
      <c r="DB12"/>
      <c r="DC12"/>
      <c r="DD12"/>
      <c r="DE12"/>
      <c r="DF12"/>
      <c r="DG12"/>
      <c r="DH12"/>
      <c r="DI12"/>
      <c r="DJ12"/>
      <c r="DK12"/>
      <c r="DL12"/>
      <c r="DM12"/>
    </row>
    <row r="13" spans="2:130">
      <c r="B13" s="147" t="s">
        <v>1923</v>
      </c>
      <c r="C13" s="1112">
        <f>IFERROR(VLOOKUP($B13,'CM Rec Par.'!BB$127:BC$135,2,FALSE),0)*'CM Rec Par.'!BD$25/SUM(Input!$F$28:$F$32)</f>
        <v>0</v>
      </c>
      <c r="D13" s="1112">
        <f>IFERROR(VLOOKUP($B13,'CM Rec Par.'!CB$126:CC$136,2,FALSE),0)*'CM Rec Par.'!CD$25/SUM(Input!$F$28:$F$32)</f>
        <v>0</v>
      </c>
      <c r="E13" s="1112">
        <f>IFERROR(VLOOKUP($B13,'CM Rec Par.'!DB$126:DC$136,2,FALSE),0)*'CM Rec Par.'!DD$25/SUM(Input!$F$28:$F$32)</f>
        <v>0</v>
      </c>
      <c r="F13" s="1112">
        <f>IFERROR(VLOOKUP($B13,'CM Rec Par.'!EB$127:EC$137,2,FALSE),0)*'CM Rec Par.'!ED$26/SUM(Input!$F$28:$F$32)</f>
        <v>0</v>
      </c>
      <c r="AA13" s="2" t="s">
        <v>707</v>
      </c>
      <c r="AB13"/>
      <c r="AC13"/>
      <c r="AD13"/>
      <c r="AE13"/>
      <c r="AF13"/>
      <c r="AG13"/>
      <c r="AH13"/>
      <c r="AI13"/>
      <c r="AJ13"/>
      <c r="AK13"/>
      <c r="AL13"/>
      <c r="BA13" s="678" t="s">
        <v>243</v>
      </c>
      <c r="BB13" s="681">
        <f>INDEX($B$40:$F$49, MATCH(BA13,$B$40:$B$49,0),MATCH(BB$8,$B$40:$F$40,0))</f>
        <v>0</v>
      </c>
      <c r="BC13"/>
      <c r="BD13"/>
      <c r="BE13"/>
      <c r="BF13"/>
      <c r="CA13" s="678" t="s">
        <v>243</v>
      </c>
      <c r="CB13" s="681">
        <f>INDEX($B$40:$F$49, MATCH(CA13,$B$40:$B$49,0),MATCH(CB$8,$B$40:$F$40,0))</f>
        <v>11.275483091573868</v>
      </c>
      <c r="CC13"/>
      <c r="CD13"/>
      <c r="CE13"/>
      <c r="CF13"/>
      <c r="CG13"/>
      <c r="CH13"/>
      <c r="DA13"/>
      <c r="DB13"/>
      <c r="DC13"/>
      <c r="DD13"/>
      <c r="DE13"/>
      <c r="DF13"/>
      <c r="DG13"/>
      <c r="DH13"/>
      <c r="DI13"/>
      <c r="DJ13"/>
      <c r="DK13"/>
      <c r="DL13"/>
      <c r="DM13"/>
    </row>
    <row r="14" spans="2:130">
      <c r="B14" s="29" t="s">
        <v>42</v>
      </c>
      <c r="C14" s="1112">
        <f>IFERROR(VLOOKUP($B14,'CM Rec Par.'!BB$127:BC$135,2,FALSE),0)*'CM Rec Par.'!BD$25/SUM(Input!$F$28:$F$32)</f>
        <v>0</v>
      </c>
      <c r="D14" s="1112">
        <f>IFERROR(VLOOKUP($B14,'CM Rec Par.'!CB$126:CC$136,2,FALSE),0)*'CM Rec Par.'!CD$25/SUM(Input!$F$28:$F$32)</f>
        <v>0</v>
      </c>
      <c r="E14" s="1112">
        <f>IFERROR(VLOOKUP($B14,'CM Rec Par.'!DB$126:DC$136,2,FALSE),0)*'CM Rec Par.'!DD$25/SUM(Input!$F$28:$F$32)</f>
        <v>0</v>
      </c>
      <c r="F14" s="1112">
        <f>IFERROR(VLOOKUP($B14,'CM Rec Par.'!EB$127:EC$137,2,FALSE),0)*'CM Rec Par.'!ED$26/SUM(Input!$F$28:$F$32)</f>
        <v>0</v>
      </c>
      <c r="AA14" s="678"/>
      <c r="AB14" s="623" t="s">
        <v>705</v>
      </c>
      <c r="AC14" s="678" t="s">
        <v>542</v>
      </c>
      <c r="AD14"/>
      <c r="AE14"/>
      <c r="AF14"/>
      <c r="AG14"/>
      <c r="AH14"/>
      <c r="AI14"/>
      <c r="AJ14"/>
      <c r="AK14"/>
      <c r="AL14"/>
      <c r="BA14" s="678" t="s">
        <v>363</v>
      </c>
      <c r="BB14" s="681">
        <f>INDEX($B$40:$F$49, MATCH(BA14,$B$40:$B$49,0),MATCH(BB$8,$B$40:$F$40,0))</f>
        <v>0</v>
      </c>
      <c r="BC14"/>
      <c r="BD14"/>
      <c r="BE14"/>
      <c r="BF14"/>
      <c r="CA14" s="678" t="s">
        <v>363</v>
      </c>
      <c r="CB14" s="681">
        <f>INDEX($B$40:$F$49, MATCH(CA14,$B$40:$B$49,0),MATCH(CB$8,$B$40:$F$40,0))</f>
        <v>0</v>
      </c>
      <c r="CC14"/>
      <c r="CD14"/>
      <c r="CE14"/>
      <c r="CF14"/>
      <c r="CG14"/>
      <c r="CH14"/>
      <c r="DA14"/>
      <c r="DB14"/>
      <c r="DC14"/>
      <c r="DD14"/>
      <c r="DE14"/>
      <c r="DF14"/>
      <c r="DG14"/>
      <c r="DH14"/>
      <c r="DI14"/>
      <c r="DJ14"/>
      <c r="DK14"/>
      <c r="DL14"/>
      <c r="DM14"/>
    </row>
    <row r="15" spans="2:130">
      <c r="B15" s="29" t="s">
        <v>1029</v>
      </c>
      <c r="C15" s="1112">
        <f>IFERROR(VLOOKUP($B15,'CM Rec Par.'!BB$127:BC$135,2,FALSE),0)*'CM Rec Par.'!BD$25/SUM(Input!$F$28:$F$32)</f>
        <v>0</v>
      </c>
      <c r="D15" s="1112">
        <f>IFERROR(VLOOKUP($B15,'CM Rec Par.'!CB$126:CC$136,2,FALSE),0)*'CM Rec Par.'!CD$25/SUM(Input!$F$28:$F$32)</f>
        <v>0</v>
      </c>
      <c r="E15" s="1112">
        <f>IFERROR(VLOOKUP($B15,'CM Rec Par.'!DB$126:DC$136,2,FALSE),0)*'CM Rec Par.'!DD$25/SUM(Input!$F$28:$F$32)</f>
        <v>0</v>
      </c>
      <c r="F15" s="1112">
        <f>IFERROR(VLOOKUP($B15,'CM Rec Par.'!EB$127:EC$137,2,FALSE),0)*'CM Rec Par.'!ED$26/SUM(Input!$F$28:$F$32)</f>
        <v>0</v>
      </c>
      <c r="AA15" s="678" t="s">
        <v>243</v>
      </c>
      <c r="AB15" s="681">
        <f>INDEX($B$40:$F$49, MATCH($AA15,$B$40:$B$49,0),MATCH(AB$8,$B$40:$F$40,0))</f>
        <v>15.781373796296295</v>
      </c>
      <c r="AC15" s="681">
        <f>INDEX($B$40:$F$49, MATCH($AA15,$B$40:$B$49,0),MATCH(AC$8,$B$40:$F$40,0))</f>
        <v>0</v>
      </c>
      <c r="AD15"/>
      <c r="AE15"/>
      <c r="AF15"/>
      <c r="AG15"/>
      <c r="AH15"/>
      <c r="AI15"/>
      <c r="AJ15"/>
      <c r="AK15"/>
      <c r="AL15"/>
      <c r="BA15"/>
      <c r="BB15"/>
      <c r="BC15"/>
      <c r="BD15"/>
      <c r="BE15"/>
      <c r="BF15"/>
      <c r="CA15"/>
      <c r="CB15"/>
      <c r="CC15"/>
      <c r="CD15"/>
      <c r="CE15"/>
      <c r="CF15"/>
      <c r="CG15"/>
      <c r="CH15"/>
      <c r="DA15"/>
      <c r="DB15"/>
      <c r="DC15"/>
      <c r="DD15"/>
      <c r="DE15"/>
      <c r="DF15"/>
      <c r="DG15"/>
      <c r="DH15"/>
      <c r="DI15"/>
      <c r="DJ15"/>
      <c r="DK15"/>
      <c r="DL15"/>
      <c r="DM15"/>
    </row>
    <row r="16" spans="2:130">
      <c r="B16" s="29" t="s">
        <v>1540</v>
      </c>
      <c r="C16" s="1112">
        <f>IFERROR(VLOOKUP($B16,'CM Rec Par.'!BB$127:BC$135,2,FALSE),0)*'CM Rec Par.'!BD$25/SUM(Input!$F$28:$F$32)</f>
        <v>0</v>
      </c>
      <c r="D16" s="1112">
        <f>IFERROR(VLOOKUP($B16,'CM Rec Par.'!CB$126:CC$136,2,FALSE),0)*'CM Rec Par.'!CD$25/SUM(Input!$F$28:$F$32)</f>
        <v>0</v>
      </c>
      <c r="E16" s="1112">
        <f>IFERROR(VLOOKUP($B16,'CM Rec Par.'!DB$126:DC$136,2,FALSE),0)*'CM Rec Par.'!DD$25/SUM(Input!$F$28:$F$32)</f>
        <v>0</v>
      </c>
      <c r="F16" s="1112">
        <f>IFERROR(VLOOKUP($B16,'CM Rec Par.'!EB$127:EC$137,2,FALSE),0)*'CM Rec Par.'!ED$26/SUM(Input!$F$28:$F$32)</f>
        <v>0</v>
      </c>
      <c r="AA16" s="678" t="s">
        <v>363</v>
      </c>
      <c r="AB16" s="681">
        <f>INDEX($B$40:$F$49, MATCH($AA16,$B$40:$B$49,0),MATCH(AB$8,$B$40:$F$40,0))</f>
        <v>9.5259801587301587E-2</v>
      </c>
      <c r="AC16" s="681">
        <f>INDEX($B$40:$F$49, MATCH($AA16,$B$40:$B$49,0),MATCH(AC$8,$B$40:$F$40,0))</f>
        <v>0</v>
      </c>
      <c r="AD16"/>
      <c r="AE16"/>
      <c r="AF16"/>
      <c r="AG16"/>
      <c r="AH16"/>
      <c r="AI16"/>
      <c r="BA16" s="2" t="s">
        <v>706</v>
      </c>
      <c r="BB16"/>
      <c r="BC16"/>
      <c r="BD16"/>
      <c r="BE16"/>
      <c r="BF16"/>
      <c r="CA16" s="2" t="s">
        <v>706</v>
      </c>
      <c r="CB16"/>
      <c r="CC16"/>
      <c r="CD16"/>
      <c r="CE16"/>
      <c r="CF16"/>
      <c r="CG16"/>
      <c r="CH16"/>
      <c r="DA16"/>
      <c r="DB16"/>
      <c r="DC16"/>
      <c r="DD16"/>
      <c r="DE16"/>
      <c r="DF16"/>
      <c r="DG16"/>
      <c r="DH16"/>
      <c r="DI16"/>
      <c r="DJ16"/>
      <c r="DK16"/>
      <c r="DL16"/>
      <c r="DM16"/>
    </row>
    <row r="17" spans="2:117">
      <c r="B17" s="29" t="s">
        <v>667</v>
      </c>
      <c r="C17" s="1112">
        <f>IFERROR(VLOOKUP($B17,'CM Rec Par.'!BB$127:BC$135,2,FALSE),0)*'CM Rec Par.'!BD$25/SUM(Input!$F$28:$F$32)</f>
        <v>0</v>
      </c>
      <c r="D17" s="1112">
        <f>IFERROR(VLOOKUP($B17,'CM Rec Par.'!CB$126:CC$136,2,FALSE),0)*'CM Rec Par.'!CD$25/SUM(Input!$F$28:$F$32)</f>
        <v>0</v>
      </c>
      <c r="E17" s="1112">
        <f>IFERROR(VLOOKUP($B17,'CM Rec Par.'!DB$126:DC$136,2,FALSE),0)*'CM Rec Par.'!DD$25/SUM(Input!$F$28:$F$32)</f>
        <v>0.56999999999999995</v>
      </c>
      <c r="F17" s="1112">
        <f>IFERROR(VLOOKUP($B17,'CM Rec Par.'!EB$127:EC$137,2,FALSE),0)*'CM Rec Par.'!ED$26/SUM(Input!$F$28:$F$32)</f>
        <v>0.8</v>
      </c>
      <c r="AA17"/>
      <c r="AB17"/>
      <c r="AC17"/>
      <c r="AD17"/>
      <c r="AE17"/>
      <c r="AF17"/>
      <c r="AG17"/>
      <c r="AH17"/>
      <c r="AI17"/>
      <c r="BA17" s="678"/>
      <c r="BB17" s="623" t="s">
        <v>543</v>
      </c>
      <c r="BC17"/>
      <c r="BD17"/>
      <c r="BE17"/>
      <c r="BF17"/>
      <c r="CA17" s="678"/>
      <c r="CB17" s="623" t="s">
        <v>546</v>
      </c>
      <c r="CC17"/>
      <c r="CD17"/>
      <c r="CE17"/>
      <c r="CF17"/>
      <c r="CG17"/>
      <c r="CH17"/>
      <c r="DA17"/>
      <c r="DB17"/>
      <c r="DC17"/>
      <c r="DD17"/>
      <c r="DE17"/>
      <c r="DF17"/>
      <c r="DG17"/>
      <c r="DH17"/>
      <c r="DI17"/>
      <c r="DJ17"/>
      <c r="DK17"/>
      <c r="DL17"/>
      <c r="DM17"/>
    </row>
    <row r="18" spans="2:117">
      <c r="B18" s="29" t="s">
        <v>669</v>
      </c>
      <c r="C18" s="1112">
        <f>IFERROR(VLOOKUP($B18,'CM Rec Par.'!BB$127:BC$135,2,FALSE),0)*'CM Rec Par.'!BD$25/SUM(Input!$F$28:$F$32)</f>
        <v>0</v>
      </c>
      <c r="D18" s="1112">
        <f>IFERROR(VLOOKUP($B18,'CM Rec Par.'!CB$126:CC$136,2,FALSE),0)*'CM Rec Par.'!CD$25/SUM(Input!$F$28:$F$32)</f>
        <v>0</v>
      </c>
      <c r="E18" s="1112">
        <f>IFERROR(VLOOKUP($B18,'CM Rec Par.'!DB$126:DC$136,2,FALSE),0)*'CM Rec Par.'!DD$25/SUM(Input!$F$28:$F$32)</f>
        <v>0</v>
      </c>
      <c r="F18" s="1112">
        <f>IFERROR(VLOOKUP($B18,'CM Rec Par.'!EB$127:EC$137,2,FALSE),0)*'CM Rec Par.'!ED$26/SUM(Input!$F$28:$F$32)</f>
        <v>0</v>
      </c>
      <c r="AA18" s="2" t="s">
        <v>709</v>
      </c>
      <c r="AB18"/>
      <c r="AC18"/>
      <c r="AD18"/>
      <c r="AE18"/>
      <c r="AF18"/>
      <c r="AG18"/>
      <c r="AH18"/>
      <c r="AI18"/>
      <c r="BA18" s="678" t="s">
        <v>374</v>
      </c>
      <c r="BB18" s="681">
        <f>F46</f>
        <v>0.2</v>
      </c>
      <c r="BC18"/>
      <c r="BD18"/>
      <c r="BE18"/>
      <c r="BF18"/>
      <c r="CA18" s="678" t="s">
        <v>374</v>
      </c>
      <c r="CB18" s="681">
        <f>C46</f>
        <v>7.382688374129172</v>
      </c>
      <c r="CC18"/>
      <c r="CD18"/>
      <c r="CE18"/>
      <c r="CF18"/>
      <c r="CG18"/>
      <c r="CH18"/>
      <c r="DA18"/>
      <c r="DB18"/>
      <c r="DC18"/>
      <c r="DD18"/>
      <c r="DE18"/>
      <c r="DF18"/>
      <c r="DG18"/>
      <c r="DH18"/>
      <c r="DI18"/>
      <c r="DJ18"/>
      <c r="DK18"/>
      <c r="DL18"/>
      <c r="DM18"/>
    </row>
    <row r="19" spans="2:117">
      <c r="B19" s="29" t="s">
        <v>73</v>
      </c>
      <c r="C19" s="1112">
        <f>IFERROR(VLOOKUP($B19,'CM Rec Par.'!BB$127:BC$135,2,FALSE),0)*'CM Rec Par.'!BD$25/SUM(Input!$F$28:$F$32)</f>
        <v>0</v>
      </c>
      <c r="D19" s="1112">
        <f>IFERROR(VLOOKUP($B19,'CM Rec Par.'!CB$126:CC$136,2,FALSE),0)*'CM Rec Par.'!CD$25/SUM(Input!$F$28:$F$32)</f>
        <v>0</v>
      </c>
      <c r="E19" s="1112">
        <f>IFERROR(VLOOKUP($B19,'CM Rec Par.'!DB$126:DC$136,2,FALSE),0)*'CM Rec Par.'!DD$25/SUM(Input!$F$28:$F$32)</f>
        <v>0</v>
      </c>
      <c r="F19" s="1112">
        <f>IFERROR(VLOOKUP($B19,'CM Rec Par.'!EB$127:EC$137,2,FALSE),0)*'CM Rec Par.'!ED$26/SUM(Input!$F$28:$F$32)</f>
        <v>0</v>
      </c>
      <c r="AA19" s="678"/>
      <c r="AB19" s="623" t="s">
        <v>705</v>
      </c>
      <c r="AC19" s="678" t="s">
        <v>542</v>
      </c>
      <c r="AD19"/>
      <c r="AE19"/>
      <c r="AF19"/>
      <c r="AG19"/>
      <c r="AH19"/>
      <c r="AI19"/>
      <c r="BC19"/>
      <c r="BD19"/>
      <c r="BE19"/>
      <c r="BF19"/>
      <c r="CC19"/>
      <c r="CD19"/>
      <c r="CE19"/>
      <c r="CF19"/>
      <c r="CG19"/>
      <c r="CH19"/>
      <c r="DA19"/>
      <c r="DB19"/>
      <c r="DC19"/>
      <c r="DD19"/>
      <c r="DE19"/>
      <c r="DF19"/>
      <c r="DG19"/>
      <c r="DH19"/>
      <c r="DI19"/>
      <c r="DJ19"/>
      <c r="DK19"/>
      <c r="DL19"/>
      <c r="DM19"/>
    </row>
    <row r="20" spans="2:117">
      <c r="B20" s="29" t="s">
        <v>148</v>
      </c>
      <c r="C20" s="1112">
        <f>IFERROR(VLOOKUP($B20,'CM Rec Par.'!BB$127:BC$135,2,FALSE),0)*'CM Rec Par.'!BD$25/SUM(Input!$F$28:$F$32)</f>
        <v>0</v>
      </c>
      <c r="D20" s="1112">
        <f>IFERROR(VLOOKUP($B20,'CM Rec Par.'!CB$126:CC$136,2,FALSE),0)*'CM Rec Par.'!CD$25/SUM(Input!$F$28:$F$32)</f>
        <v>0</v>
      </c>
      <c r="E20" s="1112">
        <f>IFERROR(VLOOKUP($B20,'CM Rec Par.'!DB$126:DC$136,2,FALSE),0)*'CM Rec Par.'!DD$25/SUM(Input!$F$28:$F$32)</f>
        <v>0</v>
      </c>
      <c r="F20" s="1112">
        <f>IFERROR(VLOOKUP($B20,'CM Rec Par.'!EB$127:EC$137,2,FALSE),0)*'CM Rec Par.'!ED$26/SUM(Input!$F$28:$F$32)</f>
        <v>0</v>
      </c>
      <c r="AA20" s="678" t="s">
        <v>374</v>
      </c>
      <c r="AB20" s="1175">
        <f>E46</f>
        <v>2.6600671957748898</v>
      </c>
      <c r="AC20" s="1175">
        <f>D46</f>
        <v>0.2</v>
      </c>
      <c r="AD20"/>
      <c r="AE20"/>
      <c r="AF20"/>
      <c r="AG20"/>
      <c r="AI20"/>
      <c r="BA20" s="2" t="s">
        <v>703</v>
      </c>
      <c r="BB20"/>
      <c r="BC20"/>
      <c r="BE20"/>
      <c r="BF20"/>
      <c r="CA20" s="2" t="s">
        <v>703</v>
      </c>
      <c r="CB20"/>
      <c r="CC20"/>
      <c r="CD20"/>
      <c r="CE20"/>
      <c r="CF20"/>
      <c r="CG20"/>
      <c r="CH20"/>
      <c r="DA20"/>
      <c r="DB20"/>
      <c r="DC20"/>
      <c r="DD20"/>
      <c r="DE20"/>
      <c r="DF20"/>
      <c r="DG20"/>
      <c r="DH20"/>
      <c r="DI20"/>
      <c r="DJ20"/>
      <c r="DK20"/>
      <c r="DL20"/>
      <c r="DM20"/>
    </row>
    <row r="21" spans="2:117">
      <c r="B21" s="29" t="s">
        <v>149</v>
      </c>
      <c r="C21" s="1112">
        <f>IFERROR(VLOOKUP($B21,'CM Rec Par.'!BB$127:BC$135,2,FALSE),0)*'CM Rec Par.'!BD$25/SUM(Input!$F$28:$F$32)</f>
        <v>0</v>
      </c>
      <c r="D21" s="1112">
        <f>IFERROR(VLOOKUP($B21,'CM Rec Par.'!CB$126:CC$136,2,FALSE),0)*'CM Rec Par.'!CD$25/SUM(Input!$F$28:$F$32)</f>
        <v>0</v>
      </c>
      <c r="E21" s="1112">
        <f>IFERROR(VLOOKUP($B21,'CM Rec Par.'!DB$126:DC$136,2,FALSE),0)*'CM Rec Par.'!DD$25/SUM(Input!$F$28:$F$32)</f>
        <v>0</v>
      </c>
      <c r="F21" s="1112">
        <f>IFERROR(VLOOKUP($B21,'CM Rec Par.'!EB$127:EC$137,2,FALSE),0)*'CM Rec Par.'!ED$26/SUM(Input!$F$28:$F$32)</f>
        <v>0</v>
      </c>
      <c r="G21"/>
      <c r="AI21"/>
      <c r="BA21" s="133" t="s">
        <v>702</v>
      </c>
      <c r="BC21"/>
      <c r="BD21"/>
      <c r="BE21"/>
      <c r="BF21"/>
      <c r="CA21" s="133" t="s">
        <v>702</v>
      </c>
      <c r="CC21"/>
      <c r="CD21"/>
      <c r="CE21"/>
      <c r="CF21"/>
      <c r="CG21"/>
      <c r="CH21"/>
      <c r="DA21"/>
      <c r="DB21"/>
      <c r="DC21"/>
      <c r="DD21"/>
      <c r="DE21"/>
      <c r="DF21"/>
      <c r="DG21"/>
      <c r="DH21"/>
      <c r="DI21"/>
      <c r="DJ21"/>
      <c r="DK21"/>
      <c r="DL21"/>
      <c r="DM21"/>
    </row>
    <row r="22" spans="2:117">
      <c r="B22" s="29" t="s">
        <v>41</v>
      </c>
      <c r="C22" s="1112">
        <f>IFERROR(VLOOKUP($B22,'CM Rec Par.'!BB$127:BC$135,2,FALSE),0)*'CM Rec Par.'!BD$25/SUM(Input!$F$28:$F$32)+IF('CM Rec Par.'!BC$8="No preprocessing",0,IF('CM Rec Par.'!BC$8="Generic",IFERROR(VLOOKUP($B22,'Preproc. Par.'!$AB$102:$AC$109,2,FALSE),0)*'Preproc. Par.'!$AD$14/SUM(Input!$F$28:$F$32),IFERROR(VLOOKUP($B22,'Preproc. Par.'!$BB$102:$BC$110,2,FALSE),0)*'Preproc. Par.'!$BD$15/SUM(Input!$F$28:$F$32)))</f>
        <v>0</v>
      </c>
      <c r="D22" s="1112">
        <f>IFERROR(VLOOKUP($B22,'CM Rec Par.'!CB$126:CC$136,2,FALSE),0)*'CM Rec Par.'!CD$25/SUM(Input!$F$28:$F$32)+IF('CM Rec Par.'!CC$8="No preprocessing",0,IF('CM Rec Par.'!CC$8="Generic",IFERROR(VLOOKUP($B22,'Preproc. Par.'!$AB$102:$AC$109,2,FALSE),0)*'Preproc. Par.'!$AD$14/SUM(Input!$F$28:$F$32),IFERROR(VLOOKUP($B22,'Preproc. Par.'!$BB$102:$BC$110,2,FALSE),0)*'Preproc. Par.'!$BD$15/SUM(Input!$F$28:$F$32)))</f>
        <v>0</v>
      </c>
      <c r="E22" s="1112">
        <f>IFERROR(VLOOKUP($B22,'CM Rec Par.'!DB$126:DC$136,2,FALSE),0)*'CM Rec Par.'!DD$25/SUM(Input!$F$28:$F$32)+IF('CM Rec Par.'!DC$8="No preprocessing",0,IF('CM Rec Par.'!DC$8="Generic",IFERROR(VLOOKUP($B22,'Preproc. Par.'!$AB$102:$AC$109,2,FALSE),0)*'Preproc. Par.'!$AD$14/SUM(Input!$F$28:$F$32),IFERROR(VLOOKUP($B22,'Preproc. Par.'!$BB$102:$BC$110,2,FALSE),0)*'Preproc. Par.'!$BD$15/SUM(Input!$F$28:$F$32)))</f>
        <v>5.0000000000000001E-3</v>
      </c>
      <c r="F22" s="1112">
        <f>IFERROR(VLOOKUP($B22,'CM Rec Par.'!EB$127:EC$137,2,FALSE),0)*'CM Rec Par.'!ED$26/SUM(Input!$F$28:$F$32)+IF('CM Rec Par.'!EC$8="No preprocessing",0,IF('CM Rec Par.'!EC$8="Generic",IFERROR(VLOOKUP($B22,'Preproc. Par.'!$AB$102:$AC$109,2,FALSE),0)*'Preproc. Par.'!$AD$14/SUM(Input!$F$28:$F$32),IFERROR(VLOOKUP($B22,'Preproc. Par.'!$BB$102:$BC$110,2,FALSE),0)*'Preproc. Par.'!$BD$15/SUM(Input!$F$28:$F$32)))</f>
        <v>5.0000000000000001E-3</v>
      </c>
      <c r="G22"/>
      <c r="AA22" s="2" t="s">
        <v>703</v>
      </c>
      <c r="AB22"/>
      <c r="AC22"/>
      <c r="AD22"/>
      <c r="AE22"/>
      <c r="AF22"/>
      <c r="AG22"/>
      <c r="AI22"/>
      <c r="BA22" s="553"/>
      <c r="BB22" s="623" t="s">
        <v>543</v>
      </c>
      <c r="BC22"/>
      <c r="BE22"/>
      <c r="BF22"/>
      <c r="CA22" s="553"/>
      <c r="CB22" s="623" t="s">
        <v>546</v>
      </c>
      <c r="CC22"/>
      <c r="CD22"/>
      <c r="CE22"/>
      <c r="CF22"/>
      <c r="CG22"/>
      <c r="CH22"/>
      <c r="DA22"/>
      <c r="DB22"/>
      <c r="DC22"/>
      <c r="DD22"/>
      <c r="DE22"/>
      <c r="DF22"/>
      <c r="DG22"/>
      <c r="DH22"/>
      <c r="DI22"/>
      <c r="DJ22"/>
      <c r="DK22"/>
      <c r="DL22"/>
      <c r="DM22"/>
    </row>
    <row r="23" spans="2:117">
      <c r="B23" s="29" t="s">
        <v>398</v>
      </c>
      <c r="C23" s="1112">
        <f>IFERROR(VLOOKUP($B23,'CM Rec Par.'!BB$127:BC$135,2,FALSE),0)*'CM Rec Par.'!BD$25/SUM(Input!$F$28:$F$32)+IF('CM Rec Par.'!BC$8="No preprocessing",0,IF('CM Rec Par.'!BC$8="Generic",IFERROR(VLOOKUP($B23,'Preproc. Par.'!$AB$102:$AC$109,2,FALSE),0)*'Preproc. Par.'!$AD$14/SUM(Input!$F$28:$F$32),IFERROR(VLOOKUP($B23,'Preproc. Par.'!$BB$102:$BC$110,2,FALSE),0)*'Preproc. Par.'!$BD$15/SUM(Input!$F$28:$F$32)))</f>
        <v>0</v>
      </c>
      <c r="D23" s="1112">
        <f>IFERROR(VLOOKUP($B23,'CM Rec Par.'!CB$126:CC$136,2,FALSE),0)*'CM Rec Par.'!CD$25/SUM(Input!$F$28:$F$32)+IF('CM Rec Par.'!CC$8="No preprocessing",0,IF('CM Rec Par.'!CC$8="Generic",IFERROR(VLOOKUP($B23,'Preproc. Par.'!$AB$102:$AC$109,2,FALSE),0)*'Preproc. Par.'!$AD$14/SUM(Input!$F$28:$F$32),IFERROR(VLOOKUP($B23,'Preproc. Par.'!$BB$102:$BC$110,2,FALSE),0)*'Preproc. Par.'!$BD$15/SUM(Input!$F$28:$F$32)))</f>
        <v>0</v>
      </c>
      <c r="E23" s="1112">
        <f>IFERROR(VLOOKUP($B23,'CM Rec Par.'!DB$126:DC$136,2,FALSE),0)*'CM Rec Par.'!DD$25/SUM(Input!$F$28:$F$32)+IF('CM Rec Par.'!DC$8="No preprocessing",0,IF('CM Rec Par.'!DC$8="Generic",IFERROR(VLOOKUP($B23,'Preproc. Par.'!$AB$102:$AC$109,2,FALSE),0)*'Preproc. Par.'!$AD$14/SUM(Input!$F$28:$F$32),IFERROR(VLOOKUP($B23,'Preproc. Par.'!$BB$102:$BC$110,2,FALSE),0)*'Preproc. Par.'!$BD$15/SUM(Input!$F$28:$F$32)))</f>
        <v>3.0000000000000001E-3</v>
      </c>
      <c r="F23" s="1112">
        <f>IFERROR(VLOOKUP($B23,'CM Rec Par.'!EB$127:EC$137,2,FALSE),0)*'CM Rec Par.'!ED$26/SUM(Input!$F$28:$F$32)+IF('CM Rec Par.'!EC$8="No preprocessing",0,IF('CM Rec Par.'!EC$8="Generic",IFERROR(VLOOKUP($B23,'Preproc. Par.'!$AB$102:$AC$109,2,FALSE),0)*'Preproc. Par.'!$AD$14/SUM(Input!$F$28:$F$32),IFERROR(VLOOKUP($B23,'Preproc. Par.'!$BB$102:$BC$110,2,FALSE),0)*'Preproc. Par.'!$BD$15/SUM(Input!$F$28:$F$32)))</f>
        <v>3.0000000000000001E-3</v>
      </c>
      <c r="AA23" s="133" t="s">
        <v>702</v>
      </c>
      <c r="AF23"/>
      <c r="AG23"/>
      <c r="BA23" s="147" t="s">
        <v>346</v>
      </c>
      <c r="BB23" s="351"/>
      <c r="BC23"/>
      <c r="BD23"/>
      <c r="BE23"/>
      <c r="BF23"/>
      <c r="CA23" s="147" t="s">
        <v>346</v>
      </c>
      <c r="CB23" s="351"/>
      <c r="CC23"/>
      <c r="CD23"/>
      <c r="CE23"/>
      <c r="CF23"/>
      <c r="CG23"/>
      <c r="CH23"/>
      <c r="DA23"/>
      <c r="DB23"/>
      <c r="DC23"/>
      <c r="DD23"/>
      <c r="DE23"/>
      <c r="DF23"/>
      <c r="DG23"/>
      <c r="DH23"/>
      <c r="DI23"/>
      <c r="DJ23"/>
      <c r="DK23"/>
      <c r="DL23"/>
      <c r="DM23"/>
    </row>
    <row r="24" spans="2:117">
      <c r="B24" s="29" t="s">
        <v>54</v>
      </c>
      <c r="C24" s="1112">
        <f>IFERROR(VLOOKUP($B24,'CM Rec Par.'!BB$127:BC$135,2,FALSE),0)*'CM Rec Par.'!BD$25/SUM(Input!$F$28:$F$32)+IF('CM Rec Par.'!BC$8="No preprocessing",0,IF('CM Rec Par.'!BC$8="Generic",IFERROR(VLOOKUP($B24,'Preproc. Par.'!$AB$102:$AC$109,2,FALSE),0)*'Preproc. Par.'!$AD$14/SUM(Input!$F$28:$F$32),IFERROR(VLOOKUP($B24,'Preproc. Par.'!$BB$102:$BC$110,2,FALSE),0)*'Preproc. Par.'!$BD$15/SUM(Input!$F$28:$F$32)))</f>
        <v>0</v>
      </c>
      <c r="D24" s="1112">
        <f>IFERROR(VLOOKUP($B24,'CM Rec Par.'!CB$126:CC$136,2,FALSE),0)*'CM Rec Par.'!CD$25/SUM(Input!$F$28:$F$32)+IF('CM Rec Par.'!CC$8="No preprocessing",0,IF('CM Rec Par.'!CC$8="Generic",IFERROR(VLOOKUP($B24,'Preproc. Par.'!$AB$102:$AC$109,2,FALSE),0)*'Preproc. Par.'!$AD$14/SUM(Input!$F$28:$F$32),IFERROR(VLOOKUP($B24,'Preproc. Par.'!$BB$102:$BC$110,2,FALSE),0)*'Preproc. Par.'!$BD$15/SUM(Input!$F$28:$F$32)))</f>
        <v>0.309</v>
      </c>
      <c r="E24" s="1112">
        <f>IFERROR(VLOOKUP($B24,'CM Rec Par.'!DB$126:DC$136,2,FALSE),0)*'CM Rec Par.'!DD$25/SUM(Input!$F$28:$F$32)+IF('CM Rec Par.'!DC$8="No preprocessing",0,IF('CM Rec Par.'!DC$8="Generic",IFERROR(VLOOKUP($B24,'Preproc. Par.'!$AB$102:$AC$109,2,FALSE),0)*'Preproc. Par.'!$AD$14/SUM(Input!$F$28:$F$32),IFERROR(VLOOKUP($B24,'Preproc. Par.'!$BB$102:$BC$110,2,FALSE),0)*'Preproc. Par.'!$BD$15/SUM(Input!$F$28:$F$32)))</f>
        <v>0.309</v>
      </c>
      <c r="F24" s="1112">
        <f>IFERROR(VLOOKUP($B24,'CM Rec Par.'!EB$127:EC$137,2,FALSE),0)*'CM Rec Par.'!ED$26/SUM(Input!$F$28:$F$32)+IF('CM Rec Par.'!EC$8="No preprocessing",0,IF('CM Rec Par.'!EC$8="Generic",IFERROR(VLOOKUP($B24,'Preproc. Par.'!$AB$102:$AC$109,2,FALSE),0)*'Preproc. Par.'!$AD$14/SUM(Input!$F$28:$F$32),IFERROR(VLOOKUP($B24,'Preproc. Par.'!$BB$102:$BC$110,2,FALSE),0)*'Preproc. Par.'!$BD$15/SUM(Input!$F$28:$F$32)))</f>
        <v>0.309</v>
      </c>
      <c r="AA24" s="553"/>
      <c r="AB24" s="623" t="s">
        <v>705</v>
      </c>
      <c r="AC24" s="678" t="s">
        <v>542</v>
      </c>
      <c r="AD24"/>
      <c r="AE24"/>
      <c r="AF24" s="120" t="s">
        <v>1293</v>
      </c>
      <c r="AG24" s="120">
        <f>1/1055</f>
        <v>9.4786729857819908E-4</v>
      </c>
      <c r="AH24"/>
      <c r="BA24" s="147" t="s">
        <v>173</v>
      </c>
      <c r="BB24" s="220">
        <f>BB$9*HLOOKUP(BA$9,'GREET IO'!$A$77:$AZ$98,ROW(BA24)-ROW(BA$22)+1,FALSE)/$AG$25+BB$13*$AG$24*('GREET IO'!$B22/1000000+1)+BB$14*$AG$24*IF('CM Rec Par.'!$D$14=Input!$AD$35, ('GREET IO'!$B56+'GREET IO'!$C56), IF('CM Rec Par.'!$D$14=Input!$AD$36, ('GREET IO'!$AL56+'GREET IO'!$AM56), IF('CM Rec Par.'!$D$14=Input!$AD$37, 'GREET IO'!$AP56, IF('CM Rec Par.'!$D$14=Input!$AD$38,'GREET IO'!$AQ56,'GREET IO'!$CE55))))/1000000</f>
        <v>3.6174499788094053E-4</v>
      </c>
      <c r="BC24"/>
      <c r="BD24"/>
      <c r="BE24"/>
      <c r="BF24"/>
      <c r="CA24" s="147" t="s">
        <v>173</v>
      </c>
      <c r="CB24" s="220">
        <f>CB$9*HLOOKUP(CA$9,'GREET IO'!$A$77:$AZ$98,ROW(CA24)-ROW(CA$22)+1,FALSE)/$AG$25+CB$13*$AG$24*('GREET IO'!$B22/1000000+1)+CB$14*$AG$24*IF('CM Rec Par.'!$D$14=Input!$AD$35, ('GREET IO'!$B56+'GREET IO'!$C56), IF('CM Rec Par.'!$D$14=Input!$AD$36, ('GREET IO'!$AL56+'GREET IO'!$AM56), IF('CM Rec Par.'!$D$14=Input!$AD$37, 'GREET IO'!$AP56, IF('CM Rec Par.'!$D$14=Input!$AD$38,'GREET IO'!$AQ56,'GREET IO'!$CE55))))/1000000</f>
        <v>1.7411627122787151E-2</v>
      </c>
      <c r="CC24"/>
      <c r="CD24"/>
      <c r="CE24"/>
      <c r="CF24"/>
      <c r="CG24"/>
      <c r="CH24"/>
      <c r="DA24"/>
      <c r="DB24"/>
      <c r="DC24"/>
      <c r="DD24"/>
      <c r="DE24"/>
      <c r="DF24"/>
      <c r="DG24"/>
      <c r="DH24"/>
      <c r="DI24"/>
      <c r="DJ24"/>
      <c r="DK24"/>
      <c r="DL24"/>
      <c r="DM24"/>
    </row>
    <row r="25" spans="2:117">
      <c r="B25" s="29" t="s">
        <v>298</v>
      </c>
      <c r="C25" s="1112">
        <f>IFERROR(VLOOKUP($B25,'CM Rec Par.'!BB$127:BC$135,2,FALSE),0)*'CM Rec Par.'!BD$25/SUM(Input!$F$28:$F$32)+IF('CM Rec Par.'!BC$8="No preprocessing",0,IF('CM Rec Par.'!BC$8="Generic",IFERROR(VLOOKUP($B25,'Preproc. Par.'!$AB$102:$AC$109,2,FALSE),0)*'Preproc. Par.'!$AD$14/SUM(Input!$F$28:$F$32),IFERROR(VLOOKUP($B25,'Preproc. Par.'!$BB$102:$BC$110,2,FALSE),0)*'Preproc. Par.'!$BD$15/SUM(Input!$F$28:$F$32)))</f>
        <v>0</v>
      </c>
      <c r="D25" s="1112">
        <f>IFERROR(VLOOKUP($B25,'CM Rec Par.'!CB$126:CC$136,2,FALSE),0)*'CM Rec Par.'!CD$25/SUM(Input!$F$28:$F$32)+IF('CM Rec Par.'!CC$8="No preprocessing",0,IF('CM Rec Par.'!CC$8="Generic",IFERROR(VLOOKUP($B25,'Preproc. Par.'!$AB$102:$AC$109,2,FALSE),0)*'Preproc. Par.'!$AD$14/SUM(Input!$F$28:$F$32),IFERROR(VLOOKUP($B25,'Preproc. Par.'!$BB$102:$BC$110,2,FALSE),0)*'Preproc. Par.'!$BD$15/SUM(Input!$F$28:$F$32)))</f>
        <v>0</v>
      </c>
      <c r="E25" s="1112">
        <f>IFERROR(VLOOKUP($B25,'CM Rec Par.'!DB$126:DC$136,2,FALSE),0)*'CM Rec Par.'!DD$25/SUM(Input!$F$28:$F$32)+IF('CM Rec Par.'!DC$8="No preprocessing",0,IF('CM Rec Par.'!DC$8="Generic",IFERROR(VLOOKUP($B25,'Preproc. Par.'!$AB$102:$AC$109,2,FALSE),0)*'Preproc. Par.'!$AD$14/SUM(Input!$F$28:$F$32),IFERROR(VLOOKUP($B25,'Preproc. Par.'!$BB$102:$BC$110,2,FALSE),0)*'Preproc. Par.'!$BD$15/SUM(Input!$F$28:$F$32)))</f>
        <v>0</v>
      </c>
      <c r="F25" s="1112">
        <f>IFERROR(VLOOKUP($B25,'CM Rec Par.'!EB$127:EC$137,2,FALSE),0)*'CM Rec Par.'!ED$26/SUM(Input!$F$28:$F$32)+IF('CM Rec Par.'!EC$8="No preprocessing",0,IF('CM Rec Par.'!EC$8="Generic",IFERROR(VLOOKUP($B25,'Preproc. Par.'!$AB$102:$AC$109,2,FALSE),0)*'Preproc. Par.'!$AD$14/SUM(Input!$F$28:$F$32),IFERROR(VLOOKUP($B25,'Preproc. Par.'!$BB$102:$BC$110,2,FALSE),0)*'Preproc. Par.'!$BD$15/SUM(Input!$F$28:$F$32)))</f>
        <v>0</v>
      </c>
      <c r="AA25" s="147" t="s">
        <v>346</v>
      </c>
      <c r="AB25" s="679"/>
      <c r="AC25" s="680"/>
      <c r="AD25"/>
      <c r="AE25"/>
      <c r="AF25" s="120" t="s">
        <v>554</v>
      </c>
      <c r="AG25" s="120">
        <v>907.2</v>
      </c>
      <c r="AH25"/>
      <c r="BA25" s="147" t="s">
        <v>174</v>
      </c>
      <c r="BB25" s="220">
        <f>BB$9*HLOOKUP(BA$9,'GREET IO'!$A$77:$AZ$98,ROW(BA25)-ROW(BA$22)+1,FALSE)/$AG$25+BB$13*$AG$24*('GREET IO'!$B23/1000000+1)+BB$14*$AG$24*IF('CM Rec Par.'!$D$14=Input!$AD$35, ('GREET IO'!$B57+'GREET IO'!$C57), IF('CM Rec Par.'!$D$14=Input!$AD$36, ('GREET IO'!$AL57+'GREET IO'!$AM57), IF('CM Rec Par.'!$D$14=Input!$AD$37, 'GREET IO'!$AP57, IF('CM Rec Par.'!$D$14=Input!$AD$38,'GREET IO'!$AQ57,'GREET IO'!$CE56))))/1000000</f>
        <v>3.4099915058290474E-4</v>
      </c>
      <c r="BC25"/>
      <c r="BD25"/>
      <c r="BE25"/>
      <c r="BF25"/>
      <c r="CA25" s="147" t="s">
        <v>174</v>
      </c>
      <c r="CB25" s="220">
        <f>CB$9*HLOOKUP(CA$9,'GREET IO'!$A$77:$AZ$98,ROW(CA25)-ROW(CA$22)+1,FALSE)/$AG$25+CB$13*$AG$24*('GREET IO'!$B23/1000000+1)+CB$14*$AG$24*IF('CM Rec Par.'!$D$14=Input!$AD$35, ('GREET IO'!$B57+'GREET IO'!$C57), IF('CM Rec Par.'!$D$14=Input!$AD$36, ('GREET IO'!$AL57+'GREET IO'!$AM57), IF('CM Rec Par.'!$D$14=Input!$AD$37, 'GREET IO'!$AP57, IF('CM Rec Par.'!$D$14=Input!$AD$38,'GREET IO'!$AQ57,'GREET IO'!$CE56))))/1000000</f>
        <v>1.7292636480783594E-2</v>
      </c>
      <c r="CC25"/>
      <c r="CD25"/>
      <c r="CE25"/>
      <c r="CF25"/>
      <c r="CG25"/>
      <c r="CH25"/>
      <c r="DA25"/>
      <c r="DB25"/>
      <c r="DC25"/>
      <c r="DD25"/>
      <c r="DE25"/>
      <c r="DF25"/>
      <c r="DG25"/>
      <c r="DH25"/>
      <c r="DI25"/>
      <c r="DJ25"/>
      <c r="DK25"/>
      <c r="DL25"/>
      <c r="DM25"/>
    </row>
    <row r="26" spans="2:117">
      <c r="B26" s="29" t="s">
        <v>439</v>
      </c>
      <c r="C26" s="1112">
        <f>IFERROR(VLOOKUP($B26,'CM Rec Par.'!BB$127:BC$135,2,FALSE),0)*'CM Rec Par.'!BD$25/SUM(Input!$F$28:$F$32)+IF('CM Rec Par.'!BC$8="No preprocessing",0,IF('CM Rec Par.'!BC$8="Generic",IFERROR(VLOOKUP($B26,'Preproc. Par.'!$AB$102:$AC$109,2,FALSE),0)*'Preproc. Par.'!$AD$14/SUM(Input!$F$28:$F$32),IFERROR(VLOOKUP($B26,'Preproc. Par.'!$BB$102:$BC$110,2,FALSE),0)*'Preproc. Par.'!$BD$15/SUM(Input!$F$28:$F$32)))</f>
        <v>0</v>
      </c>
      <c r="D26" s="1112">
        <f>IFERROR(VLOOKUP($B26,'CM Rec Par.'!CB$126:CC$136,2,FALSE),0)*'CM Rec Par.'!CD$25/SUM(Input!$F$28:$F$32)+IF('CM Rec Par.'!CC$8="No preprocessing",0,IF('CM Rec Par.'!CC$8="Generic",IFERROR(VLOOKUP($B26,'Preproc. Par.'!$AB$102:$AC$109,2,FALSE),0)*'Preproc. Par.'!$AD$14/SUM(Input!$F$28:$F$32),IFERROR(VLOOKUP($B26,'Preproc. Par.'!$BB$102:$BC$110,2,FALSE),0)*'Preproc. Par.'!$BD$15/SUM(Input!$F$28:$F$32)))</f>
        <v>0</v>
      </c>
      <c r="E26" s="1112">
        <f>IFERROR(VLOOKUP($B26,'CM Rec Par.'!DB$126:DC$136,2,FALSE),0)*'CM Rec Par.'!DD$25/SUM(Input!$F$28:$F$32)+IF('CM Rec Par.'!DC$8="No preprocessing",0,IF('CM Rec Par.'!DC$8="Generic",IFERROR(VLOOKUP($B26,'Preproc. Par.'!$AB$102:$AC$109,2,FALSE),0)*'Preproc. Par.'!$AD$14/SUM(Input!$F$28:$F$32),IFERROR(VLOOKUP($B26,'Preproc. Par.'!$BB$102:$BC$110,2,FALSE),0)*'Preproc. Par.'!$BD$15/SUM(Input!$F$28:$F$32)))</f>
        <v>0</v>
      </c>
      <c r="F26" s="1112">
        <f>IFERROR(VLOOKUP($B26,'CM Rec Par.'!EB$127:EC$137,2,FALSE),0)*'CM Rec Par.'!ED$26/SUM(Input!$F$28:$F$32)+IF('CM Rec Par.'!EC$8="No preprocessing",0,IF('CM Rec Par.'!EC$8="Generic",IFERROR(VLOOKUP($B26,'Preproc. Par.'!$AB$102:$AC$109,2,FALSE),0)*'Preproc. Par.'!$AD$14/SUM(Input!$F$28:$F$32),IFERROR(VLOOKUP($B26,'Preproc. Par.'!$BB$102:$BC$110,2,FALSE),0)*'Preproc. Par.'!$BD$15/SUM(Input!$F$28:$F$32)))</f>
        <v>0</v>
      </c>
      <c r="AA26" s="147" t="s">
        <v>173</v>
      </c>
      <c r="AB26" s="237">
        <f>AB$9*HLOOKUP($AA$9,'GREET IO'!$A$77:$AZ$98,ROW(AA26)-ROW(AA$24)+1,FALSE)/$AG$25+AB$10*HLOOKUP($AA$10,'GREET IO'!$A$77:$AZ$98,ROW(AA26)-ROW(AA$24)+1,FALSE)/$AG$25+AB$11*HLOOKUP($AA$11,'GREET IO'!$A$77:$AZ$98,ROW(AA26)-ROW(AA$24)+1,FALSE)/$AG$25+AB$15*$AG$24*('GREET IO'!$B22/1000000+1)+AB$16*$AG$24*IF('CM Rec Par.'!$D$14=Input!$AD$35, ('GREET IO'!$B56+'GREET IO'!$C56), IF('CM Rec Par.'!$D$14=Input!$AD$36, ('GREET IO'!$AL56+'GREET IO'!$AM56), IF('CM Rec Par.'!$D$14=Input!$AD$37, 'GREET IO'!$AP56, IF('CM Rec Par.'!$D$14=Input!$AD$38,'GREET IO'!$AQ56,'GREET IO'!$CE55))))/1000000</f>
        <v>4.1838704189903278E-2</v>
      </c>
      <c r="AC26" s="220">
        <f>AC$9*HLOOKUP($AA$9,'GREET IO'!$A$77:$AZ$98,ROW(AB26)-ROW(AB$24)+1,FALSE)/$AG$25+AC$10*HLOOKUP($AA$10,'GREET IO'!$A$77:$AZ$98,ROW(AB26)-ROW(AB$24)+1,FALSE)/$AG$25+AC$11*HLOOKUP($AA$11,'GREET IO'!$A$77:$AZ$98,ROW(AB26)-ROW(AB$24)+1,FALSE)/$AG$25+AC$15*$AG$24*('GREET IO'!$B22/1000000+1)+AC$16*$AG$24*IF('CM Rec Par.'!$D$14=Input!$AD$35, ('GREET IO'!$B56+'GREET IO'!$C56), IF('CM Rec Par.'!$D$14=Input!$AD$36, ('GREET IO'!$AL56+'GREET IO'!$AM56), IF('CM Rec Par.'!$D$14=Input!$AD$37, 'GREET IO'!$AP56, IF('CM Rec Par.'!$D$14=Input!$AD$38,'GREET IO'!$AQ56,'GREET IO'!$CE55))))/1000000</f>
        <v>3.6127792880685274E-4</v>
      </c>
      <c r="AD26"/>
      <c r="AE26"/>
      <c r="AF26" s="120" t="s">
        <v>608</v>
      </c>
      <c r="AG26" s="120">
        <f>1/3.6</f>
        <v>0.27777777777777779</v>
      </c>
      <c r="AH26"/>
      <c r="BA26" s="147" t="s">
        <v>175</v>
      </c>
      <c r="BB26" s="220">
        <f>BB$9*HLOOKUP(BA$9,'GREET IO'!$A$77:$AZ$98,ROW(BA26)-ROW(BA$22)+1,FALSE)/$AG$25+BB$13*$AG$24*('GREET IO'!$B24/1000000)+BB$14*$AG$24*IF('CM Rec Par.'!$D$14=Input!$AD$35, ('GREET IO'!$B58+'GREET IO'!$C58), IF('CM Rec Par.'!$D$14=Input!$AD$36, ('GREET IO'!$AL58+'GREET IO'!$AM58), IF('CM Rec Par.'!$D$14=Input!$AD$37, 'GREET IO'!$AP58, IF('CM Rec Par.'!$D$14=Input!$AD$38,'GREET IO'!$AQ58,'GREET IO'!$CE57))))/1000000</f>
        <v>3.5231900215070431E-5</v>
      </c>
      <c r="BC26"/>
      <c r="BD26"/>
      <c r="BE26"/>
      <c r="BF26"/>
      <c r="CA26" s="147" t="s">
        <v>175</v>
      </c>
      <c r="CB26" s="220">
        <f>CB$9*HLOOKUP(CA$9,'GREET IO'!$A$77:$AZ$98,ROW(CA26)-ROW(CA$22)+1,FALSE)/$AG$25+CB$13*$AG$24*('GREET IO'!$B24/1000000)+CB$14*$AG$24*IF('CM Rec Par.'!$D$14=Input!$AD$35, ('GREET IO'!$B58+'GREET IO'!$C58), IF('CM Rec Par.'!$D$14=Input!$AD$36, ('GREET IO'!$AL58+'GREET IO'!$AM58), IF('CM Rec Par.'!$D$14=Input!$AD$37, 'GREET IO'!$AP58, IF('CM Rec Par.'!$D$14=Input!$AD$38,'GREET IO'!$AQ58,'GREET IO'!$CE57))))/1000000</f>
        <v>4.5602476283733706E-3</v>
      </c>
      <c r="CC26"/>
      <c r="CD26"/>
      <c r="CE26"/>
      <c r="CF26"/>
      <c r="CG26"/>
      <c r="CH26"/>
      <c r="DA26"/>
      <c r="DB26"/>
      <c r="DC26"/>
      <c r="DD26"/>
      <c r="DE26"/>
      <c r="DF26"/>
      <c r="DG26"/>
      <c r="DH26"/>
      <c r="DI26"/>
      <c r="DJ26"/>
      <c r="DK26"/>
      <c r="DL26"/>
      <c r="DM26"/>
    </row>
    <row r="27" spans="2:117">
      <c r="B27" s="29" t="s">
        <v>1906</v>
      </c>
      <c r="C27" s="1112">
        <f>IFERROR(VLOOKUP($B27,'CM Rec Par.'!BB$127:BC$135,2,FALSE),0)*'CM Rec Par.'!BD$25/SUM(Input!$F$28:$F$32)+IF('CM Rec Par.'!BC$8="No preprocessing",0,IF('CM Rec Par.'!BC$8="Generic",IFERROR(VLOOKUP($B27,'Preproc. Par.'!$AB$102:$AC$109,2,FALSE),0)*'Preproc. Par.'!$AD$14/SUM(Input!$F$28:$F$32),IFERROR(VLOOKUP($B27,'Preproc. Par.'!$BB$102:$BC$110,2,FALSE),0)*'Preproc. Par.'!$BD$15/SUM(Input!$F$28:$F$32)))</f>
        <v>0</v>
      </c>
      <c r="D27" s="1112">
        <f>IFERROR(VLOOKUP($B27,'CM Rec Par.'!CB$126:CC$136,2,FALSE),0)*'CM Rec Par.'!CD$25/SUM(Input!$F$28:$F$32)+IF('CM Rec Par.'!CC$8="No preprocessing",0,IF('CM Rec Par.'!CC$8="Generic",IFERROR(VLOOKUP($B27,'Preproc. Par.'!$AB$102:$AC$109,2,FALSE),0)*'Preproc. Par.'!$AD$14/SUM(Input!$F$28:$F$32),IFERROR(VLOOKUP($B27,'Preproc. Par.'!$BB$102:$BC$110,2,FALSE),0)*'Preproc. Par.'!$BD$15/SUM(Input!$F$28:$F$32)))</f>
        <v>0</v>
      </c>
      <c r="E27" s="1112">
        <f>IFERROR(VLOOKUP($B27,'CM Rec Par.'!DB$126:DC$136,2,FALSE),0)*'CM Rec Par.'!DD$25/SUM(Input!$F$28:$F$32)+IF('CM Rec Par.'!DC$8="No preprocessing",0,IF('CM Rec Par.'!DC$8="Generic",IFERROR(VLOOKUP($B27,'Preproc. Par.'!$AB$102:$AC$109,2,FALSE),0)*'Preproc. Par.'!$AD$14/SUM(Input!$F$28:$F$32),IFERROR(VLOOKUP($B27,'Preproc. Par.'!$BB$102:$BC$110,2,FALSE),0)*'Preproc. Par.'!$BD$15/SUM(Input!$F$28:$F$32)))</f>
        <v>0</v>
      </c>
      <c r="F27" s="1112">
        <f>IFERROR(VLOOKUP($B27,'CM Rec Par.'!EB$127:EC$137,2,FALSE),0)*'CM Rec Par.'!ED$26/SUM(Input!$F$28:$F$32)+IF('CM Rec Par.'!EC$8="No preprocessing",0,IF('CM Rec Par.'!EC$8="Generic",IFERROR(VLOOKUP($B27,'Preproc. Par.'!$AB$102:$AC$109,2,FALSE),0)*'Preproc. Par.'!$AD$14/SUM(Input!$F$28:$F$32),IFERROR(VLOOKUP($B27,'Preproc. Par.'!$BB$102:$BC$110,2,FALSE),0)*'Preproc. Par.'!$BD$15/SUM(Input!$F$28:$F$32)))</f>
        <v>0</v>
      </c>
      <c r="AA27" s="147" t="s">
        <v>174</v>
      </c>
      <c r="AB27" s="237">
        <f>AB$9*HLOOKUP($AA$9,'GREET IO'!$A$77:$AZ$98,ROW(AA27)-ROW(AA$24)+1,FALSE)/$AG$25+AB$10*HLOOKUP($AA$10,'GREET IO'!$A$77:$AZ$98,ROW(AA27)-ROW(AA$24)+1,FALSE)/$AG$25+AB$11*HLOOKUP($AA$11,'GREET IO'!$A$77:$AZ$98,ROW(AA27)-ROW(AA$24)+1,FALSE)/$AG$25+AB$15*$AG$24*('GREET IO'!$B23/1000000+1)+AB$16*$AG$24*IF('CM Rec Par.'!$D$14=Input!$AD$35, ('GREET IO'!$B57+'GREET IO'!$C57), IF('CM Rec Par.'!$D$14=Input!$AD$36, ('GREET IO'!$AL57+'GREET IO'!$AM57), IF('CM Rec Par.'!$D$14=Input!$AD$37, 'GREET IO'!$AP57, IF('CM Rec Par.'!$D$14=Input!$AD$38,'GREET IO'!$AQ57,'GREET IO'!$CE56))))/1000000</f>
        <v>4.0237527274827135E-2</v>
      </c>
      <c r="AC27" s="220">
        <f>AC$9*HLOOKUP($AA$9,'GREET IO'!$A$77:$AZ$98,ROW(AB27)-ROW(AB$24)+1,FALSE)/$AG$25+AC$10*HLOOKUP($AA$10,'GREET IO'!$A$77:$AZ$98,ROW(AB27)-ROW(AB$24)+1,FALSE)/$AG$25+AC$11*HLOOKUP($AA$11,'GREET IO'!$A$77:$AZ$98,ROW(AB27)-ROW(AB$24)+1,FALSE)/$AG$25+AC$15*$AG$24*('GREET IO'!$B23/1000000+1)+AC$16*$AG$24*IF('CM Rec Par.'!$D$14=Input!$AD$35, ('GREET IO'!$B57+'GREET IO'!$C57), IF('CM Rec Par.'!$D$14=Input!$AD$36, ('GREET IO'!$AL57+'GREET IO'!$AM57), IF('CM Rec Par.'!$D$14=Input!$AD$37, 'GREET IO'!$AP57, IF('CM Rec Par.'!$D$14=Input!$AD$38,'GREET IO'!$AQ57,'GREET IO'!$CE56))))/1000000</f>
        <v>3.4055886762540574E-4</v>
      </c>
      <c r="AD27"/>
      <c r="AE27"/>
      <c r="AF27"/>
      <c r="AG27"/>
      <c r="AH27"/>
      <c r="AI27"/>
      <c r="AJ27"/>
      <c r="AK27"/>
      <c r="AL27"/>
      <c r="AM27"/>
      <c r="BA27" s="147" t="s">
        <v>176</v>
      </c>
      <c r="BB27" s="220">
        <f>BB$9*HLOOKUP(BA$9,'GREET IO'!$A$77:$AZ$98,ROW(BA27)-ROW(BA$22)+1,FALSE)/$AG$25+BB$13*$AG$24*('GREET IO'!$B25/1000000+1)+BB$14*$AG$24*IF('CM Rec Par.'!$D$14=Input!$AD$35, ('GREET IO'!$B59+'GREET IO'!$C59), IF('CM Rec Par.'!$D$14=Input!$AD$36, ('GREET IO'!$AL59+'GREET IO'!$AM59), IF('CM Rec Par.'!$D$14=Input!$AD$37, 'GREET IO'!$AP59, IF('CM Rec Par.'!$D$14=Input!$AD$38,'GREET IO'!$AQ59,'GREET IO'!$CE58))))/1000000</f>
        <v>8.5992174338878741E-5</v>
      </c>
      <c r="BC27"/>
      <c r="BD27"/>
      <c r="BE27"/>
      <c r="BF27"/>
      <c r="CA27" s="147" t="s">
        <v>176</v>
      </c>
      <c r="CB27" s="220">
        <f>CB$9*HLOOKUP(CA$9,'GREET IO'!$A$77:$AZ$98,ROW(CA27)-ROW(CA$22)+1,FALSE)/$AG$25+CB$13*$AG$24*('GREET IO'!$B25/1000000+1)+CB$14*$AG$24*IF('CM Rec Par.'!$D$14=Input!$AD$35, ('GREET IO'!$B59+'GREET IO'!$C59), IF('CM Rec Par.'!$D$14=Input!$AD$36, ('GREET IO'!$AL59+'GREET IO'!$AM59), IF('CM Rec Par.'!$D$14=Input!$AD$37, 'GREET IO'!$AP59, IF('CM Rec Par.'!$D$14=Input!$AD$38,'GREET IO'!$AQ59,'GREET IO'!$CE58))))/1000000</f>
        <v>1.2443016437633906E-2</v>
      </c>
      <c r="CC27"/>
      <c r="CD27"/>
      <c r="CE27"/>
      <c r="CF27"/>
      <c r="CG27"/>
      <c r="CH27"/>
      <c r="DA27"/>
      <c r="DB27"/>
      <c r="DC27"/>
      <c r="DD27"/>
      <c r="DE27"/>
      <c r="DF27"/>
      <c r="DG27"/>
      <c r="DH27"/>
      <c r="DI27"/>
      <c r="DJ27"/>
      <c r="DK27"/>
      <c r="DL27"/>
      <c r="DM27"/>
    </row>
    <row r="28" spans="2:117">
      <c r="B28" s="1478" t="s">
        <v>1914</v>
      </c>
      <c r="C28" s="1112">
        <f>IFERROR(VLOOKUP($B28,'CM Rec Par.'!BB$127:BC$135,2,FALSE),0)*'CM Rec Par.'!BD$25/SUM(Input!$F$28:$F$32)+IF('CM Rec Par.'!BC$8="No preprocessing",0,IF('CM Rec Par.'!BC$8="Generic",IFERROR(VLOOKUP($B28,'Preproc. Par.'!$AB$102:$AC$109,2,FALSE),0)*'Preproc. Par.'!$AD$14/SUM(Input!$F$28:$F$32),IFERROR(VLOOKUP($B28,'Preproc. Par.'!$BB$102:$BC$110,2,FALSE),0)*'Preproc. Par.'!$BD$15/SUM(Input!$F$28:$F$32)))</f>
        <v>5.0000000000000001E-3</v>
      </c>
      <c r="D28" s="1112">
        <f>IFERROR(VLOOKUP($B28,'CM Rec Par.'!CB$126:CC$136,2,FALSE),0)*'CM Rec Par.'!CD$25/SUM(Input!$F$28:$F$32)+IF('CM Rec Par.'!CC$8="No preprocessing",0,IF('CM Rec Par.'!CC$8="Generic",IFERROR(VLOOKUP($B28,'Preproc. Par.'!$AB$102:$AC$109,2,FALSE),0)*'Preproc. Par.'!$AD$14/SUM(Input!$F$28:$F$32),IFERROR(VLOOKUP($B28,'Preproc. Par.'!$BB$102:$BC$110,2,FALSE),0)*'Preproc. Par.'!$BD$15/SUM(Input!$F$28:$F$32)))</f>
        <v>0</v>
      </c>
      <c r="E28" s="1112">
        <f>IFERROR(VLOOKUP($B28,'CM Rec Par.'!DB$126:DC$136,2,FALSE),0)*'CM Rec Par.'!DD$25/SUM(Input!$F$28:$F$32)+IF('CM Rec Par.'!DC$8="No preprocessing",0,IF('CM Rec Par.'!DC$8="Generic",IFERROR(VLOOKUP($B28,'Preproc. Par.'!$AB$102:$AC$109,2,FALSE),0)*'Preproc. Par.'!$AD$14/SUM(Input!$F$28:$F$32),IFERROR(VLOOKUP($B28,'Preproc. Par.'!$BB$102:$BC$110,2,FALSE),0)*'Preproc. Par.'!$BD$15/SUM(Input!$F$28:$F$32)))</f>
        <v>0</v>
      </c>
      <c r="F28" s="1112">
        <f>IFERROR(VLOOKUP($B28,'CM Rec Par.'!EB$127:EC$137,2,FALSE),0)*'CM Rec Par.'!ED$26/SUM(Input!$F$28:$F$32)+IF('CM Rec Par.'!EC$8="No preprocessing",0,IF('CM Rec Par.'!EC$8="Generic",IFERROR(VLOOKUP($B28,'Preproc. Par.'!$AB$102:$AC$109,2,FALSE),0)*'Preproc. Par.'!$AD$14/SUM(Input!$F$28:$F$32),IFERROR(VLOOKUP($B28,'Preproc. Par.'!$BB$102:$BC$110,2,FALSE),0)*'Preproc. Par.'!$BD$15/SUM(Input!$F$28:$F$32)))</f>
        <v>0</v>
      </c>
      <c r="AA28" s="147" t="s">
        <v>175</v>
      </c>
      <c r="AB28" s="237">
        <f>AB$9*HLOOKUP($AA$9,'GREET IO'!$A$77:$AZ$98,ROW(AA28)-ROW(AA$24)+1,FALSE)/$AG$25+AB$10*HLOOKUP($AA$10,'GREET IO'!$A$77:$AZ$98,ROW(AA28)-ROW(AA$24)+1,FALSE)/$AG$25+AB$11*HLOOKUP($AA$11,'GREET IO'!$A$77:$AZ$98,ROW(AA28)-ROW(AA$24)+1,FALSE)/$AG$25+AB$15*$AG$24*('GREET IO'!$B24/1000000)+AB$16*$AG$24*IF('CM Rec Par.'!$D$14=Input!$AD$35, ('GREET IO'!$B58+'GREET IO'!$C58), IF('CM Rec Par.'!$D$14=Input!$AD$36, ('GREET IO'!$AL58+'GREET IO'!$AM58), IF('CM Rec Par.'!$D$14=Input!$AD$37, 'GREET IO'!$AP58, IF('CM Rec Par.'!$D$14=Input!$AD$38,'GREET IO'!$AQ58,'GREET IO'!$CE57))))/1000000</f>
        <v>3.0194797467399904E-3</v>
      </c>
      <c r="AC28" s="220">
        <f>AC$9*HLOOKUP($AA$9,'GREET IO'!$A$77:$AZ$98,ROW(AB28)-ROW(AB$24)+1,FALSE)/$AG$25+AC$10*HLOOKUP($AA$10,'GREET IO'!$A$77:$AZ$98,ROW(AB28)-ROW(AB$24)+1,FALSE)/$AG$25+AC$11*HLOOKUP($AA$11,'GREET IO'!$A$77:$AZ$98,ROW(AB28)-ROW(AB$24)+1,FALSE)/$AG$25+AC$15*$AG$24*('GREET IO'!$B24/1000000)+AC$16*$AG$24*IF('CM Rec Par.'!$D$14=Input!$AD$35, ('GREET IO'!$B58+'GREET IO'!$C58), IF('CM Rec Par.'!$D$14=Input!$AD$36, ('GREET IO'!$AL58+'GREET IO'!$AM58), IF('CM Rec Par.'!$D$14=Input!$AD$37, 'GREET IO'!$AP58, IF('CM Rec Par.'!$D$14=Input!$AD$38,'GREET IO'!$AQ58,'GREET IO'!$CE57))))/1000000</f>
        <v>3.5186410350364079E-5</v>
      </c>
      <c r="AD28"/>
      <c r="AE28"/>
      <c r="AF28"/>
      <c r="AG28"/>
      <c r="AH28"/>
      <c r="BA28" s="147" t="s">
        <v>177</v>
      </c>
      <c r="BB28" s="220">
        <f>BB$9*HLOOKUP(BA$9,'GREET IO'!$A$77:$AZ$98,ROW(BA28)-ROW(BA$22)+1,FALSE)/$AG$25+BB$13*$AG$24*('GREET IO'!$B26/1000000)+BB$14*$AG$24*IF('CM Rec Par.'!$D$14=Input!$AD$35, ('GREET IO'!$B60+'GREET IO'!$C60), IF('CM Rec Par.'!$D$14=Input!$AD$36, ('GREET IO'!$AL60+'GREET IO'!$AM60), IF('CM Rec Par.'!$D$14=Input!$AD$37, 'GREET IO'!$AP60, IF('CM Rec Par.'!$D$14=Input!$AD$38,'GREET IO'!$AQ60,'GREET IO'!$CE59))))/1000000</f>
        <v>2.1977507602895558E-4</v>
      </c>
      <c r="BC28"/>
      <c r="BD28"/>
      <c r="BE28"/>
      <c r="BF28"/>
      <c r="CA28" s="147" t="s">
        <v>177</v>
      </c>
      <c r="CB28" s="220">
        <f>CB$9*HLOOKUP(CA$9,'GREET IO'!$A$77:$AZ$98,ROW(CA28)-ROW(CA$22)+1,FALSE)/$AG$25+CB$13*$AG$24*('GREET IO'!$B26/1000000)+CB$14*$AG$24*IF('CM Rec Par.'!$D$14=Input!$AD$35, ('GREET IO'!$B60+'GREET IO'!$C60), IF('CM Rec Par.'!$D$14=Input!$AD$36, ('GREET IO'!$AL60+'GREET IO'!$AM60), IF('CM Rec Par.'!$D$14=Input!$AD$37, 'GREET IO'!$AP60, IF('CM Rec Par.'!$D$14=Input!$AD$38,'GREET IO'!$AQ60,'GREET IO'!$CE59))))/1000000</f>
        <v>2.8937241477631733E-4</v>
      </c>
      <c r="CC28"/>
      <c r="CD28"/>
      <c r="CE28"/>
      <c r="CF28"/>
      <c r="CG28"/>
      <c r="CH28"/>
      <c r="DA28"/>
      <c r="DB28"/>
      <c r="DC28"/>
      <c r="DD28"/>
      <c r="DE28"/>
      <c r="DF28"/>
      <c r="DG28"/>
      <c r="DH28"/>
      <c r="DI28"/>
      <c r="DJ28"/>
      <c r="DK28"/>
      <c r="DL28"/>
      <c r="DM28"/>
    </row>
    <row r="29" spans="2:117">
      <c r="B29" s="133" t="s">
        <v>1886</v>
      </c>
      <c r="AA29" s="147" t="s">
        <v>176</v>
      </c>
      <c r="AB29" s="237">
        <f>AB$9*HLOOKUP($AA$9,'GREET IO'!$A$77:$AZ$98,ROW(AA29)-ROW(AA$24)+1,FALSE)/$AG$25+AB$10*HLOOKUP($AA$10,'GREET IO'!$A$77:$AZ$98,ROW(AA29)-ROW(AA$24)+1,FALSE)/$AG$25+AB$11*HLOOKUP($AA$11,'GREET IO'!$A$77:$AZ$98,ROW(AA29)-ROW(AA$24)+1,FALSE)/$AG$25+AB$15*$AG$24*('GREET IO'!$B25/1000000+1)+AB$16*$AG$24*IF('CM Rec Par.'!$D$14=Input!$AD$35, ('GREET IO'!$B59+'GREET IO'!$C59), IF('CM Rec Par.'!$D$14=Input!$AD$36, ('GREET IO'!$AL59+'GREET IO'!$AM59), IF('CM Rec Par.'!$D$14=Input!$AD$37, 'GREET IO'!$AP59, IF('CM Rec Par.'!$D$14=Input!$AD$38,'GREET IO'!$AQ59,'GREET IO'!$CE58))))/1000000</f>
        <v>3.6208162840559173E-2</v>
      </c>
      <c r="AC29" s="220">
        <f>AC$9*HLOOKUP($AA$9,'GREET IO'!$A$77:$AZ$98,ROW(AB29)-ROW(AB$24)+1,FALSE)/$AG$25+AC$10*HLOOKUP($AA$10,'GREET IO'!$A$77:$AZ$98,ROW(AB29)-ROW(AB$24)+1,FALSE)/$AG$25+AC$11*HLOOKUP($AA$11,'GREET IO'!$A$77:$AZ$98,ROW(AB29)-ROW(AB$24)+1,FALSE)/$AG$25+AC$15*$AG$24*('GREET IO'!$B25/1000000+1)+AC$16*$AG$24*IF('CM Rec Par.'!$D$14=Input!$AD$35, ('GREET IO'!$B59+'GREET IO'!$C59), IF('CM Rec Par.'!$D$14=Input!$AD$36, ('GREET IO'!$AL59+'GREET IO'!$AM59), IF('CM Rec Par.'!$D$14=Input!$AD$37, 'GREET IO'!$AP59, IF('CM Rec Par.'!$D$14=Input!$AD$38,'GREET IO'!$AQ59,'GREET IO'!$CE58))))/1000000</f>
        <v>8.5881145062779456E-5</v>
      </c>
      <c r="AD29"/>
      <c r="AE29"/>
      <c r="AF29"/>
      <c r="AG29"/>
      <c r="AH29"/>
      <c r="BA29" s="143" t="s">
        <v>344</v>
      </c>
      <c r="BB29" s="220">
        <f>BB$9*HLOOKUP(BA$9,'GREET IO'!$A$77:$AZ$98,ROW(BA29)-ROW(BA$22)+1,FALSE)/$AG$25+BB$13*$AG$24*'GREET IO'!$B27+BB$14*$AG$24*IF('CM Rec Par.'!$D$14=Input!$AD$35, ('GREET IO'!$B61+'GREET IO'!$C61), IF('CM Rec Par.'!$D$14=Input!$AD$36, ('GREET IO'!$AL61+'GREET IO'!$AM61), IF('CM Rec Par.'!$D$14=Input!$AD$37, 'GREET IO'!$AP61, IF('CM Rec Par.'!$D$14=Input!$AD$38,'GREET IO'!$AQ61,'GREET IO'!$CE60))))+BB18</f>
        <v>0.25320265627191541</v>
      </c>
      <c r="BC29"/>
      <c r="BD29"/>
      <c r="BE29"/>
      <c r="BF29"/>
      <c r="CA29" s="143" t="s">
        <v>344</v>
      </c>
      <c r="CB29" s="682">
        <f>CB$9*HLOOKUP(CA$9,'GREET IO'!$A$77:$AZ$98,ROW(CA29)-ROW(CA$22)+1,FALSE)/$AG$25+CB$13*$AG$24*'GREET IO'!$B27+CB$14*$AG$24*IF('CM Rec Par.'!$D$14=Input!$AD$35, ('GREET IO'!$B61+'GREET IO'!$C61), IF('CM Rec Par.'!$D$14=Input!$AD$36, ('GREET IO'!$AL61+'GREET IO'!$AM61), IF('CM Rec Par.'!$D$14=Input!$AD$37, 'GREET IO'!$AP61, IF('CM Rec Par.'!$D$14=Input!$AD$38,'GREET IO'!$AQ61,'GREET IO'!$CE60))))+CB18</f>
        <v>8.8543014840617928</v>
      </c>
      <c r="CC29"/>
      <c r="CD29"/>
      <c r="CE29"/>
      <c r="CF29"/>
      <c r="CG29"/>
      <c r="CH29"/>
      <c r="DA29"/>
      <c r="DB29"/>
      <c r="DC29"/>
      <c r="DD29"/>
      <c r="DE29"/>
      <c r="DF29"/>
      <c r="DG29"/>
      <c r="DH29"/>
      <c r="DI29"/>
      <c r="DJ29"/>
      <c r="DK29"/>
      <c r="DL29"/>
      <c r="DM29"/>
    </row>
    <row r="30" spans="2:117">
      <c r="B30" s="622"/>
      <c r="C30" s="622" t="s">
        <v>677</v>
      </c>
      <c r="D30" s="622" t="s">
        <v>426</v>
      </c>
      <c r="E30" s="622" t="s">
        <v>36</v>
      </c>
      <c r="AA30" s="147" t="s">
        <v>177</v>
      </c>
      <c r="AB30" s="237">
        <f>AB$9*HLOOKUP($AA$9,'GREET IO'!$A$77:$AZ$98,ROW(AA30)-ROW(AA$24)+1,FALSE)/$AG$25+AB$10*HLOOKUP($AA$10,'GREET IO'!$A$77:$AZ$98,ROW(AA30)-ROW(AA$24)+1,FALSE)/$AG$25+AB$11*HLOOKUP($AA$11,'GREET IO'!$A$77:$AZ$98,ROW(AA30)-ROW(AA$24)+1,FALSE)/$AG$25+AB$15*$AG$24*('GREET IO'!$B26/1000000)+AB$16*$AG$24*IF('CM Rec Par.'!$D$14=Input!$AD$35, ('GREET IO'!$B60+'GREET IO'!$C60), IF('CM Rec Par.'!$D$14=Input!$AD$36, ('GREET IO'!$AL60+'GREET IO'!$AM60), IF('CM Rec Par.'!$D$14=Input!$AD$37, 'GREET IO'!$AP60, IF('CM Rec Par.'!$D$14=Input!$AD$38,'GREET IO'!$AQ60,'GREET IO'!$CE59))))/1000000</f>
        <v>1.009884687527974E-3</v>
      </c>
      <c r="AC30" s="220">
        <f>AC$9*HLOOKUP($AA$9,'GREET IO'!$A$77:$AZ$98,ROW(AB30)-ROW(AB$24)+1,FALSE)/$AG$25+AC$10*HLOOKUP($AA$10,'GREET IO'!$A$77:$AZ$98,ROW(AB30)-ROW(AB$24)+1,FALSE)/$AG$25+AC$11*HLOOKUP($AA$11,'GREET IO'!$A$77:$AZ$98,ROW(AB30)-ROW(AB$24)+1,FALSE)/$AG$25+AC$15*$AG$24*('GREET IO'!$B26/1000000)+AC$16*$AG$24*IF('CM Rec Par.'!$D$14=Input!$AD$35, ('GREET IO'!$B60+'GREET IO'!$C60), IF('CM Rec Par.'!$D$14=Input!$AD$36, ('GREET IO'!$AL60+'GREET IO'!$AM60), IF('CM Rec Par.'!$D$14=Input!$AD$37, 'GREET IO'!$AP60, IF('CM Rec Par.'!$D$14=Input!$AD$38,'GREET IO'!$AQ60,'GREET IO'!$CE59))))/1000000</f>
        <v>2.1949131221226224E-4</v>
      </c>
      <c r="AD30"/>
      <c r="AE30"/>
      <c r="AF30"/>
      <c r="AG30"/>
      <c r="AH30"/>
      <c r="BA30" s="143" t="s">
        <v>345</v>
      </c>
      <c r="BB30" s="147"/>
      <c r="BC30"/>
      <c r="BD30"/>
      <c r="BE30"/>
      <c r="BF30"/>
      <c r="CA30" s="143" t="s">
        <v>345</v>
      </c>
      <c r="CB30" s="147"/>
      <c r="CC30"/>
      <c r="CD30"/>
      <c r="CE30"/>
      <c r="CF30"/>
      <c r="CG30"/>
      <c r="CH30"/>
      <c r="DA30"/>
      <c r="DB30"/>
      <c r="DC30"/>
      <c r="DD30"/>
      <c r="DE30"/>
      <c r="DF30"/>
      <c r="DG30"/>
      <c r="DH30"/>
      <c r="DI30"/>
      <c r="DJ30"/>
      <c r="DK30"/>
      <c r="DL30"/>
      <c r="DM30"/>
    </row>
    <row r="31" spans="2:117">
      <c r="B31" s="351" t="s">
        <v>705</v>
      </c>
      <c r="C31" s="683">
        <f>C10/$H$43*$L$43</f>
        <v>0.16618788907753254</v>
      </c>
      <c r="D31" s="684">
        <f>D10/$H$43*$L$43</f>
        <v>0.17163667232597624</v>
      </c>
      <c r="E31" s="685">
        <f>F10/$H$43*$L$43</f>
        <v>0</v>
      </c>
      <c r="AA31" s="143" t="s">
        <v>344</v>
      </c>
      <c r="AB31" s="237">
        <f>AB$9*HLOOKUP($AA$9,'GREET IO'!$A$77:$AZ$98,ROW(AA31)-ROW(AA$24)+1,FALSE)/$AG$25+AB$10*HLOOKUP($AA$10,'GREET IO'!$A$77:$AZ$98,ROW(AA31)-ROW(AA$24)+1,FALSE)/$AG$25+AB$11*HLOOKUP($AA$11,'GREET IO'!$A$77:$AZ$98,ROW(AA31)-ROW(AA$24)+1,FALSE)/$AG$25+AB$15*$AG$24*'GREET IO'!$B27+AB$16*$AG$24*IF('CM Rec Par.'!$D$14=Input!$AD$35, ('GREET IO'!$B61+'GREET IO'!$C61), IF('CM Rec Par.'!$D$14=Input!$AD$36, ('GREET IO'!$AL61+'GREET IO'!$AM61), IF('CM Rec Par.'!$D$14=Input!$AD$37, 'GREET IO'!$AP61, IF('CM Rec Par.'!$D$14=Input!$AD$38,'GREET IO'!$AQ61,'GREET IO'!$CE60))))+AB20</f>
        <v>4.6241313664449093</v>
      </c>
      <c r="AC31" s="237">
        <f>AC$9*HLOOKUP($AA$9,'GREET IO'!$A$77:$AZ$98,ROW(AB31)-ROW(AB$24)+1,FALSE)/$AG$25+AC$10*HLOOKUP($AA$10,'GREET IO'!$A$77:$AZ$98,ROW(AB31)-ROW(AB$24)+1,FALSE)/$AG$25+AC$11*HLOOKUP($AA$11,'GREET IO'!$A$77:$AZ$98,ROW(AB31)-ROW(AB$24)+1,FALSE)/$AG$25+AC$15*$AG$24*'GREET IO'!$B27+AC$16*$AG$24*IF('CM Rec Par.'!$D$14=Input!$AD$35, ('GREET IO'!$B61+'GREET IO'!$C61), IF('CM Rec Par.'!$D$14=Input!$AD$36, ('GREET IO'!$AL61+'GREET IO'!$AM61), IF('CM Rec Par.'!$D$14=Input!$AD$37, 'GREET IO'!$AP61, IF('CM Rec Par.'!$D$14=Input!$AD$38,'GREET IO'!$AQ61,'GREET IO'!$CE60))))+AC20</f>
        <v>0.25313396336517308</v>
      </c>
      <c r="AD31"/>
      <c r="AE31"/>
      <c r="AF31"/>
      <c r="AG31"/>
      <c r="AH31"/>
      <c r="BA31" s="147" t="s">
        <v>180</v>
      </c>
      <c r="BB31" s="220">
        <f>BB$9*HLOOKUP(BA$9,'GREET IO'!$A$77:$AZ$98,ROW(BA31)-ROW(BA$22)+1,FALSE)/$AG$25+BB$13*$AG$24*('GREET IO'!$B28+'GREET IO'!$B4)+BB$14*$AG$24*IF('CM Rec Par.'!$D$14=Input!$AD$35, ('GREET IO'!$B62+'GREET IO'!$C62), IF('CM Rec Par.'!$D$14=Input!$AD$36, ('GREET IO'!$AL62+'GREET IO'!$AM62), IF('CM Rec Par.'!$D$14=Input!$AD$37, 'GREET IO'!$AP62, IF('CM Rec Par.'!$D$14=Input!$AD$38,'GREET IO'!$AQ62,'GREET IO'!$CE61))))</f>
        <v>1.1541833121552438E-2</v>
      </c>
      <c r="BC31"/>
      <c r="BD31"/>
      <c r="BE31"/>
      <c r="BF31"/>
      <c r="CA31" s="147" t="s">
        <v>180</v>
      </c>
      <c r="CB31" s="220">
        <f>CB$9*HLOOKUP(CA$9,'GREET IO'!$A$77:$AZ$98,ROW(CA31)-ROW(CA$22)+1,FALSE)/$AG$25+CB$13*$AG$24*('GREET IO'!$B28+'GREET IO'!$B4)+CB$14*$AG$24*IF('CM Rec Par.'!$D$14=Input!$AD$35, ('GREET IO'!$B62+'GREET IO'!$C62), IF('CM Rec Par.'!$D$14=Input!$AD$36, ('GREET IO'!$AL62+'GREET IO'!$AM62), IF('CM Rec Par.'!$D$14=Input!$AD$37, 'GREET IO'!$AP62, IF('CM Rec Par.'!$D$14=Input!$AD$38,'GREET IO'!$AQ62,'GREET IO'!$CE61))))</f>
        <v>0.26228156588050905</v>
      </c>
      <c r="CC31"/>
      <c r="CD31"/>
      <c r="CE31"/>
      <c r="CF31"/>
      <c r="CG31"/>
      <c r="CH31"/>
      <c r="DA31"/>
      <c r="DB31"/>
      <c r="DC31"/>
      <c r="DD31"/>
      <c r="DE31"/>
      <c r="DF31"/>
      <c r="DG31"/>
      <c r="DH31"/>
      <c r="DI31"/>
      <c r="DJ31"/>
      <c r="DK31"/>
      <c r="DL31"/>
      <c r="DM31"/>
    </row>
    <row r="32" spans="2:117">
      <c r="B32" s="147" t="s">
        <v>542</v>
      </c>
      <c r="C32" s="686">
        <f>C10/$H$43*$J$43</f>
        <v>0.32084550084889646</v>
      </c>
      <c r="D32" s="687">
        <f>D10/$H$43*$J$43</f>
        <v>0.33136502546689306</v>
      </c>
      <c r="E32" s="688">
        <f>F10/$H$43*$J$43</f>
        <v>0</v>
      </c>
      <c r="AA32" s="143" t="s">
        <v>345</v>
      </c>
      <c r="AB32" s="159"/>
      <c r="AC32" s="230"/>
      <c r="AD32"/>
      <c r="AE32"/>
      <c r="AF32"/>
      <c r="AG32"/>
      <c r="AH32"/>
      <c r="AN32"/>
      <c r="AO32"/>
      <c r="BA32" s="147" t="s">
        <v>181</v>
      </c>
      <c r="BB32" s="220">
        <f>BB$9*HLOOKUP(BA$9,'GREET IO'!$A$77:$AZ$98,ROW(BA32)-ROW(BA$22)+1,FALSE)/$AG$25+BB$13*$AG$24*('GREET IO'!$B29+'GREET IO'!$B5)+BB$14*$AG$24*IF('CM Rec Par.'!$D$14=Input!$AD$35, ('GREET IO'!$B63+'GREET IO'!$C63), IF('CM Rec Par.'!$D$14=Input!$AD$36, ('GREET IO'!$AL63+'GREET IO'!$AM63), IF('CM Rec Par.'!$D$14=Input!$AD$37, 'GREET IO'!$AP63, IF('CM Rec Par.'!$D$14=Input!$AD$38,'GREET IO'!$AQ63,'GREET IO'!$CE62))))</f>
        <v>2.6264314161680659E-2</v>
      </c>
      <c r="BC32"/>
      <c r="BD32"/>
      <c r="BE32"/>
      <c r="BF32"/>
      <c r="CA32" s="147" t="s">
        <v>181</v>
      </c>
      <c r="CB32" s="220">
        <f>CB$9*HLOOKUP(CA$9,'GREET IO'!$A$77:$AZ$98,ROW(CA32)-ROW(CA$22)+1,FALSE)/$AG$25+CB$13*$AG$24*('GREET IO'!$B29+'GREET IO'!$B5)+CB$14*$AG$24*IF('CM Rec Par.'!$D$14=Input!$AD$35, ('GREET IO'!$B63+'GREET IO'!$C63), IF('CM Rec Par.'!$D$14=Input!$AD$36, ('GREET IO'!$AL63+'GREET IO'!$AM63), IF('CM Rec Par.'!$D$14=Input!$AD$37, 'GREET IO'!$AP63, IF('CM Rec Par.'!$D$14=Input!$AD$38,'GREET IO'!$AQ63,'GREET IO'!$CE62))))</f>
        <v>1.158134672469384</v>
      </c>
      <c r="CC32"/>
      <c r="CD32"/>
      <c r="CE32"/>
      <c r="CF32"/>
      <c r="CG32"/>
      <c r="CH32"/>
      <c r="DA32"/>
      <c r="DB32"/>
      <c r="DC32"/>
      <c r="DD32"/>
      <c r="DE32"/>
      <c r="DF32"/>
      <c r="DG32"/>
      <c r="DH32"/>
      <c r="DI32"/>
      <c r="DJ32"/>
      <c r="DK32"/>
      <c r="DL32"/>
      <c r="DM32"/>
    </row>
    <row r="33" spans="2:117">
      <c r="B33" s="147" t="s">
        <v>543</v>
      </c>
      <c r="C33" s="686">
        <f>C11/$H$45*$J$45</f>
        <v>0.32152299829642245</v>
      </c>
      <c r="D33" s="687">
        <f>D11/$H$45*$J$45</f>
        <v>0.33206473594548547</v>
      </c>
      <c r="E33" s="688">
        <f>F11/$H$45*$J$45</f>
        <v>0</v>
      </c>
      <c r="AA33" s="147" t="s">
        <v>180</v>
      </c>
      <c r="AB33" s="237">
        <f>AB$9*HLOOKUP($AA$9,'GREET IO'!$A$77:$AZ$98,ROW(AA33)-ROW(AA$24)+1,FALSE)/$AG$25+AB$10*HLOOKUP($AA$10,'GREET IO'!$A$77:$AZ$98,ROW(AA33)-ROW(AA$24)+1,FALSE)/$AG$25+AB$11*HLOOKUP($AA$11,'GREET IO'!$A$77:$AZ$98,ROW(AA33)-ROW(AA$24)+1,FALSE)/$AG$25+AB$15*$AG$24*('GREET IO'!$B28+'GREET IO'!$B4)+AB$16*$AG$24*IF('CM Rec Par.'!$D$14=Input!$AD$35, ('GREET IO'!$B62+'GREET IO'!$C62), IF('CM Rec Par.'!$D$14=Input!$AD$36, ('GREET IO'!$AL62+'GREET IO'!$AM62), IF('CM Rec Par.'!$D$14=Input!$AD$37, 'GREET IO'!$AP62, IF('CM Rec Par.'!$D$14=Input!$AD$38,'GREET IO'!$AQ62,'GREET IO'!$CE61))))</f>
        <v>1.8358566746828429</v>
      </c>
      <c r="AC33" s="220">
        <f>AC$9*HLOOKUP($AA$9,'GREET IO'!$A$77:$AZ$98,ROW(AB33)-ROW(AB$24)+1,FALSE)/$AG$25+AC$10*HLOOKUP($AA$10,'GREET IO'!$A$77:$AZ$98,ROW(AB33)-ROW(AB$24)+1,FALSE)/$AG$25+AC$11*HLOOKUP($AA$11,'GREET IO'!$A$77:$AZ$98,ROW(AB33)-ROW(AB$24)+1,FALSE)/$AG$25+AC$15*$AG$24*('GREET IO'!$B28+'GREET IO'!$B4)+AC$16*$AG$24*IF('CM Rec Par.'!$D$14=Input!$AD$35, ('GREET IO'!$B62+'GREET IO'!$C62), IF('CM Rec Par.'!$D$14=Input!$AD$36, ('GREET IO'!$AL62+'GREET IO'!$AM62), IF('CM Rec Par.'!$D$14=Input!$AD$37, 'GREET IO'!$AP62, IF('CM Rec Par.'!$D$14=Input!$AD$38,'GREET IO'!$AQ62,'GREET IO'!$CE61))))</f>
        <v>1.1526930819265089E-2</v>
      </c>
      <c r="AD33"/>
      <c r="AE33"/>
      <c r="AF33"/>
      <c r="AG33"/>
      <c r="AH33"/>
      <c r="AN33"/>
      <c r="AO33"/>
      <c r="BA33" s="147" t="s">
        <v>182</v>
      </c>
      <c r="BB33" s="220">
        <f>BB$9*HLOOKUP(BA$9,'GREET IO'!$A$77:$AZ$98,ROW(BA33)-ROW(BA$22)+1,FALSE)/$AG$25+BB$13*$AG$24*('GREET IO'!$B30+'GREET IO'!$B6)+BB$14*$AG$24*IF('CM Rec Par.'!$D$14=Input!$AD$35, ('GREET IO'!$B64+'GREET IO'!$C64), IF('CM Rec Par.'!$D$14=Input!$AD$36, ('GREET IO'!$AL64+'GREET IO'!$AM64), IF('CM Rec Par.'!$D$14=Input!$AD$37, 'GREET IO'!$AP64, IF('CM Rec Par.'!$D$14=Input!$AD$38,'GREET IO'!$AQ64,'GREET IO'!$CE63))))</f>
        <v>0.2031177352906077</v>
      </c>
      <c r="BC33"/>
      <c r="BD33"/>
      <c r="BE33"/>
      <c r="BF33"/>
      <c r="CA33" s="147" t="s">
        <v>182</v>
      </c>
      <c r="CB33" s="220">
        <f>CB$9*HLOOKUP(CA$9,'GREET IO'!$A$77:$AZ$98,ROW(CA33)-ROW(CA$22)+1,FALSE)/$AG$25+CB$13*$AG$24*('GREET IO'!$B30+'GREET IO'!$B6)+CB$14*$AG$24*IF('CM Rec Par.'!$D$14=Input!$AD$35, ('GREET IO'!$B64+'GREET IO'!$C64), IF('CM Rec Par.'!$D$14=Input!$AD$36, ('GREET IO'!$AL64+'GREET IO'!$AM64), IF('CM Rec Par.'!$D$14=Input!$AD$37, 'GREET IO'!$AP64, IF('CM Rec Par.'!$D$14=Input!$AD$38,'GREET IO'!$AQ64,'GREET IO'!$CE63))))</f>
        <v>1.1401303585244844</v>
      </c>
      <c r="CC33"/>
      <c r="CD33"/>
      <c r="CE33"/>
      <c r="CF33"/>
      <c r="CG33"/>
      <c r="CH33"/>
      <c r="DA33"/>
      <c r="DB33"/>
      <c r="DC33"/>
      <c r="DD33"/>
      <c r="DE33"/>
      <c r="DF33"/>
      <c r="DG33"/>
      <c r="DH33"/>
      <c r="DI33"/>
      <c r="DJ33"/>
      <c r="DK33"/>
      <c r="DL33"/>
      <c r="DM33"/>
    </row>
    <row r="34" spans="2:117">
      <c r="B34" s="147" t="s">
        <v>399</v>
      </c>
      <c r="C34" s="1089">
        <f>C13</f>
        <v>0</v>
      </c>
      <c r="D34" s="1089">
        <f>D13</f>
        <v>0</v>
      </c>
      <c r="E34" s="1090">
        <f>F13</f>
        <v>0</v>
      </c>
      <c r="AA34" s="147" t="s">
        <v>181</v>
      </c>
      <c r="AB34" s="237">
        <f>AB$9*HLOOKUP($AA$9,'GREET IO'!$A$77:$AZ$98,ROW(AA34)-ROW(AA$24)+1,FALSE)/$AG$25+AB$10*HLOOKUP($AA$10,'GREET IO'!$A$77:$AZ$98,ROW(AA34)-ROW(AA$24)+1,FALSE)/$AG$25+AB$11*HLOOKUP($AA$11,'GREET IO'!$A$77:$AZ$98,ROW(AA34)-ROW(AA$24)+1,FALSE)/$AG$25+AB$15*$AG$24*('GREET IO'!$B29+'GREET IO'!$B5)+AB$16*$AG$24*IF('CM Rec Par.'!$D$14=Input!$AD$35, ('GREET IO'!$B63+'GREET IO'!$C63), IF('CM Rec Par.'!$D$14=Input!$AD$36, ('GREET IO'!$AL63+'GREET IO'!$AM63), IF('CM Rec Par.'!$D$14=Input!$AD$37, 'GREET IO'!$AP63, IF('CM Rec Par.'!$D$14=Input!$AD$38,'GREET IO'!$AQ63,'GREET IO'!$CE62))))</f>
        <v>2.9990754509003725</v>
      </c>
      <c r="AC34" s="220">
        <f>AC$9*HLOOKUP($AA$9,'GREET IO'!$A$77:$AZ$98,ROW(AB34)-ROW(AB$24)+1,FALSE)/$AG$25+AC$10*HLOOKUP($AA$10,'GREET IO'!$A$77:$AZ$98,ROW(AB34)-ROW(AB$24)+1,FALSE)/$AG$25+AC$11*HLOOKUP($AA$11,'GREET IO'!$A$77:$AZ$98,ROW(AB34)-ROW(AB$24)+1,FALSE)/$AG$25+AC$15*$AG$24*('GREET IO'!$B29+'GREET IO'!$B5)+AC$16*$AG$24*IF('CM Rec Par.'!$D$14=Input!$AD$35, ('GREET IO'!$B63+'GREET IO'!$C63), IF('CM Rec Par.'!$D$14=Input!$AD$36, ('GREET IO'!$AL63+'GREET IO'!$AM63), IF('CM Rec Par.'!$D$14=Input!$AD$37, 'GREET IO'!$AP63, IF('CM Rec Par.'!$D$14=Input!$AD$38,'GREET IO'!$AQ63,'GREET IO'!$CE62))))</f>
        <v>2.6230402845784363E-2</v>
      </c>
      <c r="AD34"/>
      <c r="AE34"/>
      <c r="AF34"/>
      <c r="AG34"/>
      <c r="AH34"/>
      <c r="AN34"/>
      <c r="AO34"/>
      <c r="BA34" s="147" t="s">
        <v>183</v>
      </c>
      <c r="BB34" s="220">
        <f>BB$9*HLOOKUP(BA$9,'GREET IO'!$A$77:$AZ$98,ROW(BA34)-ROW(BA$22)+1,FALSE)/$AG$25+BB$13*$AG$24*('GREET IO'!$B31+'GREET IO'!$B7)+BB$14*$AG$24*IF('CM Rec Par.'!$D$14=Input!$AD$35, ('GREET IO'!$B65+'GREET IO'!$C65), IF('CM Rec Par.'!$D$14=Input!$AD$36, ('GREET IO'!$AL65+'GREET IO'!$AM65), IF('CM Rec Par.'!$D$14=Input!$AD$37, 'GREET IO'!$AP65, IF('CM Rec Par.'!$D$14=Input!$AD$38,'GREET IO'!$AQ65,'GREET IO'!$CE64))))</f>
        <v>1.3602990361587429E-2</v>
      </c>
      <c r="BC34"/>
      <c r="BD34"/>
      <c r="BE34"/>
      <c r="BF34"/>
      <c r="CA34" s="147" t="s">
        <v>183</v>
      </c>
      <c r="CB34" s="220">
        <f>CB$9*HLOOKUP(CA$9,'GREET IO'!$A$77:$AZ$98,ROW(CA34)-ROW(CA$22)+1,FALSE)/$AG$25+CB$13*$AG$24*('GREET IO'!$B31+'GREET IO'!$B7)+CB$14*$AG$24*IF('CM Rec Par.'!$D$14=Input!$AD$35, ('GREET IO'!$B65+'GREET IO'!$C65), IF('CM Rec Par.'!$D$14=Input!$AD$36, ('GREET IO'!$AL65+'GREET IO'!$AM65), IF('CM Rec Par.'!$D$14=Input!$AD$37, 'GREET IO'!$AP65, IF('CM Rec Par.'!$D$14=Input!$AD$38,'GREET IO'!$AQ65,'GREET IO'!$CE64))))</f>
        <v>0.20382336936518836</v>
      </c>
      <c r="CC34"/>
      <c r="CD34"/>
      <c r="CE34"/>
      <c r="CF34"/>
      <c r="CG34"/>
      <c r="CH34"/>
      <c r="DA34"/>
      <c r="DB34"/>
      <c r="DC34"/>
      <c r="DD34"/>
      <c r="DE34"/>
      <c r="DF34"/>
      <c r="DG34"/>
      <c r="DH34"/>
      <c r="DI34"/>
      <c r="DJ34"/>
      <c r="DK34"/>
      <c r="DL34"/>
      <c r="DM34"/>
    </row>
    <row r="35" spans="2:117">
      <c r="B35" s="147" t="s">
        <v>546</v>
      </c>
      <c r="C35" s="686">
        <f>C13/$K$41*$J$41</f>
        <v>0</v>
      </c>
      <c r="D35" s="687">
        <f>D13/$K$41*$J$41</f>
        <v>0</v>
      </c>
      <c r="E35" s="688">
        <f>F13/$K$41*$J$41</f>
        <v>0</v>
      </c>
      <c r="AA35" s="147" t="s">
        <v>182</v>
      </c>
      <c r="AB35" s="237">
        <f>AB$9*HLOOKUP($AA$9,'GREET IO'!$A$77:$AZ$98,ROW(AA35)-ROW(AA$24)+1,FALSE)/$AG$25+AB$10*HLOOKUP($AA$10,'GREET IO'!$A$77:$AZ$98,ROW(AA35)-ROW(AA$24)+1,FALSE)/$AG$25+AB$11*HLOOKUP($AA$11,'GREET IO'!$A$77:$AZ$98,ROW(AA35)-ROW(AA$24)+1,FALSE)/$AG$25+AB$15*$AG$24*('GREET IO'!$B30+'GREET IO'!$B6)+AB$16*$AG$24*IF('CM Rec Par.'!$D$14=Input!$AD$35, ('GREET IO'!$B64+'GREET IO'!$C64), IF('CM Rec Par.'!$D$14=Input!$AD$36, ('GREET IO'!$AL64+'GREET IO'!$AM64), IF('CM Rec Par.'!$D$14=Input!$AD$37, 'GREET IO'!$AP64, IF('CM Rec Par.'!$D$14=Input!$AD$38,'GREET IO'!$AQ64,'GREET IO'!$CE63))))</f>
        <v>2.6918759608293747</v>
      </c>
      <c r="AC35" s="220">
        <f>AC$9*HLOOKUP($AA$9,'GREET IO'!$A$77:$AZ$98,ROW(AB35)-ROW(AB$24)+1,FALSE)/$AG$25+AC$10*HLOOKUP($AA$10,'GREET IO'!$A$77:$AZ$98,ROW(AB35)-ROW(AB$24)+1,FALSE)/$AG$25+AC$11*HLOOKUP($AA$11,'GREET IO'!$A$77:$AZ$98,ROW(AB35)-ROW(AB$24)+1,FALSE)/$AG$25+AC$15*$AG$24*('GREET IO'!$B30+'GREET IO'!$B6)+AC$16*$AG$24*IF('CM Rec Par.'!$D$14=Input!$AD$35, ('GREET IO'!$B64+'GREET IO'!$C64), IF('CM Rec Par.'!$D$14=Input!$AD$36, ('GREET IO'!$AL64+'GREET IO'!$AM64), IF('CM Rec Par.'!$D$14=Input!$AD$37, 'GREET IO'!$AP64, IF('CM Rec Par.'!$D$14=Input!$AD$38,'GREET IO'!$AQ64,'GREET IO'!$CE63))))</f>
        <v>0.20285547869242737</v>
      </c>
      <c r="AD35"/>
      <c r="AE35"/>
      <c r="AF35"/>
      <c r="AG35"/>
      <c r="AH35"/>
      <c r="AN35"/>
      <c r="AO35"/>
      <c r="BA35" s="147" t="s">
        <v>184</v>
      </c>
      <c r="BB35" s="220">
        <f>BB$9*HLOOKUP(BA$9,'GREET IO'!$A$77:$AZ$98,ROW(BA35)-ROW(BA$22)+1,FALSE)/$AG$25+BB$13*$AG$24*('GREET IO'!$B32+'GREET IO'!$B8)+BB$14*$AG$24*IF('CM Rec Par.'!$D$14=Input!$AD$35, ('GREET IO'!$B66+'GREET IO'!$C66), IF('CM Rec Par.'!$D$14=Input!$AD$36, ('GREET IO'!$AL66+'GREET IO'!$AM66), IF('CM Rec Par.'!$D$14=Input!$AD$37, 'GREET IO'!$AP66, IF('CM Rec Par.'!$D$14=Input!$AD$38,'GREET IO'!$AQ66,'GREET IO'!$CE65))))</f>
        <v>1.2309404797638942E-2</v>
      </c>
      <c r="BC35"/>
      <c r="BD35"/>
      <c r="BE35"/>
      <c r="BF35"/>
      <c r="CA35" s="147" t="s">
        <v>184</v>
      </c>
      <c r="CB35" s="220">
        <f>CB$9*HLOOKUP(CA$9,'GREET IO'!$A$77:$AZ$98,ROW(CA35)-ROW(CA$22)+1,FALSE)/$AG$25+CB$13*$AG$24*('GREET IO'!$B32+'GREET IO'!$B8)+CB$14*$AG$24*IF('CM Rec Par.'!$D$14=Input!$AD$35, ('GREET IO'!$B66+'GREET IO'!$C66), IF('CM Rec Par.'!$D$14=Input!$AD$36, ('GREET IO'!$AL66+'GREET IO'!$AM66), IF('CM Rec Par.'!$D$14=Input!$AD$37, 'GREET IO'!$AP66, IF('CM Rec Par.'!$D$14=Input!$AD$38,'GREET IO'!$AQ66,'GREET IO'!$CE65))))</f>
        <v>0.16421649170372354</v>
      </c>
      <c r="CC35"/>
      <c r="CD35"/>
      <c r="CE35"/>
      <c r="CF35"/>
      <c r="CG35"/>
      <c r="CH35"/>
      <c r="DA35"/>
      <c r="DB35"/>
      <c r="DC35"/>
      <c r="DD35"/>
      <c r="DE35"/>
      <c r="DF35"/>
      <c r="DG35"/>
      <c r="DH35"/>
      <c r="DI35"/>
      <c r="DJ35"/>
      <c r="DK35"/>
      <c r="DL35"/>
      <c r="DM35"/>
    </row>
    <row r="36" spans="2:117">
      <c r="B36" s="147" t="s">
        <v>537</v>
      </c>
      <c r="C36" s="1091"/>
      <c r="D36" s="1091">
        <f>D12/$H$47*$I$47</f>
        <v>0.32433879781420766</v>
      </c>
      <c r="E36" s="1092">
        <f>F12/$H$47*$I$47</f>
        <v>0</v>
      </c>
      <c r="AA36" s="147" t="s">
        <v>183</v>
      </c>
      <c r="AB36" s="237">
        <f>AB$9*HLOOKUP($AA$9,'GREET IO'!$A$77:$AZ$98,ROW(AA36)-ROW(AA$24)+1,FALSE)/$AG$25+AB$10*HLOOKUP($AA$10,'GREET IO'!$A$77:$AZ$98,ROW(AA36)-ROW(AA$24)+1,FALSE)/$AG$25+AB$11*HLOOKUP($AA$11,'GREET IO'!$A$77:$AZ$98,ROW(AA36)-ROW(AA$24)+1,FALSE)/$AG$25+AB$15*$AG$24*('GREET IO'!$B31+'GREET IO'!$B7)+AB$16*$AG$24*IF('CM Rec Par.'!$D$14=Input!$AD$35, ('GREET IO'!$B65+'GREET IO'!$C65), IF('CM Rec Par.'!$D$14=Input!$AD$36, ('GREET IO'!$AL65+'GREET IO'!$AM65), IF('CM Rec Par.'!$D$14=Input!$AD$37, 'GREET IO'!$AP65, IF('CM Rec Par.'!$D$14=Input!$AD$38,'GREET IO'!$AQ65,'GREET IO'!$CE64))))</f>
        <v>0.17485322085256444</v>
      </c>
      <c r="AC36" s="220">
        <f>AC$9*HLOOKUP($AA$9,'GREET IO'!$A$77:$AZ$98,ROW(AB36)-ROW(AB$24)+1,FALSE)/$AG$25+AC$10*HLOOKUP($AA$10,'GREET IO'!$A$77:$AZ$98,ROW(AB36)-ROW(AB$24)+1,FALSE)/$AG$25+AC$11*HLOOKUP($AA$11,'GREET IO'!$A$77:$AZ$98,ROW(AB36)-ROW(AB$24)+1,FALSE)/$AG$25+AC$15*$AG$24*('GREET IO'!$B31+'GREET IO'!$B7)+AC$16*$AG$24*IF('CM Rec Par.'!$D$14=Input!$AD$35, ('GREET IO'!$B65+'GREET IO'!$C65), IF('CM Rec Par.'!$D$14=Input!$AD$36, ('GREET IO'!$AL65+'GREET IO'!$AM65), IF('CM Rec Par.'!$D$14=Input!$AD$37, 'GREET IO'!$AP65, IF('CM Rec Par.'!$D$14=Input!$AD$38,'GREET IO'!$AQ65,'GREET IO'!$CE64))))</f>
        <v>1.3585426784619593E-2</v>
      </c>
      <c r="AD36"/>
      <c r="AE36"/>
      <c r="AF36"/>
      <c r="AG36"/>
      <c r="AH36"/>
      <c r="AN36"/>
      <c r="AO36"/>
      <c r="BA36" s="147" t="s">
        <v>185</v>
      </c>
      <c r="BB36" s="220">
        <f>BB$9*HLOOKUP(BA$9,'GREET IO'!$A$77:$AZ$98,ROW(BA36)-ROW(BA$22)+1,FALSE)/$AG$25+BB$13*$AG$24*('GREET IO'!$B33+'GREET IO'!$B9)+BB$14*$AG$24*IF('CM Rec Par.'!$D$14=Input!$AD$35, ('GREET IO'!$B67+'GREET IO'!$C67), IF('CM Rec Par.'!$D$14=Input!$AD$36, ('GREET IO'!$AL67+'GREET IO'!$AM67), IF('CM Rec Par.'!$D$14=Input!$AD$37, 'GREET IO'!$AP67, IF('CM Rec Par.'!$D$14=Input!$AD$38,'GREET IO'!$AQ67,'GREET IO'!$CE66))))</f>
        <v>1.363202563269128</v>
      </c>
      <c r="BC36"/>
      <c r="BD36"/>
      <c r="BE36"/>
      <c r="BF36"/>
      <c r="CA36" s="147" t="s">
        <v>185</v>
      </c>
      <c r="CB36" s="220">
        <f>CB$9*HLOOKUP(CA$9,'GREET IO'!$A$77:$AZ$98,ROW(CA36)-ROW(CA$22)+1,FALSE)/$AG$25+CB$13*$AG$24*('GREET IO'!$B33+'GREET IO'!$B9)+CB$14*$AG$24*IF('CM Rec Par.'!$D$14=Input!$AD$35, ('GREET IO'!$B67+'GREET IO'!$C67), IF('CM Rec Par.'!$D$14=Input!$AD$36, ('GREET IO'!$AL67+'GREET IO'!$AM67), IF('CM Rec Par.'!$D$14=Input!$AD$37, 'GREET IO'!$AP67, IF('CM Rec Par.'!$D$14=Input!$AD$38,'GREET IO'!$AQ67,'GREET IO'!$CE66))))</f>
        <v>0.28662570282156713</v>
      </c>
      <c r="CC36"/>
      <c r="CD36"/>
      <c r="CE36"/>
      <c r="CF36"/>
      <c r="CG36"/>
      <c r="CH36"/>
      <c r="DA36"/>
      <c r="DB36"/>
      <c r="DC36"/>
      <c r="DD36"/>
      <c r="DE36"/>
      <c r="DF36"/>
      <c r="DG36"/>
      <c r="DH36"/>
      <c r="DI36"/>
      <c r="DJ36"/>
      <c r="DK36"/>
      <c r="DL36"/>
      <c r="DM36"/>
    </row>
    <row r="37" spans="2:117">
      <c r="B37" s="352" t="s">
        <v>535</v>
      </c>
      <c r="C37" s="689"/>
      <c r="D37" s="690"/>
      <c r="E37" s="691"/>
      <c r="AA37" s="147" t="s">
        <v>184</v>
      </c>
      <c r="AB37" s="237">
        <f>AB$9*HLOOKUP($AA$9,'GREET IO'!$A$77:$AZ$98,ROW(AA37)-ROW(AA$24)+1,FALSE)/$AG$25+AB$10*HLOOKUP($AA$10,'GREET IO'!$A$77:$AZ$98,ROW(AA37)-ROW(AA$24)+1,FALSE)/$AG$25+AB$11*HLOOKUP($AA$11,'GREET IO'!$A$77:$AZ$98,ROW(AA37)-ROW(AA$24)+1,FALSE)/$AG$25+AB$15*$AG$24*('GREET IO'!$B32+'GREET IO'!$B8)+AB$16*$AG$24*IF('CM Rec Par.'!$D$14=Input!$AD$35, ('GREET IO'!$B66+'GREET IO'!$C66), IF('CM Rec Par.'!$D$14=Input!$AD$36, ('GREET IO'!$AL66+'GREET IO'!$AM66), IF('CM Rec Par.'!$D$14=Input!$AD$37, 'GREET IO'!$AP66, IF('CM Rec Par.'!$D$14=Input!$AD$38,'GREET IO'!$AQ66,'GREET IO'!$CE65))))</f>
        <v>0.13931475029649665</v>
      </c>
      <c r="AC37" s="220">
        <f>AC$9*HLOOKUP($AA$9,'GREET IO'!$A$77:$AZ$98,ROW(AB37)-ROW(AB$24)+1,FALSE)/$AG$25+AC$10*HLOOKUP($AA$10,'GREET IO'!$A$77:$AZ$98,ROW(AB37)-ROW(AB$24)+1,FALSE)/$AG$25+AC$11*HLOOKUP($AA$11,'GREET IO'!$A$77:$AZ$98,ROW(AB37)-ROW(AB$24)+1,FALSE)/$AG$25+AC$15*$AG$24*('GREET IO'!$B32+'GREET IO'!$B8)+AC$16*$AG$24*IF('CM Rec Par.'!$D$14=Input!$AD$35, ('GREET IO'!$B66+'GREET IO'!$C66), IF('CM Rec Par.'!$D$14=Input!$AD$36, ('GREET IO'!$AL66+'GREET IO'!$AM66), IF('CM Rec Par.'!$D$14=Input!$AD$37, 'GREET IO'!$AP66, IF('CM Rec Par.'!$D$14=Input!$AD$38,'GREET IO'!$AQ66,'GREET IO'!$CE65))))</f>
        <v>1.22935114408957E-2</v>
      </c>
      <c r="AD37"/>
      <c r="AE37"/>
      <c r="AF37"/>
      <c r="AG37"/>
      <c r="AH37"/>
      <c r="AN37"/>
      <c r="AO37"/>
      <c r="BA37" s="147" t="s">
        <v>186</v>
      </c>
      <c r="BB37" s="220">
        <f>BB$9*HLOOKUP(BA$9,'GREET IO'!$A$77:$AZ$98,ROW(BA37)-ROW(BA$22)+1,FALSE)/$AG$25+BB$13*$AG$24*('GREET IO'!$B34+'GREET IO'!$B10)+BB$14*$AG$24*IF('CM Rec Par.'!$D$14=Input!$AD$35, ('GREET IO'!$B68+'GREET IO'!$C68), IF('CM Rec Par.'!$D$14=Input!$AD$36, ('GREET IO'!$AL68+'GREET IO'!$AM68), IF('CM Rec Par.'!$D$14=Input!$AD$37, 'GREET IO'!$AP68, IF('CM Rec Par.'!$D$14=Input!$AD$38,'GREET IO'!$AQ68,'GREET IO'!$CE67))))</f>
        <v>1.7519601072583174E-3</v>
      </c>
      <c r="BC37"/>
      <c r="BD37"/>
      <c r="BE37"/>
      <c r="BF37"/>
      <c r="CA37" s="147" t="s">
        <v>186</v>
      </c>
      <c r="CB37" s="220">
        <f>CB$9*HLOOKUP(CA$9,'GREET IO'!$A$77:$AZ$98,ROW(CA37)-ROW(CA$22)+1,FALSE)/$AG$25+CB$13*$AG$24*('GREET IO'!$B34+'GREET IO'!$B10)+CB$14*$AG$24*IF('CM Rec Par.'!$D$14=Input!$AD$35, ('GREET IO'!$B68+'GREET IO'!$C68), IF('CM Rec Par.'!$D$14=Input!$AD$36, ('GREET IO'!$AL68+'GREET IO'!$AM68), IF('CM Rec Par.'!$D$14=Input!$AD$37, 'GREET IO'!$AP68, IF('CM Rec Par.'!$D$14=Input!$AD$38,'GREET IO'!$AQ68,'GREET IO'!$CE67))))</f>
        <v>1.7058236066004928E-2</v>
      </c>
      <c r="CC37"/>
      <c r="CD37"/>
      <c r="CE37"/>
      <c r="CF37"/>
      <c r="CG37"/>
      <c r="CH37"/>
      <c r="DA37"/>
      <c r="DB37"/>
      <c r="DC37"/>
      <c r="DD37"/>
      <c r="DE37"/>
      <c r="DF37"/>
      <c r="DG37"/>
      <c r="DH37"/>
      <c r="DI37"/>
      <c r="DJ37"/>
      <c r="DK37"/>
      <c r="DL37"/>
      <c r="DM37"/>
    </row>
    <row r="38" spans="2:117">
      <c r="AA38" s="147" t="s">
        <v>185</v>
      </c>
      <c r="AB38" s="237">
        <f>AB$9*HLOOKUP($AA$9,'GREET IO'!$A$77:$AZ$98,ROW(AA38)-ROW(AA$24)+1,FALSE)/$AG$25+AB$10*HLOOKUP($AA$10,'GREET IO'!$A$77:$AZ$98,ROW(AA38)-ROW(AA$24)+1,FALSE)/$AG$25+AB$11*HLOOKUP($AA$11,'GREET IO'!$A$77:$AZ$98,ROW(AA38)-ROW(AA$24)+1,FALSE)/$AG$25+AB$15*$AG$24*('GREET IO'!$B33+'GREET IO'!$B9)+AB$16*$AG$24*IF('CM Rec Par.'!$D$14=Input!$AD$35, ('GREET IO'!$B67+'GREET IO'!$C67), IF('CM Rec Par.'!$D$14=Input!$AD$36, ('GREET IO'!$AL67+'GREET IO'!$AM67), IF('CM Rec Par.'!$D$14=Input!$AD$37, 'GREET IO'!$AP67, IF('CM Rec Par.'!$D$14=Input!$AD$38,'GREET IO'!$AQ67,'GREET IO'!$CE66))))</f>
        <v>0.86095088123350227</v>
      </c>
      <c r="AC38" s="220">
        <f>AC$9*HLOOKUP($AA$9,'GREET IO'!$A$77:$AZ$98,ROW(AB38)-ROW(AB$24)+1,FALSE)/$AG$25+AC$10*HLOOKUP($AA$10,'GREET IO'!$A$77:$AZ$98,ROW(AB38)-ROW(AB$24)+1,FALSE)/$AG$25+AC$11*HLOOKUP($AA$11,'GREET IO'!$A$77:$AZ$98,ROW(AB38)-ROW(AB$24)+1,FALSE)/$AG$25+AC$15*$AG$24*('GREET IO'!$B33+'GREET IO'!$B9)+AC$16*$AG$24*IF('CM Rec Par.'!$D$14=Input!$AD$35, ('GREET IO'!$B67+'GREET IO'!$C67), IF('CM Rec Par.'!$D$14=Input!$AD$36, ('GREET IO'!$AL67+'GREET IO'!$AM67), IF('CM Rec Par.'!$D$14=Input!$AD$37, 'GREET IO'!$AP67, IF('CM Rec Par.'!$D$14=Input!$AD$38,'GREET IO'!$AQ67,'GREET IO'!$CE66))))</f>
        <v>1.3614424566671017</v>
      </c>
      <c r="AD38"/>
      <c r="AE38"/>
      <c r="AF38"/>
      <c r="AG38"/>
      <c r="AH38"/>
      <c r="AN38"/>
      <c r="AO38"/>
      <c r="BA38" s="147" t="s">
        <v>187</v>
      </c>
      <c r="BB38" s="220">
        <f>BB$9*HLOOKUP(BA$9,'GREET IO'!$A$77:$AZ$98,ROW(BA38)-ROW(BA$22)+1,FALSE)/$AG$25+BB$13*$AG$24*('GREET IO'!$B35+'GREET IO'!$B11)+BB$14*$AG$24*IF('CM Rec Par.'!$D$14=Input!$AD$35, ('GREET IO'!$B69+'GREET IO'!$C69), IF('CM Rec Par.'!$D$14=Input!$AD$36, ('GREET IO'!$AL69+'GREET IO'!$AM69), IF('CM Rec Par.'!$D$14=Input!$AD$37, 'GREET IO'!$AP69, IF('CM Rec Par.'!$D$14=Input!$AD$38,'GREET IO'!$AQ69,'GREET IO'!$CE68))))</f>
        <v>5.1750181074264523E-3</v>
      </c>
      <c r="BC38"/>
      <c r="BD38"/>
      <c r="BE38"/>
      <c r="BF38"/>
      <c r="CA38" s="147" t="s">
        <v>187</v>
      </c>
      <c r="CB38" s="220">
        <f>CB$9*HLOOKUP(CA$9,'GREET IO'!$A$77:$AZ$98,ROW(CA38)-ROW(CA$22)+1,FALSE)/$AG$25+CB$13*$AG$24*('GREET IO'!$B35+'GREET IO'!$B11)+CB$14*$AG$24*IF('CM Rec Par.'!$D$14=Input!$AD$35, ('GREET IO'!$B69+'GREET IO'!$C69), IF('CM Rec Par.'!$D$14=Input!$AD$36, ('GREET IO'!$AL69+'GREET IO'!$AM69), IF('CM Rec Par.'!$D$14=Input!$AD$37, 'GREET IO'!$AP69, IF('CM Rec Par.'!$D$14=Input!$AD$38,'GREET IO'!$AQ69,'GREET IO'!$CE68))))</f>
        <v>3.6912496190460178E-2</v>
      </c>
      <c r="CC38"/>
      <c r="CD38"/>
      <c r="CE38"/>
      <c r="CF38"/>
      <c r="CG38"/>
      <c r="CH38"/>
      <c r="DA38"/>
      <c r="DB38"/>
      <c r="DC38"/>
      <c r="DD38"/>
      <c r="DE38"/>
      <c r="DF38"/>
      <c r="DG38"/>
      <c r="DH38"/>
      <c r="DI38"/>
      <c r="DJ38"/>
      <c r="DK38"/>
      <c r="DL38"/>
      <c r="DM38"/>
    </row>
    <row r="39" spans="2:117">
      <c r="B39" s="133" t="s">
        <v>558</v>
      </c>
      <c r="AA39" s="147" t="s">
        <v>186</v>
      </c>
      <c r="AB39" s="237">
        <f>AB$9*HLOOKUP($AA$9,'GREET IO'!$A$77:$AZ$98,ROW(AA39)-ROW(AA$24)+1,FALSE)/$AG$25+AB$10*HLOOKUP($AA$10,'GREET IO'!$A$77:$AZ$98,ROW(AA39)-ROW(AA$24)+1,FALSE)/$AG$25+AB$11*HLOOKUP($AA$11,'GREET IO'!$A$77:$AZ$98,ROW(AA39)-ROW(AA$24)+1,FALSE)/$AG$25+AB$15*$AG$24*('GREET IO'!$B34+'GREET IO'!$B10)+AB$16*$AG$24*IF('CM Rec Par.'!$D$14=Input!$AD$35, ('GREET IO'!$B68+'GREET IO'!$C68), IF('CM Rec Par.'!$D$14=Input!$AD$36, ('GREET IO'!$AL68+'GREET IO'!$AM68), IF('CM Rec Par.'!$D$14=Input!$AD$37, 'GREET IO'!$AP68, IF('CM Rec Par.'!$D$14=Input!$AD$38,'GREET IO'!$AQ68,'GREET IO'!$CE67))))</f>
        <v>1.9159163839745322E-2</v>
      </c>
      <c r="AC39" s="220">
        <f>AC$9*HLOOKUP($AA$9,'GREET IO'!$A$77:$AZ$98,ROW(AB39)-ROW(AB$24)+1,FALSE)/$AG$25+AC$10*HLOOKUP($AA$10,'GREET IO'!$A$77:$AZ$98,ROW(AB39)-ROW(AB$24)+1,FALSE)/$AG$25+AC$11*HLOOKUP($AA$11,'GREET IO'!$A$77:$AZ$98,ROW(AB39)-ROW(AB$24)+1,FALSE)/$AG$25+AC$15*$AG$24*('GREET IO'!$B34+'GREET IO'!$B10)+AC$16*$AG$24*IF('CM Rec Par.'!$D$14=Input!$AD$35, ('GREET IO'!$B68+'GREET IO'!$C68), IF('CM Rec Par.'!$D$14=Input!$AD$36, ('GREET IO'!$AL68+'GREET IO'!$AM68), IF('CM Rec Par.'!$D$14=Input!$AD$37, 'GREET IO'!$AP68, IF('CM Rec Par.'!$D$14=Input!$AD$38,'GREET IO'!$AQ68,'GREET IO'!$CE67))))</f>
        <v>1.7496980541824507E-3</v>
      </c>
      <c r="AD39"/>
      <c r="AE39"/>
      <c r="AF39"/>
      <c r="AG39"/>
      <c r="AH39"/>
      <c r="AN39"/>
      <c r="AO39"/>
      <c r="BA39" s="147" t="s">
        <v>188</v>
      </c>
      <c r="BB39" s="220">
        <f>BB$9*HLOOKUP(BA$9,'GREET IO'!$A$77:$AZ$98,ROW(BA39)-ROW(BA$22)+1,FALSE)/$AG$25+BB$13*$AG$24*('GREET IO'!$B36+'GREET IO'!$B12)+BB$14*$AG$24*IF('CM Rec Par.'!$D$14=Input!$AD$35, ('GREET IO'!$B70+'GREET IO'!$C70), IF('CM Rec Par.'!$D$14=Input!$AD$36, ('GREET IO'!$AL70+'GREET IO'!$AM70), IF('CM Rec Par.'!$D$14=Input!$AD$37, 'GREET IO'!$AP70, IF('CM Rec Par.'!$D$14=Input!$AD$38,'GREET IO'!$AQ70,'GREET IO'!$CE69))))</f>
        <v>4.0830415650718953E-2</v>
      </c>
      <c r="BC39"/>
      <c r="BD39"/>
      <c r="BE39"/>
      <c r="BF39"/>
      <c r="CA39" s="147" t="s">
        <v>188</v>
      </c>
      <c r="CB39" s="220">
        <f>CB$9*HLOOKUP(CA$9,'GREET IO'!$A$77:$AZ$98,ROW(CA39)-ROW(CA$22)+1,FALSE)/$AG$25+CB$13*$AG$24*('GREET IO'!$B36+'GREET IO'!$B12)+CB$14*$AG$24*IF('CM Rec Par.'!$D$14=Input!$AD$35, ('GREET IO'!$B70+'GREET IO'!$C70), IF('CM Rec Par.'!$D$14=Input!$AD$36, ('GREET IO'!$AL70+'GREET IO'!$AM70), IF('CM Rec Par.'!$D$14=Input!$AD$37, 'GREET IO'!$AP70, IF('CM Rec Par.'!$D$14=Input!$AD$38,'GREET IO'!$AQ70,'GREET IO'!$CE69))))</f>
        <v>3.1935478569693907</v>
      </c>
      <c r="CC39"/>
      <c r="CD39"/>
      <c r="CE39"/>
      <c r="CF39"/>
      <c r="CG39"/>
      <c r="CH39"/>
      <c r="DA39"/>
      <c r="DB39"/>
      <c r="DC39"/>
      <c r="DD39"/>
      <c r="DE39"/>
      <c r="DF39"/>
      <c r="DG39"/>
      <c r="DH39"/>
      <c r="DI39"/>
      <c r="DJ39"/>
      <c r="DK39"/>
      <c r="DL39"/>
      <c r="DM39"/>
    </row>
    <row r="40" spans="2:117">
      <c r="B40" s="623"/>
      <c r="C40" s="623" t="s">
        <v>546</v>
      </c>
      <c r="D40" s="623" t="s">
        <v>542</v>
      </c>
      <c r="E40" s="623" t="s">
        <v>705</v>
      </c>
      <c r="F40" s="624" t="s">
        <v>543</v>
      </c>
      <c r="H40" s="120" t="s">
        <v>551</v>
      </c>
      <c r="I40" s="120" t="s">
        <v>552</v>
      </c>
      <c r="J40" s="120" t="s">
        <v>553</v>
      </c>
      <c r="K40" s="120" t="s">
        <v>371</v>
      </c>
      <c r="AA40" s="147" t="s">
        <v>187</v>
      </c>
      <c r="AB40" s="237">
        <f>AB$9*HLOOKUP($AA$9,'GREET IO'!$A$77:$AZ$98,ROW(AA40)-ROW(AA$24)+1,FALSE)/$AG$25+AB$10*HLOOKUP($AA$10,'GREET IO'!$A$77:$AZ$98,ROW(AA40)-ROW(AA$24)+1,FALSE)/$AG$25+AB$11*HLOOKUP($AA$11,'GREET IO'!$A$77:$AZ$98,ROW(AA40)-ROW(AA$24)+1,FALSE)/$AG$25+AB$15*$AG$24*('GREET IO'!$B35+'GREET IO'!$B11)+AB$16*$AG$24*IF('CM Rec Par.'!$D$14=Input!$AD$35, ('GREET IO'!$B69+'GREET IO'!$C69), IF('CM Rec Par.'!$D$14=Input!$AD$36, ('GREET IO'!$AL69+'GREET IO'!$AM69), IF('CM Rec Par.'!$D$14=Input!$AD$37, 'GREET IO'!$AP69, IF('CM Rec Par.'!$D$14=Input!$AD$38,'GREET IO'!$AQ69,'GREET IO'!$CE68))))</f>
        <v>5.1510648259961232E-2</v>
      </c>
      <c r="AC40" s="220">
        <f>AC$9*HLOOKUP($AA$9,'GREET IO'!$A$77:$AZ$98,ROW(AB40)-ROW(AB$24)+1,FALSE)/$AG$25+AC$10*HLOOKUP($AA$10,'GREET IO'!$A$77:$AZ$98,ROW(AB40)-ROW(AB$24)+1,FALSE)/$AG$25+AC$11*HLOOKUP($AA$11,'GREET IO'!$A$77:$AZ$98,ROW(AB40)-ROW(AB$24)+1,FALSE)/$AG$25+AC$15*$AG$24*('GREET IO'!$B35+'GREET IO'!$B11)+AC$16*$AG$24*IF('CM Rec Par.'!$D$14=Input!$AD$35, ('GREET IO'!$B69+'GREET IO'!$C69), IF('CM Rec Par.'!$D$14=Input!$AD$36, ('GREET IO'!$AL69+'GREET IO'!$AM69), IF('CM Rec Par.'!$D$14=Input!$AD$37, 'GREET IO'!$AP69, IF('CM Rec Par.'!$D$14=Input!$AD$38,'GREET IO'!$AQ69,'GREET IO'!$CE68))))</f>
        <v>5.1683363538984634E-3</v>
      </c>
      <c r="AD40"/>
      <c r="AE40"/>
      <c r="AF40"/>
      <c r="AG40"/>
      <c r="AH40"/>
      <c r="AN40"/>
      <c r="AO40"/>
      <c r="BA40" s="147" t="s">
        <v>189</v>
      </c>
      <c r="BB40" s="220">
        <f>BB$9*HLOOKUP(BA$9,'GREET IO'!$A$77:$AZ$98,ROW(BA40)-ROW(BA$22)+1,FALSE)/$AG$25+BB$13*$AG$24*('GREET IO'!$B37+'GREET IO'!$B13)+BB$14*$AG$24*IF('CM Rec Par.'!$D$14=Input!$AD$35, ('GREET IO'!$B71+'GREET IO'!$C71), IF('CM Rec Par.'!$D$14=Input!$AD$36, ('GREET IO'!$AL71+'GREET IO'!$AM71), IF('CM Rec Par.'!$D$14=Input!$AD$37, 'GREET IO'!$AP71, IF('CM Rec Par.'!$D$14=Input!$AD$38,'GREET IO'!$AQ71,'GREET IO'!$CE70))))</f>
        <v>6.4082045938544728E-4</v>
      </c>
      <c r="BC40"/>
      <c r="BD40"/>
      <c r="BE40"/>
      <c r="BF40"/>
      <c r="CA40" s="147" t="s">
        <v>189</v>
      </c>
      <c r="CB40" s="220">
        <f>CB$9*HLOOKUP(CA$9,'GREET IO'!$A$77:$AZ$98,ROW(CA40)-ROW(CA$22)+1,FALSE)/$AG$25+CB$13*$AG$24*('GREET IO'!$B37+'GREET IO'!$B13)+CB$14*$AG$24*IF('CM Rec Par.'!$D$14=Input!$AD$35, ('GREET IO'!$B71+'GREET IO'!$C71), IF('CM Rec Par.'!$D$14=Input!$AD$36, ('GREET IO'!$AL71+'GREET IO'!$AM71), IF('CM Rec Par.'!$D$14=Input!$AD$37, 'GREET IO'!$AP71, IF('CM Rec Par.'!$D$14=Input!$AD$38,'GREET IO'!$AQ71,'GREET IO'!$CE70))))</f>
        <v>2.4607596929973261E-2</v>
      </c>
      <c r="CC40"/>
      <c r="CD40"/>
      <c r="CE40"/>
      <c r="CF40"/>
      <c r="CG40"/>
      <c r="CH40"/>
      <c r="DA40"/>
      <c r="DB40"/>
      <c r="DC40"/>
      <c r="DD40"/>
      <c r="DE40"/>
      <c r="DF40"/>
      <c r="DG40"/>
      <c r="DH40"/>
      <c r="DI40"/>
      <c r="DJ40"/>
      <c r="DK40"/>
      <c r="DL40"/>
      <c r="DM40"/>
    </row>
    <row r="41" spans="2:117">
      <c r="B41" s="625" t="s">
        <v>531</v>
      </c>
      <c r="C41" s="626"/>
      <c r="D41" s="626"/>
      <c r="E41" s="626"/>
      <c r="F41" s="624"/>
      <c r="H41" s="120">
        <v>14</v>
      </c>
      <c r="I41" s="120">
        <v>56</v>
      </c>
      <c r="J41" s="120">
        <v>48</v>
      </c>
      <c r="K41" s="120">
        <v>74</v>
      </c>
      <c r="AA41" s="147" t="s">
        <v>188</v>
      </c>
      <c r="AB41" s="237">
        <f>AB$9*HLOOKUP($AA$9,'GREET IO'!$A$77:$AZ$98,ROW(AA41)-ROW(AA$24)+1,FALSE)/$AG$25+AB$10*HLOOKUP($AA$10,'GREET IO'!$A$77:$AZ$98,ROW(AA41)-ROW(AA$24)+1,FALSE)/$AG$25+AB$11*HLOOKUP($AA$11,'GREET IO'!$A$77:$AZ$98,ROW(AA41)-ROW(AA$24)+1,FALSE)/$AG$25+AB$15*$AG$24*('GREET IO'!$B36+'GREET IO'!$B12)+AB$16*$AG$24*IF('CM Rec Par.'!$D$14=Input!$AD$35, ('GREET IO'!$B70+'GREET IO'!$C70), IF('CM Rec Par.'!$D$14=Input!$AD$36, ('GREET IO'!$AL70+'GREET IO'!$AM70), IF('CM Rec Par.'!$D$14=Input!$AD$37, 'GREET IO'!$AP70, IF('CM Rec Par.'!$D$14=Input!$AD$38,'GREET IO'!$AQ70,'GREET IO'!$CE69))))</f>
        <v>11.809550646318064</v>
      </c>
      <c r="AC41" s="220">
        <f>AC$9*HLOOKUP($AA$9,'GREET IO'!$A$77:$AZ$98,ROW(AB41)-ROW(AB$24)+1,FALSE)/$AG$25+AC$10*HLOOKUP($AA$10,'GREET IO'!$A$77:$AZ$98,ROW(AB41)-ROW(AB$24)+1,FALSE)/$AG$25+AC$11*HLOOKUP($AA$11,'GREET IO'!$A$77:$AZ$98,ROW(AB41)-ROW(AB$24)+1,FALSE)/$AG$25+AC$15*$AG$24*('GREET IO'!$B36+'GREET IO'!$B12)+AC$16*$AG$24*IF('CM Rec Par.'!$D$14=Input!$AD$35, ('GREET IO'!$B70+'GREET IO'!$C70), IF('CM Rec Par.'!$D$14=Input!$AD$36, ('GREET IO'!$AL70+'GREET IO'!$AM70), IF('CM Rec Par.'!$D$14=Input!$AD$37, 'GREET IO'!$AP70, IF('CM Rec Par.'!$D$14=Input!$AD$38,'GREET IO'!$AQ70,'GREET IO'!$CE69))))</f>
        <v>4.0777697231544362E-2</v>
      </c>
      <c r="AD41"/>
      <c r="AE41"/>
      <c r="AF41"/>
      <c r="AG41"/>
      <c r="AH41"/>
      <c r="AN41"/>
      <c r="AO41"/>
      <c r="BA41" s="147" t="s">
        <v>190</v>
      </c>
      <c r="BB41" s="185">
        <f>BB$9*HLOOKUP(BA$9,'GREET IO'!$A$77:$AZ$98,ROW(BA41)-ROW(BA$22)+1,FALSE)/$AG$25+BB$13*$AG$24*('GREET IO'!$B38+'GREET IO'!$B14)+BB$14*$AG$24*IF('CM Rec Par.'!$D$14=Input!$AD$35, ('GREET IO'!$B72+'GREET IO'!$C72), IF('CM Rec Par.'!$D$14=Input!$AD$36, ('GREET IO'!$AL72+'GREET IO'!$AM72), IF('CM Rec Par.'!$D$14=Input!$AD$37, 'GREET IO'!$AP72, IF('CM Rec Par.'!$D$14=Input!$AD$38,'GREET IO'!$AQ72,'GREET IO'!$CE71))))</f>
        <v>26.448860107484212</v>
      </c>
      <c r="BC41"/>
      <c r="BD41"/>
      <c r="BE41"/>
      <c r="BF41"/>
      <c r="CA41" s="147" t="s">
        <v>190</v>
      </c>
      <c r="CB41" s="563">
        <f>CB$9*HLOOKUP(CA$9,'GREET IO'!$A$77:$AZ$98,ROW(CA41)-ROW(CA$22)+1,FALSE)/$AG$25+CB$13*$AG$24*('GREET IO'!$B38+'GREET IO'!$B14)+CB$14*$AG$24*IF('CM Rec Par.'!$D$14=Input!$AD$35, ('GREET IO'!$B72+'GREET IO'!$C72), IF('CM Rec Par.'!$D$14=Input!$AD$36, ('GREET IO'!$AL72+'GREET IO'!$AM72), IF('CM Rec Par.'!$D$14=Input!$AD$37, 'GREET IO'!$AP72, IF('CM Rec Par.'!$D$14=Input!$AD$38,'GREET IO'!$AQ72,'GREET IO'!$CE71))))</f>
        <v>2178.2916984970452</v>
      </c>
      <c r="CC41" t="s">
        <v>710</v>
      </c>
      <c r="CD41"/>
      <c r="CE41"/>
      <c r="CF41"/>
      <c r="CG41"/>
      <c r="CH41"/>
      <c r="DA41"/>
      <c r="DB41"/>
      <c r="DC41"/>
      <c r="DD41"/>
      <c r="DE41"/>
      <c r="DF41"/>
      <c r="DG41"/>
      <c r="DH41"/>
      <c r="DI41"/>
      <c r="DJ41"/>
      <c r="DK41"/>
      <c r="DL41"/>
      <c r="DM41"/>
    </row>
    <row r="42" spans="2:117">
      <c r="B42" s="627" t="s">
        <v>400</v>
      </c>
      <c r="C42" s="628">
        <v>1.1666666666666667</v>
      </c>
      <c r="D42" s="628"/>
      <c r="E42" s="628"/>
      <c r="F42" s="628"/>
      <c r="H42" s="120" t="s">
        <v>526</v>
      </c>
      <c r="I42" s="120" t="s">
        <v>527</v>
      </c>
      <c r="J42" s="120" t="s">
        <v>528</v>
      </c>
      <c r="K42" s="120" t="s">
        <v>533</v>
      </c>
      <c r="L42" s="120" t="s">
        <v>1290</v>
      </c>
      <c r="AA42" s="147" t="s">
        <v>189</v>
      </c>
      <c r="AB42" s="237">
        <f>AB$9*HLOOKUP($AA$9,'GREET IO'!$A$77:$AZ$98,ROW(AA42)-ROW(AA$24)+1,FALSE)/$AG$25+AB$10*HLOOKUP($AA$10,'GREET IO'!$A$77:$AZ$98,ROW(AA42)-ROW(AA$24)+1,FALSE)/$AG$25+AB$11*HLOOKUP($AA$11,'GREET IO'!$A$77:$AZ$98,ROW(AA42)-ROW(AA$24)+1,FALSE)/$AG$25+AB$15*$AG$24*('GREET IO'!$B37+'GREET IO'!$B13)+AB$16*$AG$24*IF('CM Rec Par.'!$D$14=Input!$AD$35, ('GREET IO'!$B71+'GREET IO'!$C71), IF('CM Rec Par.'!$D$14=Input!$AD$36, ('GREET IO'!$AL71+'GREET IO'!$AM71), IF('CM Rec Par.'!$D$14=Input!$AD$37, 'GREET IO'!$AP71, IF('CM Rec Par.'!$D$14=Input!$AD$38,'GREET IO'!$AQ71,'GREET IO'!$CE70))))</f>
        <v>6.649274753474077E-2</v>
      </c>
      <c r="AC42" s="220">
        <f>AC$9*HLOOKUP($AA$9,'GREET IO'!$A$77:$AZ$98,ROW(AB42)-ROW(AB$24)+1,FALSE)/$AG$25+AC$10*HLOOKUP($AA$10,'GREET IO'!$A$77:$AZ$98,ROW(AB42)-ROW(AB$24)+1,FALSE)/$AG$25+AC$11*HLOOKUP($AA$11,'GREET IO'!$A$77:$AZ$98,ROW(AB42)-ROW(AB$24)+1,FALSE)/$AG$25+AC$15*$AG$24*('GREET IO'!$B37+'GREET IO'!$B13)+AC$16*$AG$24*IF('CM Rec Par.'!$D$14=Input!$AD$35, ('GREET IO'!$B71+'GREET IO'!$C71), IF('CM Rec Par.'!$D$14=Input!$AD$36, ('GREET IO'!$AL71+'GREET IO'!$AM71), IF('CM Rec Par.'!$D$14=Input!$AD$37, 'GREET IO'!$AP71, IF('CM Rec Par.'!$D$14=Input!$AD$38,'GREET IO'!$AQ71,'GREET IO'!$CE70))))</f>
        <v>6.3999306047081146E-4</v>
      </c>
      <c r="AD42"/>
      <c r="AE42"/>
      <c r="AF42"/>
      <c r="AG42"/>
      <c r="AH42"/>
      <c r="AN42"/>
      <c r="AO42"/>
      <c r="BA42" s="147" t="s">
        <v>198</v>
      </c>
      <c r="BB42" s="185">
        <f>BB41+BB31*'GREET IO'!$B$118/'GREET IO'!$B$120+BB32*'GREET IO'!$B$119/'GREET IO'!$B$120</f>
        <v>26.526104647729024</v>
      </c>
      <c r="BC42"/>
      <c r="BD42"/>
      <c r="BE42"/>
      <c r="BF42"/>
      <c r="CA42" s="147" t="s">
        <v>198</v>
      </c>
      <c r="CB42" s="185">
        <f>CB41+CB31*'GREET IO'!$B$118/'GREET IO'!$B$120+CB32*'GREET IO'!$B$119/'GREET IO'!$B$120</f>
        <v>2180.9290686245868</v>
      </c>
      <c r="CC42"/>
      <c r="CD42"/>
      <c r="CE42"/>
      <c r="CF42"/>
      <c r="CG42"/>
      <c r="CH42"/>
      <c r="DA42"/>
      <c r="DB42"/>
      <c r="DC42"/>
      <c r="DD42"/>
      <c r="DE42"/>
      <c r="DF42"/>
      <c r="DG42"/>
      <c r="DH42"/>
      <c r="DI42"/>
      <c r="DJ42"/>
      <c r="DK42"/>
      <c r="DL42"/>
      <c r="DM42"/>
    </row>
    <row r="43" spans="2:117">
      <c r="B43" s="29" t="s">
        <v>538</v>
      </c>
      <c r="C43" s="628"/>
      <c r="D43" s="628">
        <f>I43/J43</f>
        <v>0.63266623628147189</v>
      </c>
      <c r="E43" s="628"/>
      <c r="F43" s="628">
        <f>I45/J45</f>
        <v>0.63348416289592768</v>
      </c>
      <c r="H43" s="120">
        <v>58.9</v>
      </c>
      <c r="I43" s="120">
        <v>98</v>
      </c>
      <c r="J43" s="120">
        <v>154.9</v>
      </c>
      <c r="K43" s="120">
        <v>72.900000000000006</v>
      </c>
      <c r="L43" s="454">
        <f>H43+16*4/3</f>
        <v>80.233333333333334</v>
      </c>
      <c r="AA43" s="147" t="s">
        <v>190</v>
      </c>
      <c r="AB43" s="562">
        <f>AB$9*HLOOKUP($AA$9,'GREET IO'!$A$77:$AZ$98,ROW(AA43)-ROW(AA$24)+1,FALSE)/$AG$25+AB$10*HLOOKUP($AA$10,'GREET IO'!$A$77:$AZ$98,ROW(AA43)-ROW(AA$24)+1,FALSE)/$AG$25+AB$11*HLOOKUP($AA$11,'GREET IO'!$A$77:$AZ$98,ROW(AA43)-ROW(AA$24)+1,FALSE)/$AG$25+AB$15*$AG$24*('GREET IO'!$B38+'GREET IO'!$B14)+AB$16*$AG$24*IF('CM Rec Par.'!$D$14=Input!$AD$35, ('GREET IO'!$B72+'GREET IO'!$C72), IF('CM Rec Par.'!$D$14=Input!$AD$36, ('GREET IO'!$AL72+'GREET IO'!$AM72), IF('CM Rec Par.'!$D$14=Input!$AD$37, 'GREET IO'!$AP72, IF('CM Rec Par.'!$D$14=Input!$AD$38,'GREET IO'!$AQ72,'GREET IO'!$CE71))))</f>
        <v>2544.5553859631791</v>
      </c>
      <c r="AC43" s="562">
        <f>AC$9*HLOOKUP($AA$9,'GREET IO'!$A$77:$AZ$98,ROW(AB43)-ROW(AB$24)+1,FALSE)/$AG$25+AC$10*HLOOKUP($AA$10,'GREET IO'!$A$77:$AZ$98,ROW(AB43)-ROW(AB$24)+1,FALSE)/$AG$25+AC$11*HLOOKUP($AA$11,'GREET IO'!$A$77:$AZ$98,ROW(AB43)-ROW(AB$24)+1,FALSE)/$AG$25+AC$15*$AG$24*('GREET IO'!$B38+'GREET IO'!$B14)+AC$16*$AG$24*IF('CM Rec Par.'!$D$14=Input!$AD$35, ('GREET IO'!$B72+'GREET IO'!$C72), IF('CM Rec Par.'!$D$14=Input!$AD$36, ('GREET IO'!$AL72+'GREET IO'!$AM72), IF('CM Rec Par.'!$D$14=Input!$AD$37, 'GREET IO'!$AP72, IF('CM Rec Par.'!$D$14=Input!$AD$38,'GREET IO'!$AQ72,'GREET IO'!$CE71))))</f>
        <v>26.41471051405944</v>
      </c>
      <c r="AD43"/>
      <c r="AE43"/>
      <c r="AF43"/>
      <c r="AG43"/>
      <c r="AH43"/>
      <c r="AN43"/>
      <c r="AO43"/>
      <c r="BA43" s="267" t="s">
        <v>199</v>
      </c>
      <c r="BB43" s="323">
        <f>BB42+SUMPRODUCT(BB39:BB40,'GREET IO'!$B$114:$B$115)</f>
        <v>27.917795019532676</v>
      </c>
      <c r="BC43"/>
      <c r="BD43"/>
      <c r="BE43"/>
      <c r="BF43"/>
      <c r="CA43" s="267" t="s">
        <v>199</v>
      </c>
      <c r="CB43" s="323">
        <f>CB42+SUMPRODUCT(CB39:CB40,'GREET IO'!$B$114:$B$115)</f>
        <v>2282.8146687241574</v>
      </c>
      <c r="CC43"/>
      <c r="CD43"/>
      <c r="CE43"/>
      <c r="CF43"/>
      <c r="CG43"/>
      <c r="CH43"/>
      <c r="DA43"/>
      <c r="DB43"/>
      <c r="DC43"/>
      <c r="DD43"/>
      <c r="DE43"/>
      <c r="DF43"/>
      <c r="DG43"/>
      <c r="DH43"/>
      <c r="DI43"/>
      <c r="DJ43"/>
      <c r="DK43"/>
      <c r="DL43"/>
      <c r="DM43"/>
    </row>
    <row r="44" spans="2:117">
      <c r="B44" s="29" t="s">
        <v>539</v>
      </c>
      <c r="C44" s="628"/>
      <c r="D44" s="628"/>
      <c r="E44" s="628">
        <v>0.46990743163271659</v>
      </c>
      <c r="F44" s="628"/>
      <c r="H44" s="120" t="s">
        <v>529</v>
      </c>
      <c r="I44" s="120" t="s">
        <v>527</v>
      </c>
      <c r="J44" s="120" t="s">
        <v>530</v>
      </c>
      <c r="K44"/>
      <c r="L44"/>
      <c r="AA44" s="147" t="s">
        <v>198</v>
      </c>
      <c r="AB44" s="185">
        <f>AB43+AB33*'GREET IO'!$B$118/'GREET IO'!$B$120+AB34*'GREET IO'!$B$119/'GREET IO'!$B$120</f>
        <v>2554.9899721173556</v>
      </c>
      <c r="AC44" s="185">
        <f>AC43+AC33*'GREET IO'!$B$118/'GREET IO'!$B$120+AC34*'GREET IO'!$B$119/'GREET IO'!$B$120</f>
        <v>26.491855319584761</v>
      </c>
      <c r="AD44"/>
      <c r="AE44"/>
      <c r="AF44"/>
      <c r="AG44"/>
      <c r="AH44"/>
      <c r="AN44"/>
      <c r="AO44"/>
      <c r="BC44"/>
      <c r="BD44"/>
      <c r="BE44"/>
      <c r="BF44"/>
      <c r="CC44"/>
      <c r="CD44"/>
      <c r="CE44"/>
      <c r="CF44"/>
      <c r="CG44"/>
      <c r="CH44"/>
      <c r="DA44"/>
      <c r="DB44"/>
      <c r="DC44"/>
      <c r="DD44"/>
      <c r="DE44"/>
      <c r="DF44"/>
      <c r="DG44"/>
      <c r="DH44"/>
      <c r="DI44"/>
      <c r="DJ44"/>
      <c r="DK44"/>
      <c r="DL44"/>
      <c r="DM44"/>
    </row>
    <row r="45" spans="2:117">
      <c r="B45" s="29" t="s">
        <v>1302</v>
      </c>
      <c r="C45" s="628"/>
      <c r="D45" s="628"/>
      <c r="E45" s="628">
        <v>1.3583261695633215</v>
      </c>
      <c r="F45" s="628"/>
      <c r="H45" s="120">
        <v>58.7</v>
      </c>
      <c r="I45" s="120">
        <v>98</v>
      </c>
      <c r="J45" s="120">
        <v>154.69999999999999</v>
      </c>
      <c r="AA45" s="267" t="s">
        <v>199</v>
      </c>
      <c r="AB45" s="323">
        <f>AB44+SUMPRODUCT(AB41:AB42,'GREET IO'!$B$114:$B$115)</f>
        <v>2925.0671014546183</v>
      </c>
      <c r="AC45" s="323">
        <f>AC44+SUMPRODUCT(AC41:AC42,'GREET IO'!$B$114:$B$115)</f>
        <v>27.881748802593314</v>
      </c>
      <c r="AD45"/>
      <c r="AE45"/>
      <c r="AF45"/>
      <c r="AG45"/>
      <c r="AH45"/>
      <c r="AN45"/>
      <c r="AO45"/>
      <c r="BA45" s="133" t="s">
        <v>555</v>
      </c>
      <c r="BC45"/>
      <c r="BE45"/>
      <c r="BF45"/>
      <c r="CA45" s="133" t="s">
        <v>555</v>
      </c>
      <c r="CC45"/>
      <c r="CD45"/>
      <c r="CE45"/>
      <c r="CF45"/>
      <c r="CG45"/>
      <c r="CH45"/>
      <c r="DA45"/>
      <c r="DB45"/>
      <c r="DC45"/>
      <c r="DD45"/>
      <c r="DE45"/>
      <c r="DF45"/>
      <c r="DG45"/>
      <c r="DH45"/>
      <c r="DI45"/>
      <c r="DJ45"/>
      <c r="DK45"/>
      <c r="DL45"/>
      <c r="DM45"/>
    </row>
    <row r="46" spans="2:117">
      <c r="B46" s="29" t="s">
        <v>1301</v>
      </c>
      <c r="C46" s="628">
        <v>7.382688374129172</v>
      </c>
      <c r="D46" s="1178">
        <v>0.2</v>
      </c>
      <c r="E46" s="628">
        <v>2.6600671957748898</v>
      </c>
      <c r="F46" s="1178">
        <v>0.2</v>
      </c>
      <c r="H46" s="120" t="s">
        <v>1397</v>
      </c>
      <c r="I46" s="120" t="s">
        <v>712</v>
      </c>
      <c r="AH46"/>
      <c r="AN46"/>
      <c r="AO46"/>
      <c r="BA46" s="553"/>
      <c r="BB46" s="623" t="s">
        <v>543</v>
      </c>
      <c r="BC46"/>
      <c r="BE46"/>
      <c r="BF46"/>
      <c r="CA46" s="553"/>
      <c r="CB46" s="623" t="s">
        <v>546</v>
      </c>
      <c r="CC46"/>
      <c r="CD46"/>
      <c r="CE46"/>
      <c r="CF46"/>
      <c r="CG46"/>
      <c r="CH46"/>
      <c r="DA46"/>
      <c r="DB46"/>
      <c r="DC46"/>
      <c r="DD46"/>
      <c r="DE46"/>
      <c r="DF46"/>
      <c r="DG46"/>
      <c r="DH46"/>
      <c r="DI46"/>
      <c r="DJ46"/>
      <c r="DK46"/>
      <c r="DL46"/>
      <c r="DM46"/>
    </row>
    <row r="47" spans="2:117">
      <c r="B47" s="625" t="s">
        <v>532</v>
      </c>
      <c r="C47" s="626"/>
      <c r="D47" s="626"/>
      <c r="E47" s="626"/>
      <c r="F47" s="624"/>
      <c r="H47" s="120">
        <v>54.9</v>
      </c>
      <c r="I47" s="120">
        <v>150.9</v>
      </c>
      <c r="AA47" s="133" t="s">
        <v>555</v>
      </c>
      <c r="AH47"/>
      <c r="AN47"/>
      <c r="AO47"/>
      <c r="BA47" s="558" t="s">
        <v>606</v>
      </c>
      <c r="BB47" s="561">
        <f>BB9*VLOOKUP(BA$9,$B$136:$C$157,2,FALSE)</f>
        <v>5.2806330931967273E-2</v>
      </c>
      <c r="BC47"/>
      <c r="BD47"/>
      <c r="BE47"/>
      <c r="BF47"/>
      <c r="CA47" s="558" t="s">
        <v>606</v>
      </c>
      <c r="CB47" s="561">
        <f>CB9*VLOOKUP(CA$9,$B$136:$C$157,2,FALSE)</f>
        <v>0.15360333333333334</v>
      </c>
      <c r="CC47"/>
      <c r="CD47"/>
      <c r="CE47"/>
      <c r="CF47"/>
      <c r="CG47"/>
      <c r="CH47"/>
      <c r="DA47"/>
      <c r="DB47"/>
      <c r="DC47"/>
      <c r="DD47"/>
      <c r="DE47"/>
      <c r="DF47"/>
      <c r="DG47"/>
      <c r="DH47"/>
      <c r="DI47"/>
      <c r="DJ47"/>
      <c r="DK47"/>
      <c r="DL47"/>
      <c r="DM47"/>
    </row>
    <row r="48" spans="2:117">
      <c r="B48" s="29" t="s">
        <v>363</v>
      </c>
      <c r="C48" s="628">
        <v>0</v>
      </c>
      <c r="D48" s="628">
        <v>0</v>
      </c>
      <c r="E48" s="628">
        <f>18.6*1055/907.2*0.006*0.734</f>
        <v>9.5259801587301587E-2</v>
      </c>
      <c r="F48" s="628">
        <v>0</v>
      </c>
      <c r="AA48" s="553"/>
      <c r="AB48" s="623" t="s">
        <v>705</v>
      </c>
      <c r="AC48" s="678" t="s">
        <v>542</v>
      </c>
      <c r="AD48"/>
      <c r="AE48"/>
      <c r="AF48"/>
      <c r="AG48"/>
      <c r="AH48"/>
      <c r="AN48"/>
      <c r="AO48"/>
      <c r="BA48" s="159" t="s">
        <v>605</v>
      </c>
      <c r="BB48" s="207">
        <f>BB13*$AG$24*$C$161+BB14*$C$162+$C$163*BB18</f>
        <v>9.4600000000000001E-4</v>
      </c>
      <c r="BC48"/>
      <c r="BE48"/>
      <c r="BF48"/>
      <c r="CA48" s="159" t="s">
        <v>605</v>
      </c>
      <c r="CB48" s="207">
        <f>CB13*$AG$24*$C$161+CB14*$C$162+$C$163*CB18</f>
        <v>0.11791729045914301</v>
      </c>
      <c r="CC48"/>
      <c r="CD48"/>
      <c r="CE48"/>
      <c r="CF48"/>
      <c r="CG48"/>
      <c r="CH48"/>
      <c r="DA48"/>
      <c r="DB48"/>
      <c r="DC48"/>
      <c r="DD48"/>
      <c r="DE48"/>
      <c r="DF48"/>
      <c r="DG48"/>
      <c r="DH48"/>
      <c r="DI48"/>
      <c r="DJ48"/>
      <c r="DK48"/>
      <c r="DL48"/>
      <c r="DM48"/>
    </row>
    <row r="49" spans="1:117">
      <c r="B49" s="87" t="s">
        <v>243</v>
      </c>
      <c r="C49" s="628">
        <v>11.275483091573868</v>
      </c>
      <c r="D49" s="628">
        <v>0</v>
      </c>
      <c r="E49" s="628">
        <f>18.6*1055/907.2*0.994*0.734</f>
        <v>15.781373796296295</v>
      </c>
      <c r="F49" s="628">
        <v>0</v>
      </c>
      <c r="AA49" s="558" t="s">
        <v>606</v>
      </c>
      <c r="AB49" s="561">
        <f>AB9*VLOOKUP($AA$9,$B$136:$C$157,2,FALSE)+AB10*VLOOKUP($AA$10,$B$136:$C$157,2,FALSE)+AB11*VLOOKUP($AA$11,$B$136:$C$157,2,FALSE)</f>
        <v>0.93136312865021331</v>
      </c>
      <c r="AC49" s="561">
        <f>AC9*VLOOKUP($AA$9,$B$136:$C$157,2,FALSE)+AC10*VLOOKUP($AA$10,$B$136:$C$157,2,FALSE)+AC11*VLOOKUP($AA$11,$B$136:$C$157,2,FALSE)</f>
        <v>5.2738149742900815E-2</v>
      </c>
      <c r="AH49"/>
      <c r="AN49"/>
      <c r="AO49"/>
      <c r="BA49" s="278" t="s">
        <v>607</v>
      </c>
      <c r="BB49" s="208">
        <f>BB47+BB48</f>
        <v>5.3752330931967275E-2</v>
      </c>
      <c r="BC49"/>
      <c r="BE49"/>
      <c r="BF49"/>
      <c r="CA49" s="278" t="s">
        <v>607</v>
      </c>
      <c r="CB49" s="208">
        <f>CB47+CB48</f>
        <v>0.27152062379247632</v>
      </c>
      <c r="CC49"/>
      <c r="CD49"/>
      <c r="CE49"/>
      <c r="CF49"/>
      <c r="CG49"/>
      <c r="CH49"/>
      <c r="DA49"/>
      <c r="DB49"/>
      <c r="DC49"/>
      <c r="DD49"/>
      <c r="DE49"/>
      <c r="DF49"/>
      <c r="DG49"/>
      <c r="DH49"/>
      <c r="DI49"/>
      <c r="DJ49"/>
      <c r="DK49"/>
      <c r="DL49"/>
      <c r="DM49"/>
    </row>
    <row r="50" spans="1:117">
      <c r="AA50" s="159" t="s">
        <v>605</v>
      </c>
      <c r="AB50" s="207">
        <f>AB15*$AG$24*$C$161+AB16*$C$162+$C$163*AB20</f>
        <v>0.13679594499421627</v>
      </c>
      <c r="AC50" s="207">
        <f>AC15*$AG$24*$C$161+AC16*$C$162+$C$163*AC20</f>
        <v>9.4600000000000001E-4</v>
      </c>
      <c r="AN50"/>
      <c r="AO50"/>
      <c r="BA50"/>
      <c r="BB50"/>
      <c r="BC50"/>
      <c r="BE50"/>
      <c r="BF50"/>
      <c r="CA50"/>
      <c r="CB50"/>
      <c r="CC50"/>
      <c r="CD50"/>
      <c r="CE50"/>
      <c r="CF50"/>
      <c r="CG50"/>
      <c r="CH50"/>
      <c r="DA50"/>
      <c r="DB50"/>
      <c r="DC50"/>
      <c r="DD50"/>
      <c r="DE50"/>
      <c r="DF50"/>
      <c r="DG50"/>
      <c r="DH50"/>
      <c r="DI50"/>
      <c r="DJ50"/>
      <c r="DK50"/>
      <c r="DL50"/>
      <c r="DM50"/>
    </row>
    <row r="51" spans="1:117">
      <c r="B51" s="133" t="s">
        <v>1889</v>
      </c>
      <c r="AA51" s="278" t="s">
        <v>607</v>
      </c>
      <c r="AB51" s="208">
        <f>AB49+AB50</f>
        <v>1.0681590736444295</v>
      </c>
      <c r="AC51" s="208">
        <f>AC49+AC50</f>
        <v>5.3684149742900818E-2</v>
      </c>
      <c r="AN51"/>
      <c r="AO51"/>
      <c r="BA51"/>
      <c r="BB51"/>
      <c r="BC51"/>
      <c r="BD51"/>
      <c r="BE51"/>
      <c r="BF51"/>
      <c r="CA51"/>
      <c r="CB51"/>
      <c r="CC51"/>
      <c r="CD51"/>
      <c r="CE51"/>
      <c r="CF51"/>
      <c r="CG51"/>
      <c r="CH51"/>
      <c r="DA51"/>
      <c r="DB51"/>
      <c r="DC51"/>
      <c r="DD51"/>
      <c r="DE51"/>
      <c r="DF51"/>
      <c r="DG51"/>
      <c r="DH51"/>
      <c r="DI51"/>
      <c r="DJ51"/>
      <c r="DK51"/>
      <c r="DL51"/>
      <c r="DM51"/>
    </row>
    <row r="52" spans="1:117">
      <c r="B52" s="559"/>
      <c r="C52" s="559" t="str">
        <f t="array" ref="C52:T52">TRANSPOSE(B10:B27)</f>
        <v>Co2+ in product</v>
      </c>
      <c r="D52" s="559" t="str">
        <v>Ni2+ in product</v>
      </c>
      <c r="E52" s="559" t="str">
        <v>Mn2+ in product</v>
      </c>
      <c r="F52" s="559" t="str">
        <v>Lithium carbonate (crude)</v>
      </c>
      <c r="G52" s="559" t="str">
        <v>LCO</v>
      </c>
      <c r="H52" s="559" t="str">
        <v>NMC(111)</v>
      </c>
      <c r="I52" s="559" t="str">
        <v>NMC(532)</v>
      </c>
      <c r="J52" s="559" t="str">
        <v>NMC(622)</v>
      </c>
      <c r="K52" s="559" t="str">
        <v>NMC(811)</v>
      </c>
      <c r="L52" s="559" t="str">
        <v>NCA</v>
      </c>
      <c r="M52" s="559" t="str">
        <v>LMO</v>
      </c>
      <c r="N52" s="559" t="str">
        <v>LFP</v>
      </c>
      <c r="O52" s="559" t="str">
        <v>Copper</v>
      </c>
      <c r="P52" s="559" t="str">
        <v>Aluminum</v>
      </c>
      <c r="Q52" s="641" t="str">
        <v>Graphite</v>
      </c>
      <c r="R52" s="641" t="str">
        <v>Plastics</v>
      </c>
      <c r="S52" s="641" t="str">
        <v>Steel</v>
      </c>
      <c r="T52" s="641" t="str">
        <v>Electrolyte: solvents</v>
      </c>
      <c r="U52" s="641" t="str">
        <f>B28</f>
        <v>Copper metal</v>
      </c>
      <c r="AH52"/>
      <c r="AN52"/>
      <c r="AO52"/>
      <c r="BA52"/>
      <c r="BB52"/>
      <c r="BC52"/>
      <c r="BD52"/>
      <c r="BE52"/>
      <c r="BF52"/>
      <c r="CA52"/>
      <c r="CB52"/>
      <c r="CC52"/>
      <c r="CD52"/>
      <c r="CE52"/>
      <c r="CF52"/>
      <c r="CG52"/>
      <c r="CH52"/>
      <c r="DA52"/>
      <c r="DB52"/>
      <c r="DC52"/>
      <c r="DD52"/>
      <c r="DE52"/>
      <c r="DF52"/>
      <c r="DG52"/>
      <c r="DH52"/>
      <c r="DI52"/>
      <c r="DJ52"/>
      <c r="DK52"/>
      <c r="DL52"/>
      <c r="DM52"/>
    </row>
    <row r="53" spans="1:117">
      <c r="B53" s="278" t="s">
        <v>460</v>
      </c>
      <c r="C53" s="1113">
        <f>VLOOKUP(C52,'CM Rec Par.'!$B$33:$C$50,2,FALSE)</f>
        <v>50.353520799999998</v>
      </c>
      <c r="D53" s="1113">
        <f>VLOOKUP(D52,'CM Rec Par.'!$B$33:$C$50,2,FALSE)</f>
        <v>16.853000000000002</v>
      </c>
      <c r="E53" s="1113">
        <f>VLOOKUP(E52,'CM Rec Par.'!$B$33:$C$50,2,FALSE)</f>
        <v>3.1492555776</v>
      </c>
      <c r="F53" s="1113">
        <f>VLOOKUP(F52,'CM Rec Par.'!$B$33:$C$50,2,FALSE)</f>
        <v>8.57</v>
      </c>
      <c r="G53" s="1113">
        <f ca="1">VLOOKUP(G52,'CM Rec Par.'!$B$33:$C$50,2,FALSE)</f>
        <v>50</v>
      </c>
      <c r="H53" s="1113">
        <f ca="1">VLOOKUP(H52,'CM Rec Par.'!$B$33:$C$50,2,FALSE)</f>
        <v>25.5</v>
      </c>
      <c r="I53" s="1113">
        <f ca="1">VLOOKUP(I52,'CM Rec Par.'!$B$33:$C$50,2,FALSE)</f>
        <v>24</v>
      </c>
      <c r="J53" s="1113">
        <f ca="1">VLOOKUP(J52,'CM Rec Par.'!$B$33:$C$50,2,FALSE)</f>
        <v>25</v>
      </c>
      <c r="K53" s="1113">
        <f ca="1">VLOOKUP(K52,'CM Rec Par.'!$B$33:$C$50,2,FALSE)</f>
        <v>26</v>
      </c>
      <c r="L53" s="1113">
        <f ca="1">VLOOKUP(L52,'CM Rec Par.'!$B$33:$C$50,2,FALSE)</f>
        <v>26</v>
      </c>
      <c r="M53" s="1113">
        <f>VLOOKUP(M52,'CM Rec Par.'!$B$33:$C$50,2,FALSE)</f>
        <v>9</v>
      </c>
      <c r="N53" s="1113">
        <f>VLOOKUP(N52,'CM Rec Par.'!$B$33:$C$50,2,FALSE)</f>
        <v>10</v>
      </c>
      <c r="O53" s="1113">
        <f>VLOOKUP(O52,'CM Rec Par.'!$B$33:$C$50,2,FALSE)</f>
        <v>7.1116191035999989</v>
      </c>
      <c r="P53" s="1113">
        <f>VLOOKUP(P52,'CM Rec Par.'!$B$33:$C$50,2,FALSE)</f>
        <v>1.1174777856</v>
      </c>
      <c r="Q53" s="1113">
        <f>VLOOKUP(Q52,'CM Rec Par.'!$B$33:$C$50,2,FALSE)</f>
        <v>0.2</v>
      </c>
      <c r="R53" s="1113">
        <f>VLOOKUP(R52,'CM Rec Par.'!$B$33:$C$50,2,FALSE)</f>
        <v>0.2</v>
      </c>
      <c r="S53" s="1113">
        <f>VLOOKUP(S52,'CM Rec Par.'!$B$33:$C$50,2,FALSE)</f>
        <v>0.32719999999999999</v>
      </c>
      <c r="T53" s="1113">
        <f>VLOOKUP(T52,'CM Rec Par.'!$B$33:$C$50,2,FALSE)</f>
        <v>0.15</v>
      </c>
      <c r="U53" s="1113">
        <f>VLOOKUP(U52,'CM Rec Par.'!$B$33:$C$51,2,FALSE)</f>
        <v>7.3665172679999991</v>
      </c>
      <c r="AN53"/>
      <c r="AO53"/>
      <c r="BA53"/>
      <c r="BB53"/>
      <c r="BC53"/>
      <c r="BD53"/>
      <c r="BE53"/>
      <c r="BF53"/>
      <c r="CA53"/>
      <c r="CB53"/>
      <c r="CC53"/>
      <c r="CD53"/>
      <c r="CE53"/>
      <c r="CF53"/>
      <c r="CG53"/>
      <c r="CH53"/>
      <c r="DA53"/>
      <c r="DB53"/>
      <c r="DC53"/>
      <c r="DD53"/>
      <c r="DE53"/>
      <c r="DF53"/>
      <c r="DG53"/>
      <c r="DH53"/>
      <c r="DI53"/>
      <c r="DJ53"/>
      <c r="DK53"/>
      <c r="DL53"/>
      <c r="DM53"/>
    </row>
    <row r="54" spans="1:117">
      <c r="AN54"/>
      <c r="AO54"/>
      <c r="BA54"/>
      <c r="BB54"/>
      <c r="BC54"/>
      <c r="BD54"/>
      <c r="BE54"/>
      <c r="BF54"/>
      <c r="CA54"/>
      <c r="CB54"/>
      <c r="CC54"/>
      <c r="CD54"/>
      <c r="CE54"/>
      <c r="CF54"/>
      <c r="CG54"/>
      <c r="CH54"/>
      <c r="DA54"/>
      <c r="DB54"/>
      <c r="DC54"/>
      <c r="DD54"/>
      <c r="DE54"/>
      <c r="DF54"/>
      <c r="DG54"/>
      <c r="DH54"/>
      <c r="DI54"/>
      <c r="DJ54"/>
      <c r="DK54"/>
      <c r="DL54"/>
      <c r="DM54"/>
    </row>
    <row r="55" spans="1:117">
      <c r="B55" s="133" t="s">
        <v>1890</v>
      </c>
      <c r="H55"/>
      <c r="I55"/>
      <c r="AN55"/>
      <c r="AO55"/>
      <c r="BA55"/>
      <c r="BB55"/>
      <c r="BC55"/>
      <c r="BD55"/>
      <c r="BE55"/>
      <c r="BF55"/>
      <c r="CA55"/>
      <c r="CB55"/>
      <c r="CC55"/>
      <c r="CD55"/>
      <c r="CE55"/>
      <c r="CF55"/>
      <c r="CG55"/>
      <c r="CH55"/>
      <c r="DA55"/>
      <c r="DB55"/>
      <c r="DC55"/>
      <c r="DD55"/>
      <c r="DE55"/>
      <c r="DF55"/>
      <c r="DG55"/>
      <c r="DH55"/>
      <c r="DI55"/>
      <c r="DJ55"/>
      <c r="DK55"/>
      <c r="DL55"/>
      <c r="DM55"/>
    </row>
    <row r="56" spans="1:117">
      <c r="B56" s="133" t="s">
        <v>691</v>
      </c>
      <c r="G56"/>
      <c r="H56"/>
      <c r="I56"/>
      <c r="AN56"/>
      <c r="AO56"/>
      <c r="BA56"/>
      <c r="BB56"/>
      <c r="BC56"/>
      <c r="BD56"/>
      <c r="BE56"/>
      <c r="BF56"/>
      <c r="CA56"/>
      <c r="CB56"/>
      <c r="CC56"/>
      <c r="CD56"/>
      <c r="CE56"/>
      <c r="CF56"/>
      <c r="CG56"/>
      <c r="CH56"/>
      <c r="DA56"/>
      <c r="DB56"/>
      <c r="DC56"/>
      <c r="DD56"/>
      <c r="DE56"/>
      <c r="DF56"/>
      <c r="DG56"/>
      <c r="DH56"/>
      <c r="DI56"/>
      <c r="DJ56"/>
      <c r="DK56"/>
      <c r="DL56"/>
      <c r="DM56"/>
    </row>
    <row r="57" spans="1:117">
      <c r="B57" s="559"/>
      <c r="C57" s="559" t="s">
        <v>677</v>
      </c>
      <c r="D57" s="559" t="s">
        <v>426</v>
      </c>
      <c r="E57" s="559" t="s">
        <v>672</v>
      </c>
      <c r="F57" s="559" t="s">
        <v>36</v>
      </c>
      <c r="G57"/>
      <c r="H57"/>
      <c r="I57"/>
      <c r="AN57"/>
      <c r="AO57"/>
      <c r="BA57"/>
      <c r="BB57"/>
      <c r="BC57"/>
      <c r="BD57"/>
      <c r="BE57"/>
      <c r="BF57"/>
      <c r="CA57"/>
      <c r="CB57"/>
      <c r="CC57"/>
      <c r="CD57"/>
      <c r="CE57"/>
      <c r="CF57"/>
      <c r="CG57"/>
      <c r="CH57"/>
      <c r="DA57"/>
      <c r="DB57"/>
      <c r="DC57"/>
      <c r="DD57"/>
      <c r="DE57"/>
      <c r="DF57"/>
      <c r="DG57"/>
      <c r="DH57"/>
      <c r="DI57"/>
      <c r="DJ57"/>
      <c r="DK57"/>
      <c r="DL57"/>
      <c r="DM57"/>
    </row>
    <row r="58" spans="1:117">
      <c r="B58" s="278" t="s">
        <v>1891</v>
      </c>
      <c r="C58" s="1113">
        <f ca="1">Output!C37+Output!F37+Output!G37+Output!J37</f>
        <v>4.7450740973222763</v>
      </c>
      <c r="D58" s="1113">
        <f ca="1">Output!C37+Output!F37+Output!G37+Output!K37</f>
        <v>5.0977234177820208</v>
      </c>
      <c r="E58" s="1113">
        <f ca="1">Output!C37+Output!F37+Output!G37+Output!L37</f>
        <v>6.6029547120886152</v>
      </c>
      <c r="F58" s="1113">
        <f ca="1">Output!C37+Output!F37+Output!G37+Output!M37</f>
        <v>5.7503293569975744</v>
      </c>
      <c r="G58"/>
      <c r="H58"/>
      <c r="I58"/>
      <c r="AN58"/>
      <c r="AO58"/>
      <c r="BA58"/>
      <c r="BB58"/>
      <c r="BC58"/>
      <c r="BD58"/>
      <c r="BE58"/>
      <c r="BF58"/>
      <c r="CA58"/>
      <c r="CB58"/>
      <c r="CC58"/>
      <c r="CD58"/>
      <c r="CE58"/>
      <c r="CF58"/>
      <c r="CG58"/>
      <c r="CH58"/>
    </row>
    <row r="59" spans="1:117">
      <c r="B59" s="133" t="s">
        <v>692</v>
      </c>
      <c r="AN59"/>
      <c r="AO59"/>
      <c r="BA59"/>
      <c r="BB59"/>
      <c r="BC59"/>
      <c r="BD59"/>
      <c r="BE59"/>
      <c r="BF59"/>
      <c r="CA59"/>
      <c r="CB59"/>
      <c r="CC59"/>
      <c r="CD59"/>
      <c r="CE59"/>
      <c r="CF59"/>
      <c r="CG59"/>
      <c r="CH59"/>
    </row>
    <row r="60" spans="1:117" customFormat="1">
      <c r="A60" s="111"/>
      <c r="B60" s="559"/>
      <c r="C60" s="559" t="s">
        <v>677</v>
      </c>
      <c r="D60" s="559" t="s">
        <v>426</v>
      </c>
      <c r="E60" s="559" t="s">
        <v>672</v>
      </c>
      <c r="F60" s="559" t="s">
        <v>36</v>
      </c>
      <c r="G60" s="111"/>
      <c r="H60" s="111"/>
      <c r="I60" s="111"/>
      <c r="J60" s="111"/>
      <c r="K60" s="111"/>
      <c r="L60" s="111"/>
      <c r="M60" s="111"/>
      <c r="N60" s="111"/>
      <c r="O60" s="111"/>
      <c r="P60" s="111"/>
      <c r="Q60" s="111"/>
      <c r="R60" s="111"/>
      <c r="S60" s="111"/>
      <c r="T60" s="111"/>
      <c r="U60" s="111"/>
      <c r="V60" s="111"/>
      <c r="W60" s="111"/>
      <c r="X60" s="111"/>
      <c r="Y60" s="111"/>
      <c r="AA60" s="111"/>
      <c r="AB60" s="111"/>
      <c r="AC60" s="111"/>
      <c r="AD60" s="111"/>
      <c r="AE60" s="111"/>
      <c r="AF60" s="111"/>
      <c r="AG60" s="111"/>
      <c r="AH60" s="111"/>
      <c r="AI60" s="111"/>
      <c r="AJ60" s="111"/>
      <c r="AK60" s="111"/>
      <c r="AL60" s="111"/>
      <c r="AM60" s="111"/>
    </row>
    <row r="61" spans="1:117" customFormat="1">
      <c r="B61" s="278" t="s">
        <v>1891</v>
      </c>
      <c r="C61" s="1113">
        <f>Output!F59+Output!G59+Output!J59</f>
        <v>8.2360281239399988</v>
      </c>
      <c r="D61" s="1113">
        <f>Output!F59+Output!G59+Output!K59</f>
        <v>8.9014337789568003</v>
      </c>
      <c r="E61" s="1113">
        <f ca="1">Output!F59+Output!G59+Output!L59</f>
        <v>14.350710528874799</v>
      </c>
      <c r="F61" s="1113">
        <f ca="1">Output!F59+Output!G59+Output!M59</f>
        <v>20.100710528874799</v>
      </c>
      <c r="G61" s="111"/>
      <c r="H61" s="111"/>
      <c r="I61" s="111"/>
      <c r="J61" s="111"/>
      <c r="K61" s="111"/>
      <c r="L61" s="111"/>
      <c r="M61" s="111"/>
      <c r="N61" s="111"/>
      <c r="O61" s="111"/>
      <c r="P61" s="111"/>
      <c r="Q61" s="111"/>
      <c r="R61" s="111"/>
      <c r="S61" s="111"/>
      <c r="T61" s="111"/>
      <c r="U61" s="111"/>
      <c r="V61" s="111"/>
      <c r="W61" s="111"/>
      <c r="X61" s="111"/>
      <c r="Y61" s="111"/>
      <c r="AA61" s="111"/>
      <c r="AB61" s="111"/>
      <c r="AC61" s="111"/>
      <c r="AD61" s="111"/>
      <c r="AE61" s="111"/>
      <c r="AF61" s="111"/>
      <c r="AG61" s="111"/>
      <c r="AH61" s="111"/>
      <c r="AI61" s="111"/>
      <c r="AJ61" s="111"/>
      <c r="AK61" s="111"/>
      <c r="AL61" s="111"/>
      <c r="AM61" s="111"/>
    </row>
    <row r="62" spans="1:117" customFormat="1">
      <c r="B62" s="133" t="s">
        <v>693</v>
      </c>
      <c r="C62" s="111"/>
      <c r="D62" s="111"/>
      <c r="E62" s="111"/>
      <c r="F62" s="111"/>
      <c r="G62" s="111"/>
      <c r="H62" s="111"/>
      <c r="I62" s="111"/>
      <c r="J62" s="111"/>
      <c r="K62" s="111"/>
      <c r="L62" s="111"/>
      <c r="M62" s="111"/>
      <c r="N62" s="111"/>
      <c r="O62" s="111"/>
      <c r="P62" s="111"/>
      <c r="Q62" s="111"/>
      <c r="R62" s="111"/>
      <c r="S62" s="111"/>
      <c r="T62" s="111"/>
      <c r="U62" s="111"/>
      <c r="V62" s="111"/>
      <c r="W62" s="111"/>
      <c r="X62" s="111"/>
      <c r="Y62" s="111"/>
      <c r="AA62" s="111"/>
      <c r="AB62" s="111"/>
      <c r="AC62" s="111"/>
      <c r="AD62" s="111"/>
      <c r="AE62" s="111"/>
      <c r="AF62" s="111"/>
      <c r="AG62" s="111"/>
      <c r="AH62" s="111"/>
      <c r="AI62" s="111"/>
      <c r="AJ62" s="111"/>
      <c r="AK62" s="111"/>
      <c r="AL62" s="111"/>
      <c r="AM62" s="111"/>
    </row>
    <row r="63" spans="1:117" customFormat="1">
      <c r="B63" s="559"/>
      <c r="C63" s="559" t="s">
        <v>677</v>
      </c>
      <c r="D63" s="559" t="s">
        <v>426</v>
      </c>
      <c r="E63" s="559" t="s">
        <v>672</v>
      </c>
      <c r="F63" s="559" t="s">
        <v>36</v>
      </c>
      <c r="G63" s="111"/>
      <c r="H63" s="111"/>
      <c r="I63" s="111"/>
      <c r="J63" s="111"/>
      <c r="K63" s="111"/>
      <c r="L63" s="111"/>
      <c r="M63" s="111"/>
      <c r="N63" s="111"/>
      <c r="O63" s="111"/>
      <c r="P63" s="111"/>
      <c r="Q63" s="111"/>
      <c r="R63" s="111"/>
      <c r="S63" s="111"/>
      <c r="T63" s="111"/>
      <c r="U63" s="111"/>
      <c r="V63" s="111"/>
      <c r="W63" s="111"/>
      <c r="X63" s="111"/>
      <c r="Y63" s="111"/>
      <c r="AA63" s="111"/>
      <c r="AB63" s="111"/>
      <c r="AC63" s="111"/>
      <c r="AD63" s="111"/>
      <c r="AE63" s="111"/>
      <c r="AF63" s="111"/>
      <c r="AG63" s="111"/>
      <c r="AH63" s="111"/>
      <c r="AI63" s="111"/>
      <c r="AJ63" s="111"/>
      <c r="AK63" s="111"/>
      <c r="AL63" s="111"/>
      <c r="AM63" s="111"/>
    </row>
    <row r="64" spans="1:117">
      <c r="A64"/>
      <c r="B64" s="278" t="s">
        <v>1891</v>
      </c>
      <c r="C64" s="843">
        <f ca="1">C58-MMULT($O$53:$U$53,C22:C28)</f>
        <v>4.7082415109822762</v>
      </c>
      <c r="D64" s="844">
        <f ca="1">D58-MMULT($O$53:$U$53,D22:D28)</f>
        <v>5.0359234177820209</v>
      </c>
      <c r="E64" s="844">
        <f ca="1">E58-MMULT($O$53:$U$53,E22:E28)</f>
        <v>6.5022441832138149</v>
      </c>
      <c r="F64" s="845">
        <f ca="1">F58-MMULT($O$53:$U$53,F22:F28)</f>
        <v>5.6496188281227742</v>
      </c>
      <c r="AN64"/>
      <c r="AO64"/>
      <c r="BA64"/>
      <c r="BB64"/>
      <c r="BC64"/>
      <c r="BD64"/>
      <c r="BE64"/>
      <c r="BF64"/>
      <c r="CA64"/>
      <c r="CB64"/>
      <c r="CC64"/>
      <c r="CD64"/>
      <c r="CE64"/>
      <c r="CF64"/>
      <c r="CG64"/>
      <c r="CH64"/>
    </row>
    <row r="65" spans="1:111">
      <c r="C65" s="646"/>
      <c r="AN65"/>
      <c r="AO65"/>
      <c r="BA65"/>
      <c r="BB65"/>
      <c r="BC65"/>
      <c r="BD65"/>
      <c r="BE65"/>
      <c r="BF65"/>
      <c r="CA65"/>
      <c r="CB65"/>
      <c r="CC65"/>
      <c r="CD65"/>
      <c r="CE65"/>
      <c r="CF65"/>
      <c r="CG65"/>
      <c r="CH65"/>
      <c r="DG65" s="180"/>
    </row>
    <row r="66" spans="1:111">
      <c r="B66" s="133" t="s">
        <v>559</v>
      </c>
      <c r="D66" s="1114" t="str">
        <f>'CM Rec Par.'!C93</f>
        <v>Mass</v>
      </c>
      <c r="H66"/>
      <c r="I66"/>
      <c r="V66"/>
      <c r="W66"/>
      <c r="X66"/>
      <c r="Y66"/>
      <c r="AN66"/>
      <c r="AO66"/>
      <c r="BA66"/>
      <c r="BB66"/>
      <c r="BC66"/>
      <c r="BD66"/>
      <c r="BE66"/>
      <c r="BF66"/>
      <c r="CA66"/>
      <c r="CB66"/>
      <c r="CC66"/>
      <c r="CD66"/>
      <c r="CE66"/>
      <c r="CF66"/>
      <c r="CG66"/>
      <c r="CH66"/>
    </row>
    <row r="67" spans="1:111">
      <c r="B67"/>
      <c r="C67"/>
      <c r="D67" s="671" t="s">
        <v>698</v>
      </c>
      <c r="E67"/>
      <c r="F67"/>
      <c r="G67"/>
      <c r="H67"/>
      <c r="I67"/>
      <c r="V67"/>
      <c r="W67"/>
      <c r="X67"/>
      <c r="Y67"/>
      <c r="AN67"/>
      <c r="AO67"/>
      <c r="BA67"/>
      <c r="BB67"/>
      <c r="BC67"/>
      <c r="BD67"/>
      <c r="BE67"/>
      <c r="BF67"/>
      <c r="CA67"/>
      <c r="CB67"/>
      <c r="CC67"/>
      <c r="CD67"/>
      <c r="CE67"/>
      <c r="CF67"/>
      <c r="CG67"/>
      <c r="CH67"/>
    </row>
    <row r="68" spans="1:111">
      <c r="B68" s="133" t="s">
        <v>557</v>
      </c>
      <c r="V68"/>
      <c r="W68"/>
      <c r="X68"/>
      <c r="Y68"/>
      <c r="AN68"/>
      <c r="AO68"/>
      <c r="BA68"/>
      <c r="BB68"/>
      <c r="BC68"/>
      <c r="BD68"/>
      <c r="BE68"/>
      <c r="BF68"/>
      <c r="CA68"/>
      <c r="CB68"/>
      <c r="CC68"/>
      <c r="CD68"/>
      <c r="CE68"/>
      <c r="CF68"/>
      <c r="CG68"/>
      <c r="CH68"/>
    </row>
    <row r="69" spans="1:111">
      <c r="B69" s="560"/>
      <c r="C69" s="665" t="s">
        <v>379</v>
      </c>
      <c r="D69" s="666"/>
      <c r="E69" s="666"/>
      <c r="F69" s="667"/>
      <c r="G69" s="665" t="s">
        <v>380</v>
      </c>
      <c r="H69" s="666"/>
      <c r="I69" s="666"/>
      <c r="J69" s="667"/>
      <c r="V69"/>
      <c r="W69"/>
      <c r="X69"/>
      <c r="Y69"/>
      <c r="AN69"/>
      <c r="AO69"/>
      <c r="BA69"/>
      <c r="BB69"/>
      <c r="BC69"/>
      <c r="BD69"/>
      <c r="BE69"/>
      <c r="BF69"/>
      <c r="CA69"/>
      <c r="CB69"/>
      <c r="CC69"/>
      <c r="CD69"/>
      <c r="CE69"/>
      <c r="CF69"/>
      <c r="CG69"/>
      <c r="CH69"/>
    </row>
    <row r="70" spans="1:111">
      <c r="B70" s="253"/>
      <c r="C70" s="350" t="s">
        <v>43</v>
      </c>
      <c r="D70" s="350" t="s">
        <v>44</v>
      </c>
      <c r="E70" s="350" t="s">
        <v>443</v>
      </c>
      <c r="F70" s="350" t="s">
        <v>36</v>
      </c>
      <c r="G70" s="350" t="s">
        <v>43</v>
      </c>
      <c r="H70" s="350" t="s">
        <v>44</v>
      </c>
      <c r="I70" s="350" t="s">
        <v>443</v>
      </c>
      <c r="J70" s="350" t="s">
        <v>36</v>
      </c>
      <c r="U70"/>
      <c r="AN70"/>
      <c r="AO70"/>
      <c r="BA70"/>
      <c r="BB70"/>
      <c r="BC70"/>
      <c r="BD70"/>
      <c r="BE70"/>
      <c r="BF70"/>
      <c r="CA70"/>
      <c r="CB70"/>
      <c r="CC70"/>
      <c r="CD70"/>
      <c r="CE70"/>
      <c r="CF70"/>
      <c r="CG70"/>
      <c r="CH70"/>
    </row>
    <row r="71" spans="1:111" customFormat="1">
      <c r="A71" s="111"/>
      <c r="B71" s="147" t="s">
        <v>1398</v>
      </c>
      <c r="C71" s="1115">
        <f>IFERROR(HLOOKUP(B71,'CM Rec Par.'!BC$179:BK$181,2,FALSE),0)</f>
        <v>0.48995983935742971</v>
      </c>
      <c r="D71" s="1115">
        <f>IFERROR(HLOOKUP(B71,'CM Rec Par.'!CC$179:CK$181,2,FALSE),0)</f>
        <v>0.13418530351437699</v>
      </c>
      <c r="E71" s="1115">
        <f>IFERROR(HLOOKUP(B71,'CM Rec Par.'!DC$179:DK$181,2,FALSE),0)</f>
        <v>0</v>
      </c>
      <c r="F71" s="1115">
        <f>IFERROR(HLOOKUP(B71,'CM Rec Par.'!EC$181:EL$183,2,FALSE),0)</f>
        <v>0</v>
      </c>
      <c r="G71" s="1115">
        <f>IFERROR(HLOOKUP(B71,'CM Rec Par.'!BC$179:BK$181,3,FALSE),0)</f>
        <v>0.7458849636202084</v>
      </c>
      <c r="H71" s="1115">
        <f>IFERROR(HLOOKUP(B71,'CM Rec Par.'!CC$179:CK$181,3,FALSE),0)</f>
        <v>0.71275524576710891</v>
      </c>
      <c r="I71" s="1115">
        <f>IFERROR(HLOOKUP(B71,'CM Rec Par.'!DC$179:DK$181,3,FALSE),0)</f>
        <v>0</v>
      </c>
      <c r="J71" s="1115">
        <f ca="1">IFERROR(HLOOKUP(B71,'CM Rec Par.'!EC$181:EL$183,3,FALSE),0)</f>
        <v>0</v>
      </c>
      <c r="K71" s="111"/>
      <c r="L71" s="111"/>
      <c r="M71" s="111"/>
      <c r="N71" s="111"/>
      <c r="O71" s="111"/>
      <c r="P71" s="111"/>
      <c r="Q71" s="111"/>
      <c r="R71" s="111"/>
      <c r="S71" s="111"/>
      <c r="T71" s="111"/>
      <c r="V71" s="111"/>
      <c r="W71" s="111"/>
      <c r="X71" s="111"/>
      <c r="Y71" s="111"/>
      <c r="AA71" s="111"/>
      <c r="AB71" s="111"/>
      <c r="AC71" s="111"/>
      <c r="AD71" s="111"/>
      <c r="AE71" s="111"/>
      <c r="AF71" s="111"/>
      <c r="AG71" s="111"/>
      <c r="AH71" s="111"/>
      <c r="AI71" s="111"/>
      <c r="AJ71" s="111"/>
      <c r="AK71" s="111"/>
      <c r="AL71" s="111"/>
      <c r="AM71" s="111"/>
    </row>
    <row r="72" spans="1:111" customFormat="1">
      <c r="B72" s="147" t="s">
        <v>1400</v>
      </c>
      <c r="C72" s="1115">
        <f>IFERROR(HLOOKUP(B72,'CM Rec Par.'!BC$179:BK$181,2,FALSE),0)</f>
        <v>0.48995983935742971</v>
      </c>
      <c r="D72" s="1115">
        <f>IFERROR(HLOOKUP(B72,'CM Rec Par.'!CC$179:CK$181,2,FALSE),0)</f>
        <v>0.13418530351437699</v>
      </c>
      <c r="E72" s="1115">
        <f>IFERROR(HLOOKUP(B72,'CM Rec Par.'!DC$179:DK$181,2,FALSE),0)</f>
        <v>0</v>
      </c>
      <c r="F72" s="1115">
        <f>IFERROR(HLOOKUP(B72,'CM Rec Par.'!EC$181:EL$183,2,FALSE),0)</f>
        <v>0</v>
      </c>
      <c r="G72" s="1115">
        <f>IFERROR(HLOOKUP(B72,'CM Rec Par.'!BC$179:BK$181,3,FALSE),0)</f>
        <v>0.24964290663645855</v>
      </c>
      <c r="H72" s="1115">
        <f>IFERROR(HLOOKUP(B72,'CM Rec Par.'!CC$179:CK$181,3,FALSE),0)</f>
        <v>0.23855460285734559</v>
      </c>
      <c r="I72" s="1115">
        <f>IFERROR(HLOOKUP(B72,'CM Rec Par.'!DC$179:DK$181,3,FALSE),0)</f>
        <v>0</v>
      </c>
      <c r="J72" s="1115">
        <f ca="1">IFERROR(HLOOKUP(B72,'CM Rec Par.'!EC$181:EL$183,3,FALSE),0)</f>
        <v>0</v>
      </c>
      <c r="K72" s="111"/>
      <c r="L72" s="111"/>
      <c r="M72" s="111"/>
      <c r="N72" s="111"/>
      <c r="O72" s="111"/>
      <c r="P72" s="111"/>
      <c r="Q72" s="111"/>
      <c r="R72" s="111"/>
      <c r="S72" s="111"/>
      <c r="V72" s="111"/>
      <c r="W72" s="111"/>
      <c r="X72" s="111"/>
      <c r="Y72" s="111"/>
      <c r="AA72" s="111"/>
      <c r="AB72" s="111"/>
      <c r="AC72" s="111"/>
      <c r="AD72" s="111"/>
      <c r="AE72" s="111"/>
      <c r="AF72" s="111"/>
      <c r="AG72" s="111"/>
      <c r="AH72" s="111"/>
      <c r="AI72" s="111"/>
      <c r="AJ72" s="111"/>
      <c r="AK72" s="111"/>
      <c r="AL72" s="111"/>
      <c r="AM72" s="111"/>
    </row>
    <row r="73" spans="1:111">
      <c r="A73"/>
      <c r="B73" s="147" t="s">
        <v>1399</v>
      </c>
      <c r="C73" s="1115">
        <f>IFERROR(HLOOKUP(B73,'CM Rec Par.'!BC$179:BK$181,2,FALSE),0)</f>
        <v>0</v>
      </c>
      <c r="D73" s="1115">
        <f>IFERROR(HLOOKUP(B73,'CM Rec Par.'!CC$179:CK$181,2,FALSE),0)</f>
        <v>0.12566560170394034</v>
      </c>
      <c r="E73" s="1115">
        <f>IFERROR(HLOOKUP(B73,'CM Rec Par.'!DC$179:DK$181,2,FALSE),0)</f>
        <v>0</v>
      </c>
      <c r="F73" s="1115">
        <f>IFERROR(HLOOKUP(B73,'CM Rec Par.'!EC$181:EL$183,2,FALSE),0)</f>
        <v>0</v>
      </c>
      <c r="G73" s="1115">
        <f>IFERROR(HLOOKUP(B73,'CM Rec Par.'!BC$179:BK$181,3,FALSE),0)</f>
        <v>0</v>
      </c>
      <c r="H73" s="1115">
        <f>IFERROR(HLOOKUP(B73,'CM Rec Par.'!CC$179:CK$181,3,FALSE),0)</f>
        <v>4.1747449611465953E-2</v>
      </c>
      <c r="I73" s="1115">
        <f>IFERROR(HLOOKUP(B73,'CM Rec Par.'!DC$179:DK$181,3,FALSE),0)</f>
        <v>0</v>
      </c>
      <c r="J73" s="1115">
        <f ca="1">IFERROR(HLOOKUP(B73,'CM Rec Par.'!EC$181:EL$183,3,FALSE),0)</f>
        <v>0</v>
      </c>
      <c r="S73"/>
      <c r="T73"/>
      <c r="U73"/>
      <c r="AN73"/>
      <c r="AO73"/>
      <c r="BA73"/>
      <c r="BB73"/>
      <c r="BC73"/>
      <c r="BD73"/>
      <c r="BE73"/>
      <c r="BF73"/>
      <c r="CA73"/>
      <c r="CB73"/>
      <c r="CC73"/>
      <c r="CD73"/>
      <c r="CE73"/>
      <c r="CF73"/>
      <c r="CG73"/>
      <c r="CH73"/>
    </row>
    <row r="74" spans="1:111">
      <c r="B74" s="147" t="s">
        <v>1923</v>
      </c>
      <c r="C74" s="1115">
        <f>IFERROR(HLOOKUP(B74,'CM Rec Par.'!BC$179:BK$181,2,FALSE),0)</f>
        <v>0</v>
      </c>
      <c r="D74" s="1115">
        <f>IFERROR(HLOOKUP(B74,'CM Rec Par.'!CC$179:CK$181,2,FALSE),0)</f>
        <v>0</v>
      </c>
      <c r="E74" s="1115">
        <f>IFERROR(HLOOKUP(B74,'CM Rec Par.'!DC$179:DK$181,2,FALSE),0)</f>
        <v>0</v>
      </c>
      <c r="F74" s="1115">
        <f>IFERROR(HLOOKUP(B74,'CM Rec Par.'!EC$181:EL$183,2,FALSE),0)</f>
        <v>0</v>
      </c>
      <c r="G74" s="1115">
        <f>IFERROR(HLOOKUP(B74,'CM Rec Par.'!BC$179:BK$181,3,FALSE),0)</f>
        <v>0</v>
      </c>
      <c r="H74" s="1115">
        <f>IFERROR(HLOOKUP(B74,'CM Rec Par.'!CC$179:CK$181,3,FALSE),0)</f>
        <v>0</v>
      </c>
      <c r="I74" s="1115">
        <f>IFERROR(HLOOKUP(B74,'CM Rec Par.'!DC$179:DK$181,3,FALSE),0)</f>
        <v>0</v>
      </c>
      <c r="J74" s="1115">
        <f>IFERROR(HLOOKUP(B74,'CM Rec Par.'!EC$181:EL$183,3,FALSE),0)</f>
        <v>0</v>
      </c>
      <c r="S74"/>
      <c r="T74"/>
      <c r="AN74"/>
      <c r="AO74"/>
      <c r="BA74"/>
      <c r="BB74"/>
      <c r="BC74"/>
      <c r="BD74"/>
      <c r="BE74"/>
      <c r="BF74"/>
      <c r="CA74"/>
      <c r="CB74"/>
      <c r="CC74"/>
      <c r="CD74"/>
      <c r="CE74"/>
      <c r="CF74"/>
      <c r="CG74"/>
      <c r="CH74"/>
    </row>
    <row r="75" spans="1:111">
      <c r="B75" s="147" t="s">
        <v>42</v>
      </c>
      <c r="C75" s="1115">
        <f>IFERROR(HLOOKUP(B75,'CM Rec Par.'!BC$179:BK$181,2,FALSE),0)</f>
        <v>0</v>
      </c>
      <c r="D75" s="1115">
        <f>IFERROR(HLOOKUP(B75,'CM Rec Par.'!CC$179:CK$181,2,FALSE),0)</f>
        <v>0</v>
      </c>
      <c r="E75" s="1115">
        <f>IFERROR(HLOOKUP(B75,'CM Rec Par.'!DC$179:DK$181,2,FALSE),0)</f>
        <v>0</v>
      </c>
      <c r="F75" s="1115">
        <f>IFERROR(HLOOKUP(B75,'CM Rec Par.'!EC$181:EL$183,2,FALSE),0)</f>
        <v>0</v>
      </c>
      <c r="G75" s="1115">
        <f>IFERROR(HLOOKUP(B75,'CM Rec Par.'!BC$179:BK$181,3,FALSE),0)</f>
        <v>0</v>
      </c>
      <c r="H75" s="1115">
        <f>IFERROR(HLOOKUP(B75,'CM Rec Par.'!CC$179:CK$181,3,FALSE),0)</f>
        <v>0</v>
      </c>
      <c r="I75" s="1115">
        <f>IFERROR(HLOOKUP(B75,'CM Rec Par.'!DC$179:DK$181,3,FALSE),0)</f>
        <v>0</v>
      </c>
      <c r="J75" s="1115">
        <f>IFERROR(HLOOKUP(B75,'CM Rec Par.'!EC$181:EL$183,3,FALSE),0)</f>
        <v>0</v>
      </c>
      <c r="S75"/>
      <c r="T75"/>
      <c r="AN75"/>
      <c r="AO75"/>
      <c r="BA75"/>
      <c r="BB75"/>
      <c r="BC75"/>
      <c r="BD75"/>
      <c r="BE75"/>
      <c r="BF75"/>
      <c r="CA75"/>
      <c r="CB75"/>
      <c r="CC75"/>
      <c r="CD75"/>
      <c r="CE75"/>
      <c r="CF75"/>
      <c r="CG75"/>
      <c r="CH75"/>
    </row>
    <row r="76" spans="1:111">
      <c r="B76" s="147" t="s">
        <v>1029</v>
      </c>
      <c r="C76" s="1115">
        <f>IFERROR(HLOOKUP(B76,'CM Rec Par.'!BC$179:BK$181,2,FALSE),0)</f>
        <v>0</v>
      </c>
      <c r="D76" s="1115">
        <f>IFERROR(HLOOKUP(B76,'CM Rec Par.'!CC$179:CK$181,2,FALSE),0)</f>
        <v>0</v>
      </c>
      <c r="E76" s="1115">
        <f>IFERROR(HLOOKUP(B76,'CM Rec Par.'!DC$179:DK$181,2,FALSE),0)</f>
        <v>0</v>
      </c>
      <c r="F76" s="1115">
        <f>IFERROR(HLOOKUP(B76,'CM Rec Par.'!EC$181:EL$183,2,FALSE),0)</f>
        <v>0</v>
      </c>
      <c r="G76" s="1115">
        <f>IFERROR(HLOOKUP(B76,'CM Rec Par.'!BC$179:BK$181,3,FALSE),0)</f>
        <v>0</v>
      </c>
      <c r="H76" s="1115">
        <f>IFERROR(HLOOKUP(B76,'CM Rec Par.'!CC$179:CK$181,3,FALSE),0)</f>
        <v>0</v>
      </c>
      <c r="I76" s="1115">
        <f>IFERROR(HLOOKUP(B76,'CM Rec Par.'!DC$179:DK$181,3,FALSE),0)</f>
        <v>0</v>
      </c>
      <c r="J76" s="1115">
        <f>IFERROR(HLOOKUP(B76,'CM Rec Par.'!EC$181:EL$183,3,FALSE),0)</f>
        <v>0</v>
      </c>
      <c r="S76"/>
      <c r="AN76"/>
      <c r="AO76"/>
      <c r="BA76"/>
      <c r="BB76"/>
      <c r="BC76"/>
      <c r="BD76"/>
      <c r="BE76"/>
      <c r="BF76"/>
      <c r="CA76"/>
      <c r="CB76"/>
      <c r="CC76"/>
      <c r="CD76"/>
      <c r="CE76"/>
      <c r="CF76"/>
      <c r="CG76"/>
      <c r="CH76"/>
    </row>
    <row r="77" spans="1:111">
      <c r="B77" s="147" t="s">
        <v>1540</v>
      </c>
      <c r="C77" s="1115">
        <f>IFERROR(HLOOKUP(B77,'CM Rec Par.'!BC$179:BK$181,2,FALSE),0)</f>
        <v>0</v>
      </c>
      <c r="D77" s="1115">
        <f>IFERROR(HLOOKUP(B77,'CM Rec Par.'!CC$179:CK$181,2,FALSE),0)</f>
        <v>0</v>
      </c>
      <c r="E77" s="1115">
        <f>IFERROR(HLOOKUP(B77,'CM Rec Par.'!DC$179:DK$181,2,FALSE),0)</f>
        <v>0</v>
      </c>
      <c r="F77" s="1115">
        <f>IFERROR(HLOOKUP(B77,'CM Rec Par.'!EC$181:EL$183,2,FALSE),0)</f>
        <v>0</v>
      </c>
      <c r="G77" s="1115">
        <f>IFERROR(HLOOKUP(B77,'CM Rec Par.'!BC$179:BK$181,3,FALSE),0)</f>
        <v>0</v>
      </c>
      <c r="H77" s="1115">
        <f>IFERROR(HLOOKUP(B77,'CM Rec Par.'!CC$179:CK$181,3,FALSE),0)</f>
        <v>0</v>
      </c>
      <c r="I77" s="1115">
        <f>IFERROR(HLOOKUP(B77,'CM Rec Par.'!DC$179:DK$181,3,FALSE),0)</f>
        <v>0</v>
      </c>
      <c r="J77" s="1115">
        <f>IFERROR(HLOOKUP(B77,'CM Rec Par.'!EC$181:EL$183,3,FALSE),0)</f>
        <v>0</v>
      </c>
      <c r="V77"/>
      <c r="W77"/>
      <c r="X77"/>
      <c r="Y77"/>
      <c r="AN77"/>
      <c r="AO77"/>
      <c r="BA77"/>
      <c r="BB77"/>
      <c r="BC77"/>
      <c r="BD77"/>
      <c r="BE77"/>
      <c r="BF77"/>
      <c r="CA77"/>
      <c r="CB77"/>
      <c r="CC77"/>
      <c r="CD77"/>
      <c r="CE77"/>
      <c r="CF77"/>
      <c r="CG77"/>
      <c r="CH77"/>
    </row>
    <row r="78" spans="1:111">
      <c r="B78" s="147" t="s">
        <v>667</v>
      </c>
      <c r="C78" s="1115">
        <f>IFERROR(HLOOKUP(B78,'CM Rec Par.'!BC$179:BK$181,2,FALSE),0)</f>
        <v>0</v>
      </c>
      <c r="D78" s="1115">
        <f>IFERROR(HLOOKUP(B78,'CM Rec Par.'!CC$179:CK$181,2,FALSE),0)</f>
        <v>0</v>
      </c>
      <c r="E78" s="1115">
        <f>IFERROR(HLOOKUP(B78,'CM Rec Par.'!DC$179:DK$181,2,FALSE),0)</f>
        <v>0.56886227544910173</v>
      </c>
      <c r="F78" s="1115">
        <f>IFERROR(HLOOKUP(B78,'CM Rec Par.'!EC$181:EL$183,2,FALSE),0)</f>
        <v>0.18925952211970665</v>
      </c>
      <c r="G78" s="1115">
        <f>IFERROR(HLOOKUP(B78,'CM Rec Par.'!BC$179:BK$181,3,FALSE),0)</f>
        <v>0</v>
      </c>
      <c r="H78" s="1115">
        <f>IFERROR(HLOOKUP(B78,'CM Rec Par.'!CC$179:CK$181,3,FALSE),0)</f>
        <v>0</v>
      </c>
      <c r="I78" s="1115">
        <f ca="1">IFERROR(HLOOKUP(B78,'CM Rec Par.'!DC$179:DK$181,3,FALSE),0)</f>
        <v>0.9929821921589066</v>
      </c>
      <c r="J78" s="1115">
        <f ca="1">IFERROR(HLOOKUP(B78,'CM Rec Par.'!EC$181:EL$183,3,FALSE),0)</f>
        <v>0.99498970303909762</v>
      </c>
      <c r="V78"/>
      <c r="W78"/>
      <c r="X78"/>
      <c r="Y78"/>
      <c r="AN78"/>
      <c r="AO78"/>
      <c r="BA78"/>
      <c r="BB78"/>
      <c r="BC78"/>
      <c r="BD78"/>
      <c r="BE78"/>
      <c r="BF78"/>
      <c r="CA78"/>
      <c r="CB78"/>
      <c r="CC78"/>
      <c r="CD78"/>
      <c r="CE78"/>
      <c r="CF78"/>
      <c r="CG78"/>
      <c r="CH78"/>
    </row>
    <row r="79" spans="1:111">
      <c r="B79" s="147" t="s">
        <v>669</v>
      </c>
      <c r="C79" s="1115">
        <f>IFERROR(HLOOKUP(B79,'CM Rec Par.'!BC$179:BK$181,2,FALSE),0)</f>
        <v>0</v>
      </c>
      <c r="D79" s="1115">
        <f>IFERROR(HLOOKUP(B79,'CM Rec Par.'!CC$179:CK$181,2,FALSE),0)</f>
        <v>0</v>
      </c>
      <c r="E79" s="1115">
        <f>IFERROR(HLOOKUP(B79,'CM Rec Par.'!DC$179:DK$181,2,FALSE),0)</f>
        <v>0</v>
      </c>
      <c r="F79" s="1115">
        <f>IFERROR(HLOOKUP(B79,'CM Rec Par.'!EC$181:EL$183,2,FALSE),0)</f>
        <v>0</v>
      </c>
      <c r="G79" s="1115">
        <f>IFERROR(HLOOKUP(B79,'CM Rec Par.'!BC$179:BK$181,3,FALSE),0)</f>
        <v>0</v>
      </c>
      <c r="H79" s="1115">
        <f>IFERROR(HLOOKUP(B79,'CM Rec Par.'!CC$179:CK$181,3,FALSE),0)</f>
        <v>0</v>
      </c>
      <c r="I79" s="1115">
        <f>IFERROR(HLOOKUP(B79,'CM Rec Par.'!DC$179:DK$181,3,FALSE),0)</f>
        <v>0</v>
      </c>
      <c r="J79" s="1115">
        <f>IFERROR(HLOOKUP(B79,'CM Rec Par.'!EC$181:EL$183,3,FALSE),0)</f>
        <v>0</v>
      </c>
      <c r="AN79"/>
      <c r="AO79"/>
      <c r="BA79"/>
      <c r="BB79"/>
      <c r="BC79"/>
      <c r="BD79"/>
      <c r="BE79"/>
      <c r="BF79"/>
      <c r="CA79"/>
      <c r="CB79"/>
      <c r="CC79"/>
      <c r="CD79"/>
      <c r="CE79"/>
      <c r="CF79"/>
      <c r="CG79"/>
      <c r="CH79"/>
    </row>
    <row r="80" spans="1:111">
      <c r="B80" s="147" t="s">
        <v>73</v>
      </c>
      <c r="C80" s="1115">
        <f>IFERROR(HLOOKUP(B80,'CM Rec Par.'!BC$179:BK$181,2,FALSE),0)</f>
        <v>0</v>
      </c>
      <c r="D80" s="1115">
        <f>IFERROR(HLOOKUP(B80,'CM Rec Par.'!CC$179:CK$181,2,FALSE),0)</f>
        <v>0</v>
      </c>
      <c r="E80" s="1115">
        <f>IFERROR(HLOOKUP(B80,'CM Rec Par.'!DC$179:DK$181,2,FALSE),0)</f>
        <v>0</v>
      </c>
      <c r="F80" s="1115">
        <f>IFERROR(HLOOKUP(B80,'CM Rec Par.'!EC$181:EL$183,2,FALSE),0)</f>
        <v>0</v>
      </c>
      <c r="G80" s="1115">
        <f>IFERROR(HLOOKUP(B80,'CM Rec Par.'!BC$179:BK$181,3,FALSE),0)</f>
        <v>0</v>
      </c>
      <c r="H80" s="1115">
        <f>IFERROR(HLOOKUP(B80,'CM Rec Par.'!CC$179:CK$181,3,FALSE),0)</f>
        <v>0</v>
      </c>
      <c r="I80" s="1115">
        <f>IFERROR(HLOOKUP(B80,'CM Rec Par.'!DC$179:DK$181,3,FALSE),0)</f>
        <v>0</v>
      </c>
      <c r="J80" s="1115">
        <f>IFERROR(HLOOKUP(B80,'CM Rec Par.'!EC$181:EL$183,3,FALSE),0)</f>
        <v>0</v>
      </c>
      <c r="AN80"/>
      <c r="AO80"/>
      <c r="BA80"/>
      <c r="BB80"/>
      <c r="BC80"/>
      <c r="BD80"/>
      <c r="BE80"/>
      <c r="BF80"/>
      <c r="CA80"/>
      <c r="CB80"/>
      <c r="CC80"/>
      <c r="CD80"/>
      <c r="CE80"/>
      <c r="CF80"/>
      <c r="CG80"/>
      <c r="CH80"/>
    </row>
    <row r="81" spans="2:86">
      <c r="B81" s="147" t="s">
        <v>148</v>
      </c>
      <c r="C81" s="1115">
        <f>IFERROR(HLOOKUP(B81,'CM Rec Par.'!BC$179:BK$181,2,FALSE),0)</f>
        <v>0</v>
      </c>
      <c r="D81" s="1115">
        <f>IFERROR(HLOOKUP(B81,'CM Rec Par.'!CC$179:CK$181,2,FALSE),0)</f>
        <v>0</v>
      </c>
      <c r="E81" s="1115">
        <f>IFERROR(HLOOKUP(B81,'CM Rec Par.'!DC$179:DK$181,2,FALSE),0)</f>
        <v>0</v>
      </c>
      <c r="F81" s="1115">
        <f>IFERROR(HLOOKUP(B81,'CM Rec Par.'!EC$181:EL$183,2,FALSE),0)</f>
        <v>0</v>
      </c>
      <c r="G81" s="1115">
        <f>IFERROR(HLOOKUP(B81,'CM Rec Par.'!BC$179:BK$181,3,FALSE),0)</f>
        <v>0</v>
      </c>
      <c r="H81" s="1115">
        <f>IFERROR(HLOOKUP(B81,'CM Rec Par.'!CC$179:CK$181,3,FALSE),0)</f>
        <v>0</v>
      </c>
      <c r="I81" s="1115">
        <f>IFERROR(HLOOKUP(B81,'CM Rec Par.'!DC$179:DK$181,3,FALSE),0)</f>
        <v>0</v>
      </c>
      <c r="J81" s="1115">
        <f>IFERROR(HLOOKUP(B81,'CM Rec Par.'!EC$181:EL$183,3,FALSE),0)</f>
        <v>0</v>
      </c>
      <c r="U81"/>
      <c r="AN81"/>
      <c r="AO81"/>
      <c r="BA81"/>
      <c r="BB81"/>
      <c r="BC81"/>
      <c r="BD81"/>
      <c r="BE81"/>
      <c r="BF81"/>
      <c r="BG81" s="180"/>
      <c r="CA81"/>
      <c r="CB81"/>
      <c r="CC81"/>
      <c r="CD81"/>
      <c r="CE81"/>
      <c r="CF81"/>
      <c r="CG81"/>
      <c r="CH81"/>
    </row>
    <row r="82" spans="2:86">
      <c r="B82" s="147" t="s">
        <v>149</v>
      </c>
      <c r="C82" s="1115">
        <f>IFERROR(HLOOKUP(B82,'CM Rec Par.'!BC$179:BK$181,2,FALSE),0)</f>
        <v>0</v>
      </c>
      <c r="D82" s="1115">
        <f>IFERROR(HLOOKUP(B82,'CM Rec Par.'!CC$179:CK$181,2,FALSE),0)</f>
        <v>0</v>
      </c>
      <c r="E82" s="1115">
        <f>IFERROR(HLOOKUP(B82,'CM Rec Par.'!DC$179:DK$181,2,FALSE),0)</f>
        <v>0</v>
      </c>
      <c r="F82" s="1115">
        <f>IFERROR(HLOOKUP(B82,'CM Rec Par.'!EC$181:EL$183,2,FALSE),0)</f>
        <v>0</v>
      </c>
      <c r="G82" s="1115">
        <f>IFERROR(HLOOKUP(B82,'CM Rec Par.'!BC$179:BK$181,3,FALSE),0)</f>
        <v>0</v>
      </c>
      <c r="H82" s="1115">
        <f>IFERROR(HLOOKUP(B82,'CM Rec Par.'!CC$179:CK$181,3,FALSE),0)</f>
        <v>0</v>
      </c>
      <c r="I82" s="1115">
        <f>IFERROR(HLOOKUP(B82,'CM Rec Par.'!DC$179:DK$181,3,FALSE),0)</f>
        <v>0</v>
      </c>
      <c r="J82" s="1115">
        <f>IFERROR(HLOOKUP(B82,'CM Rec Par.'!EC$181:EL$183,3,FALSE),0)</f>
        <v>0</v>
      </c>
      <c r="U82"/>
      <c r="AN82"/>
      <c r="AO82"/>
      <c r="BA82"/>
      <c r="BB82"/>
      <c r="BC82"/>
      <c r="BD82"/>
      <c r="BE82"/>
      <c r="BF82"/>
      <c r="CA82"/>
      <c r="CB82"/>
      <c r="CC82"/>
      <c r="CD82"/>
      <c r="CE82"/>
      <c r="CF82"/>
      <c r="CG82"/>
      <c r="CH82"/>
    </row>
    <row r="83" spans="2:86">
      <c r="B83" s="147" t="s">
        <v>54</v>
      </c>
      <c r="C83" s="1115">
        <f>IFERROR(HLOOKUP(B83,'CM Rec Par.'!BC$179:BK$181,2,FALSE),0)</f>
        <v>0</v>
      </c>
      <c r="D83" s="1115">
        <f>IFERROR(HLOOKUP(B83,'CM Rec Par.'!CC$179:CK$181,2,FALSE),0)</f>
        <v>0.32907348242811502</v>
      </c>
      <c r="E83" s="1115">
        <f>IFERROR(HLOOKUP(B83,'CM Rec Par.'!DC$179:DK$181,2,FALSE),0)</f>
        <v>0.30838323353293412</v>
      </c>
      <c r="F83" s="1115">
        <f>IFERROR(HLOOKUP(B83,'CM Rec Par.'!EC$181:EL$183,2,FALSE),0)</f>
        <v>7.3101490418736689E-2</v>
      </c>
      <c r="G83" s="1115">
        <f>IFERROR(HLOOKUP(B83,'CM Rec Par.'!BC$179:BK$181,3,FALSE),0)</f>
        <v>0</v>
      </c>
      <c r="H83" s="1115">
        <f>IFERROR(HLOOKUP(B83,'CM Rec Par.'!CC$179:CK$181,3,FALSE),0)</f>
        <v>6.9427017640794741E-3</v>
      </c>
      <c r="I83" s="1115">
        <f ca="1">IFERROR(HLOOKUP(B83,'CM Rec Par.'!DC$179:DK$181,3,FALSE),0)</f>
        <v>4.3064069807312588E-3</v>
      </c>
      <c r="J83" s="1115">
        <f ca="1">IFERROR(HLOOKUP(B83,'CM Rec Par.'!EC$181:EL$183,3,FALSE),0)</f>
        <v>3.0745181823908117E-3</v>
      </c>
      <c r="T83"/>
      <c r="AN83"/>
      <c r="AO83"/>
      <c r="BA83"/>
      <c r="BB83"/>
      <c r="BC83"/>
      <c r="BD83"/>
      <c r="BE83"/>
      <c r="BF83"/>
      <c r="CA83"/>
      <c r="CB83"/>
      <c r="CC83"/>
      <c r="CD83"/>
      <c r="CE83"/>
      <c r="CF83"/>
      <c r="CG83"/>
      <c r="CH83"/>
    </row>
    <row r="84" spans="2:86">
      <c r="B84" s="147" t="s">
        <v>299</v>
      </c>
      <c r="C84" s="1115">
        <f>IFERROR(HLOOKUP(B84,'CM Rec Par.'!BC$179:BK$181,2,FALSE),0)</f>
        <v>0</v>
      </c>
      <c r="D84" s="1115">
        <f>IFERROR(HLOOKUP(B84,'CM Rec Par.'!CC$179:CK$181,2,FALSE),0)</f>
        <v>0</v>
      </c>
      <c r="E84" s="1115">
        <f>IFERROR(HLOOKUP(B84,'CM Rec Par.'!DC$179:DK$181,2,FALSE),0)</f>
        <v>0</v>
      </c>
      <c r="F84" s="1115">
        <f>IFERROR(HLOOKUP(B84,'CM Rec Par.'!EC$181:EL$183,2,FALSE),0)</f>
        <v>0</v>
      </c>
      <c r="G84" s="1115">
        <f>IFERROR(HLOOKUP(B84,'CM Rec Par.'!BC$179:BK$181,3,FALSE),0)</f>
        <v>0</v>
      </c>
      <c r="H84" s="1115">
        <f>IFERROR(HLOOKUP(B84,'CM Rec Par.'!CC$179:CK$181,3,FALSE),0)</f>
        <v>0</v>
      </c>
      <c r="I84" s="1115">
        <f>IFERROR(HLOOKUP(B84,'CM Rec Par.'!DC$179:DK$181,3,FALSE),0)</f>
        <v>0</v>
      </c>
      <c r="J84" s="1115">
        <f>IFERROR(HLOOKUP(B84,'CM Rec Par.'!EC$181:EL$183,3,FALSE),0)</f>
        <v>0</v>
      </c>
      <c r="S84"/>
      <c r="T84"/>
      <c r="AN84"/>
      <c r="AO84"/>
      <c r="BA84"/>
      <c r="BB84"/>
      <c r="BC84"/>
      <c r="BD84"/>
      <c r="BE84"/>
      <c r="BF84"/>
      <c r="CA84"/>
      <c r="CB84"/>
      <c r="CC84"/>
      <c r="CD84"/>
      <c r="CE84"/>
      <c r="CF84"/>
      <c r="CG84"/>
      <c r="CH84"/>
    </row>
    <row r="85" spans="2:86">
      <c r="B85" s="1478" t="s">
        <v>1914</v>
      </c>
      <c r="C85" s="1115">
        <f>IFERROR(HLOOKUP(B85,'CM Rec Par.'!BC$179:BK$181,2,FALSE),0)</f>
        <v>2.0080321285140562E-2</v>
      </c>
      <c r="D85" s="1115">
        <f>IFERROR(HLOOKUP(B85,'CM Rec Par.'!CC$179:CK$181,2,FALSE),0)</f>
        <v>0</v>
      </c>
      <c r="E85" s="1115">
        <f>IFERROR(HLOOKUP(B85,'CM Rec Par.'!DC$179:DK$181,2,FALSE),0)</f>
        <v>0</v>
      </c>
      <c r="F85" s="1115">
        <f>IFERROR(HLOOKUP(B85,'CM Rec Par.'!EC$181:EL$183,2,FALSE),0)</f>
        <v>0</v>
      </c>
      <c r="G85" s="1115">
        <f>IFERROR(HLOOKUP(B85,'CM Rec Par.'!BC$179:BK$181,3,FALSE),0)</f>
        <v>4.4721297433331017E-3</v>
      </c>
      <c r="H85" s="1115">
        <f>IFERROR(HLOOKUP(B85,'CM Rec Par.'!CC$179:CK$181,3,FALSE),0)</f>
        <v>0</v>
      </c>
      <c r="I85" s="1115">
        <f>IFERROR(HLOOKUP(B85,'CM Rec Par.'!DC$179:DK$181,3,FALSE),0)</f>
        <v>0</v>
      </c>
      <c r="J85" s="1115">
        <f>IFERROR(HLOOKUP(B85,'CM Rec Par.'!EC$181:EL$183,3,FALSE),0)</f>
        <v>0</v>
      </c>
      <c r="S85"/>
      <c r="AN85"/>
      <c r="AO85"/>
      <c r="BA85"/>
      <c r="BB85"/>
      <c r="BC85"/>
      <c r="BD85"/>
      <c r="BE85"/>
      <c r="BF85"/>
      <c r="CA85"/>
      <c r="CB85"/>
      <c r="CC85"/>
      <c r="CD85"/>
      <c r="CE85"/>
      <c r="CF85"/>
      <c r="CG85"/>
      <c r="CH85"/>
    </row>
    <row r="86" spans="2:86">
      <c r="B86"/>
      <c r="C86"/>
      <c r="D86"/>
      <c r="E86"/>
      <c r="F86"/>
      <c r="H86" s="300"/>
      <c r="AN86"/>
      <c r="AO86"/>
      <c r="BA86"/>
      <c r="BB86"/>
      <c r="BC86"/>
      <c r="BD86"/>
      <c r="BE86"/>
      <c r="BF86"/>
      <c r="CA86"/>
      <c r="CB86"/>
      <c r="CC86"/>
      <c r="CD86"/>
      <c r="CE86"/>
      <c r="CF86"/>
      <c r="CG86"/>
      <c r="CH86"/>
    </row>
    <row r="87" spans="2:86">
      <c r="B87" s="133" t="s">
        <v>1892</v>
      </c>
      <c r="BA87"/>
      <c r="BB87"/>
      <c r="BC87"/>
      <c r="BD87"/>
      <c r="BE87"/>
      <c r="BF87"/>
      <c r="CA87"/>
      <c r="CB87"/>
      <c r="CC87"/>
      <c r="CD87"/>
      <c r="CE87"/>
      <c r="CF87"/>
      <c r="CG87"/>
      <c r="CH87"/>
    </row>
    <row r="88" spans="2:86">
      <c r="B88" s="133" t="s">
        <v>694</v>
      </c>
      <c r="BA88"/>
      <c r="BB88"/>
      <c r="BC88"/>
      <c r="BD88"/>
      <c r="BE88"/>
      <c r="BF88"/>
      <c r="CA88"/>
      <c r="CB88"/>
      <c r="CC88"/>
      <c r="CD88"/>
      <c r="CE88"/>
      <c r="CF88"/>
      <c r="CG88"/>
      <c r="CH88"/>
    </row>
    <row r="89" spans="2:86">
      <c r="B89" s="668"/>
      <c r="C89" s="350" t="s">
        <v>43</v>
      </c>
      <c r="D89" s="350" t="s">
        <v>44</v>
      </c>
      <c r="E89" s="350" t="s">
        <v>672</v>
      </c>
      <c r="F89" s="1315" t="s">
        <v>36</v>
      </c>
      <c r="BA89"/>
      <c r="BB89"/>
      <c r="BC89"/>
      <c r="BD89"/>
      <c r="BE89"/>
      <c r="BF89"/>
      <c r="CA89"/>
      <c r="CB89"/>
      <c r="CC89"/>
      <c r="CD89"/>
      <c r="CE89"/>
      <c r="CF89"/>
      <c r="CG89"/>
      <c r="CH89"/>
    </row>
    <row r="90" spans="2:86">
      <c r="B90" s="554" t="s">
        <v>346</v>
      </c>
      <c r="C90" s="555"/>
      <c r="D90" s="555"/>
      <c r="E90" s="555"/>
      <c r="F90" s="1394"/>
      <c r="BA90"/>
      <c r="BB90"/>
      <c r="BC90"/>
      <c r="BD90"/>
      <c r="BE90"/>
      <c r="BF90"/>
      <c r="CA90"/>
      <c r="CB90"/>
      <c r="CC90"/>
      <c r="CD90"/>
      <c r="CE90"/>
      <c r="CF90"/>
      <c r="CG90"/>
      <c r="CH90"/>
    </row>
    <row r="91" spans="2:86">
      <c r="B91" s="159" t="s">
        <v>173</v>
      </c>
      <c r="C91" s="1116">
        <f>'Col&amp;Trans Par.'!I81+IF('CM Rec Par.'!BC$8="No preprocessing",'CM Rec Par.'!BF157,IF('CM Rec Par.'!BC$8="Generic",'Preproc. Par.'!$AF155*'Preproc. Par.'!$AD$14/SUM(Input!$F$28:$F$32)+'CM Rec Par.'!BF157*'CM Rec Par.'!BD$25/SUM(Input!$F$28:$F$32),'Preproc. Par.'!$BF155*'Preproc. Par.'!$BD$14/SUM(Input!$F$28:$F$32)+'CM Rec Par.'!BF157*'CM Rec Par.'!BD$25/SUM(Input!$F$28:$F$32)))</f>
        <v>0.42953994442051102</v>
      </c>
      <c r="D91" s="1116">
        <f>'Col&amp;Trans Par.'!I81+IF('CM Rec Par.'!CC$8="No preprocessing",'CM Rec Par.'!CF157,IF('CM Rec Par.'!CC$8="Generic",'Preproc. Par.'!$AF155*'Preproc. Par.'!$AD$14/SUM(Input!$F$28:$F$32)+'CM Rec Par.'!CF157*'CM Rec Par.'!CD$25/SUM(Input!$F$28:$F$32),'Preproc. Par.'!$BF155*'Preproc. Par.'!$BD$14/SUM(Input!$F$28:$F$32)+'CM Rec Par.'!CF157*'CM Rec Par.'!CD$25/SUM(Input!$F$28:$F$32)))</f>
        <v>0.39739919641113591</v>
      </c>
      <c r="E91" s="1116">
        <f>SUM('Col&amp;Trans Par.'!C81:F81)+'Col&amp;Trans Par.'!H81+IF('CM Rec Par.'!DC$8="No preprocessing",'CM Rec Par.'!DF157,IF('CM Rec Par.'!DC$8="Generic",'Preproc. Par.'!$AF155*'Preproc. Par.'!$AD$14/SUM(Input!$F$28:$F$32)+'CM Rec Par.'!DF157*'CM Rec Par.'!DD$25/SUM(Input!$F$28:$F$32),'Preproc. Par.'!$BF155*'Preproc. Par.'!$BD$14/SUM(Input!$F$28:$F$32)+'CM Rec Par.'!DF157*'CM Rec Par.'!DD$25/SUM(Input!$F$28:$F$32)))</f>
        <v>8.6705682241772816E-2</v>
      </c>
      <c r="F91" s="1116">
        <f>'Col&amp;Trans Par.'!I81+IF('CM Rec Par.'!EC$19="Select plant type",0,IF('CM Rec Par.'!EC$8="No preprocessing",'CM Rec Par.'!EF159,IF('CM Rec Par.'!EC$8="Generic",'Preproc. Par.'!$AF155*'Preproc. Par.'!$AD$14/SUM(Input!$F$28:$F$32)+'CM Rec Par.'!EF159*'CM Rec Par.'!ED$26/SUM(Input!$F$28:$F$32),'Preproc. Par.'!$BF155*'Preproc. Par.'!$BD$14/SUM(Input!$F$28:$F$32)+'CM Rec Par.'!EF159*'CM Rec Par.'!ED$26/SUM(Input!$F$28:$F$32))))</f>
        <v>0.12525918326308133</v>
      </c>
      <c r="G91"/>
      <c r="H91"/>
      <c r="I91"/>
      <c r="BA91"/>
      <c r="BB91"/>
      <c r="BC91"/>
      <c r="BD91"/>
      <c r="BE91"/>
      <c r="BF91"/>
      <c r="CA91"/>
      <c r="CB91"/>
      <c r="CC91"/>
      <c r="CD91"/>
      <c r="CE91"/>
      <c r="CF91"/>
      <c r="CG91"/>
      <c r="CH91"/>
    </row>
    <row r="92" spans="2:86">
      <c r="B92" s="159" t="s">
        <v>174</v>
      </c>
      <c r="C92" s="1117">
        <f>'Col&amp;Trans Par.'!I82+IF('CM Rec Par.'!BC$8="No preprocessing",'CM Rec Par.'!BF158,IF('CM Rec Par.'!BC$8="Generic",'Preproc. Par.'!$AF156*'Preproc. Par.'!$AD$14/SUM(Input!$F$28:$F$32)+'CM Rec Par.'!BF158*'CM Rec Par.'!BD$25/SUM(Input!$F$28:$F$32),'Preproc. Par.'!$BF156*'Preproc. Par.'!$BD$14/SUM(Input!$F$28:$F$32)+'CM Rec Par.'!BF158*'CM Rec Par.'!BD$25/SUM(Input!$F$28:$F$32)))</f>
        <v>0.35186529237882946</v>
      </c>
      <c r="D92" s="1117">
        <f>'Col&amp;Trans Par.'!I82+IF('CM Rec Par.'!CC$8="No preprocessing",'CM Rec Par.'!CF158,IF('CM Rec Par.'!CC$8="Generic",'Preproc. Par.'!$AF156*'Preproc. Par.'!$AD$14/SUM(Input!$F$28:$F$32)+'CM Rec Par.'!CF158*'CM Rec Par.'!CD$25/SUM(Input!$F$28:$F$32),'Preproc. Par.'!$BF156*'Preproc. Par.'!$BD$14/SUM(Input!$F$28:$F$32)+'CM Rec Par.'!CF158*'CM Rec Par.'!CD$25/SUM(Input!$F$28:$F$32)))</f>
        <v>0.3295837425566468</v>
      </c>
      <c r="E92" s="1117">
        <f>SUM('Col&amp;Trans Par.'!C82:F82)+'Col&amp;Trans Par.'!H82+IF('CM Rec Par.'!DC$8="No preprocessing",'CM Rec Par.'!DF158,IF('CM Rec Par.'!DC$8="Generic",'Preproc. Par.'!$AF156*'Preproc. Par.'!$AD$14/SUM(Input!$F$28:$F$32)+'CM Rec Par.'!DF158*'CM Rec Par.'!DD$25/SUM(Input!$F$28:$F$32),'Preproc. Par.'!$BF156*'Preproc. Par.'!$BD$14/SUM(Input!$F$28:$F$32)+'CM Rec Par.'!DF158*'CM Rec Par.'!DD$25/SUM(Input!$F$28:$F$32)))</f>
        <v>7.3057216421122298E-2</v>
      </c>
      <c r="F92" s="1117">
        <f>'Col&amp;Trans Par.'!I82+IF('CM Rec Par.'!EC$19="Select plant type",0,IF('CM Rec Par.'!EC$8="No preprocessing",'CM Rec Par.'!EF160,IF('CM Rec Par.'!EC$8="Generic",'Preproc. Par.'!$AF156*'Preproc. Par.'!$AD$14/SUM(Input!$F$28:$F$32)+'CM Rec Par.'!EF160*'CM Rec Par.'!ED$26/SUM(Input!$F$28:$F$32),'Preproc. Par.'!$BF156*'Preproc. Par.'!$BD$14/SUM(Input!$F$28:$F$32)+'CM Rec Par.'!EF160*'CM Rec Par.'!ED$26/SUM(Input!$F$28:$F$32))))</f>
        <v>0.10955341023798694</v>
      </c>
      <c r="G92"/>
      <c r="H92"/>
      <c r="I92"/>
      <c r="BA92"/>
      <c r="BB92"/>
      <c r="BC92"/>
      <c r="BD92"/>
      <c r="BE92"/>
      <c r="BF92"/>
      <c r="CA92"/>
      <c r="CB92"/>
      <c r="CC92"/>
      <c r="CD92"/>
      <c r="CE92"/>
      <c r="CF92"/>
      <c r="CG92"/>
      <c r="CH92"/>
    </row>
    <row r="93" spans="2:86">
      <c r="B93" s="159" t="s">
        <v>175</v>
      </c>
      <c r="C93" s="1117">
        <f>'Col&amp;Trans Par.'!I83+IF('CM Rec Par.'!BC$8="No preprocessing",'CM Rec Par.'!BF159,IF('CM Rec Par.'!BC$8="Generic",'Preproc. Par.'!$AF157*'Preproc. Par.'!$AD$14/SUM(Input!$F$28:$F$32)+'CM Rec Par.'!BF159*'CM Rec Par.'!BD$25/SUM(Input!$F$28:$F$32),'Preproc. Par.'!$BF157*'Preproc. Par.'!$BD$14/SUM(Input!$F$28:$F$32)+'CM Rec Par.'!BF159*'CM Rec Par.'!BD$25/SUM(Input!$F$28:$F$32)))</f>
        <v>0.31969344450652826</v>
      </c>
      <c r="D93" s="1117">
        <f>'Col&amp;Trans Par.'!I83+IF('CM Rec Par.'!CC$8="No preprocessing",'CM Rec Par.'!CF159,IF('CM Rec Par.'!CC$8="Generic",'Preproc. Par.'!$AF157*'Preproc. Par.'!$AD$14/SUM(Input!$F$28:$F$32)+'CM Rec Par.'!CF159*'CM Rec Par.'!CD$25/SUM(Input!$F$28:$F$32),'Preproc. Par.'!$BF157*'Preproc. Par.'!$BD$14/SUM(Input!$F$28:$F$32)+'CM Rec Par.'!CF159*'CM Rec Par.'!CD$25/SUM(Input!$F$28:$F$32)))</f>
        <v>0.2737998341108962</v>
      </c>
      <c r="E93" s="1117">
        <f>SUM('Col&amp;Trans Par.'!C83:F83)+'Col&amp;Trans Par.'!H83+IF('CM Rec Par.'!DC$8="No preprocessing",'CM Rec Par.'!DF159,IF('CM Rec Par.'!DC$8="Generic",'Preproc. Par.'!$AF157*'Preproc. Par.'!$AD$14/SUM(Input!$F$28:$F$32)+'CM Rec Par.'!DF159*'CM Rec Par.'!DD$25/SUM(Input!$F$28:$F$32),'Preproc. Par.'!$BF157*'Preproc. Par.'!$BD$14/SUM(Input!$F$28:$F$32)+'CM Rec Par.'!DF159*'CM Rec Par.'!DD$25/SUM(Input!$F$28:$F$32)))</f>
        <v>6.0652840296920148E-2</v>
      </c>
      <c r="F93" s="1117">
        <f>'Col&amp;Trans Par.'!I83+IF('CM Rec Par.'!EC$19="Select plant type",0,IF('CM Rec Par.'!EC$8="No preprocessing",'CM Rec Par.'!EF161,IF('CM Rec Par.'!EC$8="Generic",'Preproc. Par.'!$AF157*'Preproc. Par.'!$AD$14/SUM(Input!$F$28:$F$32)+'CM Rec Par.'!EF161*'CM Rec Par.'!ED$26/SUM(Input!$F$28:$F$32),'Preproc. Par.'!$BF157*'Preproc. Par.'!$BD$14/SUM(Input!$F$28:$F$32)+'CM Rec Par.'!EF161*'CM Rec Par.'!ED$26/SUM(Input!$F$28:$F$32))))</f>
        <v>5.6536122534811419E-2</v>
      </c>
      <c r="G93"/>
      <c r="H93"/>
      <c r="I93"/>
      <c r="BA93"/>
      <c r="BB93"/>
      <c r="BC93"/>
      <c r="BD93"/>
      <c r="BE93"/>
      <c r="BF93"/>
      <c r="CA93"/>
      <c r="CB93"/>
      <c r="CC93"/>
      <c r="CD93"/>
      <c r="CE93"/>
      <c r="CF93"/>
      <c r="CG93"/>
      <c r="CH93"/>
    </row>
    <row r="94" spans="2:86">
      <c r="B94" s="159" t="s">
        <v>176</v>
      </c>
      <c r="C94" s="1117">
        <f>'Col&amp;Trans Par.'!I84+IF('CM Rec Par.'!BC$8="No preprocessing",'CM Rec Par.'!BF160,IF('CM Rec Par.'!BC$8="Generic",'Preproc. Par.'!$AF158*'Preproc. Par.'!$AD$14/SUM(Input!$F$28:$F$32)+'CM Rec Par.'!BF160*'CM Rec Par.'!BD$25/SUM(Input!$F$28:$F$32),'Preproc. Par.'!$BF158*'Preproc. Par.'!$BD$14/SUM(Input!$F$28:$F$32)+'CM Rec Par.'!BF160*'CM Rec Par.'!BD$25/SUM(Input!$F$28:$F$32)))</f>
        <v>2.13346413484766E-2</v>
      </c>
      <c r="D94" s="1117">
        <f>'Col&amp;Trans Par.'!I84+IF('CM Rec Par.'!CC$8="No preprocessing",'CM Rec Par.'!CF160,IF('CM Rec Par.'!CC$8="Generic",'Preproc. Par.'!$AF158*'Preproc. Par.'!$AD$14/SUM(Input!$F$28:$F$32)+'CM Rec Par.'!CF160*'CM Rec Par.'!CD$25/SUM(Input!$F$28:$F$32),'Preproc. Par.'!$BF158*'Preproc. Par.'!$BD$14/SUM(Input!$F$28:$F$32)+'CM Rec Par.'!CF160*'CM Rec Par.'!CD$25/SUM(Input!$F$28:$F$32)))</f>
        <v>4.3633462157388704E-2</v>
      </c>
      <c r="E94" s="1117">
        <f>SUM('Col&amp;Trans Par.'!C84:F84)+'Col&amp;Trans Par.'!H84+IF('CM Rec Par.'!DC$8="No preprocessing",'CM Rec Par.'!DF160,IF('CM Rec Par.'!DC$8="Generic",'Preproc. Par.'!$AF158*'Preproc. Par.'!$AD$14/SUM(Input!$F$28:$F$32)+'CM Rec Par.'!DF160*'CM Rec Par.'!DD$25/SUM(Input!$F$28:$F$32),'Preproc. Par.'!$BF158*'Preproc. Par.'!$BD$14/SUM(Input!$F$28:$F$32)+'CM Rec Par.'!DF160*'CM Rec Par.'!DD$25/SUM(Input!$F$28:$F$32)))</f>
        <v>5.5508402143560776E-3</v>
      </c>
      <c r="F94" s="1117">
        <f>'Col&amp;Trans Par.'!I84+IF('CM Rec Par.'!EC$19="Select plant type",0,IF('CM Rec Par.'!EC$8="No preprocessing",'CM Rec Par.'!EF162,IF('CM Rec Par.'!EC$8="Generic",'Preproc. Par.'!$AF158*'Preproc. Par.'!$AD$14/SUM(Input!$F$28:$F$32)+'CM Rec Par.'!EF162*'CM Rec Par.'!ED$26/SUM(Input!$F$28:$F$32),'Preproc. Par.'!$BF158*'Preproc. Par.'!$BD$14/SUM(Input!$F$28:$F$32)+'CM Rec Par.'!EF162*'CM Rec Par.'!ED$26/SUM(Input!$F$28:$F$32))))</f>
        <v>4.4396967073850574E-2</v>
      </c>
      <c r="G94"/>
      <c r="H94"/>
      <c r="I94"/>
      <c r="BA94"/>
      <c r="BB94"/>
      <c r="BC94"/>
      <c r="BD94"/>
      <c r="BE94"/>
      <c r="BF94"/>
      <c r="CA94"/>
      <c r="CB94"/>
      <c r="CC94"/>
      <c r="CD94"/>
      <c r="CE94"/>
      <c r="CF94"/>
      <c r="CG94"/>
      <c r="CH94"/>
    </row>
    <row r="95" spans="2:86">
      <c r="B95" s="159" t="s">
        <v>177</v>
      </c>
      <c r="C95" s="1117">
        <f>'Col&amp;Trans Par.'!I85+IF('CM Rec Par.'!BC$8="No preprocessing",'CM Rec Par.'!BF161,IF('CM Rec Par.'!BC$8="Generic",'Preproc. Par.'!$AF159*'Preproc. Par.'!$AD$14/SUM(Input!$F$28:$F$32)+'CM Rec Par.'!BF161*'CM Rec Par.'!BD$25/SUM(Input!$F$28:$F$32),'Preproc. Par.'!$BF159*'Preproc. Par.'!$BD$14/SUM(Input!$F$28:$F$32)+'CM Rec Par.'!BF161*'CM Rec Par.'!BD$25/SUM(Input!$F$28:$F$32)))</f>
        <v>1.0837206523824583E-2</v>
      </c>
      <c r="D95" s="1117">
        <f>'Col&amp;Trans Par.'!I85+IF('CM Rec Par.'!CC$8="No preprocessing",'CM Rec Par.'!CF161,IF('CM Rec Par.'!CC$8="Generic",'Preproc. Par.'!$AF159*'Preproc. Par.'!$AD$14/SUM(Input!$F$28:$F$32)+'CM Rec Par.'!CF161*'CM Rec Par.'!CD$25/SUM(Input!$F$28:$F$32),'Preproc. Par.'!$BF159*'Preproc. Par.'!$BD$14/SUM(Input!$F$28:$F$32)+'CM Rec Par.'!CF161*'CM Rec Par.'!CD$25/SUM(Input!$F$28:$F$32)))</f>
        <v>1.2150446288361868E-2</v>
      </c>
      <c r="E95" s="1117">
        <f>SUM('Col&amp;Trans Par.'!C85:F85)+'Col&amp;Trans Par.'!H85+IF('CM Rec Par.'!DC$8="No preprocessing",'CM Rec Par.'!DF161,IF('CM Rec Par.'!DC$8="Generic",'Preproc. Par.'!$AF159*'Preproc. Par.'!$AD$14/SUM(Input!$F$28:$F$32)+'CM Rec Par.'!DF161*'CM Rec Par.'!DD$25/SUM(Input!$F$28:$F$32),'Preproc. Par.'!$BF159*'Preproc. Par.'!$BD$14/SUM(Input!$F$28:$F$32)+'CM Rec Par.'!DF161*'CM Rec Par.'!DD$25/SUM(Input!$F$28:$F$32)))</f>
        <v>6.8535359098460692E-3</v>
      </c>
      <c r="F95" s="1117">
        <f>'Col&amp;Trans Par.'!I85+IF('CM Rec Par.'!EC$19="Select plant type",0,IF('CM Rec Par.'!EC$8="No preprocessing",'CM Rec Par.'!EF163,IF('CM Rec Par.'!EC$8="Generic",'Preproc. Par.'!$AF159*'Preproc. Par.'!$AD$14/SUM(Input!$F$28:$F$32)+'CM Rec Par.'!EF163*'CM Rec Par.'!ED$26/SUM(Input!$F$28:$F$32),'Preproc. Par.'!$BF159*'Preproc. Par.'!$BD$14/SUM(Input!$F$28:$F$32)+'CM Rec Par.'!EF163*'CM Rec Par.'!ED$26/SUM(Input!$F$28:$F$32))))</f>
        <v>8.6203206293249488E-3</v>
      </c>
      <c r="G95"/>
      <c r="H95"/>
      <c r="I95"/>
      <c r="BA95"/>
      <c r="BB95"/>
      <c r="BC95"/>
      <c r="BD95"/>
      <c r="BE95"/>
      <c r="BF95"/>
      <c r="CA95"/>
      <c r="CB95"/>
      <c r="CC95"/>
      <c r="CD95"/>
      <c r="CE95"/>
      <c r="CF95"/>
      <c r="CG95"/>
      <c r="CH95"/>
    </row>
    <row r="96" spans="2:86">
      <c r="B96" s="554" t="s">
        <v>344</v>
      </c>
      <c r="C96" s="1118">
        <f>'Col&amp;Trans Par.'!I86+IF('CM Rec Par.'!BC$8="No preprocessing",'CM Rec Par.'!BF162,IF('CM Rec Par.'!BC$8="Generic",'Preproc. Par.'!$AF160*'Preproc. Par.'!$AD$14/SUM(Input!$F$28:$F$32)+'CM Rec Par.'!BF162*'CM Rec Par.'!BD$25/SUM(Input!$F$28:$F$32),'Preproc. Par.'!$BF160*'Preproc. Par.'!$BD$14/SUM(Input!$F$28:$F$32)+'CM Rec Par.'!BF162*'CM Rec Par.'!BD$25/SUM(Input!$F$28:$F$32)))</f>
        <v>59.05220825536302</v>
      </c>
      <c r="D96" s="1118">
        <f>'Col&amp;Trans Par.'!I86+IF('CM Rec Par.'!CC$8="No preprocessing",'CM Rec Par.'!CF162,IF('CM Rec Par.'!CC$8="Generic",'Preproc. Par.'!$AF160*'Preproc. Par.'!$AD$14/SUM(Input!$F$28:$F$32)+'CM Rec Par.'!CF162*'CM Rec Par.'!CD$25/SUM(Input!$F$28:$F$32),'Preproc. Par.'!$BF160*'Preproc. Par.'!$BD$14/SUM(Input!$F$28:$F$32)+'CM Rec Par.'!CF162*'CM Rec Par.'!CD$25/SUM(Input!$F$28:$F$32)))</f>
        <v>53.211384320997738</v>
      </c>
      <c r="E96" s="1118">
        <f>SUM('Col&amp;Trans Par.'!C86:F86)+'Col&amp;Trans Par.'!H86+IF('CM Rec Par.'!DC$8="No preprocessing",'CM Rec Par.'!DF162,IF('CM Rec Par.'!DC$8="Generic",'Preproc. Par.'!$AF160*'Preproc. Par.'!$AD$14/SUM(Input!$F$28:$F$32)+'CM Rec Par.'!DF162*'CM Rec Par.'!DD$25/SUM(Input!$F$28:$F$32),'Preproc. Par.'!$BF160*'Preproc. Par.'!$BD$14/SUM(Input!$F$28:$F$32)+'CM Rec Par.'!DF162*'CM Rec Par.'!DD$25/SUM(Input!$F$28:$F$32)))</f>
        <v>12.082665182516553</v>
      </c>
      <c r="F96" s="1118">
        <f>'Col&amp;Trans Par.'!I86+IF('CM Rec Par.'!EC$19="Select plant type",0,IF('CM Rec Par.'!EC$8="No preprocessing",'CM Rec Par.'!EF164,IF('CM Rec Par.'!EC$8="Generic",'Preproc. Par.'!$AF160*'Preproc. Par.'!$AD$14/SUM(Input!$F$28:$F$32)+'CM Rec Par.'!EF164*'CM Rec Par.'!ED$26/SUM(Input!$F$28:$F$32),'Preproc. Par.'!$BF160*'Preproc. Par.'!$BD$14/SUM(Input!$F$28:$F$32)+'CM Rec Par.'!EF164*'CM Rec Par.'!ED$26/SUM(Input!$F$28:$F$32))))</f>
        <v>14.447613711650339</v>
      </c>
      <c r="G96"/>
      <c r="H96"/>
      <c r="I96"/>
      <c r="BA96"/>
      <c r="BB96"/>
      <c r="BC96"/>
      <c r="BD96"/>
      <c r="BE96"/>
      <c r="BF96"/>
      <c r="CA96"/>
      <c r="CB96"/>
      <c r="CC96"/>
      <c r="CD96"/>
      <c r="CE96"/>
      <c r="CF96"/>
      <c r="CG96"/>
      <c r="CH96"/>
    </row>
    <row r="97" spans="2:86">
      <c r="B97" s="554" t="s">
        <v>345</v>
      </c>
      <c r="C97" s="670"/>
      <c r="D97" s="670"/>
      <c r="E97" s="670"/>
      <c r="F97" s="1676"/>
      <c r="G97"/>
      <c r="H97"/>
      <c r="I97"/>
      <c r="BA97"/>
      <c r="BB97"/>
      <c r="BC97"/>
      <c r="BD97"/>
      <c r="BE97"/>
      <c r="BF97"/>
      <c r="CA97"/>
      <c r="CB97"/>
      <c r="CC97"/>
      <c r="CD97"/>
      <c r="CE97"/>
      <c r="CF97"/>
      <c r="CG97"/>
      <c r="CH97"/>
    </row>
    <row r="98" spans="2:86">
      <c r="B98" s="159" t="s">
        <v>180</v>
      </c>
      <c r="C98" s="1117">
        <f>'Col&amp;Trans Par.'!I88+IF('CM Rec Par.'!BC$8="No preprocessing",'CM Rec Par.'!BF164,IF('CM Rec Par.'!BC$8="Generic",'Preproc. Par.'!$AF162*'Preproc. Par.'!$AD$14/SUM(Input!$F$28:$F$32)+'CM Rec Par.'!BF164*'CM Rec Par.'!BD$25/SUM(Input!$F$28:$F$32),'Preproc. Par.'!$BF162*'Preproc. Par.'!$BD$14/SUM(Input!$F$28:$F$32)+'CM Rec Par.'!BF164*'CM Rec Par.'!BD$25/SUM(Input!$F$28:$F$32)))</f>
        <v>3.1232270598919372</v>
      </c>
      <c r="D98" s="1117">
        <f>'Col&amp;Trans Par.'!I88+IF('CM Rec Par.'!CC$8="No preprocessing",'CM Rec Par.'!CF164,IF('CM Rec Par.'!CC$8="Generic",'Preproc. Par.'!$AF162*'Preproc. Par.'!$AD$14/SUM(Input!$F$28:$F$32)+'CM Rec Par.'!CF164*'CM Rec Par.'!CD$25/SUM(Input!$F$28:$F$32),'Preproc. Par.'!$BF162*'Preproc. Par.'!$BD$14/SUM(Input!$F$28:$F$32)+'CM Rec Par.'!CF164*'CM Rec Par.'!CD$25/SUM(Input!$F$28:$F$32)))</f>
        <v>3.7310574746545599</v>
      </c>
      <c r="E98" s="1117">
        <f>SUM('Col&amp;Trans Par.'!C88:F88)+'Col&amp;Trans Par.'!H88+IF('CM Rec Par.'!DC$8="No preprocessing",'CM Rec Par.'!DF164,IF('CM Rec Par.'!DC$8="Generic",'Preproc. Par.'!$AF162*'Preproc. Par.'!$AD$14/SUM(Input!$F$28:$F$32)+'CM Rec Par.'!DF164*'CM Rec Par.'!DD$25/SUM(Input!$F$28:$F$32),'Preproc. Par.'!$BF162*'Preproc. Par.'!$BD$14/SUM(Input!$F$28:$F$32)+'CM Rec Par.'!DF164*'CM Rec Par.'!DD$25/SUM(Input!$F$28:$F$32)))</f>
        <v>0.77753074317479298</v>
      </c>
      <c r="F98" s="1117">
        <f>'Col&amp;Trans Par.'!I88+IF('CM Rec Par.'!EC$19="Select plant type",0,IF('CM Rec Par.'!EC$8="No preprocessing",'CM Rec Par.'!EF166,IF('CM Rec Par.'!EC$8="Generic",'Preproc. Par.'!$AF162*'Preproc. Par.'!$AD$14/SUM(Input!$F$28:$F$32)+'CM Rec Par.'!EF166*'CM Rec Par.'!ED$26/SUM(Input!$F$28:$F$32),'Preproc. Par.'!$BF162*'Preproc. Par.'!$BD$14/SUM(Input!$F$28:$F$32)+'CM Rec Par.'!EF166*'CM Rec Par.'!ED$26/SUM(Input!$F$28:$F$32))))</f>
        <v>3.5172575294759252</v>
      </c>
      <c r="G98"/>
      <c r="H98"/>
      <c r="I98"/>
      <c r="BA98"/>
      <c r="BB98"/>
      <c r="BC98"/>
      <c r="BD98"/>
      <c r="BE98"/>
      <c r="BF98"/>
      <c r="CA98"/>
      <c r="CB98"/>
      <c r="CC98"/>
      <c r="CD98"/>
      <c r="CE98"/>
      <c r="CF98"/>
      <c r="CG98"/>
      <c r="CH98"/>
    </row>
    <row r="99" spans="2:86">
      <c r="B99" s="159" t="s">
        <v>181</v>
      </c>
      <c r="C99" s="1117">
        <f>'Col&amp;Trans Par.'!I89+IF('CM Rec Par.'!BC$8="No preprocessing",'CM Rec Par.'!BF165,IF('CM Rec Par.'!BC$8="Generic",'Preproc. Par.'!$AF163*'Preproc. Par.'!$AD$14/SUM(Input!$F$28:$F$32)+'CM Rec Par.'!BF165*'CM Rec Par.'!BD$25/SUM(Input!$F$28:$F$32),'Preproc. Par.'!$BF163*'Preproc. Par.'!$BD$14/SUM(Input!$F$28:$F$32)+'CM Rec Par.'!BF165*'CM Rec Par.'!BD$25/SUM(Input!$F$28:$F$32)))</f>
        <v>12.99174430329494</v>
      </c>
      <c r="D99" s="1117">
        <f>'Col&amp;Trans Par.'!I89+IF('CM Rec Par.'!CC$8="No preprocessing",'CM Rec Par.'!CF165,IF('CM Rec Par.'!CC$8="Generic",'Preproc. Par.'!$AF163*'Preproc. Par.'!$AD$14/SUM(Input!$F$28:$F$32)+'CM Rec Par.'!CF165*'CM Rec Par.'!CD$25/SUM(Input!$F$28:$F$32),'Preproc. Par.'!$BF163*'Preproc. Par.'!$BD$14/SUM(Input!$F$28:$F$32)+'CM Rec Par.'!CF165*'CM Rec Par.'!CD$25/SUM(Input!$F$28:$F$32)))</f>
        <v>13.261927646015971</v>
      </c>
      <c r="E99" s="1117">
        <f>SUM('Col&amp;Trans Par.'!C89:F89)+'Col&amp;Trans Par.'!H89+IF('CM Rec Par.'!DC$8="No preprocessing",'CM Rec Par.'!DF165,IF('CM Rec Par.'!DC$8="Generic",'Preproc. Par.'!$AF163*'Preproc. Par.'!$AD$14/SUM(Input!$F$28:$F$32)+'CM Rec Par.'!DF165*'CM Rec Par.'!DD$25/SUM(Input!$F$28:$F$32),'Preproc. Par.'!$BF163*'Preproc. Par.'!$BD$14/SUM(Input!$F$28:$F$32)+'CM Rec Par.'!DF165*'CM Rec Par.'!DD$25/SUM(Input!$F$28:$F$32)))</f>
        <v>3.2458263159938934</v>
      </c>
      <c r="F99" s="1117">
        <f>'Col&amp;Trans Par.'!I89+IF('CM Rec Par.'!EC$19="Select plant type",0,IF('CM Rec Par.'!EC$8="No preprocessing",'CM Rec Par.'!EF167,IF('CM Rec Par.'!EC$8="Generic",'Preproc. Par.'!$AF163*'Preproc. Par.'!$AD$14/SUM(Input!$F$28:$F$32)+'CM Rec Par.'!EF167*'CM Rec Par.'!ED$26/SUM(Input!$F$28:$F$32),'Preproc. Par.'!$BF163*'Preproc. Par.'!$BD$14/SUM(Input!$F$28:$F$32)+'CM Rec Par.'!EF167*'CM Rec Par.'!ED$26/SUM(Input!$F$28:$F$32))))</f>
        <v>6.912285101669573</v>
      </c>
      <c r="G99"/>
      <c r="H99"/>
      <c r="I99"/>
      <c r="BA99"/>
      <c r="BB99"/>
      <c r="BC99"/>
      <c r="BD99"/>
      <c r="BE99"/>
      <c r="BF99"/>
      <c r="CA99"/>
      <c r="CB99"/>
      <c r="CC99"/>
      <c r="CD99"/>
      <c r="CE99"/>
      <c r="CF99"/>
      <c r="CG99"/>
      <c r="CH99"/>
    </row>
    <row r="100" spans="2:86">
      <c r="B100" s="159" t="s">
        <v>182</v>
      </c>
      <c r="C100" s="1117">
        <f>'Col&amp;Trans Par.'!I90+IF('CM Rec Par.'!BC$8="No preprocessing",'CM Rec Par.'!BF166,IF('CM Rec Par.'!BC$8="Generic",'Preproc. Par.'!$AF164*'Preproc. Par.'!$AD$14/SUM(Input!$F$28:$F$32)+'CM Rec Par.'!BF166*'CM Rec Par.'!BD$25/SUM(Input!$F$28:$F$32),'Preproc. Par.'!$BF164*'Preproc. Par.'!$BD$14/SUM(Input!$F$28:$F$32)+'CM Rec Par.'!BF166*'CM Rec Par.'!BD$25/SUM(Input!$F$28:$F$32)))</f>
        <v>27.369646905731091</v>
      </c>
      <c r="D100" s="1117">
        <f>'Col&amp;Trans Par.'!I90+IF('CM Rec Par.'!CC$8="No preprocessing",'CM Rec Par.'!CF166,IF('CM Rec Par.'!CC$8="Generic",'Preproc. Par.'!$AF164*'Preproc. Par.'!$AD$14/SUM(Input!$F$28:$F$32)+'CM Rec Par.'!CF166*'CM Rec Par.'!CD$25/SUM(Input!$F$28:$F$32),'Preproc. Par.'!$BF164*'Preproc. Par.'!$BD$14/SUM(Input!$F$28:$F$32)+'CM Rec Par.'!CF166*'CM Rec Par.'!CD$25/SUM(Input!$F$28:$F$32)))</f>
        <v>25.708718729911912</v>
      </c>
      <c r="E100" s="1117">
        <f>SUM('Col&amp;Trans Par.'!C90:F90)+'Col&amp;Trans Par.'!H90+IF('CM Rec Par.'!DC$8="No preprocessing",'CM Rec Par.'!DF166,IF('CM Rec Par.'!DC$8="Generic",'Preproc. Par.'!$AF164*'Preproc. Par.'!$AD$14/SUM(Input!$F$28:$F$32)+'CM Rec Par.'!DF166*'CM Rec Par.'!DD$25/SUM(Input!$F$28:$F$32),'Preproc. Par.'!$BF164*'Preproc. Par.'!$BD$14/SUM(Input!$F$28:$F$32)+'CM Rec Par.'!DF166*'CM Rec Par.'!DD$25/SUM(Input!$F$28:$F$32)))</f>
        <v>6.901391068399934</v>
      </c>
      <c r="F100" s="1117">
        <f>'Col&amp;Trans Par.'!I90+IF('CM Rec Par.'!EC$19="Select plant type",0,IF('CM Rec Par.'!EC$8="No preprocessing",'CM Rec Par.'!EF168,IF('CM Rec Par.'!EC$8="Generic",'Preproc. Par.'!$AF164*'Preproc. Par.'!$AD$14/SUM(Input!$F$28:$F$32)+'CM Rec Par.'!EF168*'CM Rec Par.'!ED$26/SUM(Input!$F$28:$F$32),'Preproc. Par.'!$BF164*'Preproc. Par.'!$BD$14/SUM(Input!$F$28:$F$32)+'CM Rec Par.'!EF168*'CM Rec Par.'!ED$26/SUM(Input!$F$28:$F$32))))</f>
        <v>8.7005484915886093</v>
      </c>
      <c r="G100"/>
      <c r="H100"/>
      <c r="I100"/>
      <c r="BD100"/>
      <c r="BE100"/>
      <c r="BF100"/>
      <c r="CA100"/>
      <c r="CB100"/>
      <c r="CC100"/>
      <c r="CD100"/>
      <c r="CE100"/>
      <c r="CF100"/>
      <c r="CG100"/>
      <c r="CH100"/>
    </row>
    <row r="101" spans="2:86">
      <c r="B101" s="159" t="s">
        <v>183</v>
      </c>
      <c r="C101" s="1117">
        <f>'Col&amp;Trans Par.'!I91+IF('CM Rec Par.'!BC$8="No preprocessing",'CM Rec Par.'!BF167,IF('CM Rec Par.'!BC$8="Generic",'Preproc. Par.'!$AF165*'Preproc. Par.'!$AD$14/SUM(Input!$F$28:$F$32)+'CM Rec Par.'!BF167*'CM Rec Par.'!BD$25/SUM(Input!$F$28:$F$32),'Preproc. Par.'!$BF165*'Preproc. Par.'!$BD$14/SUM(Input!$F$28:$F$32)+'CM Rec Par.'!BF167*'CM Rec Par.'!BD$25/SUM(Input!$F$28:$F$32)))</f>
        <v>5.3835561412350756</v>
      </c>
      <c r="D101" s="1117">
        <f>'Col&amp;Trans Par.'!I91+IF('CM Rec Par.'!CC$8="No preprocessing",'CM Rec Par.'!CF167,IF('CM Rec Par.'!CC$8="Generic",'Preproc. Par.'!$AF165*'Preproc. Par.'!$AD$14/SUM(Input!$F$28:$F$32)+'CM Rec Par.'!CF167*'CM Rec Par.'!CD$25/SUM(Input!$F$28:$F$32),'Preproc. Par.'!$BF165*'Preproc. Par.'!$BD$14/SUM(Input!$F$28:$F$32)+'CM Rec Par.'!CF167*'CM Rec Par.'!CD$25/SUM(Input!$F$28:$F$32)))</f>
        <v>4.7748683679975761</v>
      </c>
      <c r="E101" s="1117">
        <f>SUM('Col&amp;Trans Par.'!C91:F91)+'Col&amp;Trans Par.'!H91+IF('CM Rec Par.'!DC$8="No preprocessing",'CM Rec Par.'!DF167,IF('CM Rec Par.'!DC$8="Generic",'Preproc. Par.'!$AF165*'Preproc. Par.'!$AD$14/SUM(Input!$F$28:$F$32)+'CM Rec Par.'!DF167*'CM Rec Par.'!DD$25/SUM(Input!$F$28:$F$32),'Preproc. Par.'!$BF165*'Preproc. Par.'!$BD$14/SUM(Input!$F$28:$F$32)+'CM Rec Par.'!DF167*'CM Rec Par.'!DD$25/SUM(Input!$F$28:$F$32)))</f>
        <v>1.1951784447395599</v>
      </c>
      <c r="F101" s="1117">
        <f>'Col&amp;Trans Par.'!I91+IF('CM Rec Par.'!EC$19="Select plant type",0,IF('CM Rec Par.'!EC$8="No preprocessing",'CM Rec Par.'!EF169,IF('CM Rec Par.'!EC$8="Generic",'Preproc. Par.'!$AF165*'Preproc. Par.'!$AD$14/SUM(Input!$F$28:$F$32)+'CM Rec Par.'!EF169*'CM Rec Par.'!ED$26/SUM(Input!$F$28:$F$32),'Preproc. Par.'!$BF165*'Preproc. Par.'!$BD$14/SUM(Input!$F$28:$F$32)+'CM Rec Par.'!EF169*'CM Rec Par.'!ED$26/SUM(Input!$F$28:$F$32))))</f>
        <v>1.1608289073882052</v>
      </c>
      <c r="G101"/>
      <c r="H101"/>
      <c r="I101"/>
    </row>
    <row r="102" spans="2:86">
      <c r="B102" s="159" t="s">
        <v>184</v>
      </c>
      <c r="C102" s="1117">
        <f>'Col&amp;Trans Par.'!I92+IF('CM Rec Par.'!BC$8="No preprocessing",'CM Rec Par.'!BF168,IF('CM Rec Par.'!BC$8="Generic",'Preproc. Par.'!$AF166*'Preproc. Par.'!$AD$14/SUM(Input!$F$28:$F$32)+'CM Rec Par.'!BF168*'CM Rec Par.'!BD$25/SUM(Input!$F$28:$F$32),'Preproc. Par.'!$BF166*'Preproc. Par.'!$BD$14/SUM(Input!$F$28:$F$32)+'CM Rec Par.'!BF168*'CM Rec Par.'!BD$25/SUM(Input!$F$28:$F$32)))</f>
        <v>2.4674204209250816</v>
      </c>
      <c r="D102" s="1117">
        <f>'Col&amp;Trans Par.'!I92+IF('CM Rec Par.'!CC$8="No preprocessing",'CM Rec Par.'!CF168,IF('CM Rec Par.'!CC$8="Generic",'Preproc. Par.'!$AF166*'Preproc. Par.'!$AD$14/SUM(Input!$F$28:$F$32)+'CM Rec Par.'!CF168*'CM Rec Par.'!CD$25/SUM(Input!$F$28:$F$32),'Preproc. Par.'!$BF166*'Preproc. Par.'!$BD$14/SUM(Input!$F$28:$F$32)+'CM Rec Par.'!CF168*'CM Rec Par.'!CD$25/SUM(Input!$F$28:$F$32)))</f>
        <v>2.2529139898669186</v>
      </c>
      <c r="E102" s="1117">
        <f>SUM('Col&amp;Trans Par.'!C92:F92)+'Col&amp;Trans Par.'!H92+IF('CM Rec Par.'!DC$8="No preprocessing",'CM Rec Par.'!DF168,IF('CM Rec Par.'!DC$8="Generic",'Preproc. Par.'!$AF166*'Preproc. Par.'!$AD$14/SUM(Input!$F$28:$F$32)+'CM Rec Par.'!DF168*'CM Rec Par.'!DD$25/SUM(Input!$F$28:$F$32),'Preproc. Par.'!$BF166*'Preproc. Par.'!$BD$14/SUM(Input!$F$28:$F$32)+'CM Rec Par.'!DF168*'CM Rec Par.'!DD$25/SUM(Input!$F$28:$F$32)))</f>
        <v>0.62701717864827844</v>
      </c>
      <c r="F102" s="1117">
        <f>'Col&amp;Trans Par.'!I92+IF('CM Rec Par.'!EC$19="Select plant type",0,IF('CM Rec Par.'!EC$8="No preprocessing",'CM Rec Par.'!EF170,IF('CM Rec Par.'!EC$8="Generic",'Preproc. Par.'!$AF166*'Preproc. Par.'!$AD$14/SUM(Input!$F$28:$F$32)+'CM Rec Par.'!EF170*'CM Rec Par.'!ED$26/SUM(Input!$F$28:$F$32),'Preproc. Par.'!$BF166*'Preproc. Par.'!$BD$14/SUM(Input!$F$28:$F$32)+'CM Rec Par.'!EF170*'CM Rec Par.'!ED$26/SUM(Input!$F$28:$F$32))))</f>
        <v>0.60879977439538668</v>
      </c>
      <c r="G102"/>
      <c r="H102"/>
      <c r="I102"/>
    </row>
    <row r="103" spans="2:86">
      <c r="B103" s="159" t="s">
        <v>185</v>
      </c>
      <c r="C103" s="1117">
        <f>'Col&amp;Trans Par.'!I93+IF('CM Rec Par.'!BC$8="No preprocessing",'CM Rec Par.'!BF169,IF('CM Rec Par.'!BC$8="Generic",'Preproc. Par.'!$AF167*'Preproc. Par.'!$AD$14/SUM(Input!$F$28:$F$32)+'CM Rec Par.'!BF169*'CM Rec Par.'!BD$25/SUM(Input!$F$28:$F$32),'Preproc. Par.'!$BF167*'Preproc. Par.'!$BD$14/SUM(Input!$F$28:$F$32)+'CM Rec Par.'!BF169*'CM Rec Par.'!BD$25/SUM(Input!$F$28:$F$32)))</f>
        <v>34.450311232791663</v>
      </c>
      <c r="D103" s="1117">
        <f>'Col&amp;Trans Par.'!I93+IF('CM Rec Par.'!CC$8="No preprocessing",'CM Rec Par.'!CF169,IF('CM Rec Par.'!CC$8="Generic",'Preproc. Par.'!$AF167*'Preproc. Par.'!$AD$14/SUM(Input!$F$28:$F$32)+'CM Rec Par.'!CF169*'CM Rec Par.'!CD$25/SUM(Input!$F$28:$F$32),'Preproc. Par.'!$BF167*'Preproc. Par.'!$BD$14/SUM(Input!$F$28:$F$32)+'CM Rec Par.'!CF169*'CM Rec Par.'!CD$25/SUM(Input!$F$28:$F$32)))</f>
        <v>32.495018119398836</v>
      </c>
      <c r="E103" s="1117">
        <f>SUM('Col&amp;Trans Par.'!C93:F93)+'Col&amp;Trans Par.'!H93+IF('CM Rec Par.'!DC$8="No preprocessing",'CM Rec Par.'!DF169,IF('CM Rec Par.'!DC$8="Generic",'Preproc. Par.'!$AF167*'Preproc. Par.'!$AD$14/SUM(Input!$F$28:$F$32)+'CM Rec Par.'!DF169*'CM Rec Par.'!DD$25/SUM(Input!$F$28:$F$32),'Preproc. Par.'!$BF167*'Preproc. Par.'!$BD$14/SUM(Input!$F$28:$F$32)+'CM Rec Par.'!DF169*'CM Rec Par.'!DD$25/SUM(Input!$F$28:$F$32)))</f>
        <v>7.1986969410565598</v>
      </c>
      <c r="F103" s="1117">
        <f>'Col&amp;Trans Par.'!I93+IF('CM Rec Par.'!EC$19="Select plant type",0,IF('CM Rec Par.'!EC$8="No preprocessing",'CM Rec Par.'!EF171,IF('CM Rec Par.'!EC$8="Generic",'Preproc. Par.'!$AF167*'Preproc. Par.'!$AD$14/SUM(Input!$F$28:$F$32)+'CM Rec Par.'!EF171*'CM Rec Par.'!ED$26/SUM(Input!$F$28:$F$32),'Preproc. Par.'!$BF167*'Preproc. Par.'!$BD$14/SUM(Input!$F$28:$F$32)+'CM Rec Par.'!EF171*'CM Rec Par.'!ED$26/SUM(Input!$F$28:$F$32))))</f>
        <v>10.127282487802978</v>
      </c>
      <c r="G103"/>
      <c r="H103"/>
      <c r="I103"/>
    </row>
    <row r="104" spans="2:86">
      <c r="B104" s="159" t="s">
        <v>186</v>
      </c>
      <c r="C104" s="1117">
        <f>'Col&amp;Trans Par.'!I94+IF('CM Rec Par.'!BC$8="No preprocessing",'CM Rec Par.'!BF170,IF('CM Rec Par.'!BC$8="Generic",'Preproc. Par.'!$AF168*'Preproc. Par.'!$AD$14/SUM(Input!$F$28:$F$32)+'CM Rec Par.'!BF170*'CM Rec Par.'!BD$25/SUM(Input!$F$28:$F$32),'Preproc. Par.'!$BF168*'Preproc. Par.'!$BD$14/SUM(Input!$F$28:$F$32)+'CM Rec Par.'!BF170*'CM Rec Par.'!BD$25/SUM(Input!$F$28:$F$32)))</f>
        <v>0.12544687864779966</v>
      </c>
      <c r="D104" s="1117">
        <f>'Col&amp;Trans Par.'!I94+IF('CM Rec Par.'!CC$8="No preprocessing",'CM Rec Par.'!CF170,IF('CM Rec Par.'!CC$8="Generic",'Preproc. Par.'!$AF168*'Preproc. Par.'!$AD$14/SUM(Input!$F$28:$F$32)+'CM Rec Par.'!CF170*'CM Rec Par.'!CD$25/SUM(Input!$F$28:$F$32),'Preproc. Par.'!$BF168*'Preproc. Par.'!$BD$14/SUM(Input!$F$28:$F$32)+'CM Rec Par.'!CF170*'CM Rec Par.'!CD$25/SUM(Input!$F$28:$F$32)))</f>
        <v>0.12586277388404271</v>
      </c>
      <c r="E104" s="1117">
        <f>SUM('Col&amp;Trans Par.'!C94:F94)+'Col&amp;Trans Par.'!H94+IF('CM Rec Par.'!DC$8="No preprocessing",'CM Rec Par.'!DF170,IF('CM Rec Par.'!DC$8="Generic",'Preproc. Par.'!$AF168*'Preproc. Par.'!$AD$14/SUM(Input!$F$28:$F$32)+'CM Rec Par.'!DF170*'CM Rec Par.'!DD$25/SUM(Input!$F$28:$F$32),'Preproc. Par.'!$BF168*'Preproc. Par.'!$BD$14/SUM(Input!$F$28:$F$32)+'CM Rec Par.'!DF170*'CM Rec Par.'!DD$25/SUM(Input!$F$28:$F$32)))</f>
        <v>5.5688612375194436E-2</v>
      </c>
      <c r="F104" s="1117">
        <f>'Col&amp;Trans Par.'!I94+IF('CM Rec Par.'!EC$19="Select plant type",0,IF('CM Rec Par.'!EC$8="No preprocessing",'CM Rec Par.'!EF172,IF('CM Rec Par.'!EC$8="Generic",'Preproc. Par.'!$AF168*'Preproc. Par.'!$AD$14/SUM(Input!$F$28:$F$32)+'CM Rec Par.'!EF172*'CM Rec Par.'!ED$26/SUM(Input!$F$28:$F$32),'Preproc. Par.'!$BF168*'Preproc. Par.'!$BD$14/SUM(Input!$F$28:$F$32)+'CM Rec Par.'!EF172*'CM Rec Par.'!ED$26/SUM(Input!$F$28:$F$32))))</f>
        <v>5.4366531160759263E-2</v>
      </c>
      <c r="G104"/>
      <c r="H104"/>
      <c r="I104"/>
      <c r="K104"/>
      <c r="L104"/>
      <c r="M104"/>
      <c r="N104"/>
      <c r="O104"/>
    </row>
    <row r="105" spans="2:86">
      <c r="B105" s="159" t="s">
        <v>187</v>
      </c>
      <c r="C105" s="1117">
        <f>'Col&amp;Trans Par.'!I95+IF('CM Rec Par.'!BC$8="No preprocessing",'CM Rec Par.'!BF171,IF('CM Rec Par.'!BC$8="Generic",'Preproc. Par.'!$AF169*'Preproc. Par.'!$AD$14/SUM(Input!$F$28:$F$32)+'CM Rec Par.'!BF171*'CM Rec Par.'!BD$25/SUM(Input!$F$28:$F$32),'Preproc. Par.'!$BF169*'Preproc. Par.'!$BD$14/SUM(Input!$F$28:$F$32)+'CM Rec Par.'!BF171*'CM Rec Par.'!BD$25/SUM(Input!$F$28:$F$32)))</f>
        <v>0.24460181181586446</v>
      </c>
      <c r="D105" s="1117">
        <f>'Col&amp;Trans Par.'!I95+IF('CM Rec Par.'!CC$8="No preprocessing",'CM Rec Par.'!CF171,IF('CM Rec Par.'!CC$8="Generic",'Preproc. Par.'!$AF169*'Preproc. Par.'!$AD$14/SUM(Input!$F$28:$F$32)+'CM Rec Par.'!CF171*'CM Rec Par.'!CD$25/SUM(Input!$F$28:$F$32),'Preproc. Par.'!$BF169*'Preproc. Par.'!$BD$14/SUM(Input!$F$28:$F$32)+'CM Rec Par.'!CF171*'CM Rec Par.'!CD$25/SUM(Input!$F$28:$F$32)))</f>
        <v>0.25901482314027946</v>
      </c>
      <c r="E105" s="1117">
        <f>SUM('Col&amp;Trans Par.'!C95:F95)+'Col&amp;Trans Par.'!H95+IF('CM Rec Par.'!DC$8="No preprocessing",'CM Rec Par.'!DF171,IF('CM Rec Par.'!DC$8="Generic",'Preproc. Par.'!$AF169*'Preproc. Par.'!$AD$14/SUM(Input!$F$28:$F$32)+'CM Rec Par.'!DF171*'CM Rec Par.'!DD$25/SUM(Input!$F$28:$F$32),'Preproc. Par.'!$BF169*'Preproc. Par.'!$BD$14/SUM(Input!$F$28:$F$32)+'CM Rec Par.'!DF171*'CM Rec Par.'!DD$25/SUM(Input!$F$28:$F$32)))</f>
        <v>9.2486225150839735E-2</v>
      </c>
      <c r="F105" s="1117">
        <f>'Col&amp;Trans Par.'!I95+IF('CM Rec Par.'!EC$19="Select plant type",0,IF('CM Rec Par.'!EC$8="No preprocessing",'CM Rec Par.'!EF173,IF('CM Rec Par.'!EC$8="Generic",'Preproc. Par.'!$AF169*'Preproc. Par.'!$AD$14/SUM(Input!$F$28:$F$32)+'CM Rec Par.'!EF173*'CM Rec Par.'!ED$26/SUM(Input!$F$28:$F$32),'Preproc. Par.'!$BF169*'Preproc. Par.'!$BD$14/SUM(Input!$F$28:$F$32)+'CM Rec Par.'!EF173*'CM Rec Par.'!ED$26/SUM(Input!$F$28:$F$32))))</f>
        <v>0.11110548924581154</v>
      </c>
      <c r="G105"/>
      <c r="H105"/>
      <c r="I105"/>
      <c r="J105"/>
      <c r="K105"/>
      <c r="L105"/>
      <c r="M105"/>
      <c r="N105"/>
      <c r="O105"/>
    </row>
    <row r="106" spans="2:86">
      <c r="B106" s="159" t="s">
        <v>188</v>
      </c>
      <c r="C106" s="1117">
        <f>'Col&amp;Trans Par.'!I96+IF('CM Rec Par.'!BC$8="No preprocessing",'CM Rec Par.'!BF172,IF('CM Rec Par.'!BC$8="Generic",'Preproc. Par.'!$AF170*'Preproc. Par.'!$AD$14/SUM(Input!$F$28:$F$32)+'CM Rec Par.'!BF172*'CM Rec Par.'!BD$25/SUM(Input!$F$28:$F$32),'Preproc. Par.'!$BF170*'Preproc. Par.'!$BD$14/SUM(Input!$F$28:$F$32)+'CM Rec Par.'!BF172*'CM Rec Par.'!BD$25/SUM(Input!$F$28:$F$32)))</f>
        <v>56.446770284070496</v>
      </c>
      <c r="D106" s="1117">
        <f>'Col&amp;Trans Par.'!I96+IF('CM Rec Par.'!CC$8="No preprocessing",'CM Rec Par.'!CF172,IF('CM Rec Par.'!CC$8="Generic",'Preproc. Par.'!$AF170*'Preproc. Par.'!$AD$14/SUM(Input!$F$28:$F$32)+'CM Rec Par.'!CF172*'CM Rec Par.'!CD$25/SUM(Input!$F$28:$F$32),'Preproc. Par.'!$BF170*'Preproc. Par.'!$BD$14/SUM(Input!$F$28:$F$32)+'CM Rec Par.'!CF172*'CM Rec Par.'!CD$25/SUM(Input!$F$28:$F$32)))</f>
        <v>55.549541716656414</v>
      </c>
      <c r="E106" s="1117">
        <f>SUM('Col&amp;Trans Par.'!C96:F96)+'Col&amp;Trans Par.'!H96+IF('CM Rec Par.'!DC$8="No preprocessing",'CM Rec Par.'!DF172,IF('CM Rec Par.'!DC$8="Generic",'Preproc. Par.'!$AF170*'Preproc. Par.'!$AD$14/SUM(Input!$F$28:$F$32)+'CM Rec Par.'!DF172*'CM Rec Par.'!DD$25/SUM(Input!$F$28:$F$32),'Preproc. Par.'!$BF170*'Preproc. Par.'!$BD$14/SUM(Input!$F$28:$F$32)+'CM Rec Par.'!DF172*'CM Rec Par.'!DD$25/SUM(Input!$F$28:$F$32)))</f>
        <v>11.355948095597785</v>
      </c>
      <c r="F106" s="1117">
        <f>'Col&amp;Trans Par.'!I96+IF('CM Rec Par.'!EC$19="Select plant type",0,IF('CM Rec Par.'!EC$8="No preprocessing",'CM Rec Par.'!EF174,IF('CM Rec Par.'!EC$8="Generic",'Preproc. Par.'!$AF170*'Preproc. Par.'!$AD$14/SUM(Input!$F$28:$F$32)+'CM Rec Par.'!EF174*'CM Rec Par.'!ED$26/SUM(Input!$F$28:$F$32),'Preproc. Par.'!$BF170*'Preproc. Par.'!$BD$14/SUM(Input!$F$28:$F$32)+'CM Rec Par.'!EF174*'CM Rec Par.'!ED$26/SUM(Input!$F$28:$F$32))))</f>
        <v>25.538862654649183</v>
      </c>
      <c r="G106"/>
      <c r="H106"/>
      <c r="I106"/>
      <c r="J106"/>
      <c r="K106"/>
      <c r="L106"/>
      <c r="M106"/>
      <c r="N106"/>
      <c r="O106"/>
    </row>
    <row r="107" spans="2:86">
      <c r="B107" s="159" t="s">
        <v>189</v>
      </c>
      <c r="C107" s="1117">
        <f>'Col&amp;Trans Par.'!I97+IF('CM Rec Par.'!BC$8="No preprocessing",'CM Rec Par.'!BF173,IF('CM Rec Par.'!BC$8="Generic",'Preproc. Par.'!$AF171*'Preproc. Par.'!$AD$14/SUM(Input!$F$28:$F$32)+'CM Rec Par.'!BF173*'CM Rec Par.'!BD$25/SUM(Input!$F$28:$F$32),'Preproc. Par.'!$BF171*'Preproc. Par.'!$BD$14/SUM(Input!$F$28:$F$32)+'CM Rec Par.'!BF173*'CM Rec Par.'!BD$25/SUM(Input!$F$28:$F$32)))</f>
        <v>0.83257589215139027</v>
      </c>
      <c r="D107" s="1117">
        <f>'Col&amp;Trans Par.'!I97+IF('CM Rec Par.'!CC$8="No preprocessing",'CM Rec Par.'!CF173,IF('CM Rec Par.'!CC$8="Generic",'Preproc. Par.'!$AF171*'Preproc. Par.'!$AD$14/SUM(Input!$F$28:$F$32)+'CM Rec Par.'!CF173*'CM Rec Par.'!CD$25/SUM(Input!$F$28:$F$32),'Preproc. Par.'!$BF171*'Preproc. Par.'!$BD$14/SUM(Input!$F$28:$F$32)+'CM Rec Par.'!CF173*'CM Rec Par.'!CD$25/SUM(Input!$F$28:$F$32)))</f>
        <v>0.74779140237785291</v>
      </c>
      <c r="E107" s="1117">
        <f>SUM('Col&amp;Trans Par.'!C97:F97)+'Col&amp;Trans Par.'!H97+IF('CM Rec Par.'!DC$8="No preprocessing",'CM Rec Par.'!DF173,IF('CM Rec Par.'!DC$8="Generic",'Preproc. Par.'!$AF171*'Preproc. Par.'!$AD$14/SUM(Input!$F$28:$F$32)+'CM Rec Par.'!DF173*'CM Rec Par.'!DD$25/SUM(Input!$F$28:$F$32),'Preproc. Par.'!$BF171*'Preproc. Par.'!$BD$14/SUM(Input!$F$28:$F$32)+'CM Rec Par.'!DF173*'CM Rec Par.'!DD$25/SUM(Input!$F$28:$F$32)))</f>
        <v>0.15365136311021835</v>
      </c>
      <c r="F107" s="1117">
        <f>'Col&amp;Trans Par.'!I97+IF('CM Rec Par.'!EC$19="Select plant type",0,IF('CM Rec Par.'!EC$8="No preprocessing",'CM Rec Par.'!EF175,IF('CM Rec Par.'!EC$8="Generic",'Preproc. Par.'!$AF171*'Preproc. Par.'!$AD$14/SUM(Input!$F$28:$F$32)+'CM Rec Par.'!EF175*'CM Rec Par.'!ED$26/SUM(Input!$F$28:$F$32),'Preproc. Par.'!$BF171*'Preproc. Par.'!$BD$14/SUM(Input!$F$28:$F$32)+'CM Rec Par.'!EF175*'CM Rec Par.'!ED$26/SUM(Input!$F$28:$F$32))))</f>
        <v>0.20592067315698295</v>
      </c>
      <c r="G107"/>
      <c r="H107"/>
      <c r="I107"/>
      <c r="J107"/>
      <c r="K107"/>
      <c r="L107"/>
      <c r="M107"/>
      <c r="N107"/>
      <c r="O107"/>
    </row>
    <row r="108" spans="2:86">
      <c r="B108" s="159" t="s">
        <v>190</v>
      </c>
      <c r="C108" s="1119">
        <f>'Col&amp;Trans Par.'!I98+IF('CM Rec Par.'!BC$8="No preprocessing",'CM Rec Par.'!BF174,IF('CM Rec Par.'!BC$8="Generic",'Preproc. Par.'!$AF172*'Preproc. Par.'!$AD$14/SUM(Input!$F$28:$F$32)+'CM Rec Par.'!BF174*'CM Rec Par.'!BD$25/SUM(Input!$F$28:$F$32),'Preproc. Par.'!$BF172*'Preproc. Par.'!$BD$14/SUM(Input!$F$28:$F$32)+'CM Rec Par.'!BF174*'CM Rec Par.'!BD$25/SUM(Input!$F$28:$F$32)))</f>
        <v>35581.624197522651</v>
      </c>
      <c r="D108" s="1119">
        <f>'Col&amp;Trans Par.'!I98+IF('CM Rec Par.'!CC$8="No preprocessing",'CM Rec Par.'!CF174,IF('CM Rec Par.'!CC$8="Generic",'Preproc. Par.'!$AF172*'Preproc. Par.'!$AD$14/SUM(Input!$F$28:$F$32)+'CM Rec Par.'!CF174*'CM Rec Par.'!CD$25/SUM(Input!$F$28:$F$32),'Preproc. Par.'!$BF172*'Preproc. Par.'!$BD$14/SUM(Input!$F$28:$F$32)+'CM Rec Par.'!CF174*'CM Rec Par.'!CD$25/SUM(Input!$F$28:$F$32)))</f>
        <v>30979.637294469088</v>
      </c>
      <c r="E108" s="1119">
        <f>SUM('Col&amp;Trans Par.'!C98:F98)+'Col&amp;Trans Par.'!H98+IF('CM Rec Par.'!DC$8="No preprocessing",'CM Rec Par.'!DF174,IF('CM Rec Par.'!DC$8="Generic",'Preproc. Par.'!$AF172*'Preproc. Par.'!$AD$14/SUM(Input!$F$28:$F$32)+'CM Rec Par.'!DF174*'CM Rec Par.'!DD$25/SUM(Input!$F$28:$F$32),'Preproc. Par.'!$BF172*'Preproc. Par.'!$BD$14/SUM(Input!$F$28:$F$32)+'CM Rec Par.'!DF174*'CM Rec Par.'!DD$25/SUM(Input!$F$28:$F$32)))</f>
        <v>7175.1135247373477</v>
      </c>
      <c r="F108" s="1117">
        <f>'Col&amp;Trans Par.'!I98+IF('CM Rec Par.'!EC$19="Select plant type",0,IF('CM Rec Par.'!EC$8="No preprocessing",'CM Rec Par.'!EF176,IF('CM Rec Par.'!EC$8="Generic",'Preproc. Par.'!$AF172*'Preproc. Par.'!$AD$14/SUM(Input!$F$28:$F$32)+'CM Rec Par.'!EF176*'CM Rec Par.'!ED$26/SUM(Input!$F$28:$F$32),'Preproc. Par.'!$BF172*'Preproc. Par.'!$BD$14/SUM(Input!$F$28:$F$32)+'CM Rec Par.'!EF176*'CM Rec Par.'!ED$26/SUM(Input!$F$28:$F$32))))</f>
        <v>8997.0028174741201</v>
      </c>
      <c r="G108"/>
      <c r="H108"/>
      <c r="I108"/>
      <c r="J108"/>
      <c r="K108"/>
      <c r="L108"/>
      <c r="M108"/>
      <c r="N108"/>
      <c r="O108"/>
    </row>
    <row r="109" spans="2:86">
      <c r="B109" s="159" t="s">
        <v>198</v>
      </c>
      <c r="C109" s="1119">
        <f>'Col&amp;Trans Par.'!I99+IF('CM Rec Par.'!BC$8="No preprocessing",'CM Rec Par.'!BF175,IF('CM Rec Par.'!BC$8="Generic",'Preproc. Par.'!$AF173*'Preproc. Par.'!$AD$14/SUM(Input!$F$28:$F$32)+'CM Rec Par.'!BF175*'CM Rec Par.'!BD$25/SUM(Input!$F$28:$F$32),'Preproc. Par.'!$BF173*'Preproc. Par.'!$BD$14/SUM(Input!$F$28:$F$32)+'CM Rec Par.'!BF175*'CM Rec Par.'!BD$25/SUM(Input!$F$28:$F$32)))</f>
        <v>35611.773853383544</v>
      </c>
      <c r="D109" s="1119">
        <f>'Col&amp;Trans Par.'!I99+IF('CM Rec Par.'!CC$8="No preprocessing",'CM Rec Par.'!CF175,IF('CM Rec Par.'!CC$8="Generic",'Preproc. Par.'!$AF173*'Preproc. Par.'!$AD$14/SUM(Input!$F$28:$F$32)+'CM Rec Par.'!CF175*'CM Rec Par.'!CD$25/SUM(Input!$F$28:$F$32),'Preproc. Par.'!$BF173*'Preproc. Par.'!$BD$14/SUM(Input!$F$28:$F$32)+'CM Rec Par.'!CF175*'CM Rec Par.'!CD$25/SUM(Input!$F$28:$F$32)))</f>
        <v>31012.10592894693</v>
      </c>
      <c r="E109" s="1119">
        <f>SUM('Col&amp;Trans Par.'!C99:F99)+'Col&amp;Trans Par.'!H99+IF('CM Rec Par.'!DC$8="No preprocessing",'CM Rec Par.'!DF175,IF('CM Rec Par.'!DC$8="Generic",'Preproc. Par.'!$AF173*'Preproc. Par.'!$AD$14/SUM(Input!$F$28:$F$32)+'CM Rec Par.'!DF175*'CM Rec Par.'!DD$25/SUM(Input!$F$28:$F$32),'Preproc. Par.'!$BF173*'Preproc. Par.'!$BD$14/SUM(Input!$F$28:$F$32)+'CM Rec Par.'!DF175*'CM Rec Par.'!DD$25/SUM(Input!$F$28:$F$32)))</f>
        <v>7182.6374130977565</v>
      </c>
      <c r="F109" s="1117">
        <f>'Col&amp;Trans Par.'!I99+IF('CM Rec Par.'!EC$19="Select plant type",0,IF('CM Rec Par.'!EC$8="No preprocessing",'CM Rec Par.'!EF177,IF('CM Rec Par.'!EC$8="Generic",'Preproc. Par.'!$AF173*'Preproc. Par.'!$AD$14/SUM(Input!$F$28:$F$32)+'CM Rec Par.'!EF177*'CM Rec Par.'!ED$26/SUM(Input!$F$28:$F$32),'Preproc. Par.'!$BF173*'Preproc. Par.'!$BD$14/SUM(Input!$F$28:$F$32)+'CM Rec Par.'!EF177*'CM Rec Par.'!ED$26/SUM(Input!$F$28:$F$32))))</f>
        <v>9018.8270990769433</v>
      </c>
      <c r="G109"/>
      <c r="H109"/>
      <c r="I109"/>
      <c r="J109"/>
      <c r="K109"/>
      <c r="L109"/>
      <c r="M109"/>
      <c r="N109"/>
      <c r="O109"/>
    </row>
    <row r="110" spans="2:86">
      <c r="B110" s="278" t="s">
        <v>199</v>
      </c>
      <c r="C110" s="1120">
        <f>'Col&amp;Trans Par.'!I100+IF('CM Rec Par.'!BC$8="No preprocessing",'CM Rec Par.'!BF176,IF('CM Rec Par.'!BC$8="Generic",'Preproc. Par.'!$AF174*'Preproc. Par.'!$AD$14/SUM(Input!$F$28:$F$32)+'CM Rec Par.'!BF176*'CM Rec Par.'!BD$25/SUM(Input!$F$28:$F$32),'Preproc. Par.'!$BF174*'Preproc. Par.'!$BD$14/SUM(Input!$F$28:$F$32)+'CM Rec Par.'!BF176*'CM Rec Par.'!BD$25/SUM(Input!$F$28:$F$32)))</f>
        <v>37521.180826406169</v>
      </c>
      <c r="D110" s="1120">
        <f>'Col&amp;Trans Par.'!I100+IF('CM Rec Par.'!CC$8="No preprocessing",'CM Rec Par.'!CF176,IF('CM Rec Par.'!CC$8="Generic",'Preproc. Par.'!$AF174*'Preproc. Par.'!$AD$14/SUM(Input!$F$28:$F$32)+'CM Rec Par.'!CF176*'CM Rec Par.'!CD$25/SUM(Input!$F$28:$F$32),'Preproc. Par.'!$BF174*'Preproc. Par.'!$BD$14/SUM(Input!$F$28:$F$32)+'CM Rec Par.'!CF176*'CM Rec Par.'!CD$25/SUM(Input!$F$28:$F$32)))</f>
        <v>32871.629324952446</v>
      </c>
      <c r="E110" s="1120">
        <f>SUM('Col&amp;Trans Par.'!C100:F100)+'Col&amp;Trans Par.'!H100+IF('CM Rec Par.'!DC$8="No preprocessing",'CM Rec Par.'!DF176,IF('CM Rec Par.'!DC$8="Generic",'Preproc. Par.'!$AF174*'Preproc. Par.'!$AD$14/SUM(Input!$F$28:$F$32)+'CM Rec Par.'!DF176*'CM Rec Par.'!DD$25/SUM(Input!$F$28:$F$32),'Preproc. Par.'!$BF174*'Preproc. Par.'!$BD$14/SUM(Input!$F$28:$F$32)+'CM Rec Par.'!DF176*'CM Rec Par.'!DD$25/SUM(Input!$F$28:$F$32)))</f>
        <v>7562.991488475659</v>
      </c>
      <c r="F110" s="1575">
        <f>'Col&amp;Trans Par.'!I100+IF('CM Rec Par.'!EC$19="Select plant type",0,IF('CM Rec Par.'!EC$8="No preprocessing",'CM Rec Par.'!EF178,IF('CM Rec Par.'!EC$8="Generic",'Preproc. Par.'!$AF174*'Preproc. Par.'!$AD$14/SUM(Input!$F$28:$F$32)+'CM Rec Par.'!EF178*'CM Rec Par.'!ED$26/SUM(Input!$F$28:$F$32),'Preproc. Par.'!$BF174*'Preproc. Par.'!$BD$14/SUM(Input!$F$28:$F$32)+'CM Rec Par.'!EF178*'CM Rec Par.'!ED$26/SUM(Input!$F$28:$F$32))))</f>
        <v>9836.1015499573459</v>
      </c>
      <c r="G110"/>
      <c r="H110"/>
      <c r="I110"/>
      <c r="J110"/>
      <c r="K110"/>
      <c r="L110"/>
      <c r="M110"/>
      <c r="N110"/>
      <c r="O110"/>
    </row>
    <row r="111" spans="2:86">
      <c r="B111" s="133" t="s">
        <v>697</v>
      </c>
      <c r="G111"/>
      <c r="H111"/>
      <c r="I111"/>
      <c r="J111"/>
      <c r="K111"/>
      <c r="L111"/>
      <c r="M111"/>
      <c r="N111"/>
      <c r="O111"/>
    </row>
    <row r="112" spans="2:86">
      <c r="B112" s="668"/>
      <c r="C112" s="350" t="s">
        <v>43</v>
      </c>
      <c r="D112" s="350" t="s">
        <v>44</v>
      </c>
      <c r="E112" s="350" t="s">
        <v>672</v>
      </c>
      <c r="F112" s="350" t="s">
        <v>36</v>
      </c>
      <c r="G112"/>
      <c r="H112" s="120" t="s">
        <v>556</v>
      </c>
      <c r="I112" s="1223">
        <f>1/907.2</f>
        <v>1.1022927689594356E-3</v>
      </c>
      <c r="J112"/>
      <c r="K112"/>
      <c r="L112"/>
      <c r="M112"/>
      <c r="N112"/>
      <c r="O112"/>
    </row>
    <row r="113" spans="2:15">
      <c r="B113" s="554" t="s">
        <v>346</v>
      </c>
      <c r="C113" s="555"/>
      <c r="D113" s="555"/>
      <c r="E113" s="555"/>
      <c r="F113" s="669"/>
      <c r="G113"/>
      <c r="H113"/>
      <c r="I113"/>
      <c r="J113"/>
      <c r="K113"/>
      <c r="L113"/>
      <c r="M113"/>
      <c r="N113"/>
      <c r="O113"/>
    </row>
    <row r="114" spans="2:15">
      <c r="B114" s="159" t="s">
        <v>173</v>
      </c>
      <c r="C114" s="672">
        <f>IF($D$66="No allocation", C91, (IF($D$66="Mass",C91*SUM(C$71:C$82),IF($D$66="Economic value", C91*SUM(G$71:G$82),C91-C$22*HLOOKUP($B$22,'GREET IO'!$A$77:$AZ$98,ROW(B91)-ROW(B$89)+1, FALSE)*$I$112-C$23*HLOOKUP($B$23,'GREET IO'!$A$77:$AZ$98,ROW(B91)-ROW(B$89)+1, FALSE)*$I$112-C$24*HLOOKUP($B$24,'GREET IO'!$A$77:$AZ$98,ROW(B91)-ROW(B$89)+1, FALSE)*$I$112-C$25*HLOOKUP($B$25,'GREET IO'!$A$77:$AZ$98,ROW(B91)-ROW(B$89)+1, FALSE)*$I$112-C$26*HLOOKUP($B$26,'GREET IO'!$A$77:$AZ$98,ROW(B91)-ROW(B$89)+1, FALSE)*$I$112-C$27*HLOOKUP($B$27,'GREET IO'!$A$77:$AZ$98,ROW(B91)-ROW(B$89)+1, FALSE)*$I$112-C$28*HLOOKUP($B$28,'GREET IO'!$A$77:$BC$98,ROW(B91)-ROW(B$89)+1, FALSE)*$I$112))))</f>
        <v>0.42091464433174575</v>
      </c>
      <c r="D114" s="672">
        <f>IF($D$66="No allocation", D91, (IF($D$66="Mass",D91*SUM(D$71:D$82),IF($D$66="Economic value", D91*SUM(H$71:H$82),D91-D$22*HLOOKUP($B$22,'GREET IO'!$A$77:$AZ$98,ROW(C91)-ROW(C$89)+1, FALSE)*$I$112-D$23*HLOOKUP($B$23,'GREET IO'!$A$77:$AZ$98,ROW(C91)-ROW(C$89)+1, FALSE)*$I$112-D$24*HLOOKUP($B$24,'GREET IO'!$A$77:$AZ$98,ROW(C91)-ROW(C$89)+1, FALSE)*$I$112-D$25*HLOOKUP($B$25,'GREET IO'!$A$77:$AZ$98,ROW(C91)-ROW(C$89)+1, FALSE)*$I$112-D$26*HLOOKUP($B$26,'GREET IO'!$A$77:$AZ$98,ROW(C91)-ROW(C$89)+1, FALSE)*$I$112-D$27*HLOOKUP($B$27,'GREET IO'!$A$77:$AZ$98,ROW(C91)-ROW(C$89)+1, FALSE)*$I$112))))</f>
        <v>0.15658967270726332</v>
      </c>
      <c r="E114" s="672">
        <f>IF($D$66="No allocation", E91, (IF($D$66="Mass",E91*SUM(E$71:E$82),IF($D$66="Economic value", E91*SUM(I$71:I$82),E91-E$22*HLOOKUP($B$22,'GREET IO'!$A$77:$AZ$98,ROW(D91)-ROW(D$89)+1, FALSE)*$I$112-E$23*HLOOKUP($B$23,'GREET IO'!$A$77:$AZ$98,ROW(D91)-ROW(D$89)+1, FALSE)*$I$112-E$24*HLOOKUP($B$24,'GREET IO'!$A$77:$AZ$98,ROW(D91)-ROW(D$89)+1, FALSE)*$I$112-E$25*HLOOKUP($B$25,'GREET IO'!$A$77:$AZ$98,ROW(D91)-ROW(D$89)+1, FALSE)*$I$112-E$26*HLOOKUP($B$26,'GREET IO'!$A$77:$AZ$98,ROW(D91)-ROW(D$89)+1, FALSE)*$I$112-E$27*HLOOKUP($B$27,'GREET IO'!$A$77:$AZ$98,ROW(D91)-ROW(D$89)+1, FALSE)*$I$112))))</f>
        <v>4.9323591694421659E-2</v>
      </c>
      <c r="F114" s="673">
        <f>IF($D$66="No allocation", F91, (IF($D$66="Mass",F91*SUM(F$71:F$82),IF($D$66="Economic value", F91*SUM(J$71:J$82),F91-F$22*HLOOKUP($B$22,'GREET IO'!$A$77:$AZ$98,ROW(E91)-ROW(E$89)+1, FALSE)*$I$112-F$23*HLOOKUP($B$23,'GREET IO'!$A$77:$AZ$98,ROW(E91)-ROW(E$89)+1, FALSE)*$I$112-F$24*HLOOKUP($B$24,'GREET IO'!$A$77:$AZ$98,ROW(E91)-ROW(E$89)+1, FALSE)*$I$112-F$25*HLOOKUP($B$25,'GREET IO'!$A$77:$AZ$98,ROW(E91)-ROW(E$89)+1, FALSE)*$I$112-F$26*HLOOKUP($B$26,'GREET IO'!$A$77:$AZ$98,ROW(E91)-ROW(E$89)+1, FALSE)*$I$112-F$27*HLOOKUP($B$27,'GREET IO'!$A$77:$AZ$98,ROW(E91)-ROW(E$89)+1, FALSE)*$I$112))))</f>
        <v>2.3706493165475531E-2</v>
      </c>
      <c r="J114"/>
      <c r="K114"/>
      <c r="L114"/>
      <c r="M114"/>
      <c r="N114"/>
      <c r="O114"/>
    </row>
    <row r="115" spans="2:15">
      <c r="B115" s="159" t="s">
        <v>174</v>
      </c>
      <c r="C115" s="672">
        <f>IF($D$66="No allocation", C92, (IF($D$66="Mass",C92*SUM(C$71:C$82),IF($D$66="Economic value", C92*SUM(G$71:G$82),C92-C$22*HLOOKUP($B$22,'GREET IO'!$A$77:$AZ$98,ROW(B92)-ROW(B$89)+1, FALSE)*$I$112-C$23*HLOOKUP($B$23,'GREET IO'!$A$77:$AZ$98,ROW(B92)-ROW(B$89)+1, FALSE)*$I$112-C$24*HLOOKUP($B$24,'GREET IO'!$A$77:$AZ$98,ROW(B92)-ROW(B$89)+1, FALSE)*$I$112-C$25*HLOOKUP($B$25,'GREET IO'!$A$77:$AZ$98,ROW(B92)-ROW(B$89)+1, FALSE)*$I$112-C$26*HLOOKUP($B$26,'GREET IO'!$A$77:$AZ$98,ROW(B92)-ROW(B$89)+1, FALSE)*$I$112-C$27*HLOOKUP($B$27,'GREET IO'!$A$77:$AZ$98,ROW(B92)-ROW(B$89)+1, FALSE)*$I$112-C$28*HLOOKUP($B$28,'GREET IO'!$A$77:$BC$98,ROW(B92)-ROW(B$89)+1, FALSE)*$I$112))))</f>
        <v>0.34479972425877264</v>
      </c>
      <c r="D115" s="672">
        <f>IF($D$66="No allocation", D92, (IF($D$66="Mass",D92*SUM(D$71:D$82),IF($D$66="Economic value", D92*SUM(H$71:H$82),D92-D$22*HLOOKUP($B$22,'GREET IO'!$A$77:$AZ$98,ROW(C92)-ROW(C$89)+1, FALSE)*$I$112-D$23*HLOOKUP($B$23,'GREET IO'!$A$77:$AZ$98,ROW(C92)-ROW(C$89)+1, FALSE)*$I$112-D$24*HLOOKUP($B$24,'GREET IO'!$A$77:$AZ$98,ROW(C92)-ROW(C$89)+1, FALSE)*$I$112-D$25*HLOOKUP($B$25,'GREET IO'!$A$77:$AZ$98,ROW(C92)-ROW(C$89)+1, FALSE)*$I$112-D$26*HLOOKUP($B$26,'GREET IO'!$A$77:$AZ$98,ROW(C92)-ROW(C$89)+1, FALSE)*$I$112-D$27*HLOOKUP($B$27,'GREET IO'!$A$77:$AZ$98,ROW(C92)-ROW(C$89)+1, FALSE)*$I$112))))</f>
        <v>0.12986792837695346</v>
      </c>
      <c r="E115" s="672">
        <f>IF($D$66="No allocation", E92, (IF($D$66="Mass",E92*SUM(E$71:E$82),IF($D$66="Economic value", E92*SUM(I$71:I$82),E92-E$22*HLOOKUP($B$22,'GREET IO'!$A$77:$AZ$98,ROW(D92)-ROW(D$89)+1, FALSE)*$I$112-E$23*HLOOKUP($B$23,'GREET IO'!$A$77:$AZ$98,ROW(D92)-ROW(D$89)+1, FALSE)*$I$112-E$24*HLOOKUP($B$24,'GREET IO'!$A$77:$AZ$98,ROW(D92)-ROW(D$89)+1, FALSE)*$I$112-E$25*HLOOKUP($B$25,'GREET IO'!$A$77:$AZ$98,ROW(D92)-ROW(D$89)+1, FALSE)*$I$112-E$26*HLOOKUP($B$26,'GREET IO'!$A$77:$AZ$98,ROW(D92)-ROW(D$89)+1, FALSE)*$I$112-E$27*HLOOKUP($B$27,'GREET IO'!$A$77:$AZ$98,ROW(D92)-ROW(D$89)+1, FALSE)*$I$112))))</f>
        <v>4.1559494371297113E-2</v>
      </c>
      <c r="F115" s="673">
        <f>IF($D$66="No allocation", F92, (IF($D$66="Mass",F92*SUM(F$71:F$82),IF($D$66="Economic value", F92*SUM(J$71:J$82),F92-F$22*HLOOKUP($B$22,'GREET IO'!$A$77:$AZ$98,ROW(E92)-ROW(E$89)+1, FALSE)*$I$112-F$23*HLOOKUP($B$23,'GREET IO'!$A$77:$AZ$98,ROW(E92)-ROW(E$89)+1, FALSE)*$I$112-F$24*HLOOKUP($B$24,'GREET IO'!$A$77:$AZ$98,ROW(E92)-ROW(E$89)+1, FALSE)*$I$112-F$25*HLOOKUP($B$25,'GREET IO'!$A$77:$AZ$98,ROW(E92)-ROW(E$89)+1, FALSE)*$I$112-F$26*HLOOKUP($B$26,'GREET IO'!$A$77:$AZ$98,ROW(E92)-ROW(E$89)+1, FALSE)*$I$112-F$27*HLOOKUP($B$27,'GREET IO'!$A$77:$AZ$98,ROW(E92)-ROW(E$89)+1, FALSE)*$I$112))))</f>
        <v>2.0734026068225588E-2</v>
      </c>
      <c r="G115"/>
      <c r="H115"/>
      <c r="I115"/>
      <c r="J115"/>
      <c r="K115"/>
      <c r="L115"/>
      <c r="M115"/>
      <c r="N115"/>
      <c r="O115"/>
    </row>
    <row r="116" spans="2:15">
      <c r="B116" s="159" t="s">
        <v>175</v>
      </c>
      <c r="C116" s="672">
        <f>IF($D$66="No allocation", C93, (IF($D$66="Mass",C93*SUM(C$71:C$82),IF($D$66="Economic value", C93*SUM(G$71:G$82),C93-C$22*HLOOKUP($B$22,'GREET IO'!$A$77:$AZ$98,ROW(B93)-ROW(B$89)+1, FALSE)*$I$112-C$23*HLOOKUP($B$23,'GREET IO'!$A$77:$AZ$98,ROW(B93)-ROW(B$89)+1, FALSE)*$I$112-C$24*HLOOKUP($B$24,'GREET IO'!$A$77:$AZ$98,ROW(B93)-ROW(B$89)+1, FALSE)*$I$112-C$25*HLOOKUP($B$25,'GREET IO'!$A$77:$AZ$98,ROW(B93)-ROW(B$89)+1, FALSE)*$I$112-C$26*HLOOKUP($B$26,'GREET IO'!$A$77:$AZ$98,ROW(B93)-ROW(B$89)+1, FALSE)*$I$112-C$27*HLOOKUP($B$27,'GREET IO'!$A$77:$AZ$98,ROW(B93)-ROW(B$89)+1, FALSE)*$I$112-C$28*HLOOKUP($B$28,'GREET IO'!$A$77:$BC$98,ROW(B93)-ROW(B$89)+1, FALSE)*$I$112))))</f>
        <v>0.31327389742808393</v>
      </c>
      <c r="D116" s="672">
        <f>IF($D$66="No allocation", D93, (IF($D$66="Mass",D93*SUM(D$71:D$82),IF($D$66="Economic value", D93*SUM(H$71:H$82),D93-D$22*HLOOKUP($B$22,'GREET IO'!$A$77:$AZ$98,ROW(C93)-ROW(C$89)+1, FALSE)*$I$112-D$23*HLOOKUP($B$23,'GREET IO'!$A$77:$AZ$98,ROW(C93)-ROW(C$89)+1, FALSE)*$I$112-D$24*HLOOKUP($B$24,'GREET IO'!$A$77:$AZ$98,ROW(C93)-ROW(C$89)+1, FALSE)*$I$112-D$25*HLOOKUP($B$25,'GREET IO'!$A$77:$AZ$98,ROW(C93)-ROW(C$89)+1, FALSE)*$I$112-D$26*HLOOKUP($B$26,'GREET IO'!$A$77:$AZ$98,ROW(C93)-ROW(C$89)+1, FALSE)*$I$112-D$27*HLOOKUP($B$27,'GREET IO'!$A$77:$AZ$98,ROW(C93)-ROW(C$89)+1, FALSE)*$I$112))))</f>
        <v>0.10788704858469816</v>
      </c>
      <c r="E116" s="672">
        <f>IF($D$66="No allocation", E93, (IF($D$66="Mass",E93*SUM(E$71:E$82),IF($D$66="Economic value", E93*SUM(I$71:I$82),E93-E$22*HLOOKUP($B$22,'GREET IO'!$A$77:$AZ$98,ROW(D93)-ROW(D$89)+1, FALSE)*$I$112-E$23*HLOOKUP($B$23,'GREET IO'!$A$77:$AZ$98,ROW(D93)-ROW(D$89)+1, FALSE)*$I$112-E$24*HLOOKUP($B$24,'GREET IO'!$A$77:$AZ$98,ROW(D93)-ROW(D$89)+1, FALSE)*$I$112-E$25*HLOOKUP($B$25,'GREET IO'!$A$77:$AZ$98,ROW(D93)-ROW(D$89)+1, FALSE)*$I$112-E$26*HLOOKUP($B$26,'GREET IO'!$A$77:$AZ$98,ROW(D93)-ROW(D$89)+1, FALSE)*$I$112-E$27*HLOOKUP($B$27,'GREET IO'!$A$77:$AZ$98,ROW(D93)-ROW(D$89)+1, FALSE)*$I$112))))</f>
        <v>3.4503112743756968E-2</v>
      </c>
      <c r="F116" s="673">
        <f>IF($D$66="No allocation", F93, (IF($D$66="Mass",F93*SUM(F$71:F$82),IF($D$66="Economic value", F93*SUM(J$71:J$82),F93-F$22*HLOOKUP($B$22,'GREET IO'!$A$77:$AZ$98,ROW(E93)-ROW(E$89)+1, FALSE)*$I$112-F$23*HLOOKUP($B$23,'GREET IO'!$A$77:$AZ$98,ROW(E93)-ROW(E$89)+1, FALSE)*$I$112-F$24*HLOOKUP($B$24,'GREET IO'!$A$77:$AZ$98,ROW(E93)-ROW(E$89)+1, FALSE)*$I$112-F$25*HLOOKUP($B$25,'GREET IO'!$A$77:$AZ$98,ROW(E93)-ROW(E$89)+1, FALSE)*$I$112-F$26*HLOOKUP($B$26,'GREET IO'!$A$77:$AZ$98,ROW(E93)-ROW(E$89)+1, FALSE)*$I$112-F$27*HLOOKUP($B$27,'GREET IO'!$A$77:$AZ$98,ROW(E93)-ROW(E$89)+1, FALSE)*$I$112))))</f>
        <v>1.0699999533439588E-2</v>
      </c>
      <c r="G116"/>
      <c r="H116"/>
      <c r="I116"/>
      <c r="J116"/>
      <c r="K116"/>
      <c r="L116"/>
      <c r="M116"/>
      <c r="N116"/>
      <c r="O116"/>
    </row>
    <row r="117" spans="2:15">
      <c r="B117" s="159" t="s">
        <v>176</v>
      </c>
      <c r="C117" s="672">
        <f>IF($D$66="No allocation", C94, (IF($D$66="Mass",C94*SUM(C$71:C$82),IF($D$66="Economic value", C94*SUM(G$71:G$82),C94-C$22*HLOOKUP($B$22,'GREET IO'!$A$77:$AZ$98,ROW(B94)-ROW(B$89)+1, FALSE)*$I$112-C$23*HLOOKUP($B$23,'GREET IO'!$A$77:$AZ$98,ROW(B94)-ROW(B$89)+1, FALSE)*$I$112-C$24*HLOOKUP($B$24,'GREET IO'!$A$77:$AZ$98,ROW(B94)-ROW(B$89)+1, FALSE)*$I$112-C$25*HLOOKUP($B$25,'GREET IO'!$A$77:$AZ$98,ROW(B94)-ROW(B$89)+1, FALSE)*$I$112-C$26*HLOOKUP($B$26,'GREET IO'!$A$77:$AZ$98,ROW(B94)-ROW(B$89)+1, FALSE)*$I$112-C$27*HLOOKUP($B$27,'GREET IO'!$A$77:$AZ$98,ROW(B94)-ROW(B$89)+1, FALSE)*$I$112-C$28*HLOOKUP($B$28,'GREET IO'!$A$77:$BC$98,ROW(B94)-ROW(B$89)+1, FALSE)*$I$112))))</f>
        <v>2.0906234895695944E-2</v>
      </c>
      <c r="D117" s="672">
        <f>IF($D$66="No allocation", D94, (IF($D$66="Mass",D94*SUM(D$71:D$82),IF($D$66="Economic value", D94*SUM(H$71:H$82),D94-D$22*HLOOKUP($B$22,'GREET IO'!$A$77:$AZ$98,ROW(C94)-ROW(C$89)+1, FALSE)*$I$112-D$23*HLOOKUP($B$23,'GREET IO'!$A$77:$AZ$98,ROW(C94)-ROW(C$89)+1, FALSE)*$I$112-D$24*HLOOKUP($B$24,'GREET IO'!$A$77:$AZ$98,ROW(C94)-ROW(C$89)+1, FALSE)*$I$112-D$25*HLOOKUP($B$25,'GREET IO'!$A$77:$AZ$98,ROW(C94)-ROW(C$89)+1, FALSE)*$I$112-D$26*HLOOKUP($B$26,'GREET IO'!$A$77:$AZ$98,ROW(C94)-ROW(C$89)+1, FALSE)*$I$112-D$27*HLOOKUP($B$27,'GREET IO'!$A$77:$AZ$98,ROW(C94)-ROW(C$89)+1, FALSE)*$I$112))))</f>
        <v>1.7193164002378934E-2</v>
      </c>
      <c r="E117" s="672">
        <f>IF($D$66="No allocation", E94, (IF($D$66="Mass",E94*SUM(E$71:E$82),IF($D$66="Economic value", E94*SUM(I$71:I$82),E94-E$22*HLOOKUP($B$22,'GREET IO'!$A$77:$AZ$98,ROW(D94)-ROW(D$89)+1, FALSE)*$I$112-E$23*HLOOKUP($B$23,'GREET IO'!$A$77:$AZ$98,ROW(D94)-ROW(D$89)+1, FALSE)*$I$112-E$24*HLOOKUP($B$24,'GREET IO'!$A$77:$AZ$98,ROW(D94)-ROW(D$89)+1, FALSE)*$I$112-E$25*HLOOKUP($B$25,'GREET IO'!$A$77:$AZ$98,ROW(D94)-ROW(D$89)+1, FALSE)*$I$112-E$26*HLOOKUP($B$26,'GREET IO'!$A$77:$AZ$98,ROW(D94)-ROW(D$89)+1, FALSE)*$I$112-E$27*HLOOKUP($B$27,'GREET IO'!$A$77:$AZ$98,ROW(D94)-ROW(D$89)+1, FALSE)*$I$112))))</f>
        <v>3.1576635949929779E-3</v>
      </c>
      <c r="F117" s="673">
        <f>IF($D$66="No allocation", F94, (IF($D$66="Mass",F94*SUM(F$71:F$82),IF($D$66="Economic value", F94*SUM(J$71:J$82),F94-F$22*HLOOKUP($B$22,'GREET IO'!$A$77:$AZ$98,ROW(E94)-ROW(E$89)+1, FALSE)*$I$112-F$23*HLOOKUP($B$23,'GREET IO'!$A$77:$AZ$98,ROW(E94)-ROW(E$89)+1, FALSE)*$I$112-F$24*HLOOKUP($B$24,'GREET IO'!$A$77:$AZ$98,ROW(E94)-ROW(E$89)+1, FALSE)*$I$112-F$25*HLOOKUP($B$25,'GREET IO'!$A$77:$AZ$98,ROW(E94)-ROW(E$89)+1, FALSE)*$I$112-F$26*HLOOKUP($B$26,'GREET IO'!$A$77:$AZ$98,ROW(E94)-ROW(E$89)+1, FALSE)*$I$112-F$27*HLOOKUP($B$27,'GREET IO'!$A$77:$AZ$98,ROW(E94)-ROW(E$89)+1, FALSE)*$I$112))))</f>
        <v>8.4025487719613101E-3</v>
      </c>
      <c r="G117"/>
      <c r="H117"/>
      <c r="I117"/>
      <c r="J117"/>
      <c r="K117"/>
      <c r="L117"/>
      <c r="M117"/>
      <c r="N117"/>
      <c r="O117"/>
    </row>
    <row r="118" spans="2:15">
      <c r="B118" s="159" t="s">
        <v>177</v>
      </c>
      <c r="C118" s="672">
        <f>IF($D$66="No allocation", C95, (IF($D$66="Mass",C95*SUM(C$71:C$82),IF($D$66="Economic value", C95*SUM(G$71:G$82),C95-C$22*HLOOKUP($B$22,'GREET IO'!$A$77:$AZ$98,ROW(B95)-ROW(B$89)+1, FALSE)*$I$112-C$23*HLOOKUP($B$23,'GREET IO'!$A$77:$AZ$98,ROW(B95)-ROW(B$89)+1, FALSE)*$I$112-C$24*HLOOKUP($B$24,'GREET IO'!$A$77:$AZ$98,ROW(B95)-ROW(B$89)+1, FALSE)*$I$112-C$25*HLOOKUP($B$25,'GREET IO'!$A$77:$AZ$98,ROW(B95)-ROW(B$89)+1, FALSE)*$I$112-C$26*HLOOKUP($B$26,'GREET IO'!$A$77:$AZ$98,ROW(B95)-ROW(B$89)+1, FALSE)*$I$112-C$27*HLOOKUP($B$27,'GREET IO'!$A$77:$AZ$98,ROW(B95)-ROW(B$89)+1, FALSE)*$I$112-C$28*HLOOKUP($B$28,'GREET IO'!$A$77:$BC$98,ROW(B95)-ROW(B$89)+1, FALSE)*$I$112))))</f>
        <v>1.0619591934992763E-2</v>
      </c>
      <c r="D118" s="672">
        <f>IF($D$66="No allocation", D95, (IF($D$66="Mass",D95*SUM(D$71:D$82),IF($D$66="Economic value", D95*SUM(H$71:H$82),D95-D$22*HLOOKUP($B$22,'GREET IO'!$A$77:$AZ$98,ROW(C95)-ROW(C$89)+1, FALSE)*$I$112-D$23*HLOOKUP($B$23,'GREET IO'!$A$77:$AZ$98,ROW(C95)-ROW(C$89)+1, FALSE)*$I$112-D$24*HLOOKUP($B$24,'GREET IO'!$A$77:$AZ$98,ROW(C95)-ROW(C$89)+1, FALSE)*$I$112-D$25*HLOOKUP($B$25,'GREET IO'!$A$77:$AZ$98,ROW(C95)-ROW(C$89)+1, FALSE)*$I$112-D$26*HLOOKUP($B$26,'GREET IO'!$A$77:$AZ$98,ROW(C95)-ROW(C$89)+1, FALSE)*$I$112-D$27*HLOOKUP($B$27,'GREET IO'!$A$77:$AZ$98,ROW(C95)-ROW(C$89)+1, FALSE)*$I$112))))</f>
        <v>4.787715789876348E-3</v>
      </c>
      <c r="E118" s="672">
        <f>IF($D$66="No allocation", E95, (IF($D$66="Mass",E95*SUM(E$71:E$82),IF($D$66="Economic value", E95*SUM(I$71:I$82),E95-E$22*HLOOKUP($B$22,'GREET IO'!$A$77:$AZ$98,ROW(D95)-ROW(D$89)+1, FALSE)*$I$112-E$23*HLOOKUP($B$23,'GREET IO'!$A$77:$AZ$98,ROW(D95)-ROW(D$89)+1, FALSE)*$I$112-E$24*HLOOKUP($B$24,'GREET IO'!$A$77:$AZ$98,ROW(D95)-ROW(D$89)+1, FALSE)*$I$112-E$25*HLOOKUP($B$25,'GREET IO'!$A$77:$AZ$98,ROW(D95)-ROW(D$89)+1, FALSE)*$I$112-E$26*HLOOKUP($B$26,'GREET IO'!$A$77:$AZ$98,ROW(D95)-ROW(D$89)+1, FALSE)*$I$112-E$27*HLOOKUP($B$27,'GREET IO'!$A$77:$AZ$98,ROW(D95)-ROW(D$89)+1, FALSE)*$I$112))))</f>
        <v>3.8987180325471644E-3</v>
      </c>
      <c r="F118" s="673">
        <f>IF($D$66="No allocation", F95, (IF($D$66="Mass",F95*SUM(F$71:F$82),IF($D$66="Economic value", F95*SUM(J$71:J$82),F95-F$22*HLOOKUP($B$22,'GREET IO'!$A$77:$AZ$98,ROW(E95)-ROW(E$89)+1, FALSE)*$I$112-F$23*HLOOKUP($B$23,'GREET IO'!$A$77:$AZ$98,ROW(E95)-ROW(E$89)+1, FALSE)*$I$112-F$24*HLOOKUP($B$24,'GREET IO'!$A$77:$AZ$98,ROW(E95)-ROW(E$89)+1, FALSE)*$I$112-F$25*HLOOKUP($B$25,'GREET IO'!$A$77:$AZ$98,ROW(E95)-ROW(E$89)+1, FALSE)*$I$112-F$26*HLOOKUP($B$26,'GREET IO'!$A$77:$AZ$98,ROW(E95)-ROW(E$89)+1, FALSE)*$I$112-F$27*HLOOKUP($B$27,'GREET IO'!$A$77:$AZ$98,ROW(E95)-ROW(E$89)+1, FALSE)*$I$112))))</f>
        <v>1.6314777628246887E-3</v>
      </c>
      <c r="G118"/>
      <c r="H118"/>
      <c r="I118"/>
      <c r="J118"/>
      <c r="K118"/>
      <c r="L118"/>
      <c r="M118"/>
      <c r="N118"/>
      <c r="O118"/>
    </row>
    <row r="119" spans="2:15">
      <c r="B119" s="554" t="s">
        <v>344</v>
      </c>
      <c r="C119" s="672">
        <f>IF($D$66="No allocation", C96, (IF($D$66="Mass",C96*SUM(C$71:C$82),IF($D$66="Economic value", C96*SUM(G$71:G$82),C96-C$22*HLOOKUP($B$22,'GREET IO'!$A$77:$AZ$98,ROW(B96)-ROW(B$89)+1, FALSE)*$I$112-C$23*HLOOKUP($B$23,'GREET IO'!$A$77:$AZ$98,ROW(B96)-ROW(B$89)+1, FALSE)*$I$112-C$24*HLOOKUP($B$24,'GREET IO'!$A$77:$AZ$98,ROW(B96)-ROW(B$89)+1, FALSE)*$I$112-C$25*HLOOKUP($B$25,'GREET IO'!$A$77:$AZ$98,ROW(B96)-ROW(B$89)+1, FALSE)*$I$112-C$26*HLOOKUP($B$26,'GREET IO'!$A$77:$AZ$98,ROW(B96)-ROW(B$89)+1, FALSE)*$I$112-C$27*HLOOKUP($B$27,'GREET IO'!$A$77:$AZ$98,ROW(B96)-ROW(B$89)+1, FALSE)*$I$112-C$28*HLOOKUP($B$28,'GREET IO'!$A$77:$BC$98,ROW(B96)-ROW(B$89)+1, FALSE)*$I$112))))</f>
        <v>57.866420940998296</v>
      </c>
      <c r="D119" s="674">
        <f>IF($D$66="No allocation", D96, (IF($D$66="Mass",D96*SUM(D$71:D$82),IF($D$66="Economic value", D96*SUM(H$71:H$82),D96-D$22*HLOOKUP($B$22,'GREET IO'!$A$77:$AZ$98,ROW(C96)-ROW(C$89)+1, FALSE)*$I$112-D$23*HLOOKUP($B$23,'GREET IO'!$A$77:$AZ$98,ROW(C96)-ROW(C$89)+1, FALSE)*$I$112-D$24*HLOOKUP($B$24,'GREET IO'!$A$77:$AZ$98,ROW(C96)-ROW(C$89)+1, FALSE)*$I$112-D$25*HLOOKUP($B$25,'GREET IO'!$A$77:$AZ$98,ROW(C96)-ROW(C$89)+1, FALSE)*$I$112-D$26*HLOOKUP($B$26,'GREET IO'!$A$77:$AZ$98,ROW(C96)-ROW(C$89)+1, FALSE)*$I$112-D$27*HLOOKUP($B$27,'GREET IO'!$A$77:$AZ$98,ROW(C96)-ROW(C$89)+1, FALSE)*$I$112))))</f>
        <v>20.96721213926428</v>
      </c>
      <c r="E119" s="674">
        <f>IF($D$66="No allocation", E96, (IF($D$66="Mass",E96*SUM(E$71:E$82),IF($D$66="Economic value", E96*SUM(I$71:I$82),E96-E$22*HLOOKUP($B$22,'GREET IO'!$A$77:$AZ$98,ROW(D96)-ROW(D$89)+1, FALSE)*$I$112-E$23*HLOOKUP($B$23,'GREET IO'!$A$77:$AZ$98,ROW(D96)-ROW(D$89)+1, FALSE)*$I$112-E$24*HLOOKUP($B$24,'GREET IO'!$A$77:$AZ$98,ROW(D96)-ROW(D$89)+1, FALSE)*$I$112-E$25*HLOOKUP($B$25,'GREET IO'!$A$77:$AZ$98,ROW(D96)-ROW(D$89)+1, FALSE)*$I$112-E$26*HLOOKUP($B$26,'GREET IO'!$A$77:$AZ$98,ROW(D96)-ROW(D$89)+1, FALSE)*$I$112-E$27*HLOOKUP($B$27,'GREET IO'!$A$77:$AZ$98,ROW(D96)-ROW(D$89)+1, FALSE)*$I$112))))</f>
        <v>6.8733724092160022</v>
      </c>
      <c r="F119" s="675">
        <f>IF($D$66="No allocation", F96, (IF($D$66="Mass",F96*SUM(F$71:F$82),IF($D$66="Economic value", F96*SUM(J$71:J$82),F96-F$22*HLOOKUP($B$22,'GREET IO'!$A$77:$AZ$98,ROW(E96)-ROW(E$89)+1, FALSE)*$I$112-F$23*HLOOKUP($B$23,'GREET IO'!$A$77:$AZ$98,ROW(E96)-ROW(E$89)+1, FALSE)*$I$112-F$24*HLOOKUP($B$24,'GREET IO'!$A$77:$AZ$98,ROW(E96)-ROW(E$89)+1, FALSE)*$I$112-F$25*HLOOKUP($B$25,'GREET IO'!$A$77:$AZ$98,ROW(E96)-ROW(E$89)+1, FALSE)*$I$112-F$26*HLOOKUP($B$26,'GREET IO'!$A$77:$AZ$98,ROW(E96)-ROW(E$89)+1, FALSE)*$I$112-F$27*HLOOKUP($B$27,'GREET IO'!$A$77:$AZ$98,ROW(E96)-ROW(E$89)+1, FALSE)*$I$112))))</f>
        <v>2.7343484668370643</v>
      </c>
      <c r="G119"/>
      <c r="H119"/>
      <c r="I119"/>
      <c r="J119"/>
      <c r="K119"/>
      <c r="L119"/>
      <c r="M119"/>
      <c r="N119"/>
      <c r="O119"/>
    </row>
    <row r="120" spans="2:15">
      <c r="B120" s="554" t="s">
        <v>345</v>
      </c>
      <c r="C120" s="672"/>
      <c r="D120" s="676"/>
      <c r="E120" s="676"/>
      <c r="F120" s="673"/>
      <c r="G120"/>
      <c r="H120"/>
      <c r="I120"/>
      <c r="J120"/>
      <c r="K120"/>
      <c r="L120"/>
      <c r="M120"/>
      <c r="N120"/>
      <c r="O120"/>
    </row>
    <row r="121" spans="2:15">
      <c r="B121" s="159" t="s">
        <v>180</v>
      </c>
      <c r="C121" s="672">
        <f>IF($D$66="No allocation", C98, (IF($D$66="Mass",C98*SUM(C$71:C$82),IF($D$66="Economic value", C98*SUM(G$71:G$82),C98-C$22*HLOOKUP($B$22,'GREET IO'!$A$77:$AZ$98,ROW(B98)-ROW(B$89)+1, FALSE)*$I$112-C$23*HLOOKUP($B$23,'GREET IO'!$A$77:$AZ$98,ROW(B98)-ROW(B$89)+1, FALSE)*$I$112-C$24*HLOOKUP($B$24,'GREET IO'!$A$77:$AZ$98,ROW(B98)-ROW(B$89)+1, FALSE)*$I$112-C$25*HLOOKUP($B$25,'GREET IO'!$A$77:$AZ$98,ROW(B98)-ROW(B$89)+1, FALSE)*$I$112-C$26*HLOOKUP($B$26,'GREET IO'!$A$77:$AZ$98,ROW(B98)-ROW(B$89)+1, FALSE)*$I$112-C$27*HLOOKUP($B$27,'GREET IO'!$A$77:$AZ$98,ROW(B98)-ROW(B$89)+1, FALSE)*$I$112-C$28*HLOOKUP($B$28,'GREET IO'!$A$77:$BC$98,ROW(B98)-ROW(B$89)+1, FALSE)*$I$112))))</f>
        <v>3.0605116570828619</v>
      </c>
      <c r="D121" s="672">
        <f>IF($D$66="No allocation", D98, (IF($D$66="Mass",D98*SUM(D$71:D$82),IF($D$66="Economic value", D98*SUM(H$71:H$82),D98-D$22*HLOOKUP($B$22,'GREET IO'!$A$77:$AZ$98,ROW(C98)-ROW(C$89)+1, FALSE)*$I$112-D$23*HLOOKUP($B$23,'GREET IO'!$A$77:$AZ$98,ROW(C98)-ROW(C$89)+1, FALSE)*$I$112-D$24*HLOOKUP($B$24,'GREET IO'!$A$77:$AZ$98,ROW(C98)-ROW(C$89)+1, FALSE)*$I$112-D$25*HLOOKUP($B$25,'GREET IO'!$A$77:$AZ$98,ROW(C98)-ROW(C$89)+1, FALSE)*$I$112-D$26*HLOOKUP($B$26,'GREET IO'!$A$77:$AZ$98,ROW(C98)-ROW(C$89)+1, FALSE)*$I$112-D$27*HLOOKUP($B$27,'GREET IO'!$A$77:$AZ$98,ROW(C98)-ROW(C$89)+1, FALSE)*$I$112))))</f>
        <v>1.4701717418766633</v>
      </c>
      <c r="E121" s="672">
        <f>IF($D$66="No allocation", E98, (IF($D$66="Mass",E98*SUM(E$71:E$82),IF($D$66="Economic value", E98*SUM(I$71:I$82),E98-E$22*HLOOKUP($B$22,'GREET IO'!$A$77:$AZ$98,ROW(D98)-ROW(D$89)+1, FALSE)*$I$112-E$23*HLOOKUP($B$23,'GREET IO'!$A$77:$AZ$98,ROW(D98)-ROW(D$89)+1, FALSE)*$I$112-E$24*HLOOKUP($B$24,'GREET IO'!$A$77:$AZ$98,ROW(D98)-ROW(D$89)+1, FALSE)*$I$112-E$25*HLOOKUP($B$25,'GREET IO'!$A$77:$AZ$98,ROW(D98)-ROW(D$89)+1, FALSE)*$I$112-E$26*HLOOKUP($B$26,'GREET IO'!$A$77:$AZ$98,ROW(D98)-ROW(D$89)+1, FALSE)*$I$112-E$27*HLOOKUP($B$27,'GREET IO'!$A$77:$AZ$98,ROW(D98)-ROW(D$89)+1, FALSE)*$I$112))))</f>
        <v>0.44230790779404389</v>
      </c>
      <c r="F121" s="673">
        <f>IF($D$66="No allocation", F98, (IF($D$66="Mass",F98*SUM(F$71:F$82),IF($D$66="Economic value", F98*SUM(J$71:J$82),F98-F$22*HLOOKUP($B$22,'GREET IO'!$A$77:$AZ$98,ROW(E98)-ROW(E$89)+1, FALSE)*$I$112-F$23*HLOOKUP($B$23,'GREET IO'!$A$77:$AZ$98,ROW(E98)-ROW(E$89)+1, FALSE)*$I$112-F$24*HLOOKUP($B$24,'GREET IO'!$A$77:$AZ$98,ROW(E98)-ROW(E$89)+1, FALSE)*$I$112-F$25*HLOOKUP($B$25,'GREET IO'!$A$77:$AZ$98,ROW(E98)-ROW(E$89)+1, FALSE)*$I$112-F$26*HLOOKUP($B$26,'GREET IO'!$A$77:$AZ$98,ROW(E98)-ROW(E$89)+1, FALSE)*$I$112-F$27*HLOOKUP($B$27,'GREET IO'!$A$77:$AZ$98,ROW(E98)-ROW(E$89)+1, FALSE)*$I$112))))</f>
        <v>0.66567447920055367</v>
      </c>
      <c r="G121"/>
      <c r="H121"/>
      <c r="I121"/>
      <c r="J121"/>
      <c r="K121"/>
      <c r="L121"/>
      <c r="M121"/>
      <c r="N121"/>
      <c r="O121"/>
    </row>
    <row r="122" spans="2:15">
      <c r="B122" s="159" t="s">
        <v>181</v>
      </c>
      <c r="C122" s="672">
        <f>IF($D$66="No allocation", C99, (IF($D$66="Mass",C99*SUM(C$71:C$82),IF($D$66="Economic value", C99*SUM(G$71:G$82),C99-C$22*HLOOKUP($B$22,'GREET IO'!$A$77:$AZ$98,ROW(B99)-ROW(B$89)+1, FALSE)*$I$112-C$23*HLOOKUP($B$23,'GREET IO'!$A$77:$AZ$98,ROW(B99)-ROW(B$89)+1, FALSE)*$I$112-C$24*HLOOKUP($B$24,'GREET IO'!$A$77:$AZ$98,ROW(B99)-ROW(B$89)+1, FALSE)*$I$112-C$25*HLOOKUP($B$25,'GREET IO'!$A$77:$AZ$98,ROW(B99)-ROW(B$89)+1, FALSE)*$I$112-C$26*HLOOKUP($B$26,'GREET IO'!$A$77:$AZ$98,ROW(B99)-ROW(B$89)+1, FALSE)*$I$112-C$27*HLOOKUP($B$27,'GREET IO'!$A$77:$AZ$98,ROW(B99)-ROW(B$89)+1, FALSE)*$I$112-C$28*HLOOKUP($B$28,'GREET IO'!$A$77:$BC$98,ROW(B99)-ROW(B$89)+1, FALSE)*$I$112))))</f>
        <v>12.730865903630383</v>
      </c>
      <c r="D122" s="672">
        <f>IF($D$66="No allocation", D99, (IF($D$66="Mass",D99*SUM(D$71:D$82),IF($D$66="Economic value", D99*SUM(H$71:H$82),D99-D$22*HLOOKUP($B$22,'GREET IO'!$A$77:$AZ$98,ROW(C99)-ROW(C$89)+1, FALSE)*$I$112-D$23*HLOOKUP($B$23,'GREET IO'!$A$77:$AZ$98,ROW(C99)-ROW(C$89)+1, FALSE)*$I$112-D$24*HLOOKUP($B$24,'GREET IO'!$A$77:$AZ$98,ROW(C99)-ROW(C$89)+1, FALSE)*$I$112-D$25*HLOOKUP($B$25,'GREET IO'!$A$77:$AZ$98,ROW(C99)-ROW(C$89)+1, FALSE)*$I$112-D$26*HLOOKUP($B$26,'GREET IO'!$A$77:$AZ$98,ROW(C99)-ROW(C$89)+1, FALSE)*$I$112-D$27*HLOOKUP($B$27,'GREET IO'!$A$77:$AZ$98,ROW(C99)-ROW(C$89)+1, FALSE)*$I$112))))</f>
        <v>5.2256796901234388</v>
      </c>
      <c r="E122" s="672">
        <f>IF($D$66="No allocation", E99, (IF($D$66="Mass",E99*SUM(E$71:E$82),IF($D$66="Economic value", E99*SUM(I$71:I$82),E99-E$22*HLOOKUP($B$22,'GREET IO'!$A$77:$AZ$98,ROW(D99)-ROW(D$89)+1, FALSE)*$I$112-E$23*HLOOKUP($B$23,'GREET IO'!$A$77:$AZ$98,ROW(D99)-ROW(D$89)+1, FALSE)*$I$112-E$24*HLOOKUP($B$24,'GREET IO'!$A$77:$AZ$98,ROW(D99)-ROW(D$89)+1, FALSE)*$I$112-E$25*HLOOKUP($B$25,'GREET IO'!$A$77:$AZ$98,ROW(D99)-ROW(D$89)+1, FALSE)*$I$112-E$26*HLOOKUP($B$26,'GREET IO'!$A$77:$AZ$98,ROW(D99)-ROW(D$89)+1, FALSE)*$I$112-E$27*HLOOKUP($B$27,'GREET IO'!$A$77:$AZ$98,ROW(D99)-ROW(D$89)+1, FALSE)*$I$112))))</f>
        <v>1.8464281438288612</v>
      </c>
      <c r="F122" s="673">
        <f>IF($D$66="No allocation", F99, (IF($D$66="Mass",F99*SUM(F$71:F$82),IF($D$66="Economic value", F99*SUM(J$71:J$82),F99-F$22*HLOOKUP($B$22,'GREET IO'!$A$77:$AZ$98,ROW(E99)-ROW(E$89)+1, FALSE)*$I$112-F$23*HLOOKUP($B$23,'GREET IO'!$A$77:$AZ$98,ROW(E99)-ROW(E$89)+1, FALSE)*$I$112-F$24*HLOOKUP($B$24,'GREET IO'!$A$77:$AZ$98,ROW(E99)-ROW(E$89)+1, FALSE)*$I$112-F$25*HLOOKUP($B$25,'GREET IO'!$A$77:$AZ$98,ROW(E99)-ROW(E$89)+1, FALSE)*$I$112-F$26*HLOOKUP($B$26,'GREET IO'!$A$77:$AZ$98,ROW(E99)-ROW(E$89)+1, FALSE)*$I$112-F$27*HLOOKUP($B$27,'GREET IO'!$A$77:$AZ$98,ROW(E99)-ROW(E$89)+1, FALSE)*$I$112))))</f>
        <v>1.3082157750971513</v>
      </c>
      <c r="G122"/>
      <c r="H122"/>
      <c r="I122"/>
      <c r="J122"/>
      <c r="K122"/>
      <c r="L122"/>
      <c r="M122"/>
      <c r="N122"/>
      <c r="O122"/>
    </row>
    <row r="123" spans="2:15">
      <c r="B123" s="159" t="s">
        <v>182</v>
      </c>
      <c r="C123" s="672">
        <f>IF($D$66="No allocation", C100, (IF($D$66="Mass",C100*SUM(C$71:C$82),IF($D$66="Economic value", C100*SUM(G$71:G$82),C100-C$22*HLOOKUP($B$22,'GREET IO'!$A$77:$AZ$98,ROW(B100)-ROW(B$89)+1, FALSE)*$I$112-C$23*HLOOKUP($B$23,'GREET IO'!$A$77:$AZ$98,ROW(B100)-ROW(B$89)+1, FALSE)*$I$112-C$24*HLOOKUP($B$24,'GREET IO'!$A$77:$AZ$98,ROW(B100)-ROW(B$89)+1, FALSE)*$I$112-C$25*HLOOKUP($B$25,'GREET IO'!$A$77:$AZ$98,ROW(B100)-ROW(B$89)+1, FALSE)*$I$112-C$26*HLOOKUP($B$26,'GREET IO'!$A$77:$AZ$98,ROW(B100)-ROW(B$89)+1, FALSE)*$I$112-C$27*HLOOKUP($B$27,'GREET IO'!$A$77:$AZ$98,ROW(B100)-ROW(B$89)+1, FALSE)*$I$112-C$28*HLOOKUP($B$28,'GREET IO'!$A$77:$BC$98,ROW(B100)-ROW(B$89)+1, FALSE)*$I$112))))</f>
        <v>26.820055602403158</v>
      </c>
      <c r="D123" s="672">
        <f>IF($D$66="No allocation", D100, (IF($D$66="Mass",D100*SUM(D$71:D$82),IF($D$66="Economic value", D100*SUM(H$71:H$82),D100-D$22*HLOOKUP($B$22,'GREET IO'!$A$77:$AZ$98,ROW(C100)-ROW(C$89)+1, FALSE)*$I$112-D$23*HLOOKUP($B$23,'GREET IO'!$A$77:$AZ$98,ROW(C100)-ROW(C$89)+1, FALSE)*$I$112-D$24*HLOOKUP($B$24,'GREET IO'!$A$77:$AZ$98,ROW(C100)-ROW(C$89)+1, FALSE)*$I$112-D$25*HLOOKUP($B$25,'GREET IO'!$A$77:$AZ$98,ROW(C100)-ROW(C$89)+1, FALSE)*$I$112-D$26*HLOOKUP($B$26,'GREET IO'!$A$77:$AZ$98,ROW(C100)-ROW(C$89)+1, FALSE)*$I$112-D$27*HLOOKUP($B$27,'GREET IO'!$A$77:$AZ$98,ROW(C100)-ROW(C$89)+1, FALSE)*$I$112))))</f>
        <v>10.130166059709698</v>
      </c>
      <c r="E123" s="672">
        <f>IF($D$66="No allocation", E100, (IF($D$66="Mass",E100*SUM(E$71:E$82),IF($D$66="Economic value", E100*SUM(I$71:I$82),E100-E$22*HLOOKUP($B$22,'GREET IO'!$A$77:$AZ$98,ROW(D100)-ROW(D$89)+1, FALSE)*$I$112-E$23*HLOOKUP($B$23,'GREET IO'!$A$77:$AZ$98,ROW(D100)-ROW(D$89)+1, FALSE)*$I$112-E$24*HLOOKUP($B$24,'GREET IO'!$A$77:$AZ$98,ROW(D100)-ROW(D$89)+1, FALSE)*$I$112-E$25*HLOOKUP($B$25,'GREET IO'!$A$77:$AZ$98,ROW(D100)-ROW(D$89)+1, FALSE)*$I$112-E$26*HLOOKUP($B$26,'GREET IO'!$A$77:$AZ$98,ROW(D100)-ROW(D$89)+1, FALSE)*$I$112-E$27*HLOOKUP($B$27,'GREET IO'!$A$77:$AZ$98,ROW(D100)-ROW(D$89)+1, FALSE)*$I$112))))</f>
        <v>3.9259410269340935</v>
      </c>
      <c r="F123" s="673">
        <f>IF($D$66="No allocation", F100, (IF($D$66="Mass",F100*SUM(F$71:F$82),IF($D$66="Economic value", F100*SUM(J$71:J$82),F100-F$22*HLOOKUP($B$22,'GREET IO'!$A$77:$AZ$98,ROW(E100)-ROW(E$89)+1, FALSE)*$I$112-F$23*HLOOKUP($B$23,'GREET IO'!$A$77:$AZ$98,ROW(E100)-ROW(E$89)+1, FALSE)*$I$112-F$24*HLOOKUP($B$24,'GREET IO'!$A$77:$AZ$98,ROW(E100)-ROW(E$89)+1, FALSE)*$I$112-F$25*HLOOKUP($B$25,'GREET IO'!$A$77:$AZ$98,ROW(E100)-ROW(E$89)+1, FALSE)*$I$112-F$26*HLOOKUP($B$26,'GREET IO'!$A$77:$AZ$98,ROW(E100)-ROW(E$89)+1, FALSE)*$I$112-F$27*HLOOKUP($B$27,'GREET IO'!$A$77:$AZ$98,ROW(E100)-ROW(E$89)+1, FALSE)*$I$112))))</f>
        <v>1.6466616496973947</v>
      </c>
      <c r="G123"/>
      <c r="H123"/>
      <c r="I123"/>
      <c r="J123"/>
      <c r="K123"/>
      <c r="L123"/>
      <c r="M123"/>
      <c r="N123"/>
      <c r="O123"/>
    </row>
    <row r="124" spans="2:15">
      <c r="B124" s="159" t="s">
        <v>183</v>
      </c>
      <c r="C124" s="672">
        <f>IF($D$66="No allocation", C101, (IF($D$66="Mass",C101*SUM(C$71:C$82),IF($D$66="Economic value", C101*SUM(G$71:G$82),C101-C$22*HLOOKUP($B$22,'GREET IO'!$A$77:$AZ$98,ROW(B101)-ROW(B$89)+1, FALSE)*$I$112-C$23*HLOOKUP($B$23,'GREET IO'!$A$77:$AZ$98,ROW(B101)-ROW(B$89)+1, FALSE)*$I$112-C$24*HLOOKUP($B$24,'GREET IO'!$A$77:$AZ$98,ROW(B101)-ROW(B$89)+1, FALSE)*$I$112-C$25*HLOOKUP($B$25,'GREET IO'!$A$77:$AZ$98,ROW(B101)-ROW(B$89)+1, FALSE)*$I$112-C$26*HLOOKUP($B$26,'GREET IO'!$A$77:$AZ$98,ROW(B101)-ROW(B$89)+1, FALSE)*$I$112-C$27*HLOOKUP($B$27,'GREET IO'!$A$77:$AZ$98,ROW(B101)-ROW(B$89)+1, FALSE)*$I$112-C$28*HLOOKUP($B$28,'GREET IO'!$A$77:$BC$98,ROW(B101)-ROW(B$89)+1, FALSE)*$I$112))))</f>
        <v>5.2754526042624832</v>
      </c>
      <c r="D124" s="672">
        <f>IF($D$66="No allocation", D101, (IF($D$66="Mass",D101*SUM(D$71:D$82),IF($D$66="Economic value", D101*SUM(H$71:H$82),D101-D$22*HLOOKUP($B$22,'GREET IO'!$A$77:$AZ$98,ROW(C101)-ROW(C$89)+1, FALSE)*$I$112-D$23*HLOOKUP($B$23,'GREET IO'!$A$77:$AZ$98,ROW(C101)-ROW(C$89)+1, FALSE)*$I$112-D$24*HLOOKUP($B$24,'GREET IO'!$A$77:$AZ$98,ROW(C101)-ROW(C$89)+1, FALSE)*$I$112-D$25*HLOOKUP($B$25,'GREET IO'!$A$77:$AZ$98,ROW(C101)-ROW(C$89)+1, FALSE)*$I$112-D$26*HLOOKUP($B$26,'GREET IO'!$A$77:$AZ$98,ROW(C101)-ROW(C$89)+1, FALSE)*$I$112-D$27*HLOOKUP($B$27,'GREET IO'!$A$77:$AZ$98,ROW(C101)-ROW(C$89)+1, FALSE)*$I$112))))</f>
        <v>1.8814710289234322</v>
      </c>
      <c r="E124" s="672">
        <f>IF($D$66="No allocation", E101, (IF($D$66="Mass",E101*SUM(E$71:E$82),IF($D$66="Economic value", E101*SUM(I$71:I$82),E101-E$22*HLOOKUP($B$22,'GREET IO'!$A$77:$AZ$98,ROW(D101)-ROW(D$89)+1, FALSE)*$I$112-E$23*HLOOKUP($B$23,'GREET IO'!$A$77:$AZ$98,ROW(D101)-ROW(D$89)+1, FALSE)*$I$112-E$24*HLOOKUP($B$24,'GREET IO'!$A$77:$AZ$98,ROW(D101)-ROW(D$89)+1, FALSE)*$I$112-E$25*HLOOKUP($B$25,'GREET IO'!$A$77:$AZ$98,ROW(D101)-ROW(D$89)+1, FALSE)*$I$112-E$26*HLOOKUP($B$26,'GREET IO'!$A$77:$AZ$98,ROW(D101)-ROW(D$89)+1, FALSE)*$I$112-E$27*HLOOKUP($B$27,'GREET IO'!$A$77:$AZ$98,ROW(D101)-ROW(D$89)+1, FALSE)*$I$112))))</f>
        <v>0.67989192964226453</v>
      </c>
      <c r="F124" s="673">
        <f>IF($D$66="No allocation", F101, (IF($D$66="Mass",F101*SUM(F$71:F$82),IF($D$66="Economic value", F101*SUM(J$71:J$82),F101-F$22*HLOOKUP($B$22,'GREET IO'!$A$77:$AZ$98,ROW(E101)-ROW(E$89)+1, FALSE)*$I$112-F$23*HLOOKUP($B$23,'GREET IO'!$A$77:$AZ$98,ROW(E101)-ROW(E$89)+1, FALSE)*$I$112-F$24*HLOOKUP($B$24,'GREET IO'!$A$77:$AZ$98,ROW(E101)-ROW(E$89)+1, FALSE)*$I$112-F$25*HLOOKUP($B$25,'GREET IO'!$A$77:$AZ$98,ROW(E101)-ROW(E$89)+1, FALSE)*$I$112-F$26*HLOOKUP($B$26,'GREET IO'!$A$77:$AZ$98,ROW(E101)-ROW(E$89)+1, FALSE)*$I$112-F$27*HLOOKUP($B$27,'GREET IO'!$A$77:$AZ$98,ROW(E101)-ROW(E$89)+1, FALSE)*$I$112))))</f>
        <v>0.21969792427503293</v>
      </c>
      <c r="G124"/>
      <c r="H124"/>
      <c r="I124"/>
      <c r="J124"/>
      <c r="K124"/>
      <c r="L124"/>
      <c r="M124"/>
      <c r="N124"/>
      <c r="O124"/>
    </row>
    <row r="125" spans="2:15">
      <c r="B125" s="159" t="s">
        <v>184</v>
      </c>
      <c r="C125" s="672">
        <f>IF($D$66="No allocation", C102, (IF($D$66="Mass",C102*SUM(C$71:C$82),IF($D$66="Economic value", C102*SUM(G$71:G$82),C102-C$22*HLOOKUP($B$22,'GREET IO'!$A$77:$AZ$98,ROW(B102)-ROW(B$89)+1, FALSE)*$I$112-C$23*HLOOKUP($B$23,'GREET IO'!$A$77:$AZ$98,ROW(B102)-ROW(B$89)+1, FALSE)*$I$112-C$24*HLOOKUP($B$24,'GREET IO'!$A$77:$AZ$98,ROW(B102)-ROW(B$89)+1, FALSE)*$I$112-C$25*HLOOKUP($B$25,'GREET IO'!$A$77:$AZ$98,ROW(B102)-ROW(B$89)+1, FALSE)*$I$112-C$26*HLOOKUP($B$26,'GREET IO'!$A$77:$AZ$98,ROW(B102)-ROW(B$89)+1, FALSE)*$I$112-C$27*HLOOKUP($B$27,'GREET IO'!$A$77:$AZ$98,ROW(B102)-ROW(B$89)+1, FALSE)*$I$112-C$28*HLOOKUP($B$28,'GREET IO'!$A$77:$BC$98,ROW(B102)-ROW(B$89)+1, FALSE)*$I$112))))</f>
        <v>2.4178738261273893</v>
      </c>
      <c r="D125" s="672">
        <f>IF($D$66="No allocation", D102, (IF($D$66="Mass",D102*SUM(D$71:D$82),IF($D$66="Economic value", D102*SUM(H$71:H$82),D102-D$22*HLOOKUP($B$22,'GREET IO'!$A$77:$AZ$98,ROW(C102)-ROW(C$89)+1, FALSE)*$I$112-D$23*HLOOKUP($B$23,'GREET IO'!$A$77:$AZ$98,ROW(C102)-ROW(C$89)+1, FALSE)*$I$112-D$24*HLOOKUP($B$24,'GREET IO'!$A$77:$AZ$98,ROW(C102)-ROW(C$89)+1, FALSE)*$I$112-D$25*HLOOKUP($B$25,'GREET IO'!$A$77:$AZ$98,ROW(C102)-ROW(C$89)+1, FALSE)*$I$112-D$26*HLOOKUP($B$26,'GREET IO'!$A$77:$AZ$98,ROW(C102)-ROW(C$89)+1, FALSE)*$I$112-D$27*HLOOKUP($B$27,'GREET IO'!$A$77:$AZ$98,ROW(C102)-ROW(C$89)+1, FALSE)*$I$112))))</f>
        <v>0.88772968716800826</v>
      </c>
      <c r="E125" s="672">
        <f>IF($D$66="No allocation", E102, (IF($D$66="Mass",E102*SUM(E$71:E$82),IF($D$66="Economic value", E102*SUM(I$71:I$82),E102-E$22*HLOOKUP($B$22,'GREET IO'!$A$77:$AZ$98,ROW(D102)-ROW(D$89)+1, FALSE)*$I$112-E$23*HLOOKUP($B$23,'GREET IO'!$A$77:$AZ$98,ROW(D102)-ROW(D$89)+1, FALSE)*$I$112-E$24*HLOOKUP($B$24,'GREET IO'!$A$77:$AZ$98,ROW(D102)-ROW(D$89)+1, FALSE)*$I$112-E$25*HLOOKUP($B$25,'GREET IO'!$A$77:$AZ$98,ROW(D102)-ROW(D$89)+1, FALSE)*$I$112-E$26*HLOOKUP($B$26,'GREET IO'!$A$77:$AZ$98,ROW(D102)-ROW(D$89)+1, FALSE)*$I$112-E$27*HLOOKUP($B$27,'GREET IO'!$A$77:$AZ$98,ROW(D102)-ROW(D$89)+1, FALSE)*$I$112))))</f>
        <v>0.35668641899153558</v>
      </c>
      <c r="F125" s="673">
        <f>IF($D$66="No allocation", F102, (IF($D$66="Mass",F102*SUM(F$71:F$82),IF($D$66="Economic value", F102*SUM(J$71:J$82),F102-F$22*HLOOKUP($B$22,'GREET IO'!$A$77:$AZ$98,ROW(E102)-ROW(E$89)+1, FALSE)*$I$112-F$23*HLOOKUP($B$23,'GREET IO'!$A$77:$AZ$98,ROW(E102)-ROW(E$89)+1, FALSE)*$I$112-F$24*HLOOKUP($B$24,'GREET IO'!$A$77:$AZ$98,ROW(E102)-ROW(E$89)+1, FALSE)*$I$112-F$25*HLOOKUP($B$25,'GREET IO'!$A$77:$AZ$98,ROW(E102)-ROW(E$89)+1, FALSE)*$I$112-F$26*HLOOKUP($B$26,'GREET IO'!$A$77:$AZ$98,ROW(E102)-ROW(E$89)+1, FALSE)*$I$112-F$27*HLOOKUP($B$27,'GREET IO'!$A$77:$AZ$98,ROW(E102)-ROW(E$89)+1, FALSE)*$I$112))))</f>
        <v>0.1152211543686561</v>
      </c>
      <c r="G125"/>
      <c r="H125"/>
      <c r="I125"/>
      <c r="J125"/>
      <c r="K125"/>
      <c r="L125"/>
      <c r="M125"/>
      <c r="N125"/>
      <c r="O125"/>
    </row>
    <row r="126" spans="2:15">
      <c r="B126" s="159" t="s">
        <v>185</v>
      </c>
      <c r="C126" s="672">
        <f>IF($D$66="No allocation", C103, (IF($D$66="Mass",C103*SUM(C$71:C$82),IF($D$66="Economic value", C103*SUM(G$71:G$82),C103-C$22*HLOOKUP($B$22,'GREET IO'!$A$77:$AZ$98,ROW(B103)-ROW(B$89)+1, FALSE)*$I$112-C$23*HLOOKUP($B$23,'GREET IO'!$A$77:$AZ$98,ROW(B103)-ROW(B$89)+1, FALSE)*$I$112-C$24*HLOOKUP($B$24,'GREET IO'!$A$77:$AZ$98,ROW(B103)-ROW(B$89)+1, FALSE)*$I$112-C$25*HLOOKUP($B$25,'GREET IO'!$A$77:$AZ$98,ROW(B103)-ROW(B$89)+1, FALSE)*$I$112-C$26*HLOOKUP($B$26,'GREET IO'!$A$77:$AZ$98,ROW(B103)-ROW(B$89)+1, FALSE)*$I$112-C$27*HLOOKUP($B$27,'GREET IO'!$A$77:$AZ$98,ROW(B103)-ROW(B$89)+1, FALSE)*$I$112-C$28*HLOOKUP($B$28,'GREET IO'!$A$77:$BC$98,ROW(B103)-ROW(B$89)+1, FALSE)*$I$112))))</f>
        <v>33.758537914864121</v>
      </c>
      <c r="D126" s="672">
        <f>IF($D$66="No allocation", D103, (IF($D$66="Mass",D103*SUM(D$71:D$82),IF($D$66="Economic value", D103*SUM(H$71:H$82),D103-D$22*HLOOKUP($B$22,'GREET IO'!$A$77:$AZ$98,ROW(C103)-ROW(C$89)+1, FALSE)*$I$112-D$23*HLOOKUP($B$23,'GREET IO'!$A$77:$AZ$98,ROW(C103)-ROW(C$89)+1, FALSE)*$I$112-D$24*HLOOKUP($B$24,'GREET IO'!$A$77:$AZ$98,ROW(C103)-ROW(C$89)+1, FALSE)*$I$112-D$25*HLOOKUP($B$25,'GREET IO'!$A$77:$AZ$98,ROW(C103)-ROW(C$89)+1, FALSE)*$I$112-D$26*HLOOKUP($B$26,'GREET IO'!$A$77:$AZ$98,ROW(C103)-ROW(C$89)+1, FALSE)*$I$112-D$27*HLOOKUP($B$27,'GREET IO'!$A$77:$AZ$98,ROW(C103)-ROW(C$89)+1, FALSE)*$I$112))))</f>
        <v>12.804213742468123</v>
      </c>
      <c r="E126" s="672">
        <f>IF($D$66="No allocation", E103, (IF($D$66="Mass",E103*SUM(E$71:E$82),IF($D$66="Economic value", E103*SUM(I$71:I$82),E103-E$22*HLOOKUP($B$22,'GREET IO'!$A$77:$AZ$98,ROW(D103)-ROW(D$89)+1, FALSE)*$I$112-E$23*HLOOKUP($B$23,'GREET IO'!$A$77:$AZ$98,ROW(D103)-ROW(D$89)+1, FALSE)*$I$112-E$24*HLOOKUP($B$24,'GREET IO'!$A$77:$AZ$98,ROW(D103)-ROW(D$89)+1, FALSE)*$I$112-E$25*HLOOKUP($B$25,'GREET IO'!$A$77:$AZ$98,ROW(D103)-ROW(D$89)+1, FALSE)*$I$112-E$26*HLOOKUP($B$26,'GREET IO'!$A$77:$AZ$98,ROW(D103)-ROW(D$89)+1, FALSE)*$I$112-E$27*HLOOKUP($B$27,'GREET IO'!$A$77:$AZ$98,ROW(D103)-ROW(D$89)+1, FALSE)*$I$112))))</f>
        <v>4.0950671221579231</v>
      </c>
      <c r="F126" s="673">
        <f>IF($D$66="No allocation", F103, (IF($D$66="Mass",F103*SUM(F$71:F$82),IF($D$66="Economic value", F103*SUM(J$71:J$82),F103-F$22*HLOOKUP($B$22,'GREET IO'!$A$77:$AZ$98,ROW(E103)-ROW(E$89)+1, FALSE)*$I$112-F$23*HLOOKUP($B$23,'GREET IO'!$A$77:$AZ$98,ROW(E103)-ROW(E$89)+1, FALSE)*$I$112-F$24*HLOOKUP($B$24,'GREET IO'!$A$77:$AZ$98,ROW(E103)-ROW(E$89)+1, FALSE)*$I$112-F$25*HLOOKUP($B$25,'GREET IO'!$A$77:$AZ$98,ROW(E103)-ROW(E$89)+1, FALSE)*$I$112-F$26*HLOOKUP($B$26,'GREET IO'!$A$77:$AZ$98,ROW(E103)-ROW(E$89)+1, FALSE)*$I$112-F$27*HLOOKUP($B$27,'GREET IO'!$A$77:$AZ$98,ROW(E103)-ROW(E$89)+1, FALSE)*$I$112))))</f>
        <v>1.9166846440128653</v>
      </c>
      <c r="G126"/>
      <c r="H126"/>
      <c r="I126"/>
      <c r="J126"/>
      <c r="K126"/>
      <c r="L126"/>
      <c r="M126"/>
      <c r="N126"/>
      <c r="O126"/>
    </row>
    <row r="127" spans="2:15">
      <c r="B127" s="159" t="s">
        <v>186</v>
      </c>
      <c r="C127" s="672">
        <f>IF($D$66="No allocation", C104, (IF($D$66="Mass",C104*SUM(C$71:C$82),IF($D$66="Economic value", C104*SUM(G$71:G$82),C104-C$22*HLOOKUP($B$22,'GREET IO'!$A$77:$AZ$98,ROW(B104)-ROW(B$89)+1, FALSE)*$I$112-C$23*HLOOKUP($B$23,'GREET IO'!$A$77:$AZ$98,ROW(B104)-ROW(B$89)+1, FALSE)*$I$112-C$24*HLOOKUP($B$24,'GREET IO'!$A$77:$AZ$98,ROW(B104)-ROW(B$89)+1, FALSE)*$I$112-C$25*HLOOKUP($B$25,'GREET IO'!$A$77:$AZ$98,ROW(B104)-ROW(B$89)+1, FALSE)*$I$112-C$26*HLOOKUP($B$26,'GREET IO'!$A$77:$AZ$98,ROW(B104)-ROW(B$89)+1, FALSE)*$I$112-C$27*HLOOKUP($B$27,'GREET IO'!$A$77:$AZ$98,ROW(B104)-ROW(B$89)+1, FALSE)*$I$112-C$28*HLOOKUP($B$28,'GREET IO'!$A$77:$BC$98,ROW(B104)-ROW(B$89)+1, FALSE)*$I$112))))</f>
        <v>0.1229278650203338</v>
      </c>
      <c r="D127" s="672">
        <f>IF($D$66="No allocation", D104, (IF($D$66="Mass",D104*SUM(D$71:D$82),IF($D$66="Economic value", D104*SUM(H$71:H$82),D104-D$22*HLOOKUP($B$22,'GREET IO'!$A$77:$AZ$98,ROW(C104)-ROW(C$89)+1, FALSE)*$I$112-D$23*HLOOKUP($B$23,'GREET IO'!$A$77:$AZ$98,ROW(C104)-ROW(C$89)+1, FALSE)*$I$112-D$24*HLOOKUP($B$24,'GREET IO'!$A$77:$AZ$98,ROW(C104)-ROW(C$89)+1, FALSE)*$I$112-D$25*HLOOKUP($B$25,'GREET IO'!$A$77:$AZ$98,ROW(C104)-ROW(C$89)+1, FALSE)*$I$112-D$26*HLOOKUP($B$26,'GREET IO'!$A$77:$AZ$98,ROW(C104)-ROW(C$89)+1, FALSE)*$I$112-D$27*HLOOKUP($B$27,'GREET IO'!$A$77:$AZ$98,ROW(C104)-ROW(C$89)+1, FALSE)*$I$112))))</f>
        <v>4.959449024184856E-2</v>
      </c>
      <c r="E127" s="672">
        <f>IF($D$66="No allocation", E104, (IF($D$66="Mass",E104*SUM(E$71:E$82),IF($D$66="Economic value", E104*SUM(I$71:I$82),E104-E$22*HLOOKUP($B$22,'GREET IO'!$A$77:$AZ$98,ROW(D104)-ROW(D$89)+1, FALSE)*$I$112-E$23*HLOOKUP($B$23,'GREET IO'!$A$77:$AZ$98,ROW(D104)-ROW(D$89)+1, FALSE)*$I$112-E$24*HLOOKUP($B$24,'GREET IO'!$A$77:$AZ$98,ROW(D104)-ROW(D$89)+1, FALSE)*$I$112-E$25*HLOOKUP($B$25,'GREET IO'!$A$77:$AZ$98,ROW(D104)-ROW(D$89)+1, FALSE)*$I$112-E$26*HLOOKUP($B$26,'GREET IO'!$A$77:$AZ$98,ROW(D104)-ROW(D$89)+1, FALSE)*$I$112-E$27*HLOOKUP($B$27,'GREET IO'!$A$77:$AZ$98,ROW(D104)-ROW(D$89)+1, FALSE)*$I$112))))</f>
        <v>3.1679150752356111E-2</v>
      </c>
      <c r="F127" s="673">
        <f>IF($D$66="No allocation", F104, (IF($D$66="Mass",F104*SUM(F$71:F$82),IF($D$66="Economic value", F104*SUM(J$71:J$82),F104-F$22*HLOOKUP($B$22,'GREET IO'!$A$77:$AZ$98,ROW(E104)-ROW(E$89)+1, FALSE)*$I$112-F$23*HLOOKUP($B$23,'GREET IO'!$A$77:$AZ$98,ROW(E104)-ROW(E$89)+1, FALSE)*$I$112-F$24*HLOOKUP($B$24,'GREET IO'!$A$77:$AZ$98,ROW(E104)-ROW(E$89)+1, FALSE)*$I$112-F$25*HLOOKUP($B$25,'GREET IO'!$A$77:$AZ$98,ROW(E104)-ROW(E$89)+1, FALSE)*$I$112-F$26*HLOOKUP($B$26,'GREET IO'!$A$77:$AZ$98,ROW(E104)-ROW(E$89)+1, FALSE)*$I$112-F$27*HLOOKUP($B$27,'GREET IO'!$A$77:$AZ$98,ROW(E104)-ROW(E$89)+1, FALSE)*$I$112))))</f>
        <v>1.0289383706791439E-2</v>
      </c>
      <c r="G127"/>
      <c r="H127"/>
      <c r="I127"/>
      <c r="J127"/>
    </row>
    <row r="128" spans="2:15">
      <c r="B128" s="159" t="s">
        <v>187</v>
      </c>
      <c r="C128" s="672">
        <f>IF($D$66="No allocation", C105, (IF($D$66="Mass",C105*SUM(C$71:C$82),IF($D$66="Economic value", C105*SUM(G$71:G$82),C105-C$22*HLOOKUP($B$22,'GREET IO'!$A$77:$AZ$98,ROW(B105)-ROW(B$89)+1, FALSE)*$I$112-C$23*HLOOKUP($B$23,'GREET IO'!$A$77:$AZ$98,ROW(B105)-ROW(B$89)+1, FALSE)*$I$112-C$24*HLOOKUP($B$24,'GREET IO'!$A$77:$AZ$98,ROW(B105)-ROW(B$89)+1, FALSE)*$I$112-C$25*HLOOKUP($B$25,'GREET IO'!$A$77:$AZ$98,ROW(B105)-ROW(B$89)+1, FALSE)*$I$112-C$26*HLOOKUP($B$26,'GREET IO'!$A$77:$AZ$98,ROW(B105)-ROW(B$89)+1, FALSE)*$I$112-C$27*HLOOKUP($B$27,'GREET IO'!$A$77:$AZ$98,ROW(B105)-ROW(B$89)+1, FALSE)*$I$112-C$28*HLOOKUP($B$28,'GREET IO'!$A$77:$BC$98,ROW(B105)-ROW(B$89)+1, FALSE)*$I$112))))</f>
        <v>0.23969012884767441</v>
      </c>
      <c r="D128" s="672">
        <f>IF($D$66="No allocation", D105, (IF($D$66="Mass",D105*SUM(D$71:D$82),IF($D$66="Economic value", D105*SUM(H$71:H$82),D105-D$22*HLOOKUP($B$22,'GREET IO'!$A$77:$AZ$98,ROW(C105)-ROW(C$89)+1, FALSE)*$I$112-D$23*HLOOKUP($B$23,'GREET IO'!$A$77:$AZ$98,ROW(C105)-ROW(C$89)+1, FALSE)*$I$112-D$24*HLOOKUP($B$24,'GREET IO'!$A$77:$AZ$98,ROW(C105)-ROW(C$89)+1, FALSE)*$I$112-D$25*HLOOKUP($B$25,'GREET IO'!$A$77:$AZ$98,ROW(C105)-ROW(C$89)+1, FALSE)*$I$112-D$26*HLOOKUP($B$26,'GREET IO'!$A$77:$AZ$98,ROW(C105)-ROW(C$89)+1, FALSE)*$I$112-D$27*HLOOKUP($B$27,'GREET IO'!$A$77:$AZ$98,ROW(C105)-ROW(C$89)+1, FALSE)*$I$112))))</f>
        <v>0.10206121891576506</v>
      </c>
      <c r="E128" s="672">
        <f>IF($D$66="No allocation", E105, (IF($D$66="Mass",E105*SUM(E$71:E$82),IF($D$66="Economic value", E105*SUM(I$71:I$82),E105-E$22*HLOOKUP($B$22,'GREET IO'!$A$77:$AZ$98,ROW(D105)-ROW(D$89)+1, FALSE)*$I$112-E$23*HLOOKUP($B$23,'GREET IO'!$A$77:$AZ$98,ROW(D105)-ROW(D$89)+1, FALSE)*$I$112-E$24*HLOOKUP($B$24,'GREET IO'!$A$77:$AZ$98,ROW(D105)-ROW(D$89)+1, FALSE)*$I$112-E$25*HLOOKUP($B$25,'GREET IO'!$A$77:$AZ$98,ROW(D105)-ROW(D$89)+1, FALSE)*$I$112-E$26*HLOOKUP($B$26,'GREET IO'!$A$77:$AZ$98,ROW(D105)-ROW(D$89)+1, FALSE)*$I$112-E$27*HLOOKUP($B$27,'GREET IO'!$A$77:$AZ$98,ROW(D105)-ROW(D$89)+1, FALSE)*$I$112))))</f>
        <v>5.2611924487004635E-2</v>
      </c>
      <c r="F128" s="673">
        <f>IF($D$66="No allocation", F105, (IF($D$66="Mass",F105*SUM(F$71:F$82),IF($D$66="Economic value", F105*SUM(J$71:J$82),F105-F$22*HLOOKUP($B$22,'GREET IO'!$A$77:$AZ$98,ROW(E105)-ROW(E$89)+1, FALSE)*$I$112-F$23*HLOOKUP($B$23,'GREET IO'!$A$77:$AZ$98,ROW(E105)-ROW(E$89)+1, FALSE)*$I$112-F$24*HLOOKUP($B$24,'GREET IO'!$A$77:$AZ$98,ROW(E105)-ROW(E$89)+1, FALSE)*$I$112-F$25*HLOOKUP($B$25,'GREET IO'!$A$77:$AZ$98,ROW(E105)-ROW(E$89)+1, FALSE)*$I$112-F$26*HLOOKUP($B$26,'GREET IO'!$A$77:$AZ$98,ROW(E105)-ROW(E$89)+1, FALSE)*$I$112-F$27*HLOOKUP($B$27,'GREET IO'!$A$77:$AZ$98,ROW(E105)-ROW(E$89)+1, FALSE)*$I$112))))</f>
        <v>2.1027771799538499E-2</v>
      </c>
      <c r="G128"/>
      <c r="H128"/>
      <c r="I128"/>
      <c r="K128"/>
      <c r="L128"/>
      <c r="M128"/>
      <c r="N128"/>
      <c r="O128"/>
    </row>
    <row r="129" spans="2:15">
      <c r="B129" s="159" t="s">
        <v>188</v>
      </c>
      <c r="C129" s="672">
        <f>IF($D$66="No allocation", C106, (IF($D$66="Mass",C106*SUM(C$71:C$82),IF($D$66="Economic value", C106*SUM(G$71:G$82),C106-C$22*HLOOKUP($B$22,'GREET IO'!$A$77:$AZ$98,ROW(B106)-ROW(B$89)+1, FALSE)*$I$112-C$23*HLOOKUP($B$23,'GREET IO'!$A$77:$AZ$98,ROW(B106)-ROW(B$89)+1, FALSE)*$I$112-C$24*HLOOKUP($B$24,'GREET IO'!$A$77:$AZ$98,ROW(B106)-ROW(B$89)+1, FALSE)*$I$112-C$25*HLOOKUP($B$25,'GREET IO'!$A$77:$AZ$98,ROW(B106)-ROW(B$89)+1, FALSE)*$I$112-C$26*HLOOKUP($B$26,'GREET IO'!$A$77:$AZ$98,ROW(B106)-ROW(B$89)+1, FALSE)*$I$112-C$27*HLOOKUP($B$27,'GREET IO'!$A$77:$AZ$98,ROW(B106)-ROW(B$89)+1, FALSE)*$I$112-C$28*HLOOKUP($B$28,'GREET IO'!$A$77:$BC$98,ROW(B106)-ROW(B$89)+1, FALSE)*$I$112))))</f>
        <v>55.313301001257834</v>
      </c>
      <c r="D129" s="672">
        <f>IF($D$66="No allocation", D106, (IF($D$66="Mass",D106*SUM(D$71:D$82),IF($D$66="Economic value", D106*SUM(H$71:H$82),D106-D$22*HLOOKUP($B$22,'GREET IO'!$A$77:$AZ$98,ROW(C106)-ROW(C$89)+1, FALSE)*$I$112-D$23*HLOOKUP($B$23,'GREET IO'!$A$77:$AZ$98,ROW(C106)-ROW(C$89)+1, FALSE)*$I$112-D$24*HLOOKUP($B$24,'GREET IO'!$A$77:$AZ$98,ROW(C106)-ROW(C$89)+1, FALSE)*$I$112-D$25*HLOOKUP($B$25,'GREET IO'!$A$77:$AZ$98,ROW(C106)-ROW(C$89)+1, FALSE)*$I$112-D$26*HLOOKUP($B$26,'GREET IO'!$A$77:$AZ$98,ROW(C106)-ROW(C$89)+1, FALSE)*$I$112-D$27*HLOOKUP($B$27,'GREET IO'!$A$77:$AZ$98,ROW(C106)-ROW(C$89)+1, FALSE)*$I$112))))</f>
        <v>21.888530814869934</v>
      </c>
      <c r="E129" s="672">
        <f>IF($D$66="No allocation", E106, (IF($D$66="Mass",E106*SUM(E$71:E$82),IF($D$66="Economic value", E106*SUM(I$71:I$82),E106-E$22*HLOOKUP($B$22,'GREET IO'!$A$77:$AZ$98,ROW(D106)-ROW(D$89)+1, FALSE)*$I$112-E$23*HLOOKUP($B$23,'GREET IO'!$A$77:$AZ$98,ROW(D106)-ROW(D$89)+1, FALSE)*$I$112-E$24*HLOOKUP($B$24,'GREET IO'!$A$77:$AZ$98,ROW(D106)-ROW(D$89)+1, FALSE)*$I$112-E$25*HLOOKUP($B$25,'GREET IO'!$A$77:$AZ$98,ROW(D106)-ROW(D$89)+1, FALSE)*$I$112-E$26*HLOOKUP($B$26,'GREET IO'!$A$77:$AZ$98,ROW(D106)-ROW(D$89)+1, FALSE)*$I$112-E$27*HLOOKUP($B$27,'GREET IO'!$A$77:$AZ$98,ROW(D106)-ROW(D$89)+1, FALSE)*$I$112))))</f>
        <v>6.4599704735436498</v>
      </c>
      <c r="F129" s="673">
        <f>IF($D$66="No allocation", F106, (IF($D$66="Mass",F106*SUM(F$71:F$82),IF($D$66="Economic value", F106*SUM(J$71:J$82),F106-F$22*HLOOKUP($B$22,'GREET IO'!$A$77:$AZ$98,ROW(E106)-ROW(E$89)+1, FALSE)*$I$112-F$23*HLOOKUP($B$23,'GREET IO'!$A$77:$AZ$98,ROW(E106)-ROW(E$89)+1, FALSE)*$I$112-F$24*HLOOKUP($B$24,'GREET IO'!$A$77:$AZ$98,ROW(E106)-ROW(E$89)+1, FALSE)*$I$112-F$25*HLOOKUP($B$25,'GREET IO'!$A$77:$AZ$98,ROW(E106)-ROW(E$89)+1, FALSE)*$I$112-F$26*HLOOKUP($B$26,'GREET IO'!$A$77:$AZ$98,ROW(E106)-ROW(E$89)+1, FALSE)*$I$112-F$27*HLOOKUP($B$27,'GREET IO'!$A$77:$AZ$98,ROW(E106)-ROW(E$89)+1, FALSE)*$I$112))))</f>
        <v>4.8334729414997266</v>
      </c>
      <c r="G129"/>
      <c r="H129"/>
      <c r="I129"/>
      <c r="J129"/>
      <c r="K129"/>
      <c r="L129"/>
      <c r="M129"/>
      <c r="N129"/>
      <c r="O129"/>
    </row>
    <row r="130" spans="2:15">
      <c r="B130" s="159" t="s">
        <v>189</v>
      </c>
      <c r="C130" s="672">
        <f>IF($D$66="No allocation", C107, (IF($D$66="Mass",C107*SUM(C$71:C$82),IF($D$66="Economic value", C107*SUM(G$71:G$82),C107-C$22*HLOOKUP($B$22,'GREET IO'!$A$77:$AZ$98,ROW(B107)-ROW(B$89)+1, FALSE)*$I$112-C$23*HLOOKUP($B$23,'GREET IO'!$A$77:$AZ$98,ROW(B107)-ROW(B$89)+1, FALSE)*$I$112-C$24*HLOOKUP($B$24,'GREET IO'!$A$77:$AZ$98,ROW(B107)-ROW(B$89)+1, FALSE)*$I$112-C$25*HLOOKUP($B$25,'GREET IO'!$A$77:$AZ$98,ROW(B107)-ROW(B$89)+1, FALSE)*$I$112-C$26*HLOOKUP($B$26,'GREET IO'!$A$77:$AZ$98,ROW(B107)-ROW(B$89)+1, FALSE)*$I$112-C$27*HLOOKUP($B$27,'GREET IO'!$A$77:$AZ$98,ROW(B107)-ROW(B$89)+1, FALSE)*$I$112-C$28*HLOOKUP($B$28,'GREET IO'!$A$77:$BC$98,ROW(B107)-ROW(B$89)+1, FALSE)*$I$112))))</f>
        <v>0.81585750074272778</v>
      </c>
      <c r="D130" s="672">
        <f>IF($D$66="No allocation", D107, (IF($D$66="Mass",D107*SUM(D$71:D$82),IF($D$66="Economic value", D107*SUM(H$71:H$82),D107-D$22*HLOOKUP($B$22,'GREET IO'!$A$77:$AZ$98,ROW(C107)-ROW(C$89)+1, FALSE)*$I$112-D$23*HLOOKUP($B$23,'GREET IO'!$A$77:$AZ$98,ROW(C107)-ROW(C$89)+1, FALSE)*$I$112-D$24*HLOOKUP($B$24,'GREET IO'!$A$77:$AZ$98,ROW(C107)-ROW(C$89)+1, FALSE)*$I$112-D$25*HLOOKUP($B$25,'GREET IO'!$A$77:$AZ$98,ROW(C107)-ROW(C$89)+1, FALSE)*$I$112-D$26*HLOOKUP($B$26,'GREET IO'!$A$77:$AZ$98,ROW(C107)-ROW(C$89)+1, FALSE)*$I$112-D$27*HLOOKUP($B$27,'GREET IO'!$A$77:$AZ$98,ROW(C107)-ROW(C$89)+1, FALSE)*$I$112))))</f>
        <v>0.29465688911587384</v>
      </c>
      <c r="E130" s="672">
        <f>IF($D$66="No allocation", E107, (IF($D$66="Mass",E107*SUM(E$71:E$82),IF($D$66="Economic value", E107*SUM(I$71:I$82),E107-E$22*HLOOKUP($B$22,'GREET IO'!$A$77:$AZ$98,ROW(D107)-ROW(D$89)+1, FALSE)*$I$112-E$23*HLOOKUP($B$23,'GREET IO'!$A$77:$AZ$98,ROW(D107)-ROW(D$89)+1, FALSE)*$I$112-E$24*HLOOKUP($B$24,'GREET IO'!$A$77:$AZ$98,ROW(D107)-ROW(D$89)+1, FALSE)*$I$112-E$25*HLOOKUP($B$25,'GREET IO'!$A$77:$AZ$98,ROW(D107)-ROW(D$89)+1, FALSE)*$I$112-E$26*HLOOKUP($B$26,'GREET IO'!$A$77:$AZ$98,ROW(D107)-ROW(D$89)+1, FALSE)*$I$112-E$27*HLOOKUP($B$27,'GREET IO'!$A$77:$AZ$98,ROW(D107)-ROW(D$89)+1, FALSE)*$I$112))))</f>
        <v>8.7406464044734983E-2</v>
      </c>
      <c r="F130" s="673">
        <f>IF($D$66="No allocation", F107, (IF($D$66="Mass",F107*SUM(F$71:F$82),IF($D$66="Economic value", F107*SUM(J$71:J$82),F107-F$22*HLOOKUP($B$22,'GREET IO'!$A$77:$AZ$98,ROW(E107)-ROW(E$89)+1, FALSE)*$I$112-F$23*HLOOKUP($B$23,'GREET IO'!$A$77:$AZ$98,ROW(E107)-ROW(E$89)+1, FALSE)*$I$112-F$24*HLOOKUP($B$24,'GREET IO'!$A$77:$AZ$98,ROW(E107)-ROW(E$89)+1, FALSE)*$I$112-F$25*HLOOKUP($B$25,'GREET IO'!$A$77:$AZ$98,ROW(E107)-ROW(E$89)+1, FALSE)*$I$112-F$26*HLOOKUP($B$26,'GREET IO'!$A$77:$AZ$98,ROW(E107)-ROW(E$89)+1, FALSE)*$I$112-F$27*HLOOKUP($B$27,'GREET IO'!$A$77:$AZ$98,ROW(E107)-ROW(E$89)+1, FALSE)*$I$112))))</f>
        <v>3.8972448196258898E-2</v>
      </c>
      <c r="G130"/>
      <c r="H130"/>
      <c r="I130"/>
      <c r="J130"/>
      <c r="K130"/>
      <c r="L130"/>
      <c r="M130"/>
      <c r="N130"/>
      <c r="O130"/>
    </row>
    <row r="131" spans="2:15">
      <c r="B131" s="159" t="s">
        <v>190</v>
      </c>
      <c r="C131" s="677">
        <f>IF($D$66="No allocation", C108, (IF($D$66="Mass",C108*SUM(C$71:C$82),IF($D$66="Economic value", C108*SUM(G$71:G$82),C108-C$22*HLOOKUP($B$22,'GREET IO'!$A$77:$AZ$98,ROW(B108)-ROW(B$89)+1, FALSE)*$I$112-C$23*HLOOKUP($B$23,'GREET IO'!$A$77:$AZ$98,ROW(B108)-ROW(B$89)+1, FALSE)*$I$112-C$24*HLOOKUP($B$24,'GREET IO'!$A$77:$AZ$98,ROW(B108)-ROW(B$89)+1, FALSE)*$I$112-C$25*HLOOKUP($B$25,'GREET IO'!$A$77:$AZ$98,ROW(B108)-ROW(B$89)+1, FALSE)*$I$112-C$26*HLOOKUP($B$26,'GREET IO'!$A$77:$AZ$98,ROW(B108)-ROW(B$89)+1, FALSE)*$I$112-C$27*HLOOKUP($B$27,'GREET IO'!$A$77:$AZ$98,ROW(B108)-ROW(B$89)+1, FALSE)*$I$112-C$28*HLOOKUP($B$28,'GREET IO'!$A$77:$BC$98,ROW(B108)-ROW(B$89)+1, FALSE)*$I$112))))</f>
        <v>34867.133751789261</v>
      </c>
      <c r="D131" s="677">
        <f>IF($D$66="No allocation", D108, (IF($D$66="Mass",D108*SUM(D$71:D$82),IF($D$66="Economic value", D108*SUM(H$71:H$82),D108-D$22*HLOOKUP($B$22,'GREET IO'!$A$77:$AZ$98,ROW(C108)-ROW(C$89)+1, FALSE)*$I$112-D$23*HLOOKUP($B$23,'GREET IO'!$A$77:$AZ$98,ROW(C108)-ROW(C$89)+1, FALSE)*$I$112-D$24*HLOOKUP($B$24,'GREET IO'!$A$77:$AZ$98,ROW(C108)-ROW(C$89)+1, FALSE)*$I$112-D$25*HLOOKUP($B$25,'GREET IO'!$A$77:$AZ$98,ROW(C108)-ROW(C$89)+1, FALSE)*$I$112-D$26*HLOOKUP($B$26,'GREET IO'!$A$77:$AZ$98,ROW(C108)-ROW(C$89)+1, FALSE)*$I$112-D$27*HLOOKUP($B$27,'GREET IO'!$A$77:$AZ$98,ROW(C108)-ROW(C$89)+1, FALSE)*$I$112))))</f>
        <v>12207.098827426582</v>
      </c>
      <c r="E131" s="677">
        <f>IF($D$66="No allocation", E108, (IF($D$66="Mass",E108*SUM(E$71:E$82),IF($D$66="Economic value", E108*SUM(I$71:I$82),E108-E$22*HLOOKUP($B$22,'GREET IO'!$A$77:$AZ$98,ROW(D108)-ROW(D$89)+1, FALSE)*$I$112-E$23*HLOOKUP($B$23,'GREET IO'!$A$77:$AZ$98,ROW(D108)-ROW(D$89)+1, FALSE)*$I$112-E$24*HLOOKUP($B$24,'GREET IO'!$A$77:$AZ$98,ROW(D108)-ROW(D$89)+1, FALSE)*$I$112-E$25*HLOOKUP($B$25,'GREET IO'!$A$77:$AZ$98,ROW(D108)-ROW(D$89)+1, FALSE)*$I$112-E$26*HLOOKUP($B$26,'GREET IO'!$A$77:$AZ$98,ROW(D108)-ROW(D$89)+1, FALSE)*$I$112-E$27*HLOOKUP($B$27,'GREET IO'!$A$77:$AZ$98,ROW(D108)-ROW(D$89)+1, FALSE)*$I$112))))</f>
        <v>4081.6514062877122</v>
      </c>
      <c r="F131" s="677">
        <f>IF($D$66="No allocation", F108, (IF($D$66="Mass",F108*SUM(F$71:F$82),IF($D$66="Economic value", F108*SUM(J$71:J$82),F108-F$22*HLOOKUP($B$22,'GREET IO'!$A$77:$AZ$98,ROW(E108)-ROW(E$89)+1, FALSE)*$I$112-F$23*HLOOKUP($B$23,'GREET IO'!$A$77:$AZ$98,ROW(E108)-ROW(E$89)+1, FALSE)*$I$112-F$24*HLOOKUP($B$24,'GREET IO'!$A$77:$AZ$98,ROW(E108)-ROW(E$89)+1, FALSE)*$I$112-F$25*HLOOKUP($B$25,'GREET IO'!$A$77:$AZ$98,ROW(E108)-ROW(E$89)+1, FALSE)*$I$112-F$26*HLOOKUP($B$26,'GREET IO'!$A$77:$AZ$98,ROW(E108)-ROW(E$89)+1, FALSE)*$I$112-F$27*HLOOKUP($B$27,'GREET IO'!$A$77:$AZ$98,ROW(E108)-ROW(E$89)+1, FALSE)*$I$112))))</f>
        <v>1702.7684537448063</v>
      </c>
      <c r="G131"/>
      <c r="H131"/>
      <c r="I131"/>
      <c r="J131"/>
      <c r="K131"/>
      <c r="L131"/>
      <c r="M131"/>
      <c r="N131"/>
      <c r="O131"/>
    </row>
    <row r="132" spans="2:15">
      <c r="B132" s="159" t="s">
        <v>198</v>
      </c>
      <c r="C132" s="677">
        <f>IF($D$66="No allocation", C109, (IF($D$66="Mass",C109*SUM(C$71:C$82),IF($D$66="Economic value", C109*SUM(G$71:G$82),C109-C$22*HLOOKUP($B$22,'GREET IO'!$A$77:$AZ$98,ROW(B109)-ROW(B$89)+1, FALSE)*$I$112-C$23*HLOOKUP($B$23,'GREET IO'!$A$77:$AZ$98,ROW(B109)-ROW(B$89)+1, FALSE)*$I$112-C$24*HLOOKUP($B$24,'GREET IO'!$A$77:$AZ$98,ROW(B109)-ROW(B$89)+1, FALSE)*$I$112-C$25*HLOOKUP($B$25,'GREET IO'!$A$77:$AZ$98,ROW(B109)-ROW(B$89)+1, FALSE)*$I$112-C$26*HLOOKUP($B$26,'GREET IO'!$A$77:$AZ$98,ROW(B109)-ROW(B$89)+1, FALSE)*$I$112-C$27*HLOOKUP($B$27,'GREET IO'!$A$77:$AZ$98,ROW(B109)-ROW(B$89)+1, FALSE)*$I$112-C$28*HLOOKUP($B$28,'GREET IO'!$A$77:$BC$98,ROW(B109)-ROW(B$89)+1, FALSE)*$I$112))))</f>
        <v>34896.677992873832</v>
      </c>
      <c r="D132" s="677">
        <f>IF($D$66="No allocation", D109, (IF($D$66="Mass",D109*SUM(D$71:D$82),IF($D$66="Economic value", D109*SUM(H$71:H$82),D109-D$22*HLOOKUP($B$22,'GREET IO'!$A$77:$AZ$98,ROW(C109)-ROW(C$89)+1, FALSE)*$I$112-D$23*HLOOKUP($B$23,'GREET IO'!$A$77:$AZ$98,ROW(C109)-ROW(C$89)+1, FALSE)*$I$112-D$24*HLOOKUP($B$24,'GREET IO'!$A$77:$AZ$98,ROW(C109)-ROW(C$89)+1, FALSE)*$I$112-D$25*HLOOKUP($B$25,'GREET IO'!$A$77:$AZ$98,ROW(C109)-ROW(C$89)+1, FALSE)*$I$112-D$26*HLOOKUP($B$26,'GREET IO'!$A$77:$AZ$98,ROW(C109)-ROW(C$89)+1, FALSE)*$I$112-D$27*HLOOKUP($B$27,'GREET IO'!$A$77:$AZ$98,ROW(C109)-ROW(C$89)+1, FALSE)*$I$112))))</f>
        <v>12219.892645058959</v>
      </c>
      <c r="E132" s="677">
        <f>IF($D$66="No allocation", E109, (IF($D$66="Mass",E109*SUM(E$71:E$82),IF($D$66="Economic value", E109*SUM(I$71:I$82),E109-E$22*HLOOKUP($B$22,'GREET IO'!$A$77:$AZ$98,ROW(D109)-ROW(D$89)+1, FALSE)*$I$112-E$23*HLOOKUP($B$23,'GREET IO'!$A$77:$AZ$98,ROW(D109)-ROW(D$89)+1, FALSE)*$I$112-E$24*HLOOKUP($B$24,'GREET IO'!$A$77:$AZ$98,ROW(D109)-ROW(D$89)+1, FALSE)*$I$112-E$25*HLOOKUP($B$25,'GREET IO'!$A$77:$AZ$98,ROW(D109)-ROW(D$89)+1, FALSE)*$I$112-E$26*HLOOKUP($B$26,'GREET IO'!$A$77:$AZ$98,ROW(D109)-ROW(D$89)+1, FALSE)*$I$112-E$27*HLOOKUP($B$27,'GREET IO'!$A$77:$AZ$98,ROW(D109)-ROW(D$89)+1, FALSE)*$I$112))))</f>
        <v>4085.9314625406396</v>
      </c>
      <c r="F132" s="677">
        <f>IF($D$66="No allocation", F109, (IF($D$66="Mass",F109*SUM(F$71:F$82),IF($D$66="Economic value", F109*SUM(J$71:J$82),F109-F$22*HLOOKUP($B$22,'GREET IO'!$A$77:$AZ$98,ROW(E109)-ROW(E$89)+1, FALSE)*$I$112-F$23*HLOOKUP($B$23,'GREET IO'!$A$77:$AZ$98,ROW(E109)-ROW(E$89)+1, FALSE)*$I$112-F$24*HLOOKUP($B$24,'GREET IO'!$A$77:$AZ$98,ROW(E109)-ROW(E$89)+1, FALSE)*$I$112-F$25*HLOOKUP($B$25,'GREET IO'!$A$77:$AZ$98,ROW(E109)-ROW(E$89)+1, FALSE)*$I$112-F$26*HLOOKUP($B$26,'GREET IO'!$A$77:$AZ$98,ROW(E109)-ROW(E$89)+1, FALSE)*$I$112-F$27*HLOOKUP($B$27,'GREET IO'!$A$77:$AZ$98,ROW(E109)-ROW(E$89)+1, FALSE)*$I$112))))</f>
        <v>1706.8989068515625</v>
      </c>
      <c r="G132"/>
      <c r="H132"/>
      <c r="I132"/>
      <c r="J132"/>
      <c r="K132"/>
      <c r="L132"/>
      <c r="M132"/>
      <c r="N132"/>
      <c r="O132"/>
    </row>
    <row r="133" spans="2:15">
      <c r="B133" s="278" t="s">
        <v>199</v>
      </c>
      <c r="C133" s="677">
        <f>IF($D$66="No allocation", C110, (IF($D$66="Mass",C110*SUM(C$71:C$82),IF($D$66="Economic value", C110*SUM(G$71:G$82),C110-C$22*HLOOKUP($B$22,'GREET IO'!$A$77:$AZ$98,ROW(B110)-ROW(B$89)+1, FALSE)*$I$112-C$23*HLOOKUP($B$23,'GREET IO'!$A$77:$AZ$98,ROW(B110)-ROW(B$89)+1, FALSE)*$I$112-C$24*HLOOKUP($B$24,'GREET IO'!$A$77:$AZ$98,ROW(B110)-ROW(B$89)+1, FALSE)*$I$112-C$25*HLOOKUP($B$25,'GREET IO'!$A$77:$AZ$98,ROW(B110)-ROW(B$89)+1, FALSE)*$I$112-C$26*HLOOKUP($B$26,'GREET IO'!$A$77:$AZ$98,ROW(B110)-ROW(B$89)+1, FALSE)*$I$112-C$27*HLOOKUP($B$27,'GREET IO'!$A$77:$AZ$98,ROW(B110)-ROW(B$89)+1, FALSE)*$I$112-C$28*HLOOKUP($B$28,'GREET IO'!$A$77:$BC$98,ROW(B110)-ROW(B$89)+1, FALSE)*$I$112))))</f>
        <v>36767.74346041408</v>
      </c>
      <c r="D133" s="677">
        <f>IF($D$66="No allocation", D110, (IF($D$66="Mass",D110*SUM(D$71:D$82),IF($D$66="Economic value", D110*SUM(H$71:H$82),D110-D$22*HLOOKUP($B$22,'GREET IO'!$A$77:$AZ$98,ROW(C110)-ROW(C$89)+1, FALSE)*$I$112-D$23*HLOOKUP($B$23,'GREET IO'!$A$77:$AZ$98,ROW(C110)-ROW(C$89)+1, FALSE)*$I$112-D$24*HLOOKUP($B$24,'GREET IO'!$A$77:$AZ$98,ROW(C110)-ROW(C$89)+1, FALSE)*$I$112-D$25*HLOOKUP($B$25,'GREET IO'!$A$77:$AZ$98,ROW(C110)-ROW(C$89)+1, FALSE)*$I$112-D$26*HLOOKUP($B$26,'GREET IO'!$A$77:$AZ$98,ROW(C110)-ROW(C$89)+1, FALSE)*$I$112-D$27*HLOOKUP($B$27,'GREET IO'!$A$77:$AZ$98,ROW(C110)-ROW(C$89)+1, FALSE)*$I$112))))</f>
        <v>12952.612194070716</v>
      </c>
      <c r="E133" s="677">
        <f>IF($D$66="No allocation", E110, (IF($D$66="Mass",E110*SUM(E$71:E$82),IF($D$66="Economic value", E110*SUM(I$71:I$82),E110-E$22*HLOOKUP($B$22,'GREET IO'!$A$77:$AZ$98,ROW(D110)-ROW(D$89)+1, FALSE)*$I$112-E$23*HLOOKUP($B$23,'GREET IO'!$A$77:$AZ$98,ROW(D110)-ROW(D$89)+1, FALSE)*$I$112-E$24*HLOOKUP($B$24,'GREET IO'!$A$77:$AZ$98,ROW(D110)-ROW(D$89)+1, FALSE)*$I$112-E$25*HLOOKUP($B$25,'GREET IO'!$A$77:$AZ$98,ROW(D110)-ROW(D$89)+1, FALSE)*$I$112-E$26*HLOOKUP($B$26,'GREET IO'!$A$77:$AZ$98,ROW(D110)-ROW(D$89)+1, FALSE)*$I$112-E$27*HLOOKUP($B$27,'GREET IO'!$A$77:$AZ$98,ROW(D110)-ROW(D$89)+1, FALSE)*$I$112))))</f>
        <v>4302.3005473364519</v>
      </c>
      <c r="F133" s="677">
        <f>IF($D$66="No allocation", F110, (IF($D$66="Mass",F110*SUM(F$71:F$82),IF($D$66="Economic value", F110*SUM(J$71:J$82),F110-F$22*HLOOKUP($B$22,'GREET IO'!$A$77:$AZ$98,ROW(E110)-ROW(E$89)+1, FALSE)*$I$112-F$23*HLOOKUP($B$23,'GREET IO'!$A$77:$AZ$98,ROW(E110)-ROW(E$89)+1, FALSE)*$I$112-F$24*HLOOKUP($B$24,'GREET IO'!$A$77:$AZ$98,ROW(E110)-ROW(E$89)+1, FALSE)*$I$112-F$25*HLOOKUP($B$25,'GREET IO'!$A$77:$AZ$98,ROW(E110)-ROW(E$89)+1, FALSE)*$I$112-F$26*HLOOKUP($B$26,'GREET IO'!$A$77:$AZ$98,ROW(E110)-ROW(E$89)+1, FALSE)*$I$112-F$27*HLOOKUP($B$27,'GREET IO'!$A$77:$AZ$98,ROW(E110)-ROW(E$89)+1, FALSE)*$I$112))))</f>
        <v>1861.5758788658331</v>
      </c>
      <c r="G133"/>
      <c r="H133"/>
      <c r="I133"/>
      <c r="J133"/>
      <c r="K133"/>
      <c r="L133"/>
      <c r="M133"/>
      <c r="N133"/>
      <c r="O133"/>
    </row>
    <row r="134" spans="2:15">
      <c r="B134"/>
      <c r="C134"/>
      <c r="D134"/>
      <c r="E134"/>
      <c r="F134"/>
      <c r="G134"/>
      <c r="H134"/>
      <c r="I134"/>
      <c r="J134"/>
      <c r="K134"/>
      <c r="L134"/>
      <c r="M134"/>
      <c r="N134"/>
      <c r="O134"/>
    </row>
    <row r="135" spans="2:15">
      <c r="B135" s="133" t="s">
        <v>695</v>
      </c>
      <c r="F135"/>
      <c r="G135"/>
      <c r="H135"/>
      <c r="I135"/>
      <c r="J135"/>
      <c r="K135"/>
      <c r="L135"/>
      <c r="M135"/>
      <c r="N135"/>
      <c r="O135"/>
    </row>
    <row r="136" spans="2:15">
      <c r="B136" s="247"/>
      <c r="C136" s="557" t="s">
        <v>51</v>
      </c>
      <c r="D136" s="557" t="s">
        <v>63</v>
      </c>
      <c r="E136" s="556" t="s">
        <v>52</v>
      </c>
      <c r="F136"/>
      <c r="G136"/>
      <c r="H136"/>
      <c r="I136"/>
      <c r="J136"/>
      <c r="K136"/>
      <c r="L136"/>
      <c r="M136"/>
      <c r="N136"/>
      <c r="O136"/>
    </row>
    <row r="137" spans="2:15">
      <c r="B137" s="147" t="s">
        <v>535</v>
      </c>
      <c r="C137" s="632">
        <f>IF(E137&gt;0,E137,D137)</f>
        <v>0.4</v>
      </c>
      <c r="D137" s="565">
        <v>0.4</v>
      </c>
      <c r="E137" s="1025">
        <f>IF(ISBLANK(Materials!D36),0,Materials!D36)</f>
        <v>0</v>
      </c>
      <c r="F137"/>
      <c r="G137"/>
      <c r="H137"/>
      <c r="I137"/>
      <c r="J137"/>
      <c r="K137"/>
      <c r="L137"/>
      <c r="M137"/>
      <c r="N137"/>
      <c r="O137"/>
    </row>
    <row r="138" spans="2:15">
      <c r="B138" s="147" t="s">
        <v>534</v>
      </c>
      <c r="C138" s="632">
        <f>IF(E138&gt;0,E138,D138)</f>
        <v>0.52999404748781942</v>
      </c>
      <c r="D138" s="275">
        <v>0.52999404748781942</v>
      </c>
      <c r="E138" s="1025">
        <f>IF(ISBLANK(Materials!D37),0,Materials!D37)</f>
        <v>0</v>
      </c>
      <c r="F138"/>
      <c r="G138"/>
      <c r="H138"/>
      <c r="I138"/>
      <c r="J138"/>
      <c r="K138"/>
      <c r="L138"/>
      <c r="M138"/>
      <c r="N138"/>
      <c r="O138"/>
    </row>
    <row r="139" spans="2:15">
      <c r="B139" s="147" t="s">
        <v>1302</v>
      </c>
      <c r="C139" s="632">
        <f>IF(E139&gt;0,E139,D139)</f>
        <v>0.52999404748781942</v>
      </c>
      <c r="D139" s="275">
        <f>D138</f>
        <v>0.52999404748781942</v>
      </c>
      <c r="E139" s="1025">
        <f>IF(ISBLANK(Materials!D39),0,Materials!D39)</f>
        <v>0</v>
      </c>
      <c r="J139"/>
      <c r="K139"/>
      <c r="L139"/>
      <c r="M139"/>
      <c r="N139"/>
      <c r="O139"/>
    </row>
    <row r="140" spans="2:15">
      <c r="B140" s="147" t="s">
        <v>540</v>
      </c>
      <c r="C140" s="632">
        <f t="shared" ref="C140:C157" si="1">IF(E140&gt;0,E140,D140)</f>
        <v>0.52999404748781942</v>
      </c>
      <c r="D140" s="275">
        <f>D138</f>
        <v>0.52999404748781942</v>
      </c>
      <c r="E140" s="1025">
        <f>IF(ISBLANK(Materials!D39),0,Materials!D39)</f>
        <v>0</v>
      </c>
      <c r="F140"/>
      <c r="G140"/>
      <c r="H140"/>
      <c r="I140"/>
      <c r="J140"/>
      <c r="K140"/>
      <c r="L140"/>
      <c r="M140"/>
      <c r="N140"/>
      <c r="O140"/>
    </row>
    <row r="141" spans="2:15">
      <c r="B141" s="147" t="s">
        <v>705</v>
      </c>
      <c r="C141" s="632">
        <f t="shared" si="1"/>
        <v>36.964965207145823</v>
      </c>
      <c r="D141" s="275">
        <f>'BatPaC IO'!$D$8*'Mat. Conv Par.'!$H$43/'Mat. Conv Par.'!$L$43</f>
        <v>36.964965207145823</v>
      </c>
      <c r="E141" s="1025">
        <f>IF(ISBLANK(Materials!D40),0,Materials!D40)</f>
        <v>0</v>
      </c>
      <c r="F141"/>
      <c r="G141"/>
      <c r="H141"/>
      <c r="I141"/>
      <c r="J141"/>
      <c r="K141"/>
      <c r="L141"/>
      <c r="M141"/>
      <c r="N141"/>
      <c r="O141"/>
    </row>
    <row r="142" spans="2:15">
      <c r="B142" s="147" t="s">
        <v>542</v>
      </c>
      <c r="C142" s="632">
        <f t="shared" si="1"/>
        <v>19.146690607617817</v>
      </c>
      <c r="D142" s="275">
        <f>'BatPaC IO'!$D$8*'Mat. Conv Par.'!$H$43/'Mat. Conv Par.'!$J$43</f>
        <v>19.146690607617817</v>
      </c>
      <c r="E142" s="1025">
        <f>IF(ISBLANK(Materials!D41),0,Materials!D41)</f>
        <v>0</v>
      </c>
      <c r="F142"/>
      <c r="G142"/>
      <c r="H142"/>
      <c r="I142"/>
      <c r="J142"/>
      <c r="K142"/>
      <c r="L142"/>
      <c r="M142"/>
      <c r="N142"/>
      <c r="O142"/>
    </row>
    <row r="143" spans="2:15">
      <c r="B143" s="147" t="s">
        <v>395</v>
      </c>
      <c r="C143" s="632">
        <f t="shared" si="1"/>
        <v>0.56550992912642917</v>
      </c>
      <c r="D143" s="275">
        <v>0.56550992912642917</v>
      </c>
      <c r="E143" s="1025">
        <f>IF(ISBLANK(Materials!D42),0,Materials!D42)</f>
        <v>0</v>
      </c>
      <c r="F143"/>
      <c r="G143"/>
      <c r="H143"/>
      <c r="I143"/>
      <c r="J143"/>
      <c r="K143"/>
      <c r="L143"/>
      <c r="M143"/>
      <c r="N143"/>
      <c r="O143"/>
    </row>
    <row r="144" spans="2:15">
      <c r="B144" s="147" t="s">
        <v>259</v>
      </c>
      <c r="C144" s="632">
        <f t="shared" si="1"/>
        <v>1.4594</v>
      </c>
      <c r="D144" s="275">
        <v>1.4594</v>
      </c>
      <c r="E144" s="1025">
        <f>IF(ISBLANK(Materials!D43),0,Materials!D43)</f>
        <v>0</v>
      </c>
      <c r="F144"/>
      <c r="G144"/>
      <c r="H144"/>
      <c r="I144"/>
      <c r="J144"/>
      <c r="K144"/>
      <c r="L144"/>
      <c r="M144"/>
      <c r="N144"/>
      <c r="O144"/>
    </row>
    <row r="145" spans="2:15">
      <c r="B145" s="147" t="s">
        <v>536</v>
      </c>
      <c r="C145" s="632">
        <f t="shared" si="1"/>
        <v>0.64575421009730638</v>
      </c>
      <c r="D145" s="1241">
        <f>2.2/3.78541/1.5/0.6</f>
        <v>0.64575421009730638</v>
      </c>
      <c r="E145" s="1025">
        <f>IF(ISBLANK(Materials!D44),0,Materials!D44)</f>
        <v>0</v>
      </c>
      <c r="J145"/>
      <c r="K145"/>
      <c r="L145"/>
      <c r="M145"/>
      <c r="N145"/>
      <c r="O145"/>
    </row>
    <row r="146" spans="2:15">
      <c r="B146" s="147" t="s">
        <v>400</v>
      </c>
      <c r="C146" s="632">
        <f t="shared" si="1"/>
        <v>0.13166</v>
      </c>
      <c r="D146" s="275">
        <v>0.13166</v>
      </c>
      <c r="E146" s="1025">
        <f>IF(ISBLANK(Materials!D45),0,Materials!D45)</f>
        <v>0</v>
      </c>
      <c r="J146"/>
      <c r="K146"/>
      <c r="L146"/>
      <c r="M146"/>
      <c r="N146"/>
      <c r="O146"/>
    </row>
    <row r="147" spans="2:15">
      <c r="B147" s="147" t="s">
        <v>38</v>
      </c>
      <c r="C147" s="632">
        <f t="shared" si="1"/>
        <v>0.13166</v>
      </c>
      <c r="D147" s="275">
        <f>D146</f>
        <v>0.13166</v>
      </c>
      <c r="E147" s="1025">
        <f>IF(ISBLANK(Materials!D46),0,Materials!D46)</f>
        <v>0</v>
      </c>
      <c r="J147"/>
      <c r="K147"/>
      <c r="L147"/>
      <c r="M147"/>
      <c r="N147"/>
      <c r="O147"/>
    </row>
    <row r="148" spans="2:15">
      <c r="B148" s="147" t="s">
        <v>399</v>
      </c>
      <c r="C148" s="632">
        <f t="shared" si="1"/>
        <v>17.14</v>
      </c>
      <c r="D148" s="275">
        <v>17.14</v>
      </c>
      <c r="E148" s="1025">
        <f>IF(ISBLANK(Materials!D47),0,Materials!D47)</f>
        <v>0</v>
      </c>
      <c r="J148"/>
      <c r="K148"/>
      <c r="L148"/>
      <c r="M148"/>
      <c r="N148"/>
      <c r="O148"/>
    </row>
    <row r="149" spans="2:15">
      <c r="B149" s="147" t="s">
        <v>546</v>
      </c>
      <c r="C149" s="632">
        <f t="shared" si="1"/>
        <v>34.893805309734518</v>
      </c>
      <c r="D149" s="275">
        <v>34.893805309734518</v>
      </c>
      <c r="E149" s="1025">
        <f>IF(ISBLANK(Materials!D48),0,Materials!D48)</f>
        <v>0</v>
      </c>
      <c r="G149" s="120" t="s">
        <v>76</v>
      </c>
      <c r="H149" s="120" t="s">
        <v>713</v>
      </c>
      <c r="I149" s="120" t="s">
        <v>712</v>
      </c>
      <c r="J149"/>
      <c r="K149"/>
      <c r="L149"/>
      <c r="M149"/>
      <c r="N149"/>
      <c r="O149"/>
    </row>
    <row r="150" spans="2:15">
      <c r="B150" s="147" t="s">
        <v>1986</v>
      </c>
      <c r="C150" s="632">
        <f t="shared" si="1"/>
        <v>2.1913071129307982</v>
      </c>
      <c r="D150" s="275">
        <f>'BatPaC IO'!$C$8*'Mat. Conv Par.'!$G$150*2/'Mat. Conv Par.'!$H$150</f>
        <v>2.1913071129307982</v>
      </c>
      <c r="E150" s="1025">
        <f>IF(ISBLANK(Materials!D49),0,Materials!D49)</f>
        <v>0</v>
      </c>
      <c r="G150" s="120">
        <v>54.9</v>
      </c>
      <c r="H150" s="120">
        <f>54.9*2+16*3</f>
        <v>157.80000000000001</v>
      </c>
      <c r="I150" s="120">
        <v>151</v>
      </c>
      <c r="J150"/>
      <c r="K150"/>
      <c r="L150"/>
      <c r="M150"/>
      <c r="N150"/>
      <c r="O150"/>
    </row>
    <row r="151" spans="2:15">
      <c r="B151" s="147" t="s">
        <v>1987</v>
      </c>
      <c r="C151" s="632">
        <f t="shared" si="1"/>
        <v>1.1449942464254306</v>
      </c>
      <c r="D151" s="275">
        <f>'BatPaC IO'!$C$8*'Mat. Conv Par.'!$G$150/'Mat. Conv Par.'!$I$150</f>
        <v>1.1449942464254306</v>
      </c>
      <c r="E151" s="1025">
        <f>IF(ISBLANK(Materials!D50),0,Materials!D50)</f>
        <v>0</v>
      </c>
      <c r="J151"/>
      <c r="K151"/>
      <c r="L151"/>
      <c r="M151"/>
      <c r="N151"/>
      <c r="O151"/>
    </row>
    <row r="152" spans="2:15">
      <c r="B152" s="147" t="s">
        <v>543</v>
      </c>
      <c r="C152" s="632">
        <f t="shared" si="1"/>
        <v>6.3947711700064653</v>
      </c>
      <c r="D152" s="275">
        <f>'BatPaC IO'!$B$8*'Mat. Conv Par.'!$H$45/'Mat. Conv Par.'!$J$45</f>
        <v>6.3947711700064653</v>
      </c>
      <c r="E152" s="1025">
        <f>IF(ISBLANK(Materials!D51),0,Materials!D51)</f>
        <v>0</v>
      </c>
      <c r="J152"/>
      <c r="K152"/>
      <c r="L152"/>
      <c r="M152"/>
      <c r="N152"/>
      <c r="O152"/>
    </row>
    <row r="153" spans="2:15">
      <c r="B153" s="147" t="s">
        <v>525</v>
      </c>
      <c r="C153" s="632">
        <f t="shared" si="1"/>
        <v>0.2</v>
      </c>
      <c r="D153" s="275">
        <v>0.2</v>
      </c>
      <c r="E153" s="1025">
        <f>IF(ISBLANK(Materials!D52),0,Materials!D52)</f>
        <v>0</v>
      </c>
      <c r="J153"/>
      <c r="K153"/>
      <c r="L153"/>
      <c r="M153"/>
      <c r="N153"/>
      <c r="O153"/>
    </row>
    <row r="154" spans="2:15">
      <c r="B154" s="147" t="s">
        <v>544</v>
      </c>
      <c r="C154" s="632">
        <f t="shared" si="1"/>
        <v>1.1419999999999999</v>
      </c>
      <c r="D154" s="275">
        <v>1.1419999999999999</v>
      </c>
      <c r="E154" s="1025">
        <f>IF(ISBLANK(Materials!D53),0,Materials!D53)</f>
        <v>0</v>
      </c>
      <c r="J154"/>
      <c r="K154"/>
      <c r="L154"/>
      <c r="M154"/>
      <c r="N154"/>
      <c r="O154"/>
    </row>
    <row r="155" spans="2:15">
      <c r="B155" s="147" t="s">
        <v>545</v>
      </c>
      <c r="C155" s="632">
        <f t="shared" si="1"/>
        <v>0.68</v>
      </c>
      <c r="D155" s="275">
        <v>0.68</v>
      </c>
      <c r="E155" s="1025">
        <f>IF(ISBLANK(Materials!D54),0,Materials!D54)</f>
        <v>0</v>
      </c>
      <c r="J155"/>
      <c r="K155"/>
      <c r="L155"/>
      <c r="M155"/>
      <c r="N155"/>
      <c r="O155"/>
    </row>
    <row r="156" spans="2:15">
      <c r="B156" s="147" t="s">
        <v>539</v>
      </c>
      <c r="C156" s="632">
        <f t="shared" si="1"/>
        <v>0.45</v>
      </c>
      <c r="D156" s="275">
        <v>0.45</v>
      </c>
      <c r="E156" s="1025">
        <f>IF(ISBLANK(Materials!D55),0,Materials!D55)</f>
        <v>0</v>
      </c>
      <c r="J156"/>
      <c r="K156"/>
      <c r="L156"/>
      <c r="M156"/>
      <c r="N156"/>
      <c r="O156"/>
    </row>
    <row r="157" spans="2:15">
      <c r="B157" s="253" t="s">
        <v>538</v>
      </c>
      <c r="C157" s="633">
        <f t="shared" si="1"/>
        <v>8.3358565256891184E-2</v>
      </c>
      <c r="D157" s="973">
        <v>8.3358565256891184E-2</v>
      </c>
      <c r="E157" s="1023">
        <f>IF(ISBLANK(Materials!D56),0,Materials!D56)</f>
        <v>0</v>
      </c>
      <c r="J157"/>
    </row>
    <row r="159" spans="2:15">
      <c r="B159" s="133" t="s">
        <v>696</v>
      </c>
    </row>
    <row r="160" spans="2:15">
      <c r="B160" s="143"/>
      <c r="C160" s="144" t="s">
        <v>51</v>
      </c>
      <c r="D160" s="144" t="s">
        <v>63</v>
      </c>
      <c r="E160" s="146" t="s">
        <v>52</v>
      </c>
    </row>
    <row r="161" spans="2:5">
      <c r="B161" s="167" t="s">
        <v>592</v>
      </c>
      <c r="C161" s="615">
        <f>IF(E161&gt;0,E161,D161)</f>
        <v>7.7656999999999998</v>
      </c>
      <c r="D161" s="954">
        <f>7.9*0.983</f>
        <v>7.7656999999999998</v>
      </c>
      <c r="E161" s="257"/>
    </row>
    <row r="162" spans="2:5">
      <c r="B162" s="147" t="s">
        <v>590</v>
      </c>
      <c r="C162" s="616">
        <f>IF(E162&gt;0,E162,D162)</f>
        <v>8.4500000000000006E-2</v>
      </c>
      <c r="D162" s="953">
        <v>8.4500000000000006E-2</v>
      </c>
      <c r="E162" s="260"/>
    </row>
    <row r="163" spans="2:5">
      <c r="B163" s="267" t="s">
        <v>591</v>
      </c>
      <c r="C163" s="617">
        <f>IF(E163&gt;0,E163,D163)</f>
        <v>4.7299999999999998E-3</v>
      </c>
      <c r="D163" s="1509">
        <v>4.7299999999999998E-3</v>
      </c>
      <c r="E163" s="269"/>
    </row>
    <row r="300" spans="2:3">
      <c r="B300" s="111" t="s">
        <v>668</v>
      </c>
    </row>
    <row r="301" spans="2:3">
      <c r="B301" s="134" t="s">
        <v>560</v>
      </c>
      <c r="C301" s="141">
        <f>AB51+BB99+CB100+DB57</f>
        <v>1.0681590736444295</v>
      </c>
    </row>
    <row r="302" spans="2:3">
      <c r="B302" s="135" t="s">
        <v>346</v>
      </c>
      <c r="C302" s="136"/>
    </row>
    <row r="303" spans="2:3">
      <c r="B303" s="136" t="s">
        <v>173</v>
      </c>
      <c r="C303" s="137">
        <f t="shared" ref="C303:C308" si="2">AH30+BF76+CF76+DE33</f>
        <v>0</v>
      </c>
    </row>
    <row r="304" spans="2:3">
      <c r="B304" s="136" t="s">
        <v>174</v>
      </c>
      <c r="C304" s="137">
        <f t="shared" si="2"/>
        <v>0</v>
      </c>
    </row>
    <row r="305" spans="2:3">
      <c r="B305" s="136" t="s">
        <v>175</v>
      </c>
      <c r="C305" s="137">
        <f t="shared" si="2"/>
        <v>0</v>
      </c>
    </row>
    <row r="306" spans="2:3">
      <c r="B306" s="136" t="s">
        <v>176</v>
      </c>
      <c r="C306" s="137">
        <f t="shared" si="2"/>
        <v>0</v>
      </c>
    </row>
    <row r="307" spans="2:3">
      <c r="B307" s="136" t="s">
        <v>177</v>
      </c>
      <c r="C307" s="137">
        <f t="shared" si="2"/>
        <v>0</v>
      </c>
    </row>
    <row r="308" spans="2:3">
      <c r="B308" s="134" t="s">
        <v>344</v>
      </c>
      <c r="C308" s="643">
        <f t="shared" si="2"/>
        <v>0</v>
      </c>
    </row>
    <row r="309" spans="2:3">
      <c r="B309" s="135" t="s">
        <v>345</v>
      </c>
      <c r="C309" s="137"/>
    </row>
    <row r="310" spans="2:3">
      <c r="B310" s="136" t="s">
        <v>180</v>
      </c>
      <c r="C310" s="137">
        <f t="shared" ref="C310:C322" si="3">AH37+BF83+CF83+DE40</f>
        <v>0</v>
      </c>
    </row>
    <row r="311" spans="2:3">
      <c r="B311" s="136" t="s">
        <v>181</v>
      </c>
      <c r="C311" s="137">
        <f t="shared" si="3"/>
        <v>0</v>
      </c>
    </row>
    <row r="312" spans="2:3">
      <c r="B312" s="136" t="s">
        <v>182</v>
      </c>
      <c r="C312" s="137">
        <f t="shared" si="3"/>
        <v>0</v>
      </c>
    </row>
    <row r="313" spans="2:3">
      <c r="B313" s="136" t="s">
        <v>183</v>
      </c>
      <c r="C313" s="137">
        <f t="shared" si="3"/>
        <v>0</v>
      </c>
    </row>
    <row r="314" spans="2:3">
      <c r="B314" s="136" t="s">
        <v>184</v>
      </c>
      <c r="C314" s="137">
        <f t="shared" si="3"/>
        <v>0</v>
      </c>
    </row>
    <row r="315" spans="2:3">
      <c r="B315" s="136" t="s">
        <v>185</v>
      </c>
      <c r="C315" s="137">
        <f t="shared" si="3"/>
        <v>0</v>
      </c>
    </row>
    <row r="316" spans="2:3">
      <c r="B316" s="136" t="s">
        <v>186</v>
      </c>
      <c r="C316" s="137">
        <f t="shared" si="3"/>
        <v>0</v>
      </c>
    </row>
    <row r="317" spans="2:3">
      <c r="B317" s="136" t="s">
        <v>187</v>
      </c>
      <c r="C317" s="137">
        <f t="shared" si="3"/>
        <v>0</v>
      </c>
    </row>
    <row r="318" spans="2:3">
      <c r="B318" s="136" t="s">
        <v>188</v>
      </c>
      <c r="C318" s="137">
        <f t="shared" si="3"/>
        <v>0</v>
      </c>
    </row>
    <row r="319" spans="2:3">
      <c r="B319" s="136" t="s">
        <v>189</v>
      </c>
      <c r="C319" s="137">
        <f t="shared" si="3"/>
        <v>0</v>
      </c>
    </row>
    <row r="320" spans="2:3">
      <c r="B320" s="136" t="s">
        <v>190</v>
      </c>
      <c r="C320" s="140">
        <f t="shared" si="3"/>
        <v>0</v>
      </c>
    </row>
    <row r="321" spans="2:3">
      <c r="B321" s="136" t="s">
        <v>198</v>
      </c>
      <c r="C321" s="140">
        <f t="shared" si="3"/>
        <v>0</v>
      </c>
    </row>
    <row r="322" spans="2:3">
      <c r="B322" s="138" t="s">
        <v>199</v>
      </c>
      <c r="C322" s="644">
        <f t="shared" si="3"/>
        <v>0</v>
      </c>
    </row>
  </sheetData>
  <sortState xmlns:xlrd2="http://schemas.microsoft.com/office/spreadsheetml/2017/richdata2" ref="AA25:AB39">
    <sortCondition ref="AA59"/>
  </sortState>
  <phoneticPr fontId="153" type="noConversion"/>
  <dataValidations disablePrompts="1" count="1">
    <dataValidation type="list" allowBlank="1" showInputMessage="1" showErrorMessage="1" sqref="B85" xr:uid="{F55BA13A-E895-0547-A2C3-C987DFCC4275}">
      <formula1>Pyro_Output</formula1>
    </dataValidation>
  </dataValidations>
  <pageMargins left="0.7" right="0.7" top="0.75" bottom="0.75" header="0.3" footer="0.3"/>
  <pageSetup orientation="portrait" verticalDpi="0"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92D050"/>
  </sheetPr>
  <dimension ref="A1:BRE333"/>
  <sheetViews>
    <sheetView topLeftCell="A120" zoomScaleNormal="100" workbookViewId="0">
      <selection activeCell="D174" sqref="D174"/>
    </sheetView>
  </sheetViews>
  <sheetFormatPr defaultColWidth="8.83203125" defaultRowHeight="14"/>
  <cols>
    <col min="1" max="1" width="18.1640625" style="111" customWidth="1"/>
    <col min="2" max="2" width="31.25" style="111" customWidth="1"/>
    <col min="3" max="7" width="9.1640625" style="111" customWidth="1"/>
    <col min="8" max="8" width="10.75" style="111" customWidth="1"/>
    <col min="9" max="9" width="9.1640625" style="111" customWidth="1"/>
    <col min="10" max="10" width="9.1640625" style="110" customWidth="1"/>
    <col min="11" max="11" width="14.75" style="111" customWidth="1"/>
    <col min="12" max="12" width="10" style="111" customWidth="1"/>
    <col min="13" max="13" width="14.4140625" style="111" customWidth="1"/>
    <col min="14" max="16" width="9.1640625" style="111" customWidth="1"/>
    <col min="17" max="17" width="17.25" style="111" customWidth="1"/>
    <col min="18" max="18" width="13" style="111" customWidth="1"/>
    <col min="19" max="25" width="9.1640625" style="111" customWidth="1"/>
    <col min="26" max="26" width="8.83203125" style="111"/>
    <col min="27" max="27" width="48.75" style="111" customWidth="1"/>
    <col min="28" max="28" width="48.75" style="411" customWidth="1"/>
    <col min="29" max="29" width="20.75" style="218" customWidth="1"/>
    <col min="30" max="30" width="20.75" style="411" customWidth="1"/>
    <col min="31" max="31" width="20.75" style="218" customWidth="1"/>
    <col min="32" max="52" width="8.83203125" style="111"/>
    <col min="53" max="54" width="48.75" style="111" customWidth="1"/>
    <col min="55" max="57" width="20.75" style="111" customWidth="1"/>
    <col min="58" max="78" width="8.83203125" style="111"/>
    <col min="79" max="80" width="48.75" style="111" customWidth="1"/>
    <col min="81" max="83" width="20.75" style="111" customWidth="1"/>
    <col min="84" max="104" width="8.83203125" style="111"/>
    <col min="105" max="106" width="48.75" style="111" customWidth="1"/>
    <col min="107" max="109" width="20.75" style="111" customWidth="1"/>
    <col min="110" max="130" width="8.83203125" style="111"/>
    <col min="131" max="132" width="48.75" style="111" customWidth="1"/>
    <col min="133" max="135" width="20.75" style="111" customWidth="1"/>
    <col min="136" max="156" width="8.83203125" style="111"/>
    <col min="157" max="158" width="48.75" style="111" customWidth="1"/>
    <col min="159" max="161" width="20.75" style="111" customWidth="1"/>
    <col min="162" max="182" width="8.83203125" style="111"/>
    <col min="183" max="184" width="48.75" style="111" customWidth="1"/>
    <col min="185" max="187" width="20.75" style="111" customWidth="1"/>
    <col min="188" max="208" width="8.83203125" style="111"/>
    <col min="209" max="210" width="48.75" style="111" customWidth="1"/>
    <col min="211" max="213" width="20.75" style="111" customWidth="1"/>
    <col min="214" max="234" width="8.83203125" style="111"/>
    <col min="235" max="236" width="48.75" style="111" customWidth="1"/>
    <col min="237" max="239" width="20.75" style="111" customWidth="1"/>
    <col min="240" max="240" width="12.4140625" style="111" bestFit="1" customWidth="1"/>
    <col min="241" max="241" width="11.4140625" style="111" bestFit="1" customWidth="1"/>
    <col min="242" max="260" width="8.83203125" style="111"/>
    <col min="261" max="262" width="48.75" style="111" customWidth="1"/>
    <col min="263" max="265" width="20.75" style="111" customWidth="1"/>
    <col min="266" max="286" width="8.83203125" style="111"/>
    <col min="287" max="288" width="48.75" style="111" customWidth="1"/>
    <col min="289" max="291" width="20.75" style="111" customWidth="1"/>
    <col min="292" max="312" width="8.83203125" style="111"/>
    <col min="313" max="314" width="48.75" style="111" customWidth="1"/>
    <col min="315" max="317" width="20.75" style="111" customWidth="1"/>
    <col min="318" max="338" width="8.83203125" style="111"/>
    <col min="339" max="340" width="48.75" style="111" customWidth="1"/>
    <col min="341" max="343" width="20.75" style="111" customWidth="1"/>
    <col min="344" max="364" width="8.83203125" style="111"/>
    <col min="365" max="366" width="48.75" style="111" customWidth="1"/>
    <col min="367" max="369" width="20.75" style="111" customWidth="1"/>
    <col min="370" max="390" width="8.83203125" style="111"/>
    <col min="391" max="392" width="48.75" style="111" customWidth="1"/>
    <col min="393" max="395" width="20.75" style="111" customWidth="1"/>
    <col min="396" max="416" width="8.83203125" style="111"/>
    <col min="417" max="418" width="48.75" style="111" customWidth="1"/>
    <col min="419" max="421" width="20.75" style="111" customWidth="1"/>
    <col min="422" max="442" width="8.83203125" style="111"/>
    <col min="443" max="444" width="48.75" style="111" customWidth="1"/>
    <col min="445" max="447" width="20.75" style="111" customWidth="1"/>
    <col min="448" max="468" width="8.83203125" style="111"/>
    <col min="469" max="470" width="48.75" style="111" customWidth="1"/>
    <col min="471" max="473" width="20.75" style="111" customWidth="1"/>
    <col min="474" max="494" width="8.83203125" style="111"/>
    <col min="495" max="496" width="48.75" style="111" customWidth="1"/>
    <col min="497" max="499" width="20.75" style="111" customWidth="1"/>
    <col min="500" max="520" width="8.83203125" style="111"/>
    <col min="521" max="522" width="48.75" style="111" customWidth="1"/>
    <col min="523" max="525" width="20.75" style="111" customWidth="1"/>
    <col min="526" max="546" width="8.83203125" style="111"/>
    <col min="547" max="548" width="48.75" style="111" customWidth="1"/>
    <col min="549" max="551" width="20.75" style="111" customWidth="1"/>
    <col min="552" max="572" width="8.83203125" style="111"/>
    <col min="573" max="574" width="48.75" style="111" customWidth="1"/>
    <col min="575" max="577" width="20.75" style="111" customWidth="1"/>
    <col min="578" max="598" width="8.83203125" style="111"/>
    <col min="599" max="600" width="48.75" style="111" customWidth="1"/>
    <col min="601" max="603" width="20.75" style="111" customWidth="1"/>
    <col min="604" max="624" width="8.83203125" style="111"/>
    <col min="625" max="626" width="48.75" style="111" customWidth="1"/>
    <col min="627" max="629" width="20.75" style="111" customWidth="1"/>
    <col min="630" max="650" width="8.83203125" style="111"/>
    <col min="651" max="652" width="48.75" style="111" customWidth="1"/>
    <col min="653" max="655" width="20.75" style="111" customWidth="1"/>
    <col min="656" max="676" width="8.83203125" style="111"/>
    <col min="677" max="678" width="48.75" style="111" customWidth="1"/>
    <col min="679" max="681" width="20.75" style="111" customWidth="1"/>
    <col min="682" max="702" width="8.83203125" style="111"/>
    <col min="703" max="704" width="48.75" style="111" customWidth="1"/>
    <col min="705" max="707" width="20.75" style="111" customWidth="1"/>
    <col min="708" max="728" width="8.83203125" style="111"/>
    <col min="729" max="730" width="48.75" style="111" customWidth="1"/>
    <col min="731" max="733" width="20.75" style="111" customWidth="1"/>
    <col min="734" max="754" width="8.83203125" style="111"/>
    <col min="755" max="756" width="48.75" style="111" customWidth="1"/>
    <col min="757" max="759" width="20.75" style="111" customWidth="1"/>
    <col min="760" max="780" width="8.83203125" style="111"/>
    <col min="781" max="782" width="48.75" style="111" customWidth="1"/>
    <col min="783" max="785" width="20.75" style="111" customWidth="1"/>
    <col min="786" max="806" width="8.83203125" style="111"/>
    <col min="807" max="808" width="48.75" style="111" customWidth="1"/>
    <col min="809" max="811" width="20.75" style="111" customWidth="1"/>
    <col min="812" max="832" width="8.83203125" style="111"/>
    <col min="833" max="834" width="48.75" style="111" customWidth="1"/>
    <col min="835" max="837" width="20.75" style="111" customWidth="1"/>
    <col min="838" max="858" width="8.83203125" style="111"/>
    <col min="859" max="860" width="48.75" style="111" customWidth="1"/>
    <col min="861" max="863" width="20.75" style="111" customWidth="1"/>
    <col min="864" max="884" width="8.83203125" style="111"/>
    <col min="885" max="886" width="48.75" style="111" customWidth="1"/>
    <col min="887" max="889" width="20.75" style="111" customWidth="1"/>
    <col min="890" max="910" width="8.83203125" style="111"/>
    <col min="911" max="912" width="48.75" style="111" customWidth="1"/>
    <col min="913" max="915" width="20.75" style="111" customWidth="1"/>
    <col min="916" max="936" width="8.83203125" style="111"/>
    <col min="937" max="938" width="48.75" style="111" customWidth="1"/>
    <col min="939" max="941" width="20.75" style="111" customWidth="1"/>
    <col min="942" max="962" width="8.83203125" style="111"/>
    <col min="963" max="964" width="48.75" style="111" customWidth="1"/>
    <col min="965" max="967" width="20.75" style="111" customWidth="1"/>
    <col min="968" max="988" width="8.83203125" style="111"/>
    <col min="989" max="990" width="48.75" style="111" customWidth="1"/>
    <col min="991" max="993" width="20.75" style="111" customWidth="1"/>
    <col min="994" max="1014" width="8.83203125" style="111"/>
    <col min="1015" max="1016" width="48.75" style="111" customWidth="1"/>
    <col min="1017" max="1019" width="20.75" style="111" customWidth="1"/>
    <col min="1020" max="1040" width="8.83203125" style="111"/>
    <col min="1041" max="1042" width="48.75" style="111" customWidth="1"/>
    <col min="1043" max="1045" width="20.75" style="111" customWidth="1"/>
    <col min="1046" max="1066" width="8.83203125" style="111"/>
    <col min="1067" max="1068" width="48.75" style="111" customWidth="1"/>
    <col min="1069" max="1071" width="20.75" style="111" customWidth="1"/>
    <col min="1072" max="1092" width="8.83203125" style="111"/>
    <col min="1093" max="1094" width="48.75" style="111" customWidth="1"/>
    <col min="1095" max="1097" width="20.75" style="111" customWidth="1"/>
    <col min="1098" max="1118" width="8.83203125" style="111"/>
    <col min="1119" max="1120" width="48.75" style="111" customWidth="1"/>
    <col min="1121" max="1123" width="20.75" style="111" customWidth="1"/>
    <col min="1124" max="1144" width="8.83203125" style="111"/>
    <col min="1145" max="1146" width="48.75" style="111" customWidth="1"/>
    <col min="1147" max="1149" width="20.75" style="111" customWidth="1"/>
    <col min="1150" max="1170" width="8.83203125" style="111"/>
    <col min="1171" max="1172" width="48.75" style="111" customWidth="1"/>
    <col min="1173" max="1175" width="20.75" style="111" customWidth="1"/>
    <col min="1176" max="1196" width="8.83203125" style="111"/>
    <col min="1197" max="1198" width="48.75" style="111" customWidth="1"/>
    <col min="1199" max="1201" width="20.75" style="111" customWidth="1"/>
    <col min="1202" max="1222" width="8.83203125" style="111"/>
    <col min="1223" max="1224" width="48.75" style="111" customWidth="1"/>
    <col min="1225" max="1227" width="20.75" style="111" customWidth="1"/>
    <col min="1228" max="1248" width="8.83203125" style="111"/>
    <col min="1249" max="1250" width="48.75" style="111" customWidth="1"/>
    <col min="1251" max="1253" width="20.75" style="111" customWidth="1"/>
    <col min="1254" max="1274" width="8.83203125" style="111"/>
    <col min="1275" max="1276" width="48.75" style="111" customWidth="1"/>
    <col min="1277" max="1279" width="20.75" style="111" customWidth="1"/>
    <col min="1280" max="1300" width="8.83203125" style="111"/>
    <col min="1301" max="1302" width="48.75" style="111" customWidth="1"/>
    <col min="1303" max="1305" width="20.75" style="111" customWidth="1"/>
    <col min="1306" max="1326" width="8.83203125" style="111"/>
    <col min="1327" max="1328" width="48.75" style="111" customWidth="1"/>
    <col min="1329" max="1331" width="20.75" style="111" customWidth="1"/>
    <col min="1332" max="1352" width="8.83203125" style="111"/>
    <col min="1353" max="1354" width="48.75" style="111" customWidth="1"/>
    <col min="1355" max="1357" width="20.75" style="111" customWidth="1"/>
    <col min="1358" max="1378" width="8.83203125" style="111"/>
    <col min="1379" max="1380" width="48.75" style="111" customWidth="1"/>
    <col min="1381" max="1383" width="20.75" style="111" customWidth="1"/>
    <col min="1384" max="1404" width="8.83203125" style="111"/>
    <col min="1405" max="1406" width="48.75" style="111" customWidth="1"/>
    <col min="1407" max="1409" width="20.75" style="111" customWidth="1"/>
    <col min="1410" max="1430" width="8.83203125" style="111"/>
    <col min="1431" max="1432" width="48.75" style="111" customWidth="1"/>
    <col min="1433" max="1435" width="20.75" style="111" customWidth="1"/>
    <col min="1436" max="1456" width="8.83203125" style="111"/>
    <col min="1457" max="1458" width="48.75" style="111" customWidth="1"/>
    <col min="1459" max="1461" width="20.75" style="111" customWidth="1"/>
    <col min="1462" max="1482" width="8.83203125" style="111"/>
    <col min="1483" max="1484" width="48.75" style="111" customWidth="1"/>
    <col min="1485" max="1487" width="20.75" style="111" customWidth="1"/>
    <col min="1488" max="1508" width="8.83203125" style="111"/>
    <col min="1509" max="1510" width="48.75" style="111" customWidth="1"/>
    <col min="1511" max="1513" width="20.75" style="111" customWidth="1"/>
    <col min="1514" max="1534" width="8.83203125" style="111"/>
    <col min="1535" max="1536" width="48.75" style="111" customWidth="1"/>
    <col min="1537" max="1539" width="20.75" style="111" customWidth="1"/>
    <col min="1540" max="1560" width="8.83203125" style="111"/>
    <col min="1561" max="1562" width="48.75" style="111" customWidth="1"/>
    <col min="1563" max="1565" width="20.75" style="111" customWidth="1"/>
    <col min="1566" max="1586" width="8.83203125" style="111"/>
    <col min="1587" max="1588" width="48.75" style="111" customWidth="1"/>
    <col min="1589" max="1591" width="20.75" style="111" customWidth="1"/>
    <col min="1592" max="1612" width="8.83203125" style="111"/>
    <col min="1613" max="1614" width="48.75" style="111" customWidth="1"/>
    <col min="1615" max="1617" width="20.75" style="111" customWidth="1"/>
    <col min="1618" max="1638" width="8.83203125" style="111"/>
    <col min="1639" max="1640" width="48.75" style="111" customWidth="1"/>
    <col min="1641" max="1643" width="20.75" style="111" customWidth="1"/>
    <col min="1644" max="1664" width="8.83203125" style="111"/>
    <col min="1665" max="1666" width="48.75" style="111" customWidth="1"/>
    <col min="1667" max="1669" width="20.75" style="111" customWidth="1"/>
    <col min="1670" max="1690" width="8.83203125" style="111"/>
    <col min="1691" max="1692" width="48.75" style="111" customWidth="1"/>
    <col min="1693" max="1695" width="20.75" style="111" customWidth="1"/>
    <col min="1696" max="1716" width="8.83203125" style="111"/>
    <col min="1717" max="1718" width="48.75" style="111" customWidth="1"/>
    <col min="1719" max="1721" width="20.75" style="111" customWidth="1"/>
    <col min="1722" max="1742" width="8.83203125" style="111"/>
    <col min="1743" max="1744" width="48.75" style="111" customWidth="1"/>
    <col min="1745" max="1747" width="20.75" style="111" customWidth="1"/>
    <col min="1748" max="1768" width="8.83203125" style="111"/>
    <col min="1769" max="1770" width="48.75" style="111" customWidth="1"/>
    <col min="1771" max="1773" width="20.75" style="111" customWidth="1"/>
    <col min="1774" max="1794" width="8.83203125" style="111"/>
    <col min="1795" max="1796" width="48.75" style="111" customWidth="1"/>
    <col min="1797" max="1799" width="20.75" style="111" customWidth="1"/>
    <col min="1800" max="1820" width="8.83203125" style="111"/>
    <col min="1821" max="1822" width="48.75" style="111" customWidth="1"/>
    <col min="1823" max="1825" width="20.75" style="111" customWidth="1"/>
    <col min="1826" max="16384" width="8.83203125" style="111"/>
  </cols>
  <sheetData>
    <row r="1" spans="1:1019 1041:1825">
      <c r="AB1" s="568" t="s">
        <v>610</v>
      </c>
    </row>
    <row r="2" spans="1:1019 1041:1825" ht="15" customHeight="1"/>
    <row r="3" spans="1:1019 1041:1825" ht="15" customHeight="1">
      <c r="B3" s="526" t="s">
        <v>386</v>
      </c>
    </row>
    <row r="4" spans="1:1019 1041:1825" ht="15" customHeight="1">
      <c r="A4" s="115"/>
      <c r="B4" s="114" t="s">
        <v>1762</v>
      </c>
      <c r="F4"/>
      <c r="G4" s="569"/>
      <c r="H4"/>
      <c r="I4" s="569"/>
      <c r="J4" s="569"/>
      <c r="K4" s="569"/>
      <c r="L4" s="569"/>
    </row>
    <row r="5" spans="1:1019 1041:1825" ht="15" customHeight="1">
      <c r="A5" s="115"/>
      <c r="B5" s="114" t="s">
        <v>652</v>
      </c>
      <c r="F5"/>
      <c r="G5" s="570"/>
      <c r="H5"/>
      <c r="I5" s="570"/>
      <c r="J5" s="570"/>
      <c r="K5" s="570"/>
      <c r="L5" s="570"/>
    </row>
    <row r="6" spans="1:1019 1041:1825" ht="15" customHeight="1">
      <c r="B6" s="114" t="s">
        <v>1487</v>
      </c>
      <c r="F6"/>
      <c r="H6"/>
    </row>
    <row r="7" spans="1:1019 1041:1825" ht="15" customHeight="1">
      <c r="B7" s="114" t="s">
        <v>1488</v>
      </c>
      <c r="F7"/>
      <c r="G7" s="571"/>
      <c r="H7" s="571"/>
    </row>
    <row r="8" spans="1:1019 1041:1825" ht="15" customHeight="1">
      <c r="B8" s="114" t="s">
        <v>1489</v>
      </c>
      <c r="F8"/>
      <c r="G8" s="571"/>
      <c r="H8" s="571"/>
    </row>
    <row r="9" spans="1:1019 1041:1825" ht="15" customHeight="1" thickBot="1">
      <c r="B9" s="114" t="s">
        <v>1490</v>
      </c>
      <c r="F9"/>
      <c r="G9" s="571"/>
      <c r="H9" s="571"/>
      <c r="AA9" s="114" t="s">
        <v>522</v>
      </c>
      <c r="BA9" s="114" t="s">
        <v>522</v>
      </c>
      <c r="CA9" s="114" t="s">
        <v>522</v>
      </c>
      <c r="DA9" s="114" t="s">
        <v>522</v>
      </c>
      <c r="EA9" s="114" t="s">
        <v>522</v>
      </c>
      <c r="FA9" s="114" t="s">
        <v>522</v>
      </c>
      <c r="GA9" s="114" t="s">
        <v>522</v>
      </c>
      <c r="HA9" s="114" t="s">
        <v>522</v>
      </c>
      <c r="IA9" s="114" t="s">
        <v>522</v>
      </c>
      <c r="JA9" s="114" t="s">
        <v>522</v>
      </c>
      <c r="KA9" s="114" t="s">
        <v>522</v>
      </c>
      <c r="LA9" s="114" t="s">
        <v>522</v>
      </c>
      <c r="MA9" s="114" t="s">
        <v>522</v>
      </c>
      <c r="NA9" s="114" t="s">
        <v>522</v>
      </c>
      <c r="OA9" s="114" t="s">
        <v>522</v>
      </c>
      <c r="PA9" s="114" t="s">
        <v>522</v>
      </c>
      <c r="QA9" s="114" t="s">
        <v>522</v>
      </c>
      <c r="RA9" s="114" t="s">
        <v>522</v>
      </c>
      <c r="SA9" s="114" t="s">
        <v>522</v>
      </c>
      <c r="TA9" s="114" t="s">
        <v>522</v>
      </c>
      <c r="UA9" s="114" t="s">
        <v>522</v>
      </c>
      <c r="VA9" s="114" t="s">
        <v>522</v>
      </c>
      <c r="WA9" s="114" t="s">
        <v>522</v>
      </c>
      <c r="XA9" s="114" t="s">
        <v>522</v>
      </c>
      <c r="YA9" s="114" t="s">
        <v>522</v>
      </c>
      <c r="ZA9" s="114" t="s">
        <v>522</v>
      </c>
      <c r="AAA9" s="114" t="s">
        <v>522</v>
      </c>
      <c r="ABA9" s="114" t="s">
        <v>522</v>
      </c>
      <c r="ACA9" s="114" t="s">
        <v>522</v>
      </c>
      <c r="ADA9" s="114" t="s">
        <v>522</v>
      </c>
      <c r="AEA9" s="114" t="s">
        <v>522</v>
      </c>
      <c r="AFA9" s="114" t="s">
        <v>522</v>
      </c>
      <c r="AGA9" s="114" t="s">
        <v>522</v>
      </c>
      <c r="AHA9" s="114" t="s">
        <v>522</v>
      </c>
      <c r="AIA9" s="114" t="s">
        <v>522</v>
      </c>
      <c r="AJA9" s="114" t="s">
        <v>522</v>
      </c>
      <c r="AKA9" s="114" t="s">
        <v>522</v>
      </c>
      <c r="ALA9" s="114" t="s">
        <v>522</v>
      </c>
      <c r="AMA9" s="114" t="s">
        <v>522</v>
      </c>
      <c r="ANA9" s="114" t="s">
        <v>522</v>
      </c>
      <c r="AOA9" s="114" t="s">
        <v>522</v>
      </c>
      <c r="APA9" s="114" t="s">
        <v>522</v>
      </c>
      <c r="AQA9" s="114" t="s">
        <v>522</v>
      </c>
      <c r="ARA9" s="114" t="s">
        <v>522</v>
      </c>
      <c r="ASA9" s="114" t="s">
        <v>522</v>
      </c>
      <c r="ATA9" s="114" t="s">
        <v>522</v>
      </c>
      <c r="AUA9" s="114" t="s">
        <v>522</v>
      </c>
      <c r="AVA9" s="114" t="s">
        <v>522</v>
      </c>
      <c r="AWA9" s="114" t="s">
        <v>522</v>
      </c>
      <c r="AXA9" s="114" t="s">
        <v>522</v>
      </c>
      <c r="AYA9" s="114" t="s">
        <v>522</v>
      </c>
      <c r="AZA9" s="114" t="s">
        <v>522</v>
      </c>
      <c r="BAA9" s="114" t="s">
        <v>522</v>
      </c>
      <c r="BBA9" s="114" t="s">
        <v>522</v>
      </c>
      <c r="BCA9" s="114" t="s">
        <v>522</v>
      </c>
      <c r="BDA9" s="114" t="s">
        <v>522</v>
      </c>
      <c r="BEA9" s="114" t="s">
        <v>522</v>
      </c>
      <c r="BFA9" s="114" t="s">
        <v>522</v>
      </c>
      <c r="BGA9" s="114" t="s">
        <v>522</v>
      </c>
      <c r="BHA9" s="114" t="s">
        <v>522</v>
      </c>
      <c r="BIA9" s="114" t="s">
        <v>522</v>
      </c>
      <c r="BJA9" s="114" t="s">
        <v>522</v>
      </c>
      <c r="BKA9" s="114" t="s">
        <v>522</v>
      </c>
      <c r="BLA9" s="114" t="s">
        <v>522</v>
      </c>
      <c r="BMA9" s="114" t="s">
        <v>522</v>
      </c>
      <c r="BNA9" s="114" t="s">
        <v>522</v>
      </c>
      <c r="BOA9" s="114" t="s">
        <v>522</v>
      </c>
      <c r="BPA9" s="114" t="s">
        <v>522</v>
      </c>
      <c r="BQA9" s="114" t="s">
        <v>522</v>
      </c>
      <c r="BRA9" s="114" t="s">
        <v>522</v>
      </c>
    </row>
    <row r="10" spans="1:1019 1041:1825" ht="15" customHeight="1">
      <c r="B10" s="114" t="s">
        <v>1491</v>
      </c>
      <c r="F10"/>
      <c r="G10" s="571"/>
      <c r="H10" s="571"/>
      <c r="AA10" s="431" t="str">
        <f>B4</f>
        <v>Air classifier</v>
      </c>
      <c r="AB10" s="432"/>
      <c r="AC10" s="433"/>
      <c r="AD10" s="434"/>
      <c r="AE10" s="435"/>
      <c r="BA10" s="431" t="str">
        <f>B5</f>
        <v>Aspirator</v>
      </c>
      <c r="BB10" s="432"/>
      <c r="BC10" s="433"/>
      <c r="BD10" s="434"/>
      <c r="BE10" s="435"/>
      <c r="CA10" s="431" t="str">
        <f>B6</f>
        <v>Automated disassembly of battery</v>
      </c>
      <c r="CB10" s="432"/>
      <c r="CC10" s="433"/>
      <c r="CD10" s="434"/>
      <c r="CE10" s="435"/>
      <c r="DA10" s="431" t="str">
        <f>B7</f>
        <v>Automated disassembly of cell</v>
      </c>
      <c r="DB10" s="432"/>
      <c r="DC10" s="433"/>
      <c r="DD10" s="434"/>
      <c r="DE10" s="435"/>
      <c r="EA10" s="431" t="str">
        <f>B8</f>
        <v>Automated disassembly of module</v>
      </c>
      <c r="EB10" s="432"/>
      <c r="EC10" s="433"/>
      <c r="ED10" s="434"/>
      <c r="EE10" s="435"/>
      <c r="FA10" s="431" t="str">
        <f>B9</f>
        <v>Automated sorting of battery</v>
      </c>
      <c r="FB10" s="432"/>
      <c r="FC10" s="433"/>
      <c r="FD10" s="434"/>
      <c r="FE10" s="435"/>
      <c r="GA10" s="431" t="str">
        <f>B10</f>
        <v>Automated sorting of cell</v>
      </c>
      <c r="GB10" s="432"/>
      <c r="GC10" s="433"/>
      <c r="GD10" s="434"/>
      <c r="GE10" s="435"/>
      <c r="HA10" s="431" t="str">
        <f>B11</f>
        <v>Automated sorting of module</v>
      </c>
      <c r="HB10" s="432"/>
      <c r="HC10" s="433"/>
      <c r="HD10" s="434"/>
      <c r="HE10" s="435"/>
      <c r="IA10" s="431" t="str">
        <f>B12</f>
        <v>Ball mill</v>
      </c>
      <c r="IB10" s="432"/>
      <c r="IC10" s="433"/>
      <c r="ID10" s="434"/>
      <c r="IE10" s="435"/>
      <c r="JA10" s="431" t="str">
        <f>B13</f>
        <v>Battery/Cell discharger</v>
      </c>
      <c r="JB10" s="432"/>
      <c r="JC10" s="433"/>
      <c r="JD10" s="434"/>
      <c r="JE10" s="435"/>
      <c r="KA10" s="431" t="str">
        <f>B14</f>
        <v>Brine soak</v>
      </c>
      <c r="KB10" s="432"/>
      <c r="KC10" s="433"/>
      <c r="KD10" s="434"/>
      <c r="KE10" s="435"/>
      <c r="LA10" s="431" t="str">
        <f>B15</f>
        <v>Briquetter</v>
      </c>
      <c r="LB10" s="432"/>
      <c r="LC10" s="433"/>
      <c r="LD10" s="434"/>
      <c r="LE10" s="435"/>
      <c r="MA10" s="431" t="str">
        <f>B16</f>
        <v>Calciner</v>
      </c>
      <c r="MB10" s="432"/>
      <c r="MC10" s="433"/>
      <c r="MD10" s="434"/>
      <c r="ME10" s="435"/>
      <c r="NA10" s="431" t="str">
        <f>B17</f>
        <v>Centrifuge</v>
      </c>
      <c r="NB10" s="432"/>
      <c r="NC10" s="433"/>
      <c r="ND10" s="434"/>
      <c r="NE10" s="435"/>
      <c r="OA10" s="431" t="str">
        <f>B18</f>
        <v>Conveyor</v>
      </c>
      <c r="OB10" s="432"/>
      <c r="OC10" s="433"/>
      <c r="OD10" s="434"/>
      <c r="OE10" s="435"/>
      <c r="PA10" s="431" t="str">
        <f>B19</f>
        <v>Crusher</v>
      </c>
      <c r="PB10" s="432"/>
      <c r="PC10" s="433"/>
      <c r="PD10" s="434"/>
      <c r="PE10" s="435"/>
      <c r="QA10" s="431" t="str">
        <f>B20</f>
        <v>Cryo shredder</v>
      </c>
      <c r="QB10" s="432"/>
      <c r="QC10" s="433"/>
      <c r="QD10" s="434"/>
      <c r="QE10" s="435"/>
      <c r="RA10" s="431" t="str">
        <f>B21</f>
        <v>Crystallizer</v>
      </c>
      <c r="RB10" s="432"/>
      <c r="RC10" s="433"/>
      <c r="RD10" s="434"/>
      <c r="RE10" s="435"/>
      <c r="SA10" s="431" t="str">
        <f>B22</f>
        <v>Cyclone</v>
      </c>
      <c r="SB10" s="432"/>
      <c r="SC10" s="433"/>
      <c r="SD10" s="434"/>
      <c r="SE10" s="435"/>
      <c r="TA10" s="431" t="str">
        <f>B23</f>
        <v>Density separator</v>
      </c>
      <c r="TB10" s="432"/>
      <c r="TC10" s="433"/>
      <c r="TD10" s="434"/>
      <c r="TE10" s="435"/>
      <c r="UA10" s="431" t="str">
        <f>B24</f>
        <v>Distillation</v>
      </c>
      <c r="UB10" s="432"/>
      <c r="UC10" s="433"/>
      <c r="UD10" s="434"/>
      <c r="UE10" s="435"/>
      <c r="VA10" s="431" t="str">
        <f>B25</f>
        <v>Dryer</v>
      </c>
      <c r="VB10" s="432"/>
      <c r="VC10" s="433"/>
      <c r="VD10" s="434"/>
      <c r="VE10" s="435"/>
      <c r="WA10" s="431" t="str">
        <f>B26</f>
        <v>Dust collector</v>
      </c>
      <c r="WB10" s="432"/>
      <c r="WC10" s="433"/>
      <c r="WD10" s="434"/>
      <c r="WE10" s="435"/>
      <c r="XA10" s="431" t="str">
        <f>B27</f>
        <v>Eddy current separator</v>
      </c>
      <c r="XB10" s="432"/>
      <c r="XC10" s="433"/>
      <c r="XD10" s="434"/>
      <c r="XE10" s="435"/>
      <c r="YA10" s="431" t="str">
        <f>B28</f>
        <v>Electrodeposition</v>
      </c>
      <c r="YB10" s="432"/>
      <c r="YC10" s="433"/>
      <c r="YD10" s="434"/>
      <c r="YE10" s="435"/>
      <c r="ZA10" s="431" t="str">
        <f>B29</f>
        <v>Electrowinning cell</v>
      </c>
      <c r="ZB10" s="432"/>
      <c r="ZC10" s="433"/>
      <c r="ZD10" s="434"/>
      <c r="ZE10" s="435"/>
      <c r="AAA10" s="431" t="str">
        <f>B30</f>
        <v>Evaporator</v>
      </c>
      <c r="AAB10" s="432"/>
      <c r="AAC10" s="433"/>
      <c r="AAD10" s="434"/>
      <c r="AAE10" s="435"/>
      <c r="ABA10" s="431" t="str">
        <f>B31</f>
        <v>Feeder</v>
      </c>
      <c r="ABB10" s="432"/>
      <c r="ABC10" s="433"/>
      <c r="ABD10" s="434"/>
      <c r="ABE10" s="435"/>
      <c r="ACA10" s="431" t="str">
        <f>B32</f>
        <v>Filter press</v>
      </c>
      <c r="ACB10" s="432"/>
      <c r="ACC10" s="433"/>
      <c r="ACD10" s="434"/>
      <c r="ACE10" s="435"/>
      <c r="ADA10" s="431" t="str">
        <f>B33</f>
        <v>Filter tank</v>
      </c>
      <c r="ADB10" s="432"/>
      <c r="ADC10" s="433"/>
      <c r="ADD10" s="434"/>
      <c r="ADE10" s="435"/>
      <c r="AEA10" s="431" t="str">
        <f>B34</f>
        <v>Flash tank</v>
      </c>
      <c r="AEB10" s="432"/>
      <c r="AEC10" s="433"/>
      <c r="AED10" s="434"/>
      <c r="AEE10" s="435"/>
      <c r="AFA10" s="431" t="str">
        <f>B35</f>
        <v>Fork truck</v>
      </c>
      <c r="AFB10" s="432"/>
      <c r="AFC10" s="433"/>
      <c r="AFD10" s="434"/>
      <c r="AFE10" s="435"/>
      <c r="AGA10" s="431" t="str">
        <f>B36</f>
        <v>Froth flotation cell</v>
      </c>
      <c r="AGB10" s="432"/>
      <c r="AGC10" s="433"/>
      <c r="AGD10" s="434"/>
      <c r="AGE10" s="435"/>
      <c r="AHA10" s="431" t="str">
        <f>B37</f>
        <v>Furnace+saggar handling system</v>
      </c>
      <c r="AHB10" s="432"/>
      <c r="AHC10" s="433"/>
      <c r="AHD10" s="434"/>
      <c r="AHE10" s="435"/>
      <c r="AIA10" s="431" t="str">
        <f>B38</f>
        <v>Gas treatment</v>
      </c>
      <c r="AIB10" s="432"/>
      <c r="AIC10" s="433"/>
      <c r="AID10" s="434"/>
      <c r="AIE10" s="435"/>
      <c r="AJA10" s="431" t="str">
        <f>B39</f>
        <v>Granulator</v>
      </c>
      <c r="AJB10" s="432"/>
      <c r="AJC10" s="433"/>
      <c r="AJD10" s="434"/>
      <c r="AJE10" s="435"/>
      <c r="AKA10" s="431" t="str">
        <f>B40</f>
        <v>Manual disassembly of battery</v>
      </c>
      <c r="AKB10" s="432"/>
      <c r="AKC10" s="433"/>
      <c r="AKD10" s="434"/>
      <c r="AKE10" s="435"/>
      <c r="ALA10" s="431" t="str">
        <f>B41</f>
        <v>Manual Disassembly of cell</v>
      </c>
      <c r="ALB10" s="432"/>
      <c r="ALC10" s="433"/>
      <c r="ALD10" s="434"/>
      <c r="ALE10" s="435"/>
      <c r="AMA10" s="431" t="str">
        <f>B42</f>
        <v>Manual disassembly of module</v>
      </c>
      <c r="AMB10" s="432"/>
      <c r="AMC10" s="433"/>
      <c r="AMD10" s="434"/>
      <c r="AME10" s="435"/>
      <c r="ANA10" s="431" t="str">
        <f>B43</f>
        <v>Manual sorting of battery</v>
      </c>
      <c r="ANB10" s="432"/>
      <c r="ANC10" s="433"/>
      <c r="AND10" s="434"/>
      <c r="ANE10" s="435"/>
      <c r="AOA10" s="431" t="str">
        <f>B44</f>
        <v>Manual sorting of cell</v>
      </c>
      <c r="AOB10" s="432"/>
      <c r="AOC10" s="433"/>
      <c r="AOD10" s="434"/>
      <c r="AOE10" s="435"/>
      <c r="APA10" s="431" t="str">
        <f>B45</f>
        <v>Manual sorting of module</v>
      </c>
      <c r="APB10" s="432"/>
      <c r="APC10" s="433"/>
      <c r="APD10" s="434"/>
      <c r="APE10" s="435"/>
      <c r="AQA10" s="431" t="str">
        <f>B46</f>
        <v>Heat treatment furnace</v>
      </c>
      <c r="AQB10" s="432"/>
      <c r="AQC10" s="433"/>
      <c r="AQD10" s="434"/>
      <c r="AQE10" s="435"/>
      <c r="ARA10" s="431" t="str">
        <f>B47</f>
        <v>Hopper</v>
      </c>
      <c r="ARB10" s="432"/>
      <c r="ARC10" s="433"/>
      <c r="ARD10" s="434"/>
      <c r="ARE10" s="435"/>
      <c r="ASA10" s="431" t="str">
        <f>B48</f>
        <v>Hydrocyclone</v>
      </c>
      <c r="ASB10" s="432"/>
      <c r="ASC10" s="433"/>
      <c r="ASD10" s="434"/>
      <c r="ASE10" s="435"/>
      <c r="ATA10" s="431" t="str">
        <f>B49</f>
        <v>Leaching tank</v>
      </c>
      <c r="ATB10" s="432"/>
      <c r="ATC10" s="433"/>
      <c r="ATD10" s="434"/>
      <c r="ATE10" s="435"/>
      <c r="AUA10" s="431" t="str">
        <f>B50</f>
        <v>Magnetic separator</v>
      </c>
      <c r="AUB10" s="432"/>
      <c r="AUC10" s="433"/>
      <c r="AUD10" s="434"/>
      <c r="AUE10" s="435"/>
      <c r="AVA10" s="431" t="str">
        <f>B51</f>
        <v>Membrane separator</v>
      </c>
      <c r="AVB10" s="432"/>
      <c r="AVC10" s="433"/>
      <c r="AVD10" s="434"/>
      <c r="AVE10" s="435"/>
      <c r="AWA10" s="431" t="str">
        <f>B52</f>
        <v>Mixing tank</v>
      </c>
      <c r="AWB10" s="432"/>
      <c r="AWC10" s="433"/>
      <c r="AWD10" s="434"/>
      <c r="AWE10" s="435"/>
      <c r="AXA10" s="431" t="str">
        <f>B53</f>
        <v>Oxidizer</v>
      </c>
      <c r="AXB10" s="432"/>
      <c r="AXC10" s="433"/>
      <c r="AXD10" s="434"/>
      <c r="AXE10" s="435"/>
      <c r="AYA10" s="431" t="str">
        <f>B54</f>
        <v>Pelletizer</v>
      </c>
      <c r="AYB10" s="432"/>
      <c r="AYC10" s="433"/>
      <c r="AYD10" s="434"/>
      <c r="AYE10" s="435"/>
      <c r="AZA10" s="431" t="str">
        <f>B55</f>
        <v>Precipitation tank</v>
      </c>
      <c r="AZB10" s="432"/>
      <c r="AZC10" s="433"/>
      <c r="AZD10" s="434"/>
      <c r="AZE10" s="435"/>
      <c r="BAA10" s="431" t="str">
        <f>B56</f>
        <v>Pump</v>
      </c>
      <c r="BAB10" s="432"/>
      <c r="BAC10" s="433"/>
      <c r="BAD10" s="434"/>
      <c r="BAE10" s="435"/>
      <c r="BBA10" s="431" t="str">
        <f>B57</f>
        <v>Pyrolyzer</v>
      </c>
      <c r="BBB10" s="432"/>
      <c r="BBC10" s="433"/>
      <c r="BBD10" s="434"/>
      <c r="BBE10" s="435"/>
      <c r="BCA10" s="431" t="str">
        <f>B58</f>
        <v>Screen, DSM</v>
      </c>
      <c r="BCB10" s="432"/>
      <c r="BCC10" s="433"/>
      <c r="BCD10" s="434"/>
      <c r="BCE10" s="435"/>
      <c r="BDA10" s="431" t="str">
        <f>B59</f>
        <v>Screen, vibrating</v>
      </c>
      <c r="BDB10" s="432"/>
      <c r="BDC10" s="433"/>
      <c r="BDD10" s="434"/>
      <c r="BDE10" s="435"/>
      <c r="BEA10" s="431" t="str">
        <f>B60</f>
        <v xml:space="preserve">Shredder  </v>
      </c>
      <c r="BEB10" s="432"/>
      <c r="BEC10" s="433"/>
      <c r="BED10" s="434"/>
      <c r="BEE10" s="435"/>
      <c r="BFA10" s="431" t="str">
        <f>B61</f>
        <v>Shredder with water</v>
      </c>
      <c r="BFB10" s="432"/>
      <c r="BFC10" s="433"/>
      <c r="BFD10" s="434"/>
      <c r="BFE10" s="435"/>
      <c r="BGA10" s="431" t="str">
        <f>B62</f>
        <v>Shredder with inert gas</v>
      </c>
      <c r="BGB10" s="432"/>
      <c r="BGC10" s="433"/>
      <c r="BGD10" s="434"/>
      <c r="BGE10" s="435"/>
      <c r="BHA10" s="431" t="str">
        <f>B63</f>
        <v>Skid steer</v>
      </c>
      <c r="BHB10" s="432"/>
      <c r="BHC10" s="433"/>
      <c r="BHD10" s="434"/>
      <c r="BHE10" s="435"/>
      <c r="BIA10" s="431" t="str">
        <f>B64</f>
        <v>Smelter</v>
      </c>
      <c r="BIB10" s="432"/>
      <c r="BIC10" s="433"/>
      <c r="BID10" s="434"/>
      <c r="BIE10" s="435"/>
      <c r="BJA10" s="431" t="str">
        <f>B65</f>
        <v>Solvent extraction unit</v>
      </c>
      <c r="BJB10" s="432"/>
      <c r="BJC10" s="433"/>
      <c r="BJD10" s="434"/>
      <c r="BJE10" s="435"/>
      <c r="BKA10" s="431" t="str">
        <f>B66</f>
        <v>Storage tank</v>
      </c>
      <c r="BKB10" s="432"/>
      <c r="BKC10" s="433"/>
      <c r="BKD10" s="434"/>
      <c r="BKE10" s="435"/>
      <c r="BLA10" s="431" t="str">
        <f>B67</f>
        <v>Supercritical CO2 system</v>
      </c>
      <c r="BLB10" s="432"/>
      <c r="BLC10" s="433"/>
      <c r="BLD10" s="434"/>
      <c r="BLE10" s="435"/>
      <c r="BMA10" s="431" t="str">
        <f>B68</f>
        <v>Ultrasonic bath</v>
      </c>
      <c r="BMB10" s="432"/>
      <c r="BMC10" s="433"/>
      <c r="BMD10" s="434"/>
      <c r="BME10" s="435"/>
      <c r="BNA10" s="431" t="str">
        <f>B69</f>
        <v>Vacuum distillation</v>
      </c>
      <c r="BNB10" s="432"/>
      <c r="BNC10" s="433"/>
      <c r="BND10" s="434"/>
      <c r="BNE10" s="435"/>
      <c r="BOA10" s="431" t="str">
        <f>B70</f>
        <v>Water treatment</v>
      </c>
      <c r="BOB10" s="432"/>
      <c r="BOC10" s="433"/>
      <c r="BOD10" s="434"/>
      <c r="BOE10" s="435"/>
      <c r="BPA10" s="431" t="str">
        <f>B71</f>
        <v>Wet granulator</v>
      </c>
      <c r="BPB10" s="432"/>
      <c r="BPC10" s="433"/>
      <c r="BPD10" s="434"/>
      <c r="BPE10" s="435"/>
      <c r="BQA10" s="431" t="str">
        <f>B72</f>
        <v>Wheel loader</v>
      </c>
      <c r="BQB10" s="432"/>
      <c r="BQC10" s="433"/>
      <c r="BQD10" s="434"/>
      <c r="BQE10" s="435"/>
      <c r="BRA10" s="431">
        <f>B73</f>
        <v>0</v>
      </c>
      <c r="BRB10" s="432"/>
      <c r="BRC10" s="433"/>
      <c r="BRD10" s="434"/>
      <c r="BRE10" s="435"/>
    </row>
    <row r="11" spans="1:1019 1041:1825" ht="15" customHeight="1">
      <c r="B11" s="114" t="s">
        <v>1492</v>
      </c>
      <c r="F11"/>
      <c r="G11" s="571"/>
      <c r="H11" s="571"/>
      <c r="AA11" s="436" t="s">
        <v>1</v>
      </c>
      <c r="AB11" s="437"/>
      <c r="AC11" s="438" t="s">
        <v>586</v>
      </c>
      <c r="AD11" s="572">
        <f>AB11*'CM Rec Par.'!$BC$21*'CM Rec Par.'!$BC$22</f>
        <v>0</v>
      </c>
      <c r="AE11" s="439" t="s">
        <v>585</v>
      </c>
      <c r="BA11" s="436" t="s">
        <v>1</v>
      </c>
      <c r="BB11" s="437"/>
      <c r="BC11" s="438" t="s">
        <v>586</v>
      </c>
      <c r="BD11" s="572">
        <f>BB11*'CM Rec Par.'!$BC$21*'CM Rec Par.'!$BC$22</f>
        <v>0</v>
      </c>
      <c r="BE11" s="439" t="s">
        <v>585</v>
      </c>
      <c r="CA11" s="436" t="s">
        <v>1</v>
      </c>
      <c r="CB11" s="437"/>
      <c r="CC11" s="438" t="s">
        <v>586</v>
      </c>
      <c r="CD11" s="572">
        <f>CB11*'CM Rec Par.'!$BC$21*'CM Rec Par.'!$BC$22</f>
        <v>0</v>
      </c>
      <c r="CE11" s="439" t="s">
        <v>585</v>
      </c>
      <c r="DA11" s="436" t="s">
        <v>1</v>
      </c>
      <c r="DB11" s="437"/>
      <c r="DC11" s="438" t="s">
        <v>586</v>
      </c>
      <c r="DD11" s="572">
        <f>DB11*'CM Rec Par.'!$BC$21*'CM Rec Par.'!$BC$22</f>
        <v>0</v>
      </c>
      <c r="DE11" s="439" t="s">
        <v>585</v>
      </c>
      <c r="EA11" s="436" t="s">
        <v>1</v>
      </c>
      <c r="EB11" s="437"/>
      <c r="EC11" s="438" t="s">
        <v>586</v>
      </c>
      <c r="ED11" s="572">
        <f>EB11*'CM Rec Par.'!$BC$21*'CM Rec Par.'!$BC$22</f>
        <v>0</v>
      </c>
      <c r="EE11" s="439" t="s">
        <v>585</v>
      </c>
      <c r="FA11" s="436" t="s">
        <v>1</v>
      </c>
      <c r="FB11" s="437"/>
      <c r="FC11" s="438" t="s">
        <v>586</v>
      </c>
      <c r="FD11" s="572">
        <f>FB11*'CM Rec Par.'!$BC$21*'CM Rec Par.'!$BC$22</f>
        <v>0</v>
      </c>
      <c r="FE11" s="439" t="s">
        <v>585</v>
      </c>
      <c r="GA11" s="436" t="s">
        <v>1</v>
      </c>
      <c r="GB11" s="437"/>
      <c r="GC11" s="438" t="s">
        <v>586</v>
      </c>
      <c r="GD11" s="572">
        <f>GB11*'CM Rec Par.'!$BC$21*'CM Rec Par.'!$BC$22</f>
        <v>0</v>
      </c>
      <c r="GE11" s="439" t="s">
        <v>585</v>
      </c>
      <c r="HA11" s="436" t="s">
        <v>1</v>
      </c>
      <c r="HB11" s="437"/>
      <c r="HC11" s="438" t="s">
        <v>586</v>
      </c>
      <c r="HD11" s="572">
        <f>HB11*'CM Rec Par.'!$BC$21*'CM Rec Par.'!$BC$22</f>
        <v>0</v>
      </c>
      <c r="HE11" s="439" t="s">
        <v>585</v>
      </c>
      <c r="IA11" s="436" t="s">
        <v>1</v>
      </c>
      <c r="IB11" s="437" t="e">
        <f>'CM Rec Par.'!#REF!/320/20</f>
        <v>#REF!</v>
      </c>
      <c r="IC11" s="438" t="s">
        <v>586</v>
      </c>
      <c r="ID11" s="572"/>
      <c r="IE11" s="439" t="s">
        <v>585</v>
      </c>
      <c r="JA11" s="436" t="s">
        <v>1</v>
      </c>
      <c r="JB11" s="437"/>
      <c r="JC11" s="438" t="s">
        <v>586</v>
      </c>
      <c r="JD11" s="572">
        <f>JB11*'CM Rec Par.'!$BC$21*'CM Rec Par.'!$BC$22</f>
        <v>0</v>
      </c>
      <c r="JE11" s="439" t="s">
        <v>585</v>
      </c>
      <c r="KA11" s="436" t="s">
        <v>1</v>
      </c>
      <c r="KB11" s="437" t="e">
        <f>'CM Rec Par.'!#REF!/320/20</f>
        <v>#REF!</v>
      </c>
      <c r="KC11" s="438" t="s">
        <v>586</v>
      </c>
      <c r="KD11" s="572" t="e">
        <f>KB11*'CM Rec Par.'!$BC$21*'CM Rec Par.'!$BC$22</f>
        <v>#REF!</v>
      </c>
      <c r="KE11" s="439" t="s">
        <v>585</v>
      </c>
      <c r="LA11" s="436" t="s">
        <v>1</v>
      </c>
      <c r="LB11" s="437"/>
      <c r="LC11" s="438" t="s">
        <v>586</v>
      </c>
      <c r="LD11" s="572">
        <f>LB11*'CM Rec Par.'!$BC$21*'CM Rec Par.'!$BC$22</f>
        <v>0</v>
      </c>
      <c r="LE11" s="439" t="s">
        <v>585</v>
      </c>
      <c r="MA11" s="436" t="s">
        <v>1</v>
      </c>
      <c r="MB11" s="437" t="e">
        <f>'CM Rec Par.'!#REF!/320/20</f>
        <v>#REF!</v>
      </c>
      <c r="MC11" s="438" t="s">
        <v>586</v>
      </c>
      <c r="MD11" s="572" t="e">
        <f>MB11*'CM Rec Par.'!$BC$21*'CM Rec Par.'!$BC$22</f>
        <v>#REF!</v>
      </c>
      <c r="ME11" s="439" t="s">
        <v>585</v>
      </c>
      <c r="NA11" s="436" t="s">
        <v>1</v>
      </c>
      <c r="NB11" s="437"/>
      <c r="NC11" s="438" t="s">
        <v>586</v>
      </c>
      <c r="ND11" s="572">
        <f>NB11*'CM Rec Par.'!$BC$21*'CM Rec Par.'!$BC$22</f>
        <v>0</v>
      </c>
      <c r="NE11" s="439" t="s">
        <v>585</v>
      </c>
      <c r="OA11" s="436" t="s">
        <v>1</v>
      </c>
      <c r="OB11" s="437" t="e">
        <f>'CM Rec Par.'!#REF!/320/20</f>
        <v>#REF!</v>
      </c>
      <c r="OC11" s="438" t="s">
        <v>586</v>
      </c>
      <c r="OD11" s="572" t="e">
        <f>OB11*'CM Rec Par.'!$BC$21*'CM Rec Par.'!$BC$22</f>
        <v>#REF!</v>
      </c>
      <c r="OE11" s="439" t="s">
        <v>585</v>
      </c>
      <c r="PA11" s="436" t="s">
        <v>1</v>
      </c>
      <c r="PB11" s="437"/>
      <c r="PC11" s="438" t="s">
        <v>586</v>
      </c>
      <c r="PD11" s="572">
        <f>PB11*'CM Rec Par.'!$BC$21*'CM Rec Par.'!$BC$22</f>
        <v>0</v>
      </c>
      <c r="PE11" s="439" t="s">
        <v>585</v>
      </c>
      <c r="QA11" s="436" t="s">
        <v>1</v>
      </c>
      <c r="QB11" s="437"/>
      <c r="QC11" s="438" t="s">
        <v>586</v>
      </c>
      <c r="QD11" s="572">
        <f>QB11*'CM Rec Par.'!$BC$21*'CM Rec Par.'!$BC$22</f>
        <v>0</v>
      </c>
      <c r="QE11" s="439" t="s">
        <v>585</v>
      </c>
      <c r="RA11" s="436" t="s">
        <v>1</v>
      </c>
      <c r="RB11" s="437"/>
      <c r="RC11" s="438" t="s">
        <v>586</v>
      </c>
      <c r="RD11" s="572">
        <f>RB11*'CM Rec Par.'!$BC$21*'CM Rec Par.'!$BC$22</f>
        <v>0</v>
      </c>
      <c r="RE11" s="439" t="s">
        <v>585</v>
      </c>
      <c r="SA11" s="436" t="s">
        <v>1</v>
      </c>
      <c r="SB11" s="437"/>
      <c r="SC11" s="438" t="s">
        <v>586</v>
      </c>
      <c r="SD11" s="572">
        <f>SB11*'CM Rec Par.'!$BC$21*'CM Rec Par.'!$BC$22</f>
        <v>0</v>
      </c>
      <c r="SE11" s="439" t="s">
        <v>585</v>
      </c>
      <c r="TA11" s="436" t="s">
        <v>1</v>
      </c>
      <c r="TB11" s="437" t="e">
        <f>'CM Rec Par.'!#REF!/320/20</f>
        <v>#REF!</v>
      </c>
      <c r="TC11" s="438" t="s">
        <v>586</v>
      </c>
      <c r="TD11" s="572" t="e">
        <f>TB11*'CM Rec Par.'!$BC$21*'CM Rec Par.'!$BC$22</f>
        <v>#REF!</v>
      </c>
      <c r="TE11" s="439" t="s">
        <v>585</v>
      </c>
      <c r="UA11" s="436" t="s">
        <v>1</v>
      </c>
      <c r="UB11" s="437"/>
      <c r="UC11" s="438" t="s">
        <v>586</v>
      </c>
      <c r="UD11" s="572">
        <f>UB11*'CM Rec Par.'!$BC$21*'CM Rec Par.'!$BC$22</f>
        <v>0</v>
      </c>
      <c r="UE11" s="439" t="s">
        <v>585</v>
      </c>
      <c r="VA11" s="436" t="s">
        <v>1</v>
      </c>
      <c r="VB11" s="437" t="e">
        <f>'CM Rec Par.'!#REF!/320/20*0.4</f>
        <v>#REF!</v>
      </c>
      <c r="VC11" s="438" t="s">
        <v>586</v>
      </c>
      <c r="VD11" s="572" t="e">
        <f>VB11*'CM Rec Par.'!$BC$21*'CM Rec Par.'!$BC$22</f>
        <v>#REF!</v>
      </c>
      <c r="VE11" s="439" t="s">
        <v>585</v>
      </c>
      <c r="WA11" s="436" t="s">
        <v>1</v>
      </c>
      <c r="WB11" s="437"/>
      <c r="WC11" s="438" t="s">
        <v>586</v>
      </c>
      <c r="WD11" s="572">
        <f>WB11*'CM Rec Par.'!$BC$21*'CM Rec Par.'!$BC$22</f>
        <v>0</v>
      </c>
      <c r="WE11" s="439" t="s">
        <v>585</v>
      </c>
      <c r="XA11" s="436" t="s">
        <v>1</v>
      </c>
      <c r="XB11" s="437"/>
      <c r="XC11" s="438" t="s">
        <v>586</v>
      </c>
      <c r="XD11" s="572">
        <f>XB11*'CM Rec Par.'!$BC$21*'CM Rec Par.'!$BC$22</f>
        <v>0</v>
      </c>
      <c r="XE11" s="439" t="s">
        <v>585</v>
      </c>
      <c r="YA11" s="436" t="s">
        <v>1</v>
      </c>
      <c r="YB11" s="437"/>
      <c r="YC11" s="438" t="s">
        <v>586</v>
      </c>
      <c r="YD11" s="572">
        <f>YB11*'CM Rec Par.'!$BC$21*'CM Rec Par.'!$BC$22</f>
        <v>0</v>
      </c>
      <c r="YE11" s="439" t="s">
        <v>585</v>
      </c>
      <c r="ZA11" s="436" t="s">
        <v>1</v>
      </c>
      <c r="ZB11" s="437"/>
      <c r="ZC11" s="438" t="s">
        <v>586</v>
      </c>
      <c r="ZD11" s="572">
        <f>ZB11*'CM Rec Par.'!$BC$21*'CM Rec Par.'!$BC$22</f>
        <v>0</v>
      </c>
      <c r="ZE11" s="439" t="s">
        <v>585</v>
      </c>
      <c r="AAA11" s="436" t="s">
        <v>1</v>
      </c>
      <c r="AAB11" s="437"/>
      <c r="AAC11" s="438" t="s">
        <v>586</v>
      </c>
      <c r="AAD11" s="572">
        <f>AAB11*'CM Rec Par.'!$BC$21*'CM Rec Par.'!$BC$22</f>
        <v>0</v>
      </c>
      <c r="AAE11" s="439" t="s">
        <v>585</v>
      </c>
      <c r="ABA11" s="436" t="s">
        <v>1</v>
      </c>
      <c r="ABB11" s="437"/>
      <c r="ABC11" s="438" t="s">
        <v>586</v>
      </c>
      <c r="ABD11" s="572">
        <f>ABB11*'CM Rec Par.'!$BC$21*'CM Rec Par.'!$BC$22</f>
        <v>0</v>
      </c>
      <c r="ABE11" s="439" t="s">
        <v>585</v>
      </c>
      <c r="ACA11" s="436" t="s">
        <v>1</v>
      </c>
      <c r="ACB11" s="437" t="e">
        <f>'CM Rec Par.'!#REF!/320/20*0.5</f>
        <v>#REF!</v>
      </c>
      <c r="ACC11" s="438" t="s">
        <v>586</v>
      </c>
      <c r="ACD11" s="572" t="e">
        <f>ACB11*'CM Rec Par.'!$BC$21*'CM Rec Par.'!$BC$22</f>
        <v>#REF!</v>
      </c>
      <c r="ACE11" s="439" t="s">
        <v>585</v>
      </c>
      <c r="ADA11" s="436" t="s">
        <v>1</v>
      </c>
      <c r="ADB11" s="437"/>
      <c r="ADC11" s="438" t="s">
        <v>586</v>
      </c>
      <c r="ADD11" s="572">
        <f>ADB11*'CM Rec Par.'!$BC$21*'CM Rec Par.'!$BC$22</f>
        <v>0</v>
      </c>
      <c r="ADE11" s="439" t="s">
        <v>585</v>
      </c>
      <c r="AEA11" s="436" t="s">
        <v>1</v>
      </c>
      <c r="AEB11" s="437"/>
      <c r="AEC11" s="438" t="s">
        <v>586</v>
      </c>
      <c r="AED11" s="572">
        <f>AEB11*'CM Rec Par.'!$BC$21*'CM Rec Par.'!$BC$22</f>
        <v>0</v>
      </c>
      <c r="AEE11" s="439" t="s">
        <v>585</v>
      </c>
      <c r="AFA11" s="436" t="s">
        <v>1</v>
      </c>
      <c r="AFB11" s="437"/>
      <c r="AFC11" s="438" t="s">
        <v>586</v>
      </c>
      <c r="AFD11" s="572">
        <f>AFB11*'CM Rec Par.'!$BC$21*'CM Rec Par.'!$BC$22</f>
        <v>0</v>
      </c>
      <c r="AFE11" s="439" t="s">
        <v>585</v>
      </c>
      <c r="AGA11" s="436" t="s">
        <v>1</v>
      </c>
      <c r="AGB11" s="437" t="e">
        <f>'CM Rec Par.'!#REF!/320/20*0.6</f>
        <v>#REF!</v>
      </c>
      <c r="AGC11" s="438" t="s">
        <v>586</v>
      </c>
      <c r="AGD11" s="572" t="e">
        <f>AGB11*'CM Rec Par.'!$BC$21*'CM Rec Par.'!$BC$22</f>
        <v>#REF!</v>
      </c>
      <c r="AGE11" s="439" t="s">
        <v>585</v>
      </c>
      <c r="AHA11" s="436" t="s">
        <v>1</v>
      </c>
      <c r="AHB11" s="437"/>
      <c r="AHC11" s="438" t="s">
        <v>586</v>
      </c>
      <c r="AHD11" s="572">
        <f>AHB11*'CM Rec Par.'!$BC$21*'CM Rec Par.'!$BC$22</f>
        <v>0</v>
      </c>
      <c r="AHE11" s="439" t="s">
        <v>585</v>
      </c>
      <c r="AIA11" s="436" t="s">
        <v>1</v>
      </c>
      <c r="AIB11" s="437"/>
      <c r="AIC11" s="438" t="s">
        <v>586</v>
      </c>
      <c r="AID11" s="572">
        <f>AIB11*'CM Rec Par.'!$BC$21*'CM Rec Par.'!$BC$22</f>
        <v>0</v>
      </c>
      <c r="AIE11" s="439" t="s">
        <v>585</v>
      </c>
      <c r="AJA11" s="436" t="s">
        <v>1</v>
      </c>
      <c r="AJB11" s="437" t="e">
        <f>'CM Rec Par.'!#REF!/320/20</f>
        <v>#REF!</v>
      </c>
      <c r="AJC11" s="438" t="s">
        <v>586</v>
      </c>
      <c r="AJD11" s="572" t="e">
        <f>AJB11*'CM Rec Par.'!$BC$21*'CM Rec Par.'!$BC$22</f>
        <v>#REF!</v>
      </c>
      <c r="AJE11" s="439" t="s">
        <v>585</v>
      </c>
      <c r="AKA11" s="436" t="s">
        <v>1</v>
      </c>
      <c r="AKB11" s="437"/>
      <c r="AKC11" s="438" t="s">
        <v>586</v>
      </c>
      <c r="AKD11" s="572">
        <f>AKB11*'CM Rec Par.'!$BC$21*'CM Rec Par.'!$BC$22</f>
        <v>0</v>
      </c>
      <c r="AKE11" s="439" t="s">
        <v>585</v>
      </c>
      <c r="ALA11" s="436" t="s">
        <v>1</v>
      </c>
      <c r="ALB11" s="437"/>
      <c r="ALC11" s="438" t="s">
        <v>586</v>
      </c>
      <c r="ALD11" s="572">
        <f>ALB11*'CM Rec Par.'!$BC$21*'CM Rec Par.'!$BC$22</f>
        <v>0</v>
      </c>
      <c r="ALE11" s="439" t="s">
        <v>585</v>
      </c>
      <c r="AMA11" s="436" t="s">
        <v>1</v>
      </c>
      <c r="AMB11" s="437"/>
      <c r="AMC11" s="438" t="s">
        <v>586</v>
      </c>
      <c r="AMD11" s="572">
        <f>AMB11*'CM Rec Par.'!$BC$21*'CM Rec Par.'!$BC$22</f>
        <v>0</v>
      </c>
      <c r="AME11" s="439" t="s">
        <v>585</v>
      </c>
      <c r="ANA11" s="436" t="s">
        <v>1</v>
      </c>
      <c r="ANB11" s="437"/>
      <c r="ANC11" s="438" t="s">
        <v>586</v>
      </c>
      <c r="AND11" s="572">
        <f>ANB11*'CM Rec Par.'!$BC$21*'CM Rec Par.'!$BC$22</f>
        <v>0</v>
      </c>
      <c r="ANE11" s="439" t="s">
        <v>585</v>
      </c>
      <c r="AOA11" s="436" t="s">
        <v>1</v>
      </c>
      <c r="AOB11" s="437"/>
      <c r="AOC11" s="438" t="s">
        <v>586</v>
      </c>
      <c r="AOD11" s="572">
        <f>AOB11*'CM Rec Par.'!$BC$21*'CM Rec Par.'!$BC$22</f>
        <v>0</v>
      </c>
      <c r="AOE11" s="439" t="s">
        <v>585</v>
      </c>
      <c r="APA11" s="436" t="s">
        <v>1</v>
      </c>
      <c r="APB11" s="437"/>
      <c r="APC11" s="438" t="s">
        <v>586</v>
      </c>
      <c r="APD11" s="572">
        <f>APB11*'CM Rec Par.'!$BC$21*'CM Rec Par.'!$BC$22</f>
        <v>0</v>
      </c>
      <c r="APE11" s="439" t="s">
        <v>585</v>
      </c>
      <c r="AQA11" s="436" t="s">
        <v>1</v>
      </c>
      <c r="AQB11" s="437" t="e">
        <f>'CM Rec Par.'!#REF!/320/20</f>
        <v>#REF!</v>
      </c>
      <c r="AQC11" s="438" t="s">
        <v>586</v>
      </c>
      <c r="AQD11" s="572" t="e">
        <f>AQB11*'CM Rec Par.'!$BC$21*'CM Rec Par.'!$BC$22</f>
        <v>#REF!</v>
      </c>
      <c r="AQE11" s="439" t="s">
        <v>585</v>
      </c>
      <c r="ARA11" s="436" t="s">
        <v>1</v>
      </c>
      <c r="ARB11" s="437" t="e">
        <f>'CM Rec Par.'!#REF!/320/20*0.3</f>
        <v>#REF!</v>
      </c>
      <c r="ARC11" s="438" t="s">
        <v>586</v>
      </c>
      <c r="ARD11" s="572" t="e">
        <f>ARB11*'CM Rec Par.'!$BC$21*'CM Rec Par.'!$BC$22</f>
        <v>#REF!</v>
      </c>
      <c r="ARE11" s="439" t="s">
        <v>585</v>
      </c>
      <c r="ASA11" s="436" t="s">
        <v>1</v>
      </c>
      <c r="ASB11" s="437"/>
      <c r="ASC11" s="438" t="s">
        <v>586</v>
      </c>
      <c r="ASD11" s="572">
        <f>ASB11*'CM Rec Par.'!$BC$21*'CM Rec Par.'!$BC$22</f>
        <v>0</v>
      </c>
      <c r="ASE11" s="439" t="s">
        <v>585</v>
      </c>
      <c r="ATA11" s="436" t="s">
        <v>1</v>
      </c>
      <c r="ATB11" s="437" t="e">
        <f>'CM Rec Par.'!#REF!/320/20*0.3</f>
        <v>#REF!</v>
      </c>
      <c r="ATC11" s="438" t="s">
        <v>586</v>
      </c>
      <c r="ATD11" s="572" t="e">
        <f>ATB11*'CM Rec Par.'!$BC$21*'CM Rec Par.'!$BC$22</f>
        <v>#REF!</v>
      </c>
      <c r="ATE11" s="439" t="s">
        <v>585</v>
      </c>
      <c r="AUA11" s="436" t="s">
        <v>1</v>
      </c>
      <c r="AUB11" s="437"/>
      <c r="AUC11" s="438" t="s">
        <v>586</v>
      </c>
      <c r="AUD11" s="572">
        <f>AUB11*'CM Rec Par.'!$BC$21*'CM Rec Par.'!$BC$22</f>
        <v>0</v>
      </c>
      <c r="AUE11" s="439" t="s">
        <v>585</v>
      </c>
      <c r="AVA11" s="436" t="s">
        <v>1</v>
      </c>
      <c r="AVB11" s="437"/>
      <c r="AVC11" s="438" t="s">
        <v>586</v>
      </c>
      <c r="AVD11" s="572">
        <f>AVB11*'CM Rec Par.'!$BC$21*'CM Rec Par.'!$BC$22</f>
        <v>0</v>
      </c>
      <c r="AVE11" s="439" t="s">
        <v>585</v>
      </c>
      <c r="AWA11" s="436" t="s">
        <v>1</v>
      </c>
      <c r="AWB11" s="437"/>
      <c r="AWC11" s="438" t="s">
        <v>586</v>
      </c>
      <c r="AWD11" s="572">
        <f>AWB11*'CM Rec Par.'!$BC$21*'CM Rec Par.'!$BC$22</f>
        <v>0</v>
      </c>
      <c r="AWE11" s="439" t="s">
        <v>585</v>
      </c>
      <c r="AXA11" s="436" t="s">
        <v>1</v>
      </c>
      <c r="AXB11" s="437" t="e">
        <f>'CM Rec Par.'!#REF!/320/20*0.3</f>
        <v>#REF!</v>
      </c>
      <c r="AXC11" s="438" t="s">
        <v>586</v>
      </c>
      <c r="AXD11" s="572" t="e">
        <f>AXB11*'CM Rec Par.'!$BC$21*'CM Rec Par.'!$BC$22</f>
        <v>#REF!</v>
      </c>
      <c r="AXE11" s="439" t="s">
        <v>585</v>
      </c>
      <c r="AYA11" s="436" t="s">
        <v>1</v>
      </c>
      <c r="AYB11" s="437"/>
      <c r="AYC11" s="438" t="s">
        <v>586</v>
      </c>
      <c r="AYD11" s="572">
        <f>AYB11*'CM Rec Par.'!$BC$21*'CM Rec Par.'!$BC$22</f>
        <v>0</v>
      </c>
      <c r="AYE11" s="439" t="s">
        <v>585</v>
      </c>
      <c r="AZA11" s="436" t="s">
        <v>1</v>
      </c>
      <c r="AZB11" s="437" t="e">
        <f>'CM Rec Par.'!#REF!/320/20*0.3</f>
        <v>#REF!</v>
      </c>
      <c r="AZC11" s="438" t="s">
        <v>586</v>
      </c>
      <c r="AZD11" s="572" t="e">
        <f>AZB11*'CM Rec Par.'!$BC$21*'CM Rec Par.'!$BC$22</f>
        <v>#REF!</v>
      </c>
      <c r="AZE11" s="439" t="s">
        <v>585</v>
      </c>
      <c r="BAA11" s="436" t="s">
        <v>1</v>
      </c>
      <c r="BAB11" s="437"/>
      <c r="BAC11" s="438" t="s">
        <v>586</v>
      </c>
      <c r="BAD11" s="572">
        <f>BAB11*'CM Rec Par.'!$BC$21*'CM Rec Par.'!$BC$22</f>
        <v>0</v>
      </c>
      <c r="BAE11" s="439" t="s">
        <v>585</v>
      </c>
      <c r="BBA11" s="436" t="s">
        <v>1</v>
      </c>
      <c r="BBB11" s="437"/>
      <c r="BBC11" s="438" t="s">
        <v>586</v>
      </c>
      <c r="BBD11" s="572">
        <f>BBB11*'CM Rec Par.'!$BC$21*'CM Rec Par.'!$BC$22</f>
        <v>0</v>
      </c>
      <c r="BBE11" s="439" t="s">
        <v>585</v>
      </c>
      <c r="BCA11" s="436" t="s">
        <v>1</v>
      </c>
      <c r="BCB11" s="437" t="e">
        <f>'CM Rec Par.'!#REF!/320/20</f>
        <v>#REF!</v>
      </c>
      <c r="BCC11" s="438" t="s">
        <v>586</v>
      </c>
      <c r="BCD11" s="572" t="e">
        <f>BCB11*'CM Rec Par.'!$BC$21*'CM Rec Par.'!$BC$22</f>
        <v>#REF!</v>
      </c>
      <c r="BCE11" s="439" t="s">
        <v>585</v>
      </c>
      <c r="BDA11" s="436" t="s">
        <v>1</v>
      </c>
      <c r="BDB11" s="437"/>
      <c r="BDC11" s="438" t="s">
        <v>586</v>
      </c>
      <c r="BDD11" s="572">
        <f>BDB11*'CM Rec Par.'!$BC$21*'CM Rec Par.'!$BC$22</f>
        <v>0</v>
      </c>
      <c r="BDE11" s="439" t="s">
        <v>585</v>
      </c>
      <c r="BEA11" s="436" t="s">
        <v>1</v>
      </c>
      <c r="BEB11" s="437"/>
      <c r="BEC11" s="438" t="s">
        <v>586</v>
      </c>
      <c r="BED11" s="572">
        <f>BEB11*'CM Rec Par.'!$BC$21*'CM Rec Par.'!$BC$22</f>
        <v>0</v>
      </c>
      <c r="BEE11" s="439" t="s">
        <v>585</v>
      </c>
      <c r="BFA11" s="436" t="s">
        <v>1</v>
      </c>
      <c r="BFB11" s="437"/>
      <c r="BFC11" s="438" t="s">
        <v>586</v>
      </c>
      <c r="BFD11" s="572">
        <f>BFB11*'CM Rec Par.'!$BC$21*'CM Rec Par.'!$BC$22</f>
        <v>0</v>
      </c>
      <c r="BFE11" s="439" t="s">
        <v>585</v>
      </c>
      <c r="BGA11" s="436" t="s">
        <v>1</v>
      </c>
      <c r="BGB11" s="437"/>
      <c r="BGC11" s="438" t="s">
        <v>586</v>
      </c>
      <c r="BGD11" s="572">
        <f>BGB11*'CM Rec Par.'!$BC$21*'CM Rec Par.'!$BC$22</f>
        <v>0</v>
      </c>
      <c r="BGE11" s="439" t="s">
        <v>585</v>
      </c>
      <c r="BHA11" s="436" t="s">
        <v>1</v>
      </c>
      <c r="BHB11" s="437"/>
      <c r="BHC11" s="438" t="s">
        <v>586</v>
      </c>
      <c r="BHD11" s="572">
        <f>BHB11*'CM Rec Par.'!$BC$21*'CM Rec Par.'!$BC$22</f>
        <v>0</v>
      </c>
      <c r="BHE11" s="439" t="s">
        <v>585</v>
      </c>
      <c r="BIA11" s="436" t="s">
        <v>1</v>
      </c>
      <c r="BIB11" s="437" t="e">
        <f>'CM Rec Par.'!#REF!/320/20</f>
        <v>#REF!</v>
      </c>
      <c r="BIC11" s="438" t="s">
        <v>586</v>
      </c>
      <c r="BID11" s="572" t="e">
        <f>BIB11*'CM Rec Par.'!$BC$21*'CM Rec Par.'!$BC$22</f>
        <v>#REF!</v>
      </c>
      <c r="BIE11" s="439" t="s">
        <v>585</v>
      </c>
      <c r="BJA11" s="436" t="s">
        <v>1</v>
      </c>
      <c r="BJB11" s="437" t="e">
        <f>'CM Rec Par.'!#REF!/320/20*0.3</f>
        <v>#REF!</v>
      </c>
      <c r="BJC11" s="438" t="s">
        <v>586</v>
      </c>
      <c r="BJD11" s="572" t="e">
        <f>BJB11*'CM Rec Par.'!$BC$21*'CM Rec Par.'!$BC$22</f>
        <v>#REF!</v>
      </c>
      <c r="BJE11" s="439" t="s">
        <v>585</v>
      </c>
      <c r="BKA11" s="436" t="s">
        <v>1</v>
      </c>
      <c r="BKB11" s="437"/>
      <c r="BKC11" s="438" t="s">
        <v>586</v>
      </c>
      <c r="BKD11" s="572">
        <f>BKB11*'CM Rec Par.'!$BC$21*'CM Rec Par.'!$BC$22</f>
        <v>0</v>
      </c>
      <c r="BKE11" s="439" t="s">
        <v>585</v>
      </c>
      <c r="BLA11" s="436" t="s">
        <v>1</v>
      </c>
      <c r="BLB11" s="437"/>
      <c r="BLC11" s="438" t="s">
        <v>586</v>
      </c>
      <c r="BLD11" s="572">
        <f>BLB11*'CM Rec Par.'!$BC$21*'CM Rec Par.'!$BC$22</f>
        <v>0</v>
      </c>
      <c r="BLE11" s="439" t="s">
        <v>585</v>
      </c>
      <c r="BMA11" s="436" t="s">
        <v>1</v>
      </c>
      <c r="BMB11" s="437"/>
      <c r="BMC11" s="438" t="s">
        <v>586</v>
      </c>
      <c r="BMD11" s="572">
        <f>BMB11*'CM Rec Par.'!$BC$21*'CM Rec Par.'!$BC$22</f>
        <v>0</v>
      </c>
      <c r="BME11" s="439" t="s">
        <v>585</v>
      </c>
      <c r="BNA11" s="436" t="s">
        <v>1</v>
      </c>
      <c r="BNB11" s="437"/>
      <c r="BNC11" s="438" t="s">
        <v>586</v>
      </c>
      <c r="BND11" s="572">
        <f>BNB11*'CM Rec Par.'!$BC$21*'CM Rec Par.'!$BC$22</f>
        <v>0</v>
      </c>
      <c r="BNE11" s="439" t="s">
        <v>585</v>
      </c>
      <c r="BOA11" s="436" t="s">
        <v>1</v>
      </c>
      <c r="BOB11" s="437"/>
      <c r="BOC11" s="438" t="s">
        <v>586</v>
      </c>
      <c r="BOD11" s="572">
        <f>BOB11*'CM Rec Par.'!$BC$21*'CM Rec Par.'!$BC$22</f>
        <v>0</v>
      </c>
      <c r="BOE11" s="439" t="s">
        <v>585</v>
      </c>
      <c r="BPA11" s="436" t="s">
        <v>1</v>
      </c>
      <c r="BPB11" s="437"/>
      <c r="BPC11" s="438" t="s">
        <v>586</v>
      </c>
      <c r="BPD11" s="572">
        <f>BPB11*'CM Rec Par.'!$BC$21*'CM Rec Par.'!$BC$22</f>
        <v>0</v>
      </c>
      <c r="BPE11" s="439" t="s">
        <v>585</v>
      </c>
      <c r="BQA11" s="436" t="s">
        <v>1</v>
      </c>
      <c r="BQB11" s="437"/>
      <c r="BQC11" s="438" t="s">
        <v>586</v>
      </c>
      <c r="BQD11" s="572">
        <f>BQB11*'CM Rec Par.'!$BC$21*'CM Rec Par.'!$BC$22</f>
        <v>0</v>
      </c>
      <c r="BQE11" s="439" t="s">
        <v>585</v>
      </c>
      <c r="BRA11" s="436" t="s">
        <v>1</v>
      </c>
      <c r="BRB11" s="437"/>
      <c r="BRC11" s="438" t="s">
        <v>586</v>
      </c>
      <c r="BRD11" s="572">
        <f>BRB11*'CM Rec Par.'!$BC$21*'CM Rec Par.'!$BC$22</f>
        <v>0</v>
      </c>
      <c r="BRE11" s="439" t="s">
        <v>585</v>
      </c>
    </row>
    <row r="12" spans="1:1019 1041:1825" ht="15" customHeight="1">
      <c r="A12" s="1034"/>
      <c r="B12" s="114" t="s">
        <v>1499</v>
      </c>
      <c r="C12"/>
      <c r="F12"/>
      <c r="G12" s="571"/>
      <c r="H12" s="571"/>
      <c r="AA12" s="436" t="s">
        <v>505</v>
      </c>
      <c r="AB12" s="437"/>
      <c r="AC12" s="438" t="s">
        <v>586</v>
      </c>
      <c r="AD12" s="572">
        <f>AB12*'CM Rec Par.'!$BC$21*'CM Rec Par.'!$BC$22</f>
        <v>0</v>
      </c>
      <c r="AE12" s="439" t="s">
        <v>585</v>
      </c>
      <c r="BA12" s="436" t="s">
        <v>505</v>
      </c>
      <c r="BB12" s="437"/>
      <c r="BC12" s="438" t="s">
        <v>586</v>
      </c>
      <c r="BD12" s="572">
        <f>BB12*'CM Rec Par.'!$BC$21*'CM Rec Par.'!$BC$22</f>
        <v>0</v>
      </c>
      <c r="BE12" s="439" t="s">
        <v>585</v>
      </c>
      <c r="CA12" s="436" t="s">
        <v>505</v>
      </c>
      <c r="CB12" s="437"/>
      <c r="CC12" s="438" t="s">
        <v>586</v>
      </c>
      <c r="CD12" s="572">
        <f>CB12*'CM Rec Par.'!$BC$21*'CM Rec Par.'!$BC$22</f>
        <v>0</v>
      </c>
      <c r="CE12" s="439" t="s">
        <v>585</v>
      </c>
      <c r="DA12" s="436" t="s">
        <v>505</v>
      </c>
      <c r="DB12" s="437"/>
      <c r="DC12" s="438" t="s">
        <v>586</v>
      </c>
      <c r="DD12" s="572">
        <f>DB12*'CM Rec Par.'!$BC$21*'CM Rec Par.'!$BC$22</f>
        <v>0</v>
      </c>
      <c r="DE12" s="439" t="s">
        <v>585</v>
      </c>
      <c r="EA12" s="436" t="s">
        <v>505</v>
      </c>
      <c r="EB12" s="437"/>
      <c r="EC12" s="438" t="s">
        <v>586</v>
      </c>
      <c r="ED12" s="572">
        <f>EB12*'CM Rec Par.'!$BC$21*'CM Rec Par.'!$BC$22</f>
        <v>0</v>
      </c>
      <c r="EE12" s="439" t="s">
        <v>585</v>
      </c>
      <c r="FA12" s="436" t="s">
        <v>505</v>
      </c>
      <c r="FB12" s="437"/>
      <c r="FC12" s="438" t="s">
        <v>586</v>
      </c>
      <c r="FD12" s="572">
        <f>FB12*'CM Rec Par.'!$BC$21*'CM Rec Par.'!$BC$22</f>
        <v>0</v>
      </c>
      <c r="FE12" s="439" t="s">
        <v>585</v>
      </c>
      <c r="GA12" s="436" t="s">
        <v>505</v>
      </c>
      <c r="GB12" s="437"/>
      <c r="GC12" s="438" t="s">
        <v>586</v>
      </c>
      <c r="GD12" s="572">
        <f>GB12*'CM Rec Par.'!$BC$21*'CM Rec Par.'!$BC$22</f>
        <v>0</v>
      </c>
      <c r="GE12" s="439" t="s">
        <v>585</v>
      </c>
      <c r="HA12" s="436" t="s">
        <v>505</v>
      </c>
      <c r="HB12" s="437"/>
      <c r="HC12" s="438" t="s">
        <v>586</v>
      </c>
      <c r="HD12" s="572">
        <f>HB12*'CM Rec Par.'!$BC$21*'CM Rec Par.'!$BC$22</f>
        <v>0</v>
      </c>
      <c r="HE12" s="439" t="s">
        <v>585</v>
      </c>
      <c r="IA12" s="436" t="s">
        <v>505</v>
      </c>
      <c r="IB12" s="437" t="e">
        <f>ROUND(IB11*1.5,1)</f>
        <v>#REF!</v>
      </c>
      <c r="IC12" s="438" t="s">
        <v>586</v>
      </c>
      <c r="ID12" s="572"/>
      <c r="IE12" s="439" t="s">
        <v>585</v>
      </c>
      <c r="JA12" s="436" t="s">
        <v>505</v>
      </c>
      <c r="JB12" s="437"/>
      <c r="JC12" s="438" t="s">
        <v>586</v>
      </c>
      <c r="JD12" s="572">
        <f>JB12*'CM Rec Par.'!$BC$21*'CM Rec Par.'!$BC$22</f>
        <v>0</v>
      </c>
      <c r="JE12" s="439" t="s">
        <v>585</v>
      </c>
      <c r="KA12" s="436" t="s">
        <v>505</v>
      </c>
      <c r="KB12" s="437">
        <f>ROUNDUP(KE111,0)</f>
        <v>29</v>
      </c>
      <c r="KC12" s="438" t="s">
        <v>586</v>
      </c>
      <c r="KD12" s="572">
        <f>KB12*'CM Rec Par.'!$BC$21*'CM Rec Par.'!$BC$22</f>
        <v>313200</v>
      </c>
      <c r="KE12" s="439" t="s">
        <v>585</v>
      </c>
      <c r="LA12" s="436" t="s">
        <v>505</v>
      </c>
      <c r="LB12" s="437"/>
      <c r="LC12" s="438" t="s">
        <v>586</v>
      </c>
      <c r="LD12" s="572">
        <f>LB12*'CM Rec Par.'!$BC$21*'CM Rec Par.'!$BC$22</f>
        <v>0</v>
      </c>
      <c r="LE12" s="439" t="s">
        <v>585</v>
      </c>
      <c r="MA12" s="436" t="s">
        <v>505</v>
      </c>
      <c r="MB12" s="437" t="e">
        <f>ROUNDUP(MB11*1.5,0)</f>
        <v>#REF!</v>
      </c>
      <c r="MC12" s="438" t="s">
        <v>586</v>
      </c>
      <c r="MD12" s="572" t="e">
        <f>MB12*'CM Rec Par.'!$BC$21*'CM Rec Par.'!$BC$22</f>
        <v>#REF!</v>
      </c>
      <c r="ME12" s="439" t="s">
        <v>585</v>
      </c>
      <c r="NA12" s="436" t="s">
        <v>505</v>
      </c>
      <c r="NB12" s="437"/>
      <c r="NC12" s="438" t="s">
        <v>586</v>
      </c>
      <c r="ND12" s="572">
        <f>NB12*'CM Rec Par.'!$BC$21*'CM Rec Par.'!$BC$22</f>
        <v>0</v>
      </c>
      <c r="NE12" s="439" t="s">
        <v>585</v>
      </c>
      <c r="OA12" s="436" t="s">
        <v>505</v>
      </c>
      <c r="OB12" s="437"/>
      <c r="OC12" s="438" t="s">
        <v>586</v>
      </c>
      <c r="OD12" s="572">
        <f>OB12*'CM Rec Par.'!$BC$21*'CM Rec Par.'!$BC$22</f>
        <v>0</v>
      </c>
      <c r="OE12" s="439" t="s">
        <v>585</v>
      </c>
      <c r="PA12" s="436" t="s">
        <v>505</v>
      </c>
      <c r="PB12" s="437"/>
      <c r="PC12" s="438" t="s">
        <v>586</v>
      </c>
      <c r="PD12" s="572">
        <f>PB12*'CM Rec Par.'!$BC$21*'CM Rec Par.'!$BC$22</f>
        <v>0</v>
      </c>
      <c r="PE12" s="439" t="s">
        <v>585</v>
      </c>
      <c r="QA12" s="436" t="s">
        <v>505</v>
      </c>
      <c r="QB12" s="437"/>
      <c r="QC12" s="438" t="s">
        <v>586</v>
      </c>
      <c r="QD12" s="572">
        <f>QB12*'CM Rec Par.'!$BC$21*'CM Rec Par.'!$BC$22</f>
        <v>0</v>
      </c>
      <c r="QE12" s="439" t="s">
        <v>585</v>
      </c>
      <c r="RA12" s="436" t="s">
        <v>505</v>
      </c>
      <c r="RB12" s="437"/>
      <c r="RC12" s="438" t="s">
        <v>586</v>
      </c>
      <c r="RD12" s="572">
        <f>RB12*'CM Rec Par.'!$BC$21*'CM Rec Par.'!$BC$22</f>
        <v>0</v>
      </c>
      <c r="RE12" s="439" t="s">
        <v>585</v>
      </c>
      <c r="SA12" s="436" t="s">
        <v>505</v>
      </c>
      <c r="SB12" s="437"/>
      <c r="SC12" s="438" t="s">
        <v>586</v>
      </c>
      <c r="SD12" s="572">
        <f>SB12*'CM Rec Par.'!$BC$21*'CM Rec Par.'!$BC$22</f>
        <v>0</v>
      </c>
      <c r="SE12" s="439" t="s">
        <v>585</v>
      </c>
      <c r="TA12" s="436" t="s">
        <v>505</v>
      </c>
      <c r="TB12" s="437"/>
      <c r="TC12" s="438" t="s">
        <v>586</v>
      </c>
      <c r="TD12" s="572">
        <f>TB12*'CM Rec Par.'!$BC$21*'CM Rec Par.'!$BC$22</f>
        <v>0</v>
      </c>
      <c r="TE12" s="439" t="s">
        <v>585</v>
      </c>
      <c r="UA12" s="436" t="s">
        <v>505</v>
      </c>
      <c r="UB12" s="437"/>
      <c r="UC12" s="438" t="s">
        <v>586</v>
      </c>
      <c r="UD12" s="572">
        <f>UB12*'CM Rec Par.'!$BC$21*'CM Rec Par.'!$BC$22</f>
        <v>0</v>
      </c>
      <c r="UE12" s="439" t="s">
        <v>585</v>
      </c>
      <c r="VA12" s="436" t="s">
        <v>505</v>
      </c>
      <c r="VB12" s="437" t="e">
        <f>ROUNDUP(VB11*1.5,1)</f>
        <v>#REF!</v>
      </c>
      <c r="VC12" s="438" t="s">
        <v>586</v>
      </c>
      <c r="VD12" s="572" t="e">
        <f>VB12*'CM Rec Par.'!$BC$21*'CM Rec Par.'!$BC$22</f>
        <v>#REF!</v>
      </c>
      <c r="VE12" s="439" t="s">
        <v>585</v>
      </c>
      <c r="WA12" s="436" t="s">
        <v>505</v>
      </c>
      <c r="WB12" s="437"/>
      <c r="WC12" s="438" t="s">
        <v>586</v>
      </c>
      <c r="WD12" s="572">
        <f>WB12*'CM Rec Par.'!$BC$21*'CM Rec Par.'!$BC$22</f>
        <v>0</v>
      </c>
      <c r="WE12" s="439" t="s">
        <v>585</v>
      </c>
      <c r="XA12" s="436" t="s">
        <v>505</v>
      </c>
      <c r="XB12" s="437"/>
      <c r="XC12" s="438" t="s">
        <v>586</v>
      </c>
      <c r="XD12" s="572">
        <f>XB12*'CM Rec Par.'!$BC$21*'CM Rec Par.'!$BC$22</f>
        <v>0</v>
      </c>
      <c r="XE12" s="439" t="s">
        <v>585</v>
      </c>
      <c r="YA12" s="436" t="s">
        <v>505</v>
      </c>
      <c r="YB12" s="437"/>
      <c r="YC12" s="438" t="s">
        <v>586</v>
      </c>
      <c r="YD12" s="572">
        <f>YB12*'CM Rec Par.'!$BC$21*'CM Rec Par.'!$BC$22</f>
        <v>0</v>
      </c>
      <c r="YE12" s="439" t="s">
        <v>585</v>
      </c>
      <c r="ZA12" s="436" t="s">
        <v>505</v>
      </c>
      <c r="ZB12" s="437"/>
      <c r="ZC12" s="438" t="s">
        <v>586</v>
      </c>
      <c r="ZD12" s="572">
        <f>ZB12*'CM Rec Par.'!$BC$21*'CM Rec Par.'!$BC$22</f>
        <v>0</v>
      </c>
      <c r="ZE12" s="439" t="s">
        <v>585</v>
      </c>
      <c r="AAA12" s="436" t="s">
        <v>505</v>
      </c>
      <c r="AAB12" s="437"/>
      <c r="AAC12" s="438" t="s">
        <v>586</v>
      </c>
      <c r="AAD12" s="572">
        <f>AAB12*'CM Rec Par.'!$BC$21*'CM Rec Par.'!$BC$22</f>
        <v>0</v>
      </c>
      <c r="AAE12" s="439" t="s">
        <v>585</v>
      </c>
      <c r="ABA12" s="436" t="s">
        <v>505</v>
      </c>
      <c r="ABB12" s="437"/>
      <c r="ABC12" s="438" t="s">
        <v>586</v>
      </c>
      <c r="ABD12" s="572">
        <f>ABB12*'CM Rec Par.'!$BC$21*'CM Rec Par.'!$BC$22</f>
        <v>0</v>
      </c>
      <c r="ABE12" s="439" t="s">
        <v>585</v>
      </c>
      <c r="ACA12" s="436" t="s">
        <v>505</v>
      </c>
      <c r="ACB12" s="437"/>
      <c r="ACC12" s="438" t="s">
        <v>586</v>
      </c>
      <c r="ACD12" s="572">
        <f>ACB12*'CM Rec Par.'!$BC$21*'CM Rec Par.'!$BC$22</f>
        <v>0</v>
      </c>
      <c r="ACE12" s="439" t="s">
        <v>585</v>
      </c>
      <c r="ADA12" s="436" t="s">
        <v>505</v>
      </c>
      <c r="ADB12" s="437"/>
      <c r="ADC12" s="438" t="s">
        <v>586</v>
      </c>
      <c r="ADD12" s="572">
        <f>ADB12*'CM Rec Par.'!$BC$21*'CM Rec Par.'!$BC$22</f>
        <v>0</v>
      </c>
      <c r="ADE12" s="439" t="s">
        <v>585</v>
      </c>
      <c r="AEA12" s="436" t="s">
        <v>505</v>
      </c>
      <c r="AEB12" s="437"/>
      <c r="AEC12" s="438" t="s">
        <v>586</v>
      </c>
      <c r="AED12" s="572">
        <f>AEB12*'CM Rec Par.'!$BC$21*'CM Rec Par.'!$BC$22</f>
        <v>0</v>
      </c>
      <c r="AEE12" s="439" t="s">
        <v>585</v>
      </c>
      <c r="AFA12" s="436" t="s">
        <v>505</v>
      </c>
      <c r="AFB12" s="437"/>
      <c r="AFC12" s="438" t="s">
        <v>586</v>
      </c>
      <c r="AFD12" s="572">
        <f>AFB12*'CM Rec Par.'!$BC$21*'CM Rec Par.'!$BC$22</f>
        <v>0</v>
      </c>
      <c r="AFE12" s="439" t="s">
        <v>585</v>
      </c>
      <c r="AGA12" s="436" t="s">
        <v>505</v>
      </c>
      <c r="AGB12" s="437" t="e">
        <f>ROUNDUP(AGB11*1.5,1)</f>
        <v>#REF!</v>
      </c>
      <c r="AGC12" s="438" t="s">
        <v>586</v>
      </c>
      <c r="AGD12" s="572" t="e">
        <f>AGB12*'CM Rec Par.'!$BC$21*'CM Rec Par.'!$BC$22</f>
        <v>#REF!</v>
      </c>
      <c r="AGE12" s="439" t="s">
        <v>585</v>
      </c>
      <c r="AHA12" s="436" t="s">
        <v>505</v>
      </c>
      <c r="AHB12" s="437"/>
      <c r="AHC12" s="438" t="s">
        <v>586</v>
      </c>
      <c r="AHD12" s="572">
        <f>AHB12*'CM Rec Par.'!$BC$21*'CM Rec Par.'!$BC$22</f>
        <v>0</v>
      </c>
      <c r="AHE12" s="439" t="s">
        <v>585</v>
      </c>
      <c r="AIA12" s="436" t="s">
        <v>505</v>
      </c>
      <c r="AIB12" s="437"/>
      <c r="AIC12" s="438" t="s">
        <v>586</v>
      </c>
      <c r="AID12" s="572">
        <f>AIB12*'CM Rec Par.'!$BC$21*'CM Rec Par.'!$BC$22</f>
        <v>0</v>
      </c>
      <c r="AIE12" s="439" t="s">
        <v>585</v>
      </c>
      <c r="AJA12" s="436" t="s">
        <v>505</v>
      </c>
      <c r="AJB12" s="437" t="e">
        <f>ROUNDUP(AJB11*1.5,1)</f>
        <v>#REF!</v>
      </c>
      <c r="AJC12" s="438" t="s">
        <v>586</v>
      </c>
      <c r="AJD12" s="572" t="e">
        <f>AJB12*'CM Rec Par.'!$BC$21*'CM Rec Par.'!$BC$22</f>
        <v>#REF!</v>
      </c>
      <c r="AJE12" s="439" t="s">
        <v>585</v>
      </c>
      <c r="AKA12" s="436" t="s">
        <v>505</v>
      </c>
      <c r="AKB12" s="437"/>
      <c r="AKC12" s="438" t="s">
        <v>586</v>
      </c>
      <c r="AKD12" s="572">
        <f>AKB12*'CM Rec Par.'!$BC$21*'CM Rec Par.'!$BC$22</f>
        <v>0</v>
      </c>
      <c r="AKE12" s="439" t="s">
        <v>585</v>
      </c>
      <c r="ALA12" s="436" t="s">
        <v>505</v>
      </c>
      <c r="ALB12" s="437"/>
      <c r="ALC12" s="438" t="s">
        <v>586</v>
      </c>
      <c r="ALD12" s="572">
        <f>ALB12*'CM Rec Par.'!$BC$21*'CM Rec Par.'!$BC$22</f>
        <v>0</v>
      </c>
      <c r="ALE12" s="439" t="s">
        <v>585</v>
      </c>
      <c r="AMA12" s="436" t="s">
        <v>505</v>
      </c>
      <c r="AMB12" s="437"/>
      <c r="AMC12" s="438" t="s">
        <v>586</v>
      </c>
      <c r="AMD12" s="572">
        <f>AMB12*'CM Rec Par.'!$BC$21*'CM Rec Par.'!$BC$22</f>
        <v>0</v>
      </c>
      <c r="AME12" s="439" t="s">
        <v>585</v>
      </c>
      <c r="ANA12" s="436" t="s">
        <v>505</v>
      </c>
      <c r="ANB12" s="437"/>
      <c r="ANC12" s="438" t="s">
        <v>586</v>
      </c>
      <c r="AND12" s="572">
        <f>ANB12*'CM Rec Par.'!$BC$21*'CM Rec Par.'!$BC$22</f>
        <v>0</v>
      </c>
      <c r="ANE12" s="439" t="s">
        <v>585</v>
      </c>
      <c r="AOA12" s="436" t="s">
        <v>505</v>
      </c>
      <c r="AOB12" s="437"/>
      <c r="AOC12" s="438" t="s">
        <v>586</v>
      </c>
      <c r="AOD12" s="572">
        <f>AOB12*'CM Rec Par.'!$BC$21*'CM Rec Par.'!$BC$22</f>
        <v>0</v>
      </c>
      <c r="AOE12" s="439" t="s">
        <v>585</v>
      </c>
      <c r="APA12" s="436" t="s">
        <v>505</v>
      </c>
      <c r="APB12" s="437"/>
      <c r="APC12" s="438" t="s">
        <v>586</v>
      </c>
      <c r="APD12" s="572">
        <f>APB12*'CM Rec Par.'!$BC$21*'CM Rec Par.'!$BC$22</f>
        <v>0</v>
      </c>
      <c r="APE12" s="439" t="s">
        <v>585</v>
      </c>
      <c r="AQA12" s="436" t="s">
        <v>505</v>
      </c>
      <c r="AQB12" s="437"/>
      <c r="AQC12" s="438" t="s">
        <v>586</v>
      </c>
      <c r="AQD12" s="572">
        <f>AQB12*'CM Rec Par.'!$BC$21*'CM Rec Par.'!$BC$22</f>
        <v>0</v>
      </c>
      <c r="AQE12" s="439" t="s">
        <v>585</v>
      </c>
      <c r="ARA12" s="436" t="s">
        <v>505</v>
      </c>
      <c r="ARB12" s="437"/>
      <c r="ARC12" s="438" t="s">
        <v>586</v>
      </c>
      <c r="ARD12" s="572">
        <f>ARB12*'CM Rec Par.'!$BC$21*'CM Rec Par.'!$BC$22</f>
        <v>0</v>
      </c>
      <c r="ARE12" s="439" t="s">
        <v>585</v>
      </c>
      <c r="ASA12" s="436" t="s">
        <v>505</v>
      </c>
      <c r="ASB12" s="437"/>
      <c r="ASC12" s="438" t="s">
        <v>586</v>
      </c>
      <c r="ASD12" s="572">
        <f>ASB12*'CM Rec Par.'!$BC$21*'CM Rec Par.'!$BC$22</f>
        <v>0</v>
      </c>
      <c r="ASE12" s="439" t="s">
        <v>585</v>
      </c>
      <c r="ATA12" s="436" t="s">
        <v>505</v>
      </c>
      <c r="ATB12" s="437" t="e">
        <f>ROUNDUP(ATB11*1.5,1)</f>
        <v>#REF!</v>
      </c>
      <c r="ATC12" s="438" t="s">
        <v>586</v>
      </c>
      <c r="ATD12" s="572" t="e">
        <f>ATB12*'CM Rec Par.'!$BC$21*'CM Rec Par.'!$BC$22</f>
        <v>#REF!</v>
      </c>
      <c r="ATE12" s="439" t="s">
        <v>585</v>
      </c>
      <c r="AUA12" s="436" t="s">
        <v>505</v>
      </c>
      <c r="AUB12" s="437"/>
      <c r="AUC12" s="438" t="s">
        <v>586</v>
      </c>
      <c r="AUD12" s="572">
        <f>AUB12*'CM Rec Par.'!$BC$21*'CM Rec Par.'!$BC$22</f>
        <v>0</v>
      </c>
      <c r="AUE12" s="439" t="s">
        <v>585</v>
      </c>
      <c r="AVA12" s="436" t="s">
        <v>505</v>
      </c>
      <c r="AVB12" s="437"/>
      <c r="AVC12" s="438" t="s">
        <v>586</v>
      </c>
      <c r="AVD12" s="572">
        <f>AVB12*'CM Rec Par.'!$BC$21*'CM Rec Par.'!$BC$22</f>
        <v>0</v>
      </c>
      <c r="AVE12" s="439" t="s">
        <v>585</v>
      </c>
      <c r="AWA12" s="436" t="s">
        <v>505</v>
      </c>
      <c r="AWB12" s="437"/>
      <c r="AWC12" s="438" t="s">
        <v>586</v>
      </c>
      <c r="AWD12" s="572">
        <f>AWB12*'CM Rec Par.'!$BC$21*'CM Rec Par.'!$BC$22</f>
        <v>0</v>
      </c>
      <c r="AWE12" s="439" t="s">
        <v>585</v>
      </c>
      <c r="AXA12" s="436" t="s">
        <v>505</v>
      </c>
      <c r="AXB12" s="437" t="e">
        <f>ROUNDUP(AXB11*1.5,1)</f>
        <v>#REF!</v>
      </c>
      <c r="AXC12" s="438" t="s">
        <v>586</v>
      </c>
      <c r="AXD12" s="572" t="e">
        <f>AXB12*'CM Rec Par.'!$BC$21*'CM Rec Par.'!$BC$22</f>
        <v>#REF!</v>
      </c>
      <c r="AXE12" s="439" t="s">
        <v>585</v>
      </c>
      <c r="AYA12" s="436" t="s">
        <v>505</v>
      </c>
      <c r="AYB12" s="437"/>
      <c r="AYC12" s="438" t="s">
        <v>586</v>
      </c>
      <c r="AYD12" s="572">
        <f>AYB12*'CM Rec Par.'!$BC$21*'CM Rec Par.'!$BC$22</f>
        <v>0</v>
      </c>
      <c r="AYE12" s="439" t="s">
        <v>585</v>
      </c>
      <c r="AZA12" s="436" t="s">
        <v>505</v>
      </c>
      <c r="AZB12" s="437" t="e">
        <f>ROUNDUP(AZB11*1.5,1)</f>
        <v>#REF!</v>
      </c>
      <c r="AZC12" s="438" t="s">
        <v>586</v>
      </c>
      <c r="AZD12" s="572" t="e">
        <f>AZB12*'CM Rec Par.'!$BC$21*'CM Rec Par.'!$BC$22</f>
        <v>#REF!</v>
      </c>
      <c r="AZE12" s="439" t="s">
        <v>585</v>
      </c>
      <c r="BAA12" s="436" t="s">
        <v>505</v>
      </c>
      <c r="BAB12" s="437"/>
      <c r="BAC12" s="438" t="s">
        <v>586</v>
      </c>
      <c r="BAD12" s="572">
        <f>BAB12*'CM Rec Par.'!$BC$21*'CM Rec Par.'!$BC$22</f>
        <v>0</v>
      </c>
      <c r="BAE12" s="439" t="s">
        <v>585</v>
      </c>
      <c r="BBA12" s="436" t="s">
        <v>505</v>
      </c>
      <c r="BBB12" s="437"/>
      <c r="BBC12" s="438" t="s">
        <v>586</v>
      </c>
      <c r="BBD12" s="572">
        <f>BBB12*'CM Rec Par.'!$BC$21*'CM Rec Par.'!$BC$22</f>
        <v>0</v>
      </c>
      <c r="BBE12" s="439" t="s">
        <v>585</v>
      </c>
      <c r="BCA12" s="436" t="s">
        <v>505</v>
      </c>
      <c r="BCB12" s="437" t="e">
        <f>ROUNDUP(BCB11*1.5,1)</f>
        <v>#REF!</v>
      </c>
      <c r="BCC12" s="438" t="s">
        <v>586</v>
      </c>
      <c r="BCD12" s="572" t="e">
        <f>BCB12*'CM Rec Par.'!$BC$21*'CM Rec Par.'!$BC$22</f>
        <v>#REF!</v>
      </c>
      <c r="BCE12" s="439" t="s">
        <v>585</v>
      </c>
      <c r="BDA12" s="436" t="s">
        <v>505</v>
      </c>
      <c r="BDB12" s="437"/>
      <c r="BDC12" s="438" t="s">
        <v>586</v>
      </c>
      <c r="BDD12" s="572">
        <f>BDB12*'CM Rec Par.'!$BC$21*'CM Rec Par.'!$BC$22</f>
        <v>0</v>
      </c>
      <c r="BDE12" s="439" t="s">
        <v>585</v>
      </c>
      <c r="BEA12" s="436" t="s">
        <v>505</v>
      </c>
      <c r="BEB12" s="437"/>
      <c r="BEC12" s="438" t="s">
        <v>586</v>
      </c>
      <c r="BED12" s="572">
        <f>BEB12*'CM Rec Par.'!$BC$21*'CM Rec Par.'!$BC$22</f>
        <v>0</v>
      </c>
      <c r="BEE12" s="439" t="s">
        <v>585</v>
      </c>
      <c r="BFA12" s="436" t="s">
        <v>505</v>
      </c>
      <c r="BFB12" s="437"/>
      <c r="BFC12" s="438" t="s">
        <v>586</v>
      </c>
      <c r="BFD12" s="572">
        <f>BFB12*'CM Rec Par.'!$BC$21*'CM Rec Par.'!$BC$22</f>
        <v>0</v>
      </c>
      <c r="BFE12" s="439" t="s">
        <v>585</v>
      </c>
      <c r="BGA12" s="436" t="s">
        <v>505</v>
      </c>
      <c r="BGB12" s="437"/>
      <c r="BGC12" s="438" t="s">
        <v>586</v>
      </c>
      <c r="BGD12" s="572">
        <f>BGB12*'CM Rec Par.'!$BC$21*'CM Rec Par.'!$BC$22</f>
        <v>0</v>
      </c>
      <c r="BGE12" s="439" t="s">
        <v>585</v>
      </c>
      <c r="BHA12" s="436" t="s">
        <v>505</v>
      </c>
      <c r="BHB12" s="437"/>
      <c r="BHC12" s="438" t="s">
        <v>586</v>
      </c>
      <c r="BHD12" s="572">
        <f>BHB12*'CM Rec Par.'!$BC$21*'CM Rec Par.'!$BC$22</f>
        <v>0</v>
      </c>
      <c r="BHE12" s="439" t="s">
        <v>585</v>
      </c>
      <c r="BIA12" s="436" t="s">
        <v>505</v>
      </c>
      <c r="BIB12" s="437" t="e">
        <f>ROUNDUP(BIB11*1.5,1)</f>
        <v>#REF!</v>
      </c>
      <c r="BIC12" s="438" t="s">
        <v>586</v>
      </c>
      <c r="BID12" s="572" t="e">
        <f>BIB12*'CM Rec Par.'!$BC$21*'CM Rec Par.'!$BC$22</f>
        <v>#REF!</v>
      </c>
      <c r="BIE12" s="439" t="s">
        <v>585</v>
      </c>
      <c r="BJA12" s="436" t="s">
        <v>505</v>
      </c>
      <c r="BJB12" s="437" t="e">
        <f>ROUNDUP(BJB11*1.5,1)</f>
        <v>#REF!</v>
      </c>
      <c r="BJC12" s="438" t="s">
        <v>586</v>
      </c>
      <c r="BJD12" s="572" t="e">
        <f>BJB12*'CM Rec Par.'!$BC$21*'CM Rec Par.'!$BC$22</f>
        <v>#REF!</v>
      </c>
      <c r="BJE12" s="439" t="s">
        <v>585</v>
      </c>
      <c r="BKA12" s="436" t="s">
        <v>505</v>
      </c>
      <c r="BKB12" s="437"/>
      <c r="BKC12" s="438" t="s">
        <v>586</v>
      </c>
      <c r="BKD12" s="572">
        <f>BKB12*'CM Rec Par.'!$BC$21*'CM Rec Par.'!$BC$22</f>
        <v>0</v>
      </c>
      <c r="BKE12" s="439" t="s">
        <v>585</v>
      </c>
      <c r="BLA12" s="436" t="s">
        <v>505</v>
      </c>
      <c r="BLB12" s="437"/>
      <c r="BLC12" s="438" t="s">
        <v>586</v>
      </c>
      <c r="BLD12" s="572">
        <f>BLB12*'CM Rec Par.'!$BC$21*'CM Rec Par.'!$BC$22</f>
        <v>0</v>
      </c>
      <c r="BLE12" s="439" t="s">
        <v>585</v>
      </c>
      <c r="BMA12" s="436" t="s">
        <v>505</v>
      </c>
      <c r="BMB12" s="437"/>
      <c r="BMC12" s="438" t="s">
        <v>586</v>
      </c>
      <c r="BMD12" s="572">
        <f>BMB12*'CM Rec Par.'!$BC$21*'CM Rec Par.'!$BC$22</f>
        <v>0</v>
      </c>
      <c r="BME12" s="439" t="s">
        <v>585</v>
      </c>
      <c r="BNA12" s="436" t="s">
        <v>505</v>
      </c>
      <c r="BNB12" s="437"/>
      <c r="BNC12" s="438" t="s">
        <v>586</v>
      </c>
      <c r="BND12" s="572">
        <f>BNB12*'CM Rec Par.'!$BC$21*'CM Rec Par.'!$BC$22</f>
        <v>0</v>
      </c>
      <c r="BNE12" s="439" t="s">
        <v>585</v>
      </c>
      <c r="BOA12" s="436" t="s">
        <v>505</v>
      </c>
      <c r="BOB12" s="437"/>
      <c r="BOC12" s="438" t="s">
        <v>586</v>
      </c>
      <c r="BOD12" s="572">
        <f>BOB12*'CM Rec Par.'!$BC$21*'CM Rec Par.'!$BC$22</f>
        <v>0</v>
      </c>
      <c r="BOE12" s="439" t="s">
        <v>585</v>
      </c>
      <c r="BPA12" s="436" t="s">
        <v>505</v>
      </c>
      <c r="BPB12" s="437"/>
      <c r="BPC12" s="438" t="s">
        <v>586</v>
      </c>
      <c r="BPD12" s="572">
        <f>BPB12*'CM Rec Par.'!$BC$21*'CM Rec Par.'!$BC$22</f>
        <v>0</v>
      </c>
      <c r="BPE12" s="439" t="s">
        <v>585</v>
      </c>
      <c r="BQA12" s="436" t="s">
        <v>505</v>
      </c>
      <c r="BQB12" s="437"/>
      <c r="BQC12" s="438" t="s">
        <v>586</v>
      </c>
      <c r="BQD12" s="572">
        <f>BQB12*'CM Rec Par.'!$BC$21*'CM Rec Par.'!$BC$22</f>
        <v>0</v>
      </c>
      <c r="BQE12" s="439" t="s">
        <v>585</v>
      </c>
      <c r="BRA12" s="436" t="s">
        <v>505</v>
      </c>
      <c r="BRB12" s="437"/>
      <c r="BRC12" s="438" t="s">
        <v>586</v>
      </c>
      <c r="BRD12" s="572">
        <f>BRB12*'CM Rec Par.'!$BC$21*'CM Rec Par.'!$BC$22</f>
        <v>0</v>
      </c>
      <c r="BRE12" s="439" t="s">
        <v>585</v>
      </c>
    </row>
    <row r="13" spans="1:1019 1041:1825" ht="15" customHeight="1">
      <c r="B13" s="114" t="s">
        <v>1500</v>
      </c>
      <c r="F13"/>
      <c r="G13" s="571"/>
      <c r="H13" s="571"/>
      <c r="AA13" s="441" t="s">
        <v>521</v>
      </c>
      <c r="AB13" s="573" t="str">
        <f>IF(ISBLANK(AB12)," ",AB11/AB12)</f>
        <v xml:space="preserve"> </v>
      </c>
      <c r="AC13" s="438"/>
      <c r="AD13" s="443"/>
      <c r="AE13" s="440"/>
      <c r="BA13" s="441" t="s">
        <v>521</v>
      </c>
      <c r="BB13" s="573" t="str">
        <f>IF(ISBLANK(BB12)," ",BB11/BB12)</f>
        <v xml:space="preserve"> </v>
      </c>
      <c r="BC13" s="438"/>
      <c r="BD13" s="443"/>
      <c r="BE13" s="440"/>
      <c r="CA13" s="441" t="s">
        <v>521</v>
      </c>
      <c r="CB13" s="573" t="str">
        <f>IF(ISBLANK(CB12)," ",CB11/CB12)</f>
        <v xml:space="preserve"> </v>
      </c>
      <c r="CC13" s="438"/>
      <c r="CD13" s="443"/>
      <c r="CE13" s="440"/>
      <c r="DA13" s="441" t="s">
        <v>521</v>
      </c>
      <c r="DB13" s="573" t="str">
        <f>IF(ISBLANK(DB12)," ",DB11/DB12)</f>
        <v xml:space="preserve"> </v>
      </c>
      <c r="DC13" s="438"/>
      <c r="DD13" s="443"/>
      <c r="DE13" s="440"/>
      <c r="EA13" s="441" t="s">
        <v>521</v>
      </c>
      <c r="EB13" s="573" t="str">
        <f>IF(ISBLANK(EB12)," ",EB11/EB12)</f>
        <v xml:space="preserve"> </v>
      </c>
      <c r="EC13" s="438"/>
      <c r="ED13" s="443"/>
      <c r="EE13" s="440"/>
      <c r="FA13" s="441" t="s">
        <v>521</v>
      </c>
      <c r="FB13" s="573" t="str">
        <f>IF(ISBLANK(FB12)," ",FB11/FB12)</f>
        <v xml:space="preserve"> </v>
      </c>
      <c r="FC13" s="438"/>
      <c r="FD13" s="443"/>
      <c r="FE13" s="440"/>
      <c r="GA13" s="441" t="s">
        <v>521</v>
      </c>
      <c r="GB13" s="573" t="str">
        <f>IF(ISBLANK(GB12)," ",GB11/GB12)</f>
        <v xml:space="preserve"> </v>
      </c>
      <c r="GC13" s="438"/>
      <c r="GD13" s="443"/>
      <c r="GE13" s="440"/>
      <c r="HA13" s="441" t="s">
        <v>521</v>
      </c>
      <c r="HB13" s="573" t="str">
        <f>IF(ISBLANK(HB12)," ",HB11/HB12)</f>
        <v xml:space="preserve"> </v>
      </c>
      <c r="HC13" s="438"/>
      <c r="HD13" s="443"/>
      <c r="HE13" s="440"/>
      <c r="IA13" s="441" t="s">
        <v>521</v>
      </c>
      <c r="IB13" s="573" t="e">
        <f>IF(ISBLANK(IB12)," ",IB11/IB12)</f>
        <v>#REF!</v>
      </c>
      <c r="IC13" s="438"/>
      <c r="ID13" s="443"/>
      <c r="IE13" s="440"/>
      <c r="JA13" s="441" t="s">
        <v>521</v>
      </c>
      <c r="JB13" s="573" t="str">
        <f>IF(ISBLANK(JB12)," ",JB11/JB12)</f>
        <v xml:space="preserve"> </v>
      </c>
      <c r="JC13" s="438"/>
      <c r="JD13" s="443"/>
      <c r="JE13" s="440"/>
      <c r="KA13" s="441" t="s">
        <v>521</v>
      </c>
      <c r="KB13" s="573" t="e">
        <f>IF(ISBLANK(KB12)," ",KB11/KB12)</f>
        <v>#REF!</v>
      </c>
      <c r="KC13" s="438"/>
      <c r="KD13" s="443"/>
      <c r="KE13" s="440"/>
      <c r="LA13" s="441" t="s">
        <v>521</v>
      </c>
      <c r="LB13" s="573" t="str">
        <f>IF(ISBLANK(LB12)," ",LB11/LB12)</f>
        <v xml:space="preserve"> </v>
      </c>
      <c r="LC13" s="438"/>
      <c r="LD13" s="443"/>
      <c r="LE13" s="440"/>
      <c r="MA13" s="441" t="s">
        <v>521</v>
      </c>
      <c r="MB13" s="573" t="e">
        <f>IF(ISBLANK(MB12)," ",MB11/MB12)</f>
        <v>#REF!</v>
      </c>
      <c r="MC13" s="438"/>
      <c r="MD13" s="443"/>
      <c r="ME13" s="440"/>
      <c r="NA13" s="441" t="s">
        <v>521</v>
      </c>
      <c r="NB13" s="573" t="str">
        <f>IF(ISBLANK(NB12)," ",NB11/NB12)</f>
        <v xml:space="preserve"> </v>
      </c>
      <c r="NC13" s="438"/>
      <c r="ND13" s="443"/>
      <c r="NE13" s="440"/>
      <c r="OA13" s="441" t="s">
        <v>521</v>
      </c>
      <c r="OB13" s="573" t="str">
        <f>IF(ISBLANK(OB12)," ",OB11/OB12)</f>
        <v xml:space="preserve"> </v>
      </c>
      <c r="OC13" s="438"/>
      <c r="OD13" s="443"/>
      <c r="OE13" s="440"/>
      <c r="PA13" s="441" t="s">
        <v>521</v>
      </c>
      <c r="PB13" s="573" t="str">
        <f>IF(ISBLANK(PB12)," ",PB11/PB12)</f>
        <v xml:space="preserve"> </v>
      </c>
      <c r="PC13" s="438"/>
      <c r="PD13" s="443"/>
      <c r="PE13" s="440"/>
      <c r="QA13" s="441" t="s">
        <v>521</v>
      </c>
      <c r="QB13" s="573" t="str">
        <f>IF(ISBLANK(QB12)," ",QB11/QB12)</f>
        <v xml:space="preserve"> </v>
      </c>
      <c r="QC13" s="438"/>
      <c r="QD13" s="443"/>
      <c r="QE13" s="440"/>
      <c r="RA13" s="441" t="s">
        <v>521</v>
      </c>
      <c r="RB13" s="573" t="str">
        <f>IF(ISBLANK(RB12)," ",RB11/RB12)</f>
        <v xml:space="preserve"> </v>
      </c>
      <c r="RC13" s="438"/>
      <c r="RD13" s="443"/>
      <c r="RE13" s="440"/>
      <c r="SA13" s="441" t="s">
        <v>521</v>
      </c>
      <c r="SB13" s="573" t="str">
        <f>IF(ISBLANK(SB12)," ",SB11/SB12)</f>
        <v xml:space="preserve"> </v>
      </c>
      <c r="SC13" s="438"/>
      <c r="SD13" s="443"/>
      <c r="SE13" s="440"/>
      <c r="TA13" s="441" t="s">
        <v>521</v>
      </c>
      <c r="TB13" s="573" t="str">
        <f>IF(ISBLANK(TB12)," ",TB11/TB12)</f>
        <v xml:space="preserve"> </v>
      </c>
      <c r="TC13" s="438"/>
      <c r="TD13" s="443"/>
      <c r="TE13" s="440"/>
      <c r="UA13" s="441" t="s">
        <v>521</v>
      </c>
      <c r="UB13" s="573" t="str">
        <f>IF(ISBLANK(UB12)," ",UB11/UB12)</f>
        <v xml:space="preserve"> </v>
      </c>
      <c r="UC13" s="438"/>
      <c r="UD13" s="443"/>
      <c r="UE13" s="440"/>
      <c r="VA13" s="441" t="s">
        <v>521</v>
      </c>
      <c r="VB13" s="573" t="e">
        <f>IF(ISBLANK(VB12)," ",VB11/VB12)</f>
        <v>#REF!</v>
      </c>
      <c r="VC13" s="438"/>
      <c r="VD13" s="443"/>
      <c r="VE13" s="440"/>
      <c r="WA13" s="441" t="s">
        <v>521</v>
      </c>
      <c r="WB13" s="573" t="str">
        <f>IF(ISBLANK(WB12)," ",WB11/WB12)</f>
        <v xml:space="preserve"> </v>
      </c>
      <c r="WC13" s="438"/>
      <c r="WD13" s="443"/>
      <c r="WE13" s="440"/>
      <c r="XA13" s="441" t="s">
        <v>521</v>
      </c>
      <c r="XB13" s="573" t="str">
        <f>IF(ISBLANK(XB12)," ",XB11/XB12)</f>
        <v xml:space="preserve"> </v>
      </c>
      <c r="XC13" s="438"/>
      <c r="XD13" s="443"/>
      <c r="XE13" s="440"/>
      <c r="YA13" s="441" t="s">
        <v>521</v>
      </c>
      <c r="YB13" s="573" t="str">
        <f>IF(ISBLANK(YB12)," ",YB11/YB12)</f>
        <v xml:space="preserve"> </v>
      </c>
      <c r="YC13" s="438"/>
      <c r="YD13" s="443"/>
      <c r="YE13" s="440"/>
      <c r="ZA13" s="441" t="s">
        <v>521</v>
      </c>
      <c r="ZB13" s="573" t="str">
        <f>IF(ISBLANK(ZB12)," ",ZB11/ZB12)</f>
        <v xml:space="preserve"> </v>
      </c>
      <c r="ZC13" s="438"/>
      <c r="ZD13" s="443"/>
      <c r="ZE13" s="440"/>
      <c r="AAA13" s="441" t="s">
        <v>521</v>
      </c>
      <c r="AAB13" s="573" t="str">
        <f>IF(ISBLANK(AAB12)," ",AAB11/AAB12)</f>
        <v xml:space="preserve"> </v>
      </c>
      <c r="AAC13" s="438"/>
      <c r="AAD13" s="443"/>
      <c r="AAE13" s="440"/>
      <c r="ABA13" s="441" t="s">
        <v>521</v>
      </c>
      <c r="ABB13" s="573" t="str">
        <f>IF(ISBLANK(ABB12)," ",ABB11/ABB12)</f>
        <v xml:space="preserve"> </v>
      </c>
      <c r="ABC13" s="438"/>
      <c r="ABD13" s="443"/>
      <c r="ABE13" s="440"/>
      <c r="ACA13" s="441" t="s">
        <v>521</v>
      </c>
      <c r="ACB13" s="573" t="str">
        <f>IF(ISBLANK(ACB12)," ",ACB11/ACB12)</f>
        <v xml:space="preserve"> </v>
      </c>
      <c r="ACC13" s="438"/>
      <c r="ACD13" s="443"/>
      <c r="ACE13" s="440"/>
      <c r="ADA13" s="441" t="s">
        <v>521</v>
      </c>
      <c r="ADB13" s="573" t="str">
        <f>IF(ISBLANK(ADB12)," ",ADB11/ADB12)</f>
        <v xml:space="preserve"> </v>
      </c>
      <c r="ADC13" s="438"/>
      <c r="ADD13" s="443"/>
      <c r="ADE13" s="440"/>
      <c r="AEA13" s="441" t="s">
        <v>521</v>
      </c>
      <c r="AEB13" s="573" t="str">
        <f>IF(ISBLANK(AEB12)," ",AEB11/AEB12)</f>
        <v xml:space="preserve"> </v>
      </c>
      <c r="AEC13" s="438"/>
      <c r="AED13" s="443"/>
      <c r="AEE13" s="440"/>
      <c r="AFA13" s="441" t="s">
        <v>521</v>
      </c>
      <c r="AFB13" s="573" t="str">
        <f>IF(ISBLANK(AFB12)," ",AFB11/AFB12)</f>
        <v xml:space="preserve"> </v>
      </c>
      <c r="AFC13" s="438"/>
      <c r="AFD13" s="443"/>
      <c r="AFE13" s="440"/>
      <c r="AGA13" s="441" t="s">
        <v>521</v>
      </c>
      <c r="AGB13" s="573" t="e">
        <f>IF(ISBLANK(AGB12)," ",AGB11/AGB12)</f>
        <v>#REF!</v>
      </c>
      <c r="AGC13" s="438"/>
      <c r="AGD13" s="443"/>
      <c r="AGE13" s="440"/>
      <c r="AHA13" s="441" t="s">
        <v>521</v>
      </c>
      <c r="AHB13" s="573" t="str">
        <f>IF(ISBLANK(AHB12)," ",AHB11/AHB12)</f>
        <v xml:space="preserve"> </v>
      </c>
      <c r="AHC13" s="438"/>
      <c r="AHD13" s="443"/>
      <c r="AHE13" s="440"/>
      <c r="AIA13" s="441" t="s">
        <v>521</v>
      </c>
      <c r="AIB13" s="573" t="str">
        <f>IF(ISBLANK(AIB12)," ",AIB11/AIB12)</f>
        <v xml:space="preserve"> </v>
      </c>
      <c r="AIC13" s="438"/>
      <c r="AID13" s="443"/>
      <c r="AIE13" s="440"/>
      <c r="AJA13" s="441" t="s">
        <v>521</v>
      </c>
      <c r="AJB13" s="573" t="e">
        <f>IF(ISBLANK(AJB12)," ",AJB11/AJB12)</f>
        <v>#REF!</v>
      </c>
      <c r="AJC13" s="438"/>
      <c r="AJD13" s="443"/>
      <c r="AJE13" s="440"/>
      <c r="AKA13" s="441" t="s">
        <v>521</v>
      </c>
      <c r="AKB13" s="573" t="str">
        <f>IF(ISBLANK(AKB12)," ",AKB11/AKB12)</f>
        <v xml:space="preserve"> </v>
      </c>
      <c r="AKC13" s="438"/>
      <c r="AKD13" s="443"/>
      <c r="AKE13" s="440"/>
      <c r="ALA13" s="441" t="s">
        <v>521</v>
      </c>
      <c r="ALB13" s="573" t="str">
        <f>IF(ISBLANK(ALB12)," ",ALB11/ALB12)</f>
        <v xml:space="preserve"> </v>
      </c>
      <c r="ALC13" s="438"/>
      <c r="ALD13" s="443"/>
      <c r="ALE13" s="440"/>
      <c r="AMA13" s="441" t="s">
        <v>521</v>
      </c>
      <c r="AMB13" s="573" t="str">
        <f>IF(ISBLANK(AMB12)," ",AMB11/AMB12)</f>
        <v xml:space="preserve"> </v>
      </c>
      <c r="AMC13" s="438"/>
      <c r="AMD13" s="443"/>
      <c r="AME13" s="440"/>
      <c r="ANA13" s="441" t="s">
        <v>521</v>
      </c>
      <c r="ANB13" s="573" t="str">
        <f>IF(ISBLANK(ANB12)," ",ANB11/ANB12)</f>
        <v xml:space="preserve"> </v>
      </c>
      <c r="ANC13" s="438"/>
      <c r="AND13" s="443"/>
      <c r="ANE13" s="440"/>
      <c r="AOA13" s="441" t="s">
        <v>521</v>
      </c>
      <c r="AOB13" s="573" t="str">
        <f>IF(ISBLANK(AOB12)," ",AOB11/AOB12)</f>
        <v xml:space="preserve"> </v>
      </c>
      <c r="AOC13" s="438"/>
      <c r="AOD13" s="443"/>
      <c r="AOE13" s="440"/>
      <c r="APA13" s="441" t="s">
        <v>521</v>
      </c>
      <c r="APB13" s="573" t="str">
        <f>IF(ISBLANK(APB12)," ",APB11/APB12)</f>
        <v xml:space="preserve"> </v>
      </c>
      <c r="APC13" s="438"/>
      <c r="APD13" s="443"/>
      <c r="APE13" s="440"/>
      <c r="AQA13" s="441" t="s">
        <v>521</v>
      </c>
      <c r="AQB13" s="573" t="str">
        <f>IF(ISBLANK(AQB12)," ",AQB11/AQB12)</f>
        <v xml:space="preserve"> </v>
      </c>
      <c r="AQC13" s="438"/>
      <c r="AQD13" s="443"/>
      <c r="AQE13" s="440"/>
      <c r="ARA13" s="441" t="s">
        <v>521</v>
      </c>
      <c r="ARB13" s="573" t="str">
        <f>IF(ISBLANK(ARB12)," ",ARB11/ARB12)</f>
        <v xml:space="preserve"> </v>
      </c>
      <c r="ARC13" s="438"/>
      <c r="ARD13" s="443"/>
      <c r="ARE13" s="440"/>
      <c r="ASA13" s="441" t="s">
        <v>521</v>
      </c>
      <c r="ASB13" s="573" t="str">
        <f>IF(ISBLANK(ASB12)," ",ASB11/ASB12)</f>
        <v xml:space="preserve"> </v>
      </c>
      <c r="ASC13" s="438"/>
      <c r="ASD13" s="443"/>
      <c r="ASE13" s="440"/>
      <c r="ATA13" s="441" t="s">
        <v>521</v>
      </c>
      <c r="ATB13" s="573" t="e">
        <f>IF(ISBLANK(ATB12)," ",ATB11/ATB12)</f>
        <v>#REF!</v>
      </c>
      <c r="ATC13" s="438"/>
      <c r="ATD13" s="443"/>
      <c r="ATE13" s="440"/>
      <c r="AUA13" s="441" t="s">
        <v>521</v>
      </c>
      <c r="AUB13" s="573" t="str">
        <f>IF(ISBLANK(AUB12)," ",AUB11/AUB12)</f>
        <v xml:space="preserve"> </v>
      </c>
      <c r="AUC13" s="438"/>
      <c r="AUD13" s="443"/>
      <c r="AUE13" s="440"/>
      <c r="AVA13" s="441" t="s">
        <v>521</v>
      </c>
      <c r="AVB13" s="573" t="str">
        <f>IF(ISBLANK(AVB12)," ",AVB11/AVB12)</f>
        <v xml:space="preserve"> </v>
      </c>
      <c r="AVC13" s="438"/>
      <c r="AVD13" s="443"/>
      <c r="AVE13" s="440"/>
      <c r="AWA13" s="441" t="s">
        <v>521</v>
      </c>
      <c r="AWB13" s="573" t="str">
        <f>IF(ISBLANK(AWB12)," ",AWB11/AWB12)</f>
        <v xml:space="preserve"> </v>
      </c>
      <c r="AWC13" s="438"/>
      <c r="AWD13" s="443"/>
      <c r="AWE13" s="440"/>
      <c r="AXA13" s="441" t="s">
        <v>521</v>
      </c>
      <c r="AXB13" s="573" t="e">
        <f>IF(ISBLANK(AXB12)," ",AXB11/AXB12)</f>
        <v>#REF!</v>
      </c>
      <c r="AXC13" s="438"/>
      <c r="AXD13" s="443"/>
      <c r="AXE13" s="440"/>
      <c r="AYA13" s="441" t="s">
        <v>521</v>
      </c>
      <c r="AYB13" s="573" t="str">
        <f>IF(ISBLANK(AYB12)," ",AYB11/AYB12)</f>
        <v xml:space="preserve"> </v>
      </c>
      <c r="AYC13" s="438"/>
      <c r="AYD13" s="443"/>
      <c r="AYE13" s="440"/>
      <c r="AZA13" s="441" t="s">
        <v>521</v>
      </c>
      <c r="AZB13" s="573" t="e">
        <f>IF(ISBLANK(AZB12)," ",AZB11/AZB12)</f>
        <v>#REF!</v>
      </c>
      <c r="AZC13" s="438"/>
      <c r="AZD13" s="443"/>
      <c r="AZE13" s="440"/>
      <c r="BAA13" s="441" t="s">
        <v>521</v>
      </c>
      <c r="BAB13" s="573" t="str">
        <f>IF(ISBLANK(BAB12)," ",BAB11/BAB12)</f>
        <v xml:space="preserve"> </v>
      </c>
      <c r="BAC13" s="438"/>
      <c r="BAD13" s="443"/>
      <c r="BAE13" s="440"/>
      <c r="BBA13" s="441" t="s">
        <v>521</v>
      </c>
      <c r="BBB13" s="573" t="str">
        <f>IF(ISBLANK(BBB12)," ",BBB11/BBB12)</f>
        <v xml:space="preserve"> </v>
      </c>
      <c r="BBC13" s="438"/>
      <c r="BBD13" s="443"/>
      <c r="BBE13" s="440"/>
      <c r="BCA13" s="441" t="s">
        <v>521</v>
      </c>
      <c r="BCB13" s="573" t="e">
        <f>IF(ISBLANK(BCB12)," ",BCB11/BCB12)</f>
        <v>#REF!</v>
      </c>
      <c r="BCC13" s="438"/>
      <c r="BCD13" s="443"/>
      <c r="BCE13" s="440"/>
      <c r="BDA13" s="441" t="s">
        <v>521</v>
      </c>
      <c r="BDB13" s="573" t="str">
        <f>IF(ISBLANK(BDB12)," ",BDB11/BDB12)</f>
        <v xml:space="preserve"> </v>
      </c>
      <c r="BDC13" s="438"/>
      <c r="BDD13" s="443"/>
      <c r="BDE13" s="440"/>
      <c r="BEA13" s="441" t="s">
        <v>521</v>
      </c>
      <c r="BEB13" s="573" t="str">
        <f>IF(ISBLANK(BEB12)," ",BEB11/BEB12)</f>
        <v xml:space="preserve"> </v>
      </c>
      <c r="BEC13" s="438"/>
      <c r="BED13" s="443"/>
      <c r="BEE13" s="440"/>
      <c r="BFA13" s="441" t="s">
        <v>521</v>
      </c>
      <c r="BFB13" s="573" t="str">
        <f>IF(ISBLANK(BFB12)," ",BFB11/BFB12)</f>
        <v xml:space="preserve"> </v>
      </c>
      <c r="BFC13" s="438"/>
      <c r="BFD13" s="443"/>
      <c r="BFE13" s="440"/>
      <c r="BGA13" s="441" t="s">
        <v>521</v>
      </c>
      <c r="BGB13" s="573" t="str">
        <f>IF(ISBLANK(BGB12)," ",BGB11/BGB12)</f>
        <v xml:space="preserve"> </v>
      </c>
      <c r="BGC13" s="438"/>
      <c r="BGD13" s="443"/>
      <c r="BGE13" s="440"/>
      <c r="BHA13" s="441" t="s">
        <v>521</v>
      </c>
      <c r="BHB13" s="573" t="str">
        <f>IF(ISBLANK(BHB12)," ",BHB11/BHB12)</f>
        <v xml:space="preserve"> </v>
      </c>
      <c r="BHC13" s="438"/>
      <c r="BHD13" s="443"/>
      <c r="BHE13" s="440"/>
      <c r="BIA13" s="441" t="s">
        <v>521</v>
      </c>
      <c r="BIB13" s="573" t="e">
        <f>IF(ISBLANK(BIB12)," ",BIB11/BIB12)</f>
        <v>#REF!</v>
      </c>
      <c r="BIC13" s="438"/>
      <c r="BID13" s="443"/>
      <c r="BIE13" s="440"/>
      <c r="BJA13" s="441" t="s">
        <v>521</v>
      </c>
      <c r="BJB13" s="573" t="e">
        <f>IF(ISBLANK(BJB12)," ",BJB11/BJB12)</f>
        <v>#REF!</v>
      </c>
      <c r="BJC13" s="438"/>
      <c r="BJD13" s="443"/>
      <c r="BJE13" s="440"/>
      <c r="BKA13" s="441" t="s">
        <v>521</v>
      </c>
      <c r="BKB13" s="573" t="str">
        <f>IF(ISBLANK(BKB12)," ",BKB11/BKB12)</f>
        <v xml:space="preserve"> </v>
      </c>
      <c r="BKC13" s="438"/>
      <c r="BKD13" s="443"/>
      <c r="BKE13" s="440"/>
      <c r="BLA13" s="441" t="s">
        <v>521</v>
      </c>
      <c r="BLB13" s="573" t="str">
        <f>IF(ISBLANK(BLB12)," ",BLB11/BLB12)</f>
        <v xml:space="preserve"> </v>
      </c>
      <c r="BLC13" s="438"/>
      <c r="BLD13" s="443"/>
      <c r="BLE13" s="440"/>
      <c r="BMA13" s="441" t="s">
        <v>521</v>
      </c>
      <c r="BMB13" s="573" t="str">
        <f>IF(ISBLANK(BMB12)," ",BMB11/BMB12)</f>
        <v xml:space="preserve"> </v>
      </c>
      <c r="BMC13" s="438"/>
      <c r="BMD13" s="443"/>
      <c r="BME13" s="440"/>
      <c r="BNA13" s="441" t="s">
        <v>521</v>
      </c>
      <c r="BNB13" s="573" t="str">
        <f>IF(ISBLANK(BNB12)," ",BNB11/BNB12)</f>
        <v xml:space="preserve"> </v>
      </c>
      <c r="BNC13" s="438"/>
      <c r="BND13" s="443"/>
      <c r="BNE13" s="440"/>
      <c r="BOA13" s="441" t="s">
        <v>521</v>
      </c>
      <c r="BOB13" s="573" t="str">
        <f>IF(ISBLANK(BOB12)," ",BOB11/BOB12)</f>
        <v xml:space="preserve"> </v>
      </c>
      <c r="BOC13" s="438"/>
      <c r="BOD13" s="443"/>
      <c r="BOE13" s="440"/>
      <c r="BPA13" s="441" t="s">
        <v>521</v>
      </c>
      <c r="BPB13" s="573" t="str">
        <f>IF(ISBLANK(BPB12)," ",BPB11/BPB12)</f>
        <v xml:space="preserve"> </v>
      </c>
      <c r="BPC13" s="438"/>
      <c r="BPD13" s="443"/>
      <c r="BPE13" s="440"/>
      <c r="BQA13" s="441" t="s">
        <v>521</v>
      </c>
      <c r="BQB13" s="573" t="str">
        <f>IF(ISBLANK(BQB12)," ",BQB11/BQB12)</f>
        <v xml:space="preserve"> </v>
      </c>
      <c r="BQC13" s="438"/>
      <c r="BQD13" s="443"/>
      <c r="BQE13" s="440"/>
      <c r="BRA13" s="441" t="s">
        <v>521</v>
      </c>
      <c r="BRB13" s="573" t="str">
        <f>IF(ISBLANK(BRB12)," ",BRB11/BRB12)</f>
        <v xml:space="preserve"> </v>
      </c>
      <c r="BRC13" s="438"/>
      <c r="BRD13" s="443"/>
      <c r="BRE13" s="440"/>
    </row>
    <row r="14" spans="1:1019 1041:1825" ht="15" customHeight="1">
      <c r="A14" s="1034"/>
      <c r="B14" s="114" t="s">
        <v>1501</v>
      </c>
      <c r="F14"/>
      <c r="G14" s="570"/>
      <c r="H14" s="570"/>
      <c r="I14" s="570"/>
      <c r="J14" s="570"/>
      <c r="K14" s="570"/>
      <c r="AA14" s="441" t="s">
        <v>506</v>
      </c>
      <c r="AB14" s="445"/>
      <c r="AC14" s="438" t="s">
        <v>454</v>
      </c>
      <c r="AD14" s="443"/>
      <c r="AE14" s="440"/>
      <c r="BA14" s="441" t="s">
        <v>506</v>
      </c>
      <c r="BB14" s="445"/>
      <c r="BC14" s="438" t="s">
        <v>454</v>
      </c>
      <c r="BD14" s="443"/>
      <c r="BE14" s="440"/>
      <c r="CA14" s="441" t="s">
        <v>506</v>
      </c>
      <c r="CB14" s="445"/>
      <c r="CC14" s="438" t="s">
        <v>454</v>
      </c>
      <c r="CD14" s="443"/>
      <c r="CE14" s="440"/>
      <c r="DA14" s="441" t="s">
        <v>506</v>
      </c>
      <c r="DB14" s="445"/>
      <c r="DC14" s="438" t="s">
        <v>454</v>
      </c>
      <c r="DD14" s="443"/>
      <c r="DE14" s="440"/>
      <c r="EA14" s="441" t="s">
        <v>506</v>
      </c>
      <c r="EB14" s="445"/>
      <c r="EC14" s="438" t="s">
        <v>454</v>
      </c>
      <c r="ED14" s="443"/>
      <c r="EE14" s="440"/>
      <c r="FA14" s="441" t="s">
        <v>506</v>
      </c>
      <c r="FB14" s="445"/>
      <c r="FC14" s="438" t="s">
        <v>454</v>
      </c>
      <c r="FD14" s="443"/>
      <c r="FE14" s="440"/>
      <c r="GA14" s="441" t="s">
        <v>506</v>
      </c>
      <c r="GB14" s="445"/>
      <c r="GC14" s="438" t="s">
        <v>454</v>
      </c>
      <c r="GD14" s="443"/>
      <c r="GE14" s="440"/>
      <c r="HA14" s="441" t="s">
        <v>506</v>
      </c>
      <c r="HB14" s="445"/>
      <c r="HC14" s="438" t="s">
        <v>454</v>
      </c>
      <c r="HD14" s="443"/>
      <c r="HE14" s="440"/>
      <c r="IA14" s="441" t="s">
        <v>506</v>
      </c>
      <c r="IB14" s="445"/>
      <c r="IC14" s="438" t="s">
        <v>454</v>
      </c>
      <c r="ID14" s="443"/>
      <c r="IE14" s="440"/>
      <c r="JA14" s="441" t="s">
        <v>506</v>
      </c>
      <c r="JB14" s="445"/>
      <c r="JC14" s="438" t="s">
        <v>454</v>
      </c>
      <c r="JD14" s="443"/>
      <c r="JE14" s="440"/>
      <c r="KA14" s="441" t="s">
        <v>506</v>
      </c>
      <c r="KB14" s="445"/>
      <c r="KC14" s="438" t="s">
        <v>454</v>
      </c>
      <c r="KD14" s="443"/>
      <c r="KE14" s="440"/>
      <c r="LA14" s="441" t="s">
        <v>506</v>
      </c>
      <c r="LB14" s="445"/>
      <c r="LC14" s="438" t="s">
        <v>454</v>
      </c>
      <c r="LD14" s="443"/>
      <c r="LE14" s="440"/>
      <c r="MA14" s="441" t="s">
        <v>506</v>
      </c>
      <c r="MB14" s="445"/>
      <c r="MC14" s="438" t="s">
        <v>454</v>
      </c>
      <c r="MD14" s="443"/>
      <c r="ME14" s="440"/>
      <c r="NA14" s="441" t="s">
        <v>506</v>
      </c>
      <c r="NB14" s="445"/>
      <c r="NC14" s="438" t="s">
        <v>454</v>
      </c>
      <c r="ND14" s="443"/>
      <c r="NE14" s="440"/>
      <c r="OA14" s="441" t="s">
        <v>506</v>
      </c>
      <c r="OB14" s="445"/>
      <c r="OC14" s="438" t="s">
        <v>454</v>
      </c>
      <c r="OD14" s="443"/>
      <c r="OE14" s="440"/>
      <c r="PA14" s="441" t="s">
        <v>506</v>
      </c>
      <c r="PB14" s="445"/>
      <c r="PC14" s="438" t="s">
        <v>454</v>
      </c>
      <c r="PD14" s="443"/>
      <c r="PE14" s="440"/>
      <c r="QA14" s="441" t="s">
        <v>506</v>
      </c>
      <c r="QB14" s="445"/>
      <c r="QC14" s="438" t="s">
        <v>454</v>
      </c>
      <c r="QD14" s="443"/>
      <c r="QE14" s="440"/>
      <c r="RA14" s="441" t="s">
        <v>506</v>
      </c>
      <c r="RB14" s="445"/>
      <c r="RC14" s="438" t="s">
        <v>454</v>
      </c>
      <c r="RD14" s="443"/>
      <c r="RE14" s="440"/>
      <c r="SA14" s="441" t="s">
        <v>506</v>
      </c>
      <c r="SB14" s="445"/>
      <c r="SC14" s="438" t="s">
        <v>454</v>
      </c>
      <c r="SD14" s="443"/>
      <c r="SE14" s="440"/>
      <c r="TA14" s="441" t="s">
        <v>506</v>
      </c>
      <c r="TB14" s="445"/>
      <c r="TC14" s="438" t="s">
        <v>454</v>
      </c>
      <c r="TD14" s="443"/>
      <c r="TE14" s="440"/>
      <c r="UA14" s="441" t="s">
        <v>506</v>
      </c>
      <c r="UB14" s="445"/>
      <c r="UC14" s="438" t="s">
        <v>454</v>
      </c>
      <c r="UD14" s="443"/>
      <c r="UE14" s="440"/>
      <c r="VA14" s="441" t="s">
        <v>506</v>
      </c>
      <c r="VB14" s="445"/>
      <c r="VC14" s="438" t="s">
        <v>454</v>
      </c>
      <c r="VD14" s="443"/>
      <c r="VE14" s="440"/>
      <c r="WA14" s="441" t="s">
        <v>506</v>
      </c>
      <c r="WB14" s="445"/>
      <c r="WC14" s="438" t="s">
        <v>454</v>
      </c>
      <c r="WD14" s="443"/>
      <c r="WE14" s="440"/>
      <c r="XA14" s="441" t="s">
        <v>506</v>
      </c>
      <c r="XB14" s="445"/>
      <c r="XC14" s="438" t="s">
        <v>454</v>
      </c>
      <c r="XD14" s="443"/>
      <c r="XE14" s="440"/>
      <c r="YA14" s="441" t="s">
        <v>506</v>
      </c>
      <c r="YB14" s="445"/>
      <c r="YC14" s="438" t="s">
        <v>454</v>
      </c>
      <c r="YD14" s="443"/>
      <c r="YE14" s="440"/>
      <c r="ZA14" s="441" t="s">
        <v>506</v>
      </c>
      <c r="ZB14" s="445"/>
      <c r="ZC14" s="438" t="s">
        <v>454</v>
      </c>
      <c r="ZD14" s="443"/>
      <c r="ZE14" s="440"/>
      <c r="AAA14" s="441" t="s">
        <v>506</v>
      </c>
      <c r="AAB14" s="445"/>
      <c r="AAC14" s="438" t="s">
        <v>454</v>
      </c>
      <c r="AAD14" s="443"/>
      <c r="AAE14" s="440"/>
      <c r="ABA14" s="441" t="s">
        <v>506</v>
      </c>
      <c r="ABB14" s="445"/>
      <c r="ABC14" s="438" t="s">
        <v>454</v>
      </c>
      <c r="ABD14" s="443"/>
      <c r="ABE14" s="440"/>
      <c r="ACA14" s="441" t="s">
        <v>506</v>
      </c>
      <c r="ACB14" s="445"/>
      <c r="ACC14" s="438" t="s">
        <v>454</v>
      </c>
      <c r="ACD14" s="443"/>
      <c r="ACE14" s="440"/>
      <c r="ADA14" s="441" t="s">
        <v>506</v>
      </c>
      <c r="ADB14" s="445"/>
      <c r="ADC14" s="438" t="s">
        <v>454</v>
      </c>
      <c r="ADD14" s="443"/>
      <c r="ADE14" s="440"/>
      <c r="AEA14" s="441" t="s">
        <v>506</v>
      </c>
      <c r="AEB14" s="445"/>
      <c r="AEC14" s="438" t="s">
        <v>454</v>
      </c>
      <c r="AED14" s="443"/>
      <c r="AEE14" s="440"/>
      <c r="AFA14" s="441" t="s">
        <v>506</v>
      </c>
      <c r="AFB14" s="445"/>
      <c r="AFC14" s="438" t="s">
        <v>454</v>
      </c>
      <c r="AFD14" s="443"/>
      <c r="AFE14" s="440"/>
      <c r="AGA14" s="441" t="s">
        <v>506</v>
      </c>
      <c r="AGB14" s="445"/>
      <c r="AGC14" s="438" t="s">
        <v>454</v>
      </c>
      <c r="AGD14" s="443"/>
      <c r="AGE14" s="440"/>
      <c r="AHA14" s="441" t="s">
        <v>506</v>
      </c>
      <c r="AHB14" s="445"/>
      <c r="AHC14" s="438" t="s">
        <v>454</v>
      </c>
      <c r="AHD14" s="443"/>
      <c r="AHE14" s="440"/>
      <c r="AIA14" s="441" t="s">
        <v>506</v>
      </c>
      <c r="AIB14" s="445"/>
      <c r="AIC14" s="438" t="s">
        <v>454</v>
      </c>
      <c r="AID14" s="443"/>
      <c r="AIE14" s="440"/>
      <c r="AJA14" s="441" t="s">
        <v>506</v>
      </c>
      <c r="AJB14" s="445"/>
      <c r="AJC14" s="438" t="s">
        <v>454</v>
      </c>
      <c r="AJD14" s="443"/>
      <c r="AJE14" s="440"/>
      <c r="AKA14" s="441" t="s">
        <v>506</v>
      </c>
      <c r="AKB14" s="445"/>
      <c r="AKC14" s="438" t="s">
        <v>454</v>
      </c>
      <c r="AKD14" s="443"/>
      <c r="AKE14" s="440"/>
      <c r="ALA14" s="441" t="s">
        <v>506</v>
      </c>
      <c r="ALB14" s="445"/>
      <c r="ALC14" s="438" t="s">
        <v>454</v>
      </c>
      <c r="ALD14" s="443"/>
      <c r="ALE14" s="440"/>
      <c r="AMA14" s="441" t="s">
        <v>506</v>
      </c>
      <c r="AMB14" s="445"/>
      <c r="AMC14" s="438" t="s">
        <v>454</v>
      </c>
      <c r="AMD14" s="443"/>
      <c r="AME14" s="440"/>
      <c r="ANA14" s="441" t="s">
        <v>506</v>
      </c>
      <c r="ANB14" s="445"/>
      <c r="ANC14" s="438" t="s">
        <v>454</v>
      </c>
      <c r="AND14" s="443"/>
      <c r="ANE14" s="440"/>
      <c r="AOA14" s="441" t="s">
        <v>506</v>
      </c>
      <c r="AOB14" s="445"/>
      <c r="AOC14" s="438" t="s">
        <v>454</v>
      </c>
      <c r="AOD14" s="443"/>
      <c r="AOE14" s="440"/>
      <c r="APA14" s="441" t="s">
        <v>506</v>
      </c>
      <c r="APB14" s="445"/>
      <c r="APC14" s="438" t="s">
        <v>454</v>
      </c>
      <c r="APD14" s="443"/>
      <c r="APE14" s="440"/>
      <c r="AQA14" s="441" t="s">
        <v>506</v>
      </c>
      <c r="AQB14" s="445"/>
      <c r="AQC14" s="438" t="s">
        <v>454</v>
      </c>
      <c r="AQD14" s="443"/>
      <c r="AQE14" s="440"/>
      <c r="ARA14" s="441" t="s">
        <v>506</v>
      </c>
      <c r="ARB14" s="445"/>
      <c r="ARC14" s="438" t="s">
        <v>454</v>
      </c>
      <c r="ARD14" s="443"/>
      <c r="ARE14" s="440"/>
      <c r="ASA14" s="441" t="s">
        <v>506</v>
      </c>
      <c r="ASB14" s="445"/>
      <c r="ASC14" s="438" t="s">
        <v>454</v>
      </c>
      <c r="ASD14" s="443"/>
      <c r="ASE14" s="440"/>
      <c r="ATA14" s="441" t="s">
        <v>506</v>
      </c>
      <c r="ATB14" s="445"/>
      <c r="ATC14" s="438" t="s">
        <v>454</v>
      </c>
      <c r="ATD14" s="443"/>
      <c r="ATE14" s="440"/>
      <c r="AUA14" s="441" t="s">
        <v>506</v>
      </c>
      <c r="AUB14" s="445"/>
      <c r="AUC14" s="438" t="s">
        <v>454</v>
      </c>
      <c r="AUD14" s="443"/>
      <c r="AUE14" s="440"/>
      <c r="AVA14" s="441" t="s">
        <v>506</v>
      </c>
      <c r="AVB14" s="445"/>
      <c r="AVC14" s="438" t="s">
        <v>454</v>
      </c>
      <c r="AVD14" s="443"/>
      <c r="AVE14" s="440"/>
      <c r="AWA14" s="441" t="s">
        <v>506</v>
      </c>
      <c r="AWB14" s="445"/>
      <c r="AWC14" s="438" t="s">
        <v>454</v>
      </c>
      <c r="AWD14" s="443"/>
      <c r="AWE14" s="440"/>
      <c r="AXA14" s="441" t="s">
        <v>506</v>
      </c>
      <c r="AXB14" s="445"/>
      <c r="AXC14" s="438" t="s">
        <v>454</v>
      </c>
      <c r="AXD14" s="443"/>
      <c r="AXE14" s="440"/>
      <c r="AYA14" s="441" t="s">
        <v>506</v>
      </c>
      <c r="AYB14" s="445"/>
      <c r="AYC14" s="438" t="s">
        <v>454</v>
      </c>
      <c r="AYD14" s="443"/>
      <c r="AYE14" s="440"/>
      <c r="AZA14" s="441" t="s">
        <v>506</v>
      </c>
      <c r="AZB14" s="445"/>
      <c r="AZC14" s="438" t="s">
        <v>454</v>
      </c>
      <c r="AZD14" s="443"/>
      <c r="AZE14" s="440"/>
      <c r="BAA14" s="441" t="s">
        <v>506</v>
      </c>
      <c r="BAB14" s="445"/>
      <c r="BAC14" s="438" t="s">
        <v>454</v>
      </c>
      <c r="BAD14" s="443"/>
      <c r="BAE14" s="440"/>
      <c r="BBA14" s="441" t="s">
        <v>506</v>
      </c>
      <c r="BBB14" s="445"/>
      <c r="BBC14" s="438" t="s">
        <v>454</v>
      </c>
      <c r="BBD14" s="443"/>
      <c r="BBE14" s="440"/>
      <c r="BCA14" s="441" t="s">
        <v>506</v>
      </c>
      <c r="BCB14" s="445"/>
      <c r="BCC14" s="438" t="s">
        <v>454</v>
      </c>
      <c r="BCD14" s="443"/>
      <c r="BCE14" s="440"/>
      <c r="BDA14" s="441" t="s">
        <v>506</v>
      </c>
      <c r="BDB14" s="445"/>
      <c r="BDC14" s="438" t="s">
        <v>454</v>
      </c>
      <c r="BDD14" s="443"/>
      <c r="BDE14" s="440"/>
      <c r="BEA14" s="441" t="s">
        <v>506</v>
      </c>
      <c r="BEB14" s="445"/>
      <c r="BEC14" s="438" t="s">
        <v>454</v>
      </c>
      <c r="BED14" s="443"/>
      <c r="BEE14" s="440"/>
      <c r="BFA14" s="441" t="s">
        <v>506</v>
      </c>
      <c r="BFB14" s="445"/>
      <c r="BFC14" s="438" t="s">
        <v>454</v>
      </c>
      <c r="BFD14" s="443"/>
      <c r="BFE14" s="440"/>
      <c r="BGA14" s="441" t="s">
        <v>506</v>
      </c>
      <c r="BGB14" s="445"/>
      <c r="BGC14" s="438" t="s">
        <v>454</v>
      </c>
      <c r="BGD14" s="443"/>
      <c r="BGE14" s="440"/>
      <c r="BHA14" s="441" t="s">
        <v>506</v>
      </c>
      <c r="BHB14" s="445"/>
      <c r="BHC14" s="438" t="s">
        <v>454</v>
      </c>
      <c r="BHD14" s="443"/>
      <c r="BHE14" s="440"/>
      <c r="BIA14" s="441" t="s">
        <v>506</v>
      </c>
      <c r="BIB14" s="445"/>
      <c r="BIC14" s="438" t="s">
        <v>454</v>
      </c>
      <c r="BID14" s="443"/>
      <c r="BIE14" s="440"/>
      <c r="BJA14" s="441" t="s">
        <v>506</v>
      </c>
      <c r="BJB14" s="445"/>
      <c r="BJC14" s="438" t="s">
        <v>454</v>
      </c>
      <c r="BJD14" s="443"/>
      <c r="BJE14" s="440"/>
      <c r="BKA14" s="441" t="s">
        <v>506</v>
      </c>
      <c r="BKB14" s="445"/>
      <c r="BKC14" s="438" t="s">
        <v>454</v>
      </c>
      <c r="BKD14" s="443"/>
      <c r="BKE14" s="440"/>
      <c r="BLA14" s="441" t="s">
        <v>506</v>
      </c>
      <c r="BLB14" s="445"/>
      <c r="BLC14" s="438" t="s">
        <v>454</v>
      </c>
      <c r="BLD14" s="443"/>
      <c r="BLE14" s="440"/>
      <c r="BMA14" s="441" t="s">
        <v>506</v>
      </c>
      <c r="BMB14" s="445"/>
      <c r="BMC14" s="438" t="s">
        <v>454</v>
      </c>
      <c r="BMD14" s="443"/>
      <c r="BME14" s="440"/>
      <c r="BNA14" s="441" t="s">
        <v>506</v>
      </c>
      <c r="BNB14" s="445"/>
      <c r="BNC14" s="438" t="s">
        <v>454</v>
      </c>
      <c r="BND14" s="443"/>
      <c r="BNE14" s="440"/>
      <c r="BOA14" s="441" t="s">
        <v>506</v>
      </c>
      <c r="BOB14" s="445"/>
      <c r="BOC14" s="438" t="s">
        <v>454</v>
      </c>
      <c r="BOD14" s="443"/>
      <c r="BOE14" s="440"/>
      <c r="BPA14" s="441" t="s">
        <v>506</v>
      </c>
      <c r="BPB14" s="445"/>
      <c r="BPC14" s="438" t="s">
        <v>454</v>
      </c>
      <c r="BPD14" s="443"/>
      <c r="BPE14" s="440"/>
      <c r="BQA14" s="441" t="s">
        <v>506</v>
      </c>
      <c r="BQB14" s="445"/>
      <c r="BQC14" s="438" t="s">
        <v>454</v>
      </c>
      <c r="BQD14" s="443"/>
      <c r="BQE14" s="440"/>
      <c r="BRA14" s="441" t="s">
        <v>506</v>
      </c>
      <c r="BRB14" s="445"/>
      <c r="BRC14" s="438" t="s">
        <v>454</v>
      </c>
      <c r="BRD14" s="443"/>
      <c r="BRE14" s="440"/>
    </row>
    <row r="15" spans="1:1019 1041:1825" ht="15" customHeight="1">
      <c r="A15" s="115"/>
      <c r="B15" s="114" t="s">
        <v>31</v>
      </c>
      <c r="F15"/>
      <c r="G15" s="570"/>
      <c r="H15" s="570"/>
      <c r="I15" s="570"/>
      <c r="J15" s="570"/>
      <c r="K15" s="570"/>
      <c r="AA15" s="436" t="s">
        <v>507</v>
      </c>
      <c r="AB15" s="120"/>
      <c r="AC15" s="446" t="s">
        <v>454</v>
      </c>
      <c r="AD15" s="443"/>
      <c r="AE15" s="440"/>
      <c r="BA15" s="436" t="s">
        <v>507</v>
      </c>
      <c r="BB15" s="120"/>
      <c r="BC15" s="446" t="s">
        <v>454</v>
      </c>
      <c r="BD15" s="443"/>
      <c r="BE15" s="440"/>
      <c r="CA15" s="436" t="s">
        <v>507</v>
      </c>
      <c r="CB15" s="120"/>
      <c r="CC15" s="446" t="s">
        <v>454</v>
      </c>
      <c r="CD15" s="443"/>
      <c r="CE15" s="440"/>
      <c r="DA15" s="436" t="s">
        <v>507</v>
      </c>
      <c r="DB15" s="120"/>
      <c r="DC15" s="446" t="s">
        <v>454</v>
      </c>
      <c r="DD15" s="443"/>
      <c r="DE15" s="440"/>
      <c r="EA15" s="436" t="s">
        <v>507</v>
      </c>
      <c r="EB15" s="120"/>
      <c r="EC15" s="446" t="s">
        <v>454</v>
      </c>
      <c r="ED15" s="443"/>
      <c r="EE15" s="440"/>
      <c r="FA15" s="436" t="s">
        <v>507</v>
      </c>
      <c r="FB15" s="120"/>
      <c r="FC15" s="446" t="s">
        <v>454</v>
      </c>
      <c r="FD15" s="443"/>
      <c r="FE15" s="440"/>
      <c r="GA15" s="436" t="s">
        <v>507</v>
      </c>
      <c r="GB15" s="120"/>
      <c r="GC15" s="446" t="s">
        <v>454</v>
      </c>
      <c r="GD15" s="443"/>
      <c r="GE15" s="440"/>
      <c r="HA15" s="436" t="s">
        <v>507</v>
      </c>
      <c r="HB15" s="120"/>
      <c r="HC15" s="446" t="s">
        <v>454</v>
      </c>
      <c r="HD15" s="443"/>
      <c r="HE15" s="440"/>
      <c r="IA15" s="436" t="s">
        <v>507</v>
      </c>
      <c r="IB15" s="1027" t="e">
        <f>47.058*(IB12/0.9072)^1.0061*0.7457</f>
        <v>#REF!</v>
      </c>
      <c r="IC15" s="446" t="s">
        <v>454</v>
      </c>
      <c r="ID15" s="443"/>
      <c r="IE15" s="440"/>
      <c r="JA15" s="436" t="s">
        <v>507</v>
      </c>
      <c r="JB15" s="120"/>
      <c r="JC15" s="446" t="s">
        <v>454</v>
      </c>
      <c r="JD15" s="443"/>
      <c r="JE15" s="440"/>
      <c r="KA15" s="436" t="s">
        <v>507</v>
      </c>
      <c r="KB15" s="120">
        <f>10*0.7457</f>
        <v>7.4570000000000007</v>
      </c>
      <c r="KC15" s="446" t="s">
        <v>454</v>
      </c>
      <c r="KD15" s="443"/>
      <c r="KE15" s="440"/>
      <c r="LA15" s="436" t="s">
        <v>507</v>
      </c>
      <c r="LB15" s="120"/>
      <c r="LC15" s="446" t="s">
        <v>454</v>
      </c>
      <c r="LD15" s="443"/>
      <c r="LE15" s="440"/>
      <c r="MA15" s="436" t="s">
        <v>507</v>
      </c>
      <c r="MB15" s="223"/>
      <c r="MC15" s="446" t="s">
        <v>454</v>
      </c>
      <c r="MD15" s="443"/>
      <c r="ME15" s="440"/>
      <c r="NA15" s="436" t="s">
        <v>507</v>
      </c>
      <c r="NB15" s="120"/>
      <c r="NC15" s="446" t="s">
        <v>454</v>
      </c>
      <c r="ND15" s="443"/>
      <c r="NE15" s="440"/>
      <c r="OA15" s="436" t="s">
        <v>507</v>
      </c>
      <c r="OB15" s="120">
        <f>20*0.7457</f>
        <v>14.914000000000001</v>
      </c>
      <c r="OC15" s="446" t="s">
        <v>454</v>
      </c>
      <c r="OD15" s="443"/>
      <c r="OE15" s="440"/>
      <c r="PA15" s="436" t="s">
        <v>507</v>
      </c>
      <c r="PB15" s="120"/>
      <c r="PC15" s="446" t="s">
        <v>454</v>
      </c>
      <c r="PD15" s="443"/>
      <c r="PE15" s="440"/>
      <c r="QA15" s="436" t="s">
        <v>507</v>
      </c>
      <c r="QB15" s="120"/>
      <c r="QC15" s="446" t="s">
        <v>454</v>
      </c>
      <c r="QD15" s="443"/>
      <c r="QE15" s="440"/>
      <c r="RA15" s="436" t="s">
        <v>507</v>
      </c>
      <c r="RB15" s="120"/>
      <c r="RC15" s="446" t="s">
        <v>454</v>
      </c>
      <c r="RD15" s="443"/>
      <c r="RE15" s="440"/>
      <c r="SA15" s="436" t="s">
        <v>507</v>
      </c>
      <c r="SB15" s="120"/>
      <c r="SC15" s="446" t="s">
        <v>454</v>
      </c>
      <c r="SD15" s="443"/>
      <c r="SE15" s="440"/>
      <c r="TA15" s="436" t="s">
        <v>507</v>
      </c>
      <c r="TB15" s="120"/>
      <c r="TC15" s="446" t="s">
        <v>454</v>
      </c>
      <c r="TD15" s="443"/>
      <c r="TE15" s="440"/>
      <c r="UA15" s="436" t="s">
        <v>507</v>
      </c>
      <c r="UB15" s="120"/>
      <c r="UC15" s="446" t="s">
        <v>454</v>
      </c>
      <c r="UD15" s="443"/>
      <c r="UE15" s="440"/>
      <c r="VA15" s="436" t="s">
        <v>507</v>
      </c>
      <c r="VB15" s="120"/>
      <c r="VC15" s="446" t="s">
        <v>454</v>
      </c>
      <c r="VD15" s="443"/>
      <c r="VE15" s="440"/>
      <c r="WA15" s="436" t="s">
        <v>507</v>
      </c>
      <c r="WB15" s="120"/>
      <c r="WC15" s="446" t="s">
        <v>454</v>
      </c>
      <c r="WD15" s="443"/>
      <c r="WE15" s="440"/>
      <c r="XA15" s="436" t="s">
        <v>507</v>
      </c>
      <c r="XB15" s="120"/>
      <c r="XC15" s="446" t="s">
        <v>454</v>
      </c>
      <c r="XD15" s="443"/>
      <c r="XE15" s="440"/>
      <c r="YA15" s="436" t="s">
        <v>507</v>
      </c>
      <c r="YB15" s="120"/>
      <c r="YC15" s="446" t="s">
        <v>454</v>
      </c>
      <c r="YD15" s="443"/>
      <c r="YE15" s="440"/>
      <c r="ZA15" s="436" t="s">
        <v>507</v>
      </c>
      <c r="ZB15" s="120"/>
      <c r="ZC15" s="446" t="s">
        <v>454</v>
      </c>
      <c r="ZD15" s="443"/>
      <c r="ZE15" s="440"/>
      <c r="AAA15" s="436" t="s">
        <v>507</v>
      </c>
      <c r="AAB15" s="120"/>
      <c r="AAC15" s="446" t="s">
        <v>454</v>
      </c>
      <c r="AAD15" s="443"/>
      <c r="AAE15" s="440"/>
      <c r="ABA15" s="436" t="s">
        <v>507</v>
      </c>
      <c r="ABB15" s="120"/>
      <c r="ABC15" s="446" t="s">
        <v>454</v>
      </c>
      <c r="ABD15" s="443"/>
      <c r="ABE15" s="440"/>
      <c r="ACA15" s="436" t="s">
        <v>507</v>
      </c>
      <c r="ACB15" s="120">
        <f>20*0.7457</f>
        <v>14.914000000000001</v>
      </c>
      <c r="ACC15" s="446" t="s">
        <v>454</v>
      </c>
      <c r="ACD15" s="443"/>
      <c r="ACE15" s="440"/>
      <c r="ADA15" s="436" t="s">
        <v>507</v>
      </c>
      <c r="ADB15" s="120"/>
      <c r="ADC15" s="446" t="s">
        <v>454</v>
      </c>
      <c r="ADD15" s="443"/>
      <c r="ADE15" s="440"/>
      <c r="AEA15" s="436" t="s">
        <v>507</v>
      </c>
      <c r="AEB15" s="120"/>
      <c r="AEC15" s="446" t="s">
        <v>454</v>
      </c>
      <c r="AED15" s="443"/>
      <c r="AEE15" s="440"/>
      <c r="AFA15" s="436" t="s">
        <v>507</v>
      </c>
      <c r="AFB15" s="120"/>
      <c r="AFC15" s="446" t="s">
        <v>454</v>
      </c>
      <c r="AFD15" s="443"/>
      <c r="AFE15" s="440"/>
      <c r="AGA15" s="436" t="s">
        <v>507</v>
      </c>
      <c r="AGB15" s="120">
        <f>100*0.7457</f>
        <v>74.570000000000007</v>
      </c>
      <c r="AGC15" s="446" t="s">
        <v>454</v>
      </c>
      <c r="AGD15" s="443"/>
      <c r="AGE15" s="440"/>
      <c r="AHA15" s="436" t="s">
        <v>507</v>
      </c>
      <c r="AHB15" s="120"/>
      <c r="AHC15" s="446" t="s">
        <v>454</v>
      </c>
      <c r="AHD15" s="443"/>
      <c r="AHE15" s="440"/>
      <c r="AIA15" s="436" t="s">
        <v>507</v>
      </c>
      <c r="AIB15" s="120"/>
      <c r="AIC15" s="446" t="s">
        <v>454</v>
      </c>
      <c r="AID15" s="443"/>
      <c r="AIE15" s="440"/>
      <c r="AJA15" s="436" t="s">
        <v>507</v>
      </c>
      <c r="AJB15" s="223" t="e">
        <f>(1.3607*AJB12-0.5806)*0.7457</f>
        <v>#REF!</v>
      </c>
      <c r="AJC15" s="446" t="s">
        <v>454</v>
      </c>
      <c r="AJD15" s="443"/>
      <c r="AJE15" s="440"/>
      <c r="AKA15" s="436" t="s">
        <v>507</v>
      </c>
      <c r="AKB15" s="120"/>
      <c r="AKC15" s="446" t="s">
        <v>454</v>
      </c>
      <c r="AKD15" s="443"/>
      <c r="AKE15" s="440"/>
      <c r="ALA15" s="436" t="s">
        <v>507</v>
      </c>
      <c r="ALB15" s="120"/>
      <c r="ALC15" s="446" t="s">
        <v>454</v>
      </c>
      <c r="ALD15" s="443"/>
      <c r="ALE15" s="440"/>
      <c r="AMA15" s="436" t="s">
        <v>507</v>
      </c>
      <c r="AMB15" s="120"/>
      <c r="AMC15" s="446" t="s">
        <v>454</v>
      </c>
      <c r="AMD15" s="443"/>
      <c r="AME15" s="440"/>
      <c r="ANA15" s="436" t="s">
        <v>507</v>
      </c>
      <c r="ANB15" s="120"/>
      <c r="ANC15" s="446" t="s">
        <v>454</v>
      </c>
      <c r="AND15" s="443"/>
      <c r="ANE15" s="440"/>
      <c r="AOA15" s="436" t="s">
        <v>507</v>
      </c>
      <c r="AOB15" s="120"/>
      <c r="AOC15" s="446" t="s">
        <v>454</v>
      </c>
      <c r="AOD15" s="443"/>
      <c r="AOE15" s="440"/>
      <c r="APA15" s="436" t="s">
        <v>507</v>
      </c>
      <c r="APB15" s="120"/>
      <c r="APC15" s="446" t="s">
        <v>454</v>
      </c>
      <c r="APD15" s="443"/>
      <c r="APE15" s="440"/>
      <c r="AQA15" s="436" t="s">
        <v>507</v>
      </c>
      <c r="AQB15" s="120">
        <f>20*0.7457</f>
        <v>14.914000000000001</v>
      </c>
      <c r="AQC15" s="446" t="s">
        <v>454</v>
      </c>
      <c r="AQD15" s="443"/>
      <c r="AQE15" s="440"/>
      <c r="ARA15" s="436" t="s">
        <v>507</v>
      </c>
      <c r="ARB15" s="120">
        <f>100*0.7457</f>
        <v>74.570000000000007</v>
      </c>
      <c r="ARC15" s="446" t="s">
        <v>454</v>
      </c>
      <c r="ARD15" s="443"/>
      <c r="ARE15" s="440"/>
      <c r="ASA15" s="436" t="s">
        <v>507</v>
      </c>
      <c r="ASB15" s="120"/>
      <c r="ASC15" s="446" t="s">
        <v>454</v>
      </c>
      <c r="ASD15" s="443"/>
      <c r="ASE15" s="440"/>
      <c r="ATA15" s="436" t="s">
        <v>507</v>
      </c>
      <c r="ATB15" s="120">
        <f>20*0.7457</f>
        <v>14.914000000000001</v>
      </c>
      <c r="ATC15" s="446" t="s">
        <v>454</v>
      </c>
      <c r="ATD15" s="443"/>
      <c r="ATE15" s="440"/>
      <c r="AUA15" s="436" t="s">
        <v>507</v>
      </c>
      <c r="AUB15" s="120"/>
      <c r="AUC15" s="446" t="s">
        <v>454</v>
      </c>
      <c r="AUD15" s="443"/>
      <c r="AUE15" s="440"/>
      <c r="AVA15" s="436" t="s">
        <v>507</v>
      </c>
      <c r="AVB15" s="120"/>
      <c r="AVC15" s="446" t="s">
        <v>454</v>
      </c>
      <c r="AVD15" s="443"/>
      <c r="AVE15" s="440"/>
      <c r="AWA15" s="436" t="s">
        <v>507</v>
      </c>
      <c r="AWB15" s="120"/>
      <c r="AWC15" s="446" t="s">
        <v>454</v>
      </c>
      <c r="AWD15" s="443"/>
      <c r="AWE15" s="440"/>
      <c r="AXA15" s="436" t="s">
        <v>507</v>
      </c>
      <c r="AXB15" s="120"/>
      <c r="AXC15" s="446" t="s">
        <v>454</v>
      </c>
      <c r="AXD15" s="443"/>
      <c r="AXE15" s="440"/>
      <c r="AYA15" s="436" t="s">
        <v>507</v>
      </c>
      <c r="AYB15" s="120"/>
      <c r="AYC15" s="446" t="s">
        <v>454</v>
      </c>
      <c r="AYD15" s="443"/>
      <c r="AYE15" s="440"/>
      <c r="AZA15" s="436" t="s">
        <v>507</v>
      </c>
      <c r="AZB15" s="120">
        <f>20*0.7457</f>
        <v>14.914000000000001</v>
      </c>
      <c r="AZC15" s="446" t="s">
        <v>454</v>
      </c>
      <c r="AZD15" s="443"/>
      <c r="AZE15" s="440"/>
      <c r="BAA15" s="436" t="s">
        <v>507</v>
      </c>
      <c r="BAB15" s="120"/>
      <c r="BAC15" s="446" t="s">
        <v>454</v>
      </c>
      <c r="BAD15" s="443"/>
      <c r="BAE15" s="440"/>
      <c r="BBA15" s="436" t="s">
        <v>507</v>
      </c>
      <c r="BBB15" s="120"/>
      <c r="BBC15" s="446" t="s">
        <v>454</v>
      </c>
      <c r="BBD15" s="443"/>
      <c r="BBE15" s="440"/>
      <c r="BCA15" s="436" t="s">
        <v>507</v>
      </c>
      <c r="BCB15" s="120">
        <f>20*0.7457</f>
        <v>14.914000000000001</v>
      </c>
      <c r="BCC15" s="446" t="s">
        <v>454</v>
      </c>
      <c r="BCD15" s="443"/>
      <c r="BCE15" s="440"/>
      <c r="BDA15" s="436" t="s">
        <v>507</v>
      </c>
      <c r="BDB15" s="120"/>
      <c r="BDC15" s="446" t="s">
        <v>454</v>
      </c>
      <c r="BDD15" s="443"/>
      <c r="BDE15" s="440"/>
      <c r="BEA15" s="436" t="s">
        <v>507</v>
      </c>
      <c r="BEB15" s="120"/>
      <c r="BEC15" s="446" t="s">
        <v>454</v>
      </c>
      <c r="BED15" s="443"/>
      <c r="BEE15" s="440"/>
      <c r="BFA15" s="436" t="s">
        <v>507</v>
      </c>
      <c r="BFB15" s="120"/>
      <c r="BFC15" s="446" t="s">
        <v>454</v>
      </c>
      <c r="BFD15" s="443"/>
      <c r="BFE15" s="440"/>
      <c r="BGA15" s="436" t="s">
        <v>507</v>
      </c>
      <c r="BGB15" s="120"/>
      <c r="BGC15" s="446" t="s">
        <v>454</v>
      </c>
      <c r="BGD15" s="443"/>
      <c r="BGE15" s="440"/>
      <c r="BHA15" s="436" t="s">
        <v>507</v>
      </c>
      <c r="BHB15" s="120"/>
      <c r="BHC15" s="446" t="s">
        <v>454</v>
      </c>
      <c r="BHD15" s="443"/>
      <c r="BHE15" s="440"/>
      <c r="BIA15" s="436" t="s">
        <v>507</v>
      </c>
      <c r="BIB15" s="120"/>
      <c r="BIC15" s="446" t="s">
        <v>454</v>
      </c>
      <c r="BID15" s="443"/>
      <c r="BIE15" s="440"/>
      <c r="BJA15" s="436" t="s">
        <v>507</v>
      </c>
      <c r="BJB15" s="120">
        <f>20*0.7457</f>
        <v>14.914000000000001</v>
      </c>
      <c r="BJC15" s="446" t="s">
        <v>454</v>
      </c>
      <c r="BJD15" s="443"/>
      <c r="BJE15" s="440"/>
      <c r="BKA15" s="436" t="s">
        <v>507</v>
      </c>
      <c r="BKB15" s="120"/>
      <c r="BKC15" s="446" t="s">
        <v>454</v>
      </c>
      <c r="BKD15" s="443"/>
      <c r="BKE15" s="440"/>
      <c r="BLA15" s="436" t="s">
        <v>507</v>
      </c>
      <c r="BLB15" s="120"/>
      <c r="BLC15" s="446" t="s">
        <v>454</v>
      </c>
      <c r="BLD15" s="443"/>
      <c r="BLE15" s="440"/>
      <c r="BMA15" s="436" t="s">
        <v>507</v>
      </c>
      <c r="BMB15" s="120"/>
      <c r="BMC15" s="446" t="s">
        <v>454</v>
      </c>
      <c r="BMD15" s="443"/>
      <c r="BME15" s="440"/>
      <c r="BNA15" s="436" t="s">
        <v>507</v>
      </c>
      <c r="BNB15" s="120"/>
      <c r="BNC15" s="446" t="s">
        <v>454</v>
      </c>
      <c r="BND15" s="443"/>
      <c r="BNE15" s="440"/>
      <c r="BOA15" s="436" t="s">
        <v>507</v>
      </c>
      <c r="BOB15" s="120"/>
      <c r="BOC15" s="446" t="s">
        <v>454</v>
      </c>
      <c r="BOD15" s="443"/>
      <c r="BOE15" s="440"/>
      <c r="BPA15" s="436" t="s">
        <v>507</v>
      </c>
      <c r="BPB15" s="120"/>
      <c r="BPC15" s="446" t="s">
        <v>454</v>
      </c>
      <c r="BPD15" s="443"/>
      <c r="BPE15" s="440"/>
      <c r="BQA15" s="436" t="s">
        <v>507</v>
      </c>
      <c r="BQB15" s="120"/>
      <c r="BQC15" s="446" t="s">
        <v>454</v>
      </c>
      <c r="BQD15" s="443"/>
      <c r="BQE15" s="440"/>
      <c r="BRA15" s="436" t="s">
        <v>507</v>
      </c>
      <c r="BRB15" s="120"/>
      <c r="BRC15" s="446" t="s">
        <v>454</v>
      </c>
      <c r="BRD15" s="443"/>
      <c r="BRE15" s="440"/>
    </row>
    <row r="16" spans="1:1019 1041:1825" ht="15" customHeight="1">
      <c r="A16" s="1034"/>
      <c r="B16" s="114" t="s">
        <v>28</v>
      </c>
      <c r="F16"/>
      <c r="G16" s="571"/>
      <c r="H16" s="571"/>
      <c r="AA16" s="441"/>
      <c r="AB16" s="445"/>
      <c r="AC16" s="447"/>
      <c r="AD16" s="443"/>
      <c r="AE16" s="440"/>
      <c r="BA16" s="441"/>
      <c r="BB16" s="445"/>
      <c r="BC16" s="447"/>
      <c r="BD16" s="443"/>
      <c r="BE16" s="440"/>
      <c r="CA16" s="441"/>
      <c r="CB16" s="445"/>
      <c r="CC16" s="447"/>
      <c r="CD16" s="443"/>
      <c r="CE16" s="440"/>
      <c r="DA16" s="441"/>
      <c r="DB16" s="445"/>
      <c r="DC16" s="447"/>
      <c r="DD16" s="443"/>
      <c r="DE16" s="440"/>
      <c r="EA16" s="441"/>
      <c r="EB16" s="445"/>
      <c r="EC16" s="447"/>
      <c r="ED16" s="443"/>
      <c r="EE16" s="440"/>
      <c r="FA16" s="441"/>
      <c r="FB16" s="445"/>
      <c r="FC16" s="447"/>
      <c r="FD16" s="443"/>
      <c r="FE16" s="440"/>
      <c r="GA16" s="441"/>
      <c r="GB16" s="445"/>
      <c r="GC16" s="447"/>
      <c r="GD16" s="443"/>
      <c r="GE16" s="440"/>
      <c r="HA16" s="441"/>
      <c r="HB16" s="445"/>
      <c r="HC16" s="447"/>
      <c r="HD16" s="443"/>
      <c r="HE16" s="440"/>
      <c r="IA16" s="441"/>
      <c r="IB16" s="445"/>
      <c r="IC16" s="447"/>
      <c r="ID16" s="443"/>
      <c r="IE16" s="440"/>
      <c r="JA16" s="441"/>
      <c r="JB16" s="445"/>
      <c r="JC16" s="447"/>
      <c r="JD16" s="443"/>
      <c r="JE16" s="440"/>
      <c r="KA16" s="441"/>
      <c r="KB16" s="445"/>
      <c r="KC16" s="447"/>
      <c r="KD16" s="443"/>
      <c r="KE16" s="440"/>
      <c r="LA16" s="441"/>
      <c r="LB16" s="445"/>
      <c r="LC16" s="447"/>
      <c r="LD16" s="443"/>
      <c r="LE16" s="440"/>
      <c r="MA16" s="441"/>
      <c r="MB16" s="445"/>
      <c r="MC16" s="447"/>
      <c r="MD16" s="443"/>
      <c r="ME16" s="440"/>
      <c r="NA16" s="441"/>
      <c r="NB16" s="445"/>
      <c r="NC16" s="447"/>
      <c r="ND16" s="443"/>
      <c r="NE16" s="440"/>
      <c r="OA16" s="441"/>
      <c r="OB16" s="445"/>
      <c r="OC16" s="447"/>
      <c r="OD16" s="443"/>
      <c r="OE16" s="440"/>
      <c r="PA16" s="441"/>
      <c r="PB16" s="445"/>
      <c r="PC16" s="447"/>
      <c r="PD16" s="443"/>
      <c r="PE16" s="440"/>
      <c r="QA16" s="441"/>
      <c r="QB16" s="445"/>
      <c r="QC16" s="447"/>
      <c r="QD16" s="443"/>
      <c r="QE16" s="440"/>
      <c r="RA16" s="441"/>
      <c r="RB16" s="445"/>
      <c r="RC16" s="447"/>
      <c r="RD16" s="443"/>
      <c r="RE16" s="440"/>
      <c r="SA16" s="441"/>
      <c r="SB16" s="445"/>
      <c r="SC16" s="447"/>
      <c r="SD16" s="443"/>
      <c r="SE16" s="440"/>
      <c r="TA16" s="441"/>
      <c r="TB16" s="445"/>
      <c r="TC16" s="447"/>
      <c r="TD16" s="443"/>
      <c r="TE16" s="440"/>
      <c r="UA16" s="441"/>
      <c r="UB16" s="445"/>
      <c r="UC16" s="447"/>
      <c r="UD16" s="443"/>
      <c r="UE16" s="440"/>
      <c r="VA16" s="441"/>
      <c r="VB16" s="445"/>
      <c r="VC16" s="447"/>
      <c r="VD16" s="443"/>
      <c r="VE16" s="440"/>
      <c r="WA16" s="441"/>
      <c r="WB16" s="445"/>
      <c r="WC16" s="447"/>
      <c r="WD16" s="443"/>
      <c r="WE16" s="440"/>
      <c r="XA16" s="441"/>
      <c r="XB16" s="445"/>
      <c r="XC16" s="447"/>
      <c r="XD16" s="443"/>
      <c r="XE16" s="440"/>
      <c r="YA16" s="441"/>
      <c r="YB16" s="445"/>
      <c r="YC16" s="447"/>
      <c r="YD16" s="443"/>
      <c r="YE16" s="440"/>
      <c r="ZA16" s="441"/>
      <c r="ZB16" s="445"/>
      <c r="ZC16" s="447"/>
      <c r="ZD16" s="443"/>
      <c r="ZE16" s="440"/>
      <c r="AAA16" s="441"/>
      <c r="AAB16" s="445"/>
      <c r="AAC16" s="447"/>
      <c r="AAD16" s="443"/>
      <c r="AAE16" s="440"/>
      <c r="ABA16" s="441"/>
      <c r="ABB16" s="445"/>
      <c r="ABC16" s="447"/>
      <c r="ABD16" s="443"/>
      <c r="ABE16" s="440"/>
      <c r="ACA16" s="441"/>
      <c r="ACB16" s="445"/>
      <c r="ACC16" s="447"/>
      <c r="ACD16" s="443"/>
      <c r="ACE16" s="440"/>
      <c r="ADA16" s="441"/>
      <c r="ADB16" s="445"/>
      <c r="ADC16" s="447"/>
      <c r="ADD16" s="443"/>
      <c r="ADE16" s="440"/>
      <c r="AEA16" s="441"/>
      <c r="AEB16" s="445"/>
      <c r="AEC16" s="447"/>
      <c r="AED16" s="443"/>
      <c r="AEE16" s="440"/>
      <c r="AFA16" s="441"/>
      <c r="AFB16" s="445"/>
      <c r="AFC16" s="447"/>
      <c r="AFD16" s="443"/>
      <c r="AFE16" s="440"/>
      <c r="AGA16" s="441"/>
      <c r="AGB16" s="445"/>
      <c r="AGC16" s="447"/>
      <c r="AGD16" s="443"/>
      <c r="AGE16" s="440"/>
      <c r="AHA16" s="441"/>
      <c r="AHB16" s="445"/>
      <c r="AHC16" s="447"/>
      <c r="AHD16" s="443"/>
      <c r="AHE16" s="440"/>
      <c r="AIA16" s="441"/>
      <c r="AIB16" s="445"/>
      <c r="AIC16" s="447"/>
      <c r="AID16" s="443"/>
      <c r="AIE16" s="440"/>
      <c r="AJA16" s="441"/>
      <c r="AJB16" s="445"/>
      <c r="AJC16" s="447"/>
      <c r="AJD16" s="443"/>
      <c r="AJE16" s="440"/>
      <c r="AKA16" s="441"/>
      <c r="AKB16" s="445"/>
      <c r="AKC16" s="447"/>
      <c r="AKD16" s="443"/>
      <c r="AKE16" s="440"/>
      <c r="ALA16" s="441"/>
      <c r="ALB16" s="445"/>
      <c r="ALC16" s="447"/>
      <c r="ALD16" s="443"/>
      <c r="ALE16" s="440"/>
      <c r="AMA16" s="441"/>
      <c r="AMB16" s="445"/>
      <c r="AMC16" s="447"/>
      <c r="AMD16" s="443"/>
      <c r="AME16" s="440"/>
      <c r="ANA16" s="441"/>
      <c r="ANB16" s="445"/>
      <c r="ANC16" s="447"/>
      <c r="AND16" s="443"/>
      <c r="ANE16" s="440"/>
      <c r="AOA16" s="441"/>
      <c r="AOB16" s="445"/>
      <c r="AOC16" s="447"/>
      <c r="AOD16" s="443"/>
      <c r="AOE16" s="440"/>
      <c r="APA16" s="441"/>
      <c r="APB16" s="445"/>
      <c r="APC16" s="447"/>
      <c r="APD16" s="443"/>
      <c r="APE16" s="440"/>
      <c r="AQA16" s="441"/>
      <c r="AQB16" s="445"/>
      <c r="AQC16" s="447"/>
      <c r="AQD16" s="443"/>
      <c r="AQE16" s="440"/>
      <c r="ARA16" s="441"/>
      <c r="ARB16" s="445"/>
      <c r="ARC16" s="447"/>
      <c r="ARD16" s="443"/>
      <c r="ARE16" s="440"/>
      <c r="ASA16" s="441"/>
      <c r="ASB16" s="445"/>
      <c r="ASC16" s="447"/>
      <c r="ASD16" s="443"/>
      <c r="ASE16" s="440"/>
      <c r="ATA16" s="441"/>
      <c r="ATB16" s="445"/>
      <c r="ATC16" s="447"/>
      <c r="ATD16" s="443"/>
      <c r="ATE16" s="440"/>
      <c r="AUA16" s="441"/>
      <c r="AUB16" s="445"/>
      <c r="AUC16" s="447"/>
      <c r="AUD16" s="443"/>
      <c r="AUE16" s="440"/>
      <c r="AVA16" s="441"/>
      <c r="AVB16" s="445"/>
      <c r="AVC16" s="447"/>
      <c r="AVD16" s="443"/>
      <c r="AVE16" s="440"/>
      <c r="AWA16" s="441"/>
      <c r="AWB16" s="445"/>
      <c r="AWC16" s="447"/>
      <c r="AWD16" s="443"/>
      <c r="AWE16" s="440"/>
      <c r="AXA16" s="441"/>
      <c r="AXB16" s="445"/>
      <c r="AXC16" s="447"/>
      <c r="AXD16" s="443"/>
      <c r="AXE16" s="440"/>
      <c r="AYA16" s="441"/>
      <c r="AYB16" s="445"/>
      <c r="AYC16" s="447"/>
      <c r="AYD16" s="443"/>
      <c r="AYE16" s="440"/>
      <c r="AZA16" s="441"/>
      <c r="AZB16" s="445"/>
      <c r="AZC16" s="447"/>
      <c r="AZD16" s="443"/>
      <c r="AZE16" s="440"/>
      <c r="BAA16" s="441"/>
      <c r="BAB16" s="445"/>
      <c r="BAC16" s="447"/>
      <c r="BAD16" s="443"/>
      <c r="BAE16" s="440"/>
      <c r="BBA16" s="441"/>
      <c r="BBB16" s="445"/>
      <c r="BBC16" s="447"/>
      <c r="BBD16" s="443"/>
      <c r="BBE16" s="440"/>
      <c r="BCA16" s="441"/>
      <c r="BCB16" s="445"/>
      <c r="BCC16" s="447"/>
      <c r="BCD16" s="443"/>
      <c r="BCE16" s="440"/>
      <c r="BDA16" s="441"/>
      <c r="BDB16" s="445"/>
      <c r="BDC16" s="447"/>
      <c r="BDD16" s="443"/>
      <c r="BDE16" s="440"/>
      <c r="BEA16" s="441"/>
      <c r="BEB16" s="445"/>
      <c r="BEC16" s="447"/>
      <c r="BED16" s="443"/>
      <c r="BEE16" s="440"/>
      <c r="BFA16" s="441"/>
      <c r="BFB16" s="445"/>
      <c r="BFC16" s="447"/>
      <c r="BFD16" s="443"/>
      <c r="BFE16" s="440"/>
      <c r="BGA16" s="441"/>
      <c r="BGB16" s="445"/>
      <c r="BGC16" s="447"/>
      <c r="BGD16" s="443"/>
      <c r="BGE16" s="440"/>
      <c r="BHA16" s="441"/>
      <c r="BHB16" s="445"/>
      <c r="BHC16" s="447"/>
      <c r="BHD16" s="443"/>
      <c r="BHE16" s="440"/>
      <c r="BIA16" s="441"/>
      <c r="BIB16" s="445"/>
      <c r="BIC16" s="447"/>
      <c r="BID16" s="443"/>
      <c r="BIE16" s="440"/>
      <c r="BJA16" s="441"/>
      <c r="BJB16" s="445"/>
      <c r="BJC16" s="447"/>
      <c r="BJD16" s="443"/>
      <c r="BJE16" s="440"/>
      <c r="BKA16" s="441"/>
      <c r="BKB16" s="445"/>
      <c r="BKC16" s="447"/>
      <c r="BKD16" s="443"/>
      <c r="BKE16" s="440"/>
      <c r="BLA16" s="441"/>
      <c r="BLB16" s="445"/>
      <c r="BLC16" s="447"/>
      <c r="BLD16" s="443"/>
      <c r="BLE16" s="440"/>
      <c r="BMA16" s="441"/>
      <c r="BMB16" s="445"/>
      <c r="BMC16" s="447"/>
      <c r="BMD16" s="443"/>
      <c r="BME16" s="440"/>
      <c r="BNA16" s="441"/>
      <c r="BNB16" s="445"/>
      <c r="BNC16" s="447"/>
      <c r="BND16" s="443"/>
      <c r="BNE16" s="440"/>
      <c r="BOA16" s="441"/>
      <c r="BOB16" s="445"/>
      <c r="BOC16" s="447"/>
      <c r="BOD16" s="443"/>
      <c r="BOE16" s="440"/>
      <c r="BPA16" s="441"/>
      <c r="BPB16" s="445"/>
      <c r="BPC16" s="447"/>
      <c r="BPD16" s="443"/>
      <c r="BPE16" s="440"/>
      <c r="BQA16" s="441"/>
      <c r="BQB16" s="445"/>
      <c r="BQC16" s="447"/>
      <c r="BQD16" s="443"/>
      <c r="BQE16" s="440"/>
      <c r="BRA16" s="441"/>
      <c r="BRB16" s="445"/>
      <c r="BRC16" s="447"/>
      <c r="BRD16" s="443"/>
      <c r="BRE16" s="440"/>
    </row>
    <row r="17" spans="1:1019 1041:1825" ht="15" customHeight="1">
      <c r="A17" s="115"/>
      <c r="B17" s="114" t="s">
        <v>1930</v>
      </c>
      <c r="F17"/>
      <c r="G17" s="574"/>
      <c r="H17" s="110"/>
      <c r="AA17" s="441"/>
      <c r="AB17" s="445"/>
      <c r="AC17" s="447"/>
      <c r="AD17" s="443"/>
      <c r="AE17" s="440"/>
      <c r="BA17" s="441"/>
      <c r="BB17" s="445"/>
      <c r="BC17" s="447"/>
      <c r="BD17" s="443"/>
      <c r="BE17" s="440"/>
      <c r="CA17" s="441"/>
      <c r="CB17" s="445"/>
      <c r="CC17" s="447"/>
      <c r="CD17" s="443"/>
      <c r="CE17" s="440"/>
      <c r="DA17" s="441"/>
      <c r="DB17" s="445"/>
      <c r="DC17" s="447"/>
      <c r="DD17" s="443"/>
      <c r="DE17" s="440"/>
      <c r="EA17" s="441"/>
      <c r="EB17" s="445"/>
      <c r="EC17" s="447"/>
      <c r="ED17" s="443"/>
      <c r="EE17" s="440"/>
      <c r="FA17" s="441"/>
      <c r="FB17" s="445"/>
      <c r="FC17" s="447"/>
      <c r="FD17" s="443"/>
      <c r="FE17" s="440"/>
      <c r="GA17" s="441"/>
      <c r="GB17" s="445"/>
      <c r="GC17" s="447"/>
      <c r="GD17" s="443"/>
      <c r="GE17" s="440"/>
      <c r="HA17" s="441"/>
      <c r="HB17" s="445"/>
      <c r="HC17" s="447"/>
      <c r="HD17" s="443"/>
      <c r="HE17" s="440"/>
      <c r="IA17" s="441"/>
      <c r="IB17" s="445"/>
      <c r="IC17" s="447"/>
      <c r="ID17" s="443"/>
      <c r="IE17" s="440"/>
      <c r="JA17" s="441"/>
      <c r="JB17" s="445"/>
      <c r="JC17" s="447"/>
      <c r="JD17" s="443"/>
      <c r="JE17" s="440"/>
      <c r="KA17" s="441"/>
      <c r="KB17" s="445"/>
      <c r="KC17" s="447"/>
      <c r="KD17" s="443"/>
      <c r="KE17" s="440"/>
      <c r="LA17" s="441"/>
      <c r="LB17" s="445"/>
      <c r="LC17" s="447"/>
      <c r="LD17" s="443"/>
      <c r="LE17" s="440"/>
      <c r="MA17" s="441"/>
      <c r="MB17" s="445"/>
      <c r="MC17" s="447"/>
      <c r="MD17" s="443"/>
      <c r="ME17" s="440"/>
      <c r="NA17" s="441"/>
      <c r="NB17" s="445"/>
      <c r="NC17" s="447"/>
      <c r="ND17" s="443"/>
      <c r="NE17" s="440"/>
      <c r="OA17" s="441"/>
      <c r="OB17" s="445"/>
      <c r="OC17" s="447"/>
      <c r="OD17" s="443"/>
      <c r="OE17" s="440"/>
      <c r="PA17" s="441"/>
      <c r="PB17" s="445"/>
      <c r="PC17" s="447"/>
      <c r="PD17" s="443"/>
      <c r="PE17" s="440"/>
      <c r="QA17" s="441"/>
      <c r="QB17" s="445"/>
      <c r="QC17" s="447"/>
      <c r="QD17" s="443"/>
      <c r="QE17" s="440"/>
      <c r="RA17" s="441"/>
      <c r="RB17" s="445"/>
      <c r="RC17" s="447"/>
      <c r="RD17" s="443"/>
      <c r="RE17" s="440"/>
      <c r="SA17" s="441"/>
      <c r="SB17" s="445"/>
      <c r="SC17" s="447"/>
      <c r="SD17" s="443"/>
      <c r="SE17" s="440"/>
      <c r="TA17" s="441"/>
      <c r="TB17" s="445"/>
      <c r="TC17" s="447"/>
      <c r="TD17" s="443"/>
      <c r="TE17" s="440"/>
      <c r="UA17" s="441"/>
      <c r="UB17" s="445"/>
      <c r="UC17" s="447"/>
      <c r="UD17" s="443"/>
      <c r="UE17" s="440"/>
      <c r="VA17" s="441"/>
      <c r="VB17" s="445"/>
      <c r="VC17" s="447"/>
      <c r="VD17" s="443"/>
      <c r="VE17" s="440"/>
      <c r="WA17" s="441"/>
      <c r="WB17" s="445"/>
      <c r="WC17" s="447"/>
      <c r="WD17" s="443"/>
      <c r="WE17" s="440"/>
      <c r="XA17" s="441"/>
      <c r="XB17" s="445"/>
      <c r="XC17" s="447"/>
      <c r="XD17" s="443"/>
      <c r="XE17" s="440"/>
      <c r="YA17" s="441"/>
      <c r="YB17" s="445"/>
      <c r="YC17" s="447"/>
      <c r="YD17" s="443"/>
      <c r="YE17" s="440"/>
      <c r="ZA17" s="441"/>
      <c r="ZB17" s="445"/>
      <c r="ZC17" s="447"/>
      <c r="ZD17" s="443"/>
      <c r="ZE17" s="440"/>
      <c r="AAA17" s="441"/>
      <c r="AAB17" s="445"/>
      <c r="AAC17" s="447"/>
      <c r="AAD17" s="443"/>
      <c r="AAE17" s="440"/>
      <c r="ABA17" s="441"/>
      <c r="ABB17" s="445"/>
      <c r="ABC17" s="447"/>
      <c r="ABD17" s="443"/>
      <c r="ABE17" s="440"/>
      <c r="ACA17" s="441"/>
      <c r="ACB17" s="445"/>
      <c r="ACC17" s="447"/>
      <c r="ACD17" s="443"/>
      <c r="ACE17" s="440"/>
      <c r="ADA17" s="441"/>
      <c r="ADB17" s="445"/>
      <c r="ADC17" s="447"/>
      <c r="ADD17" s="443"/>
      <c r="ADE17" s="440"/>
      <c r="AEA17" s="441"/>
      <c r="AEB17" s="445"/>
      <c r="AEC17" s="447"/>
      <c r="AED17" s="443"/>
      <c r="AEE17" s="440"/>
      <c r="AFA17" s="441"/>
      <c r="AFB17" s="445"/>
      <c r="AFC17" s="447"/>
      <c r="AFD17" s="443"/>
      <c r="AFE17" s="440"/>
      <c r="AGA17" s="441"/>
      <c r="AGB17" s="445"/>
      <c r="AGC17" s="447"/>
      <c r="AGD17" s="443"/>
      <c r="AGE17" s="440"/>
      <c r="AHA17" s="441"/>
      <c r="AHB17" s="445"/>
      <c r="AHC17" s="447"/>
      <c r="AHD17" s="443"/>
      <c r="AHE17" s="440"/>
      <c r="AIA17" s="441"/>
      <c r="AIB17" s="445"/>
      <c r="AIC17" s="447"/>
      <c r="AID17" s="443"/>
      <c r="AIE17" s="440"/>
      <c r="AJA17" s="441"/>
      <c r="AJB17" s="445"/>
      <c r="AJC17" s="447"/>
      <c r="AJD17" s="443"/>
      <c r="AJE17" s="440"/>
      <c r="AKA17" s="441"/>
      <c r="AKB17" s="445"/>
      <c r="AKC17" s="447"/>
      <c r="AKD17" s="443"/>
      <c r="AKE17" s="440"/>
      <c r="ALA17" s="441"/>
      <c r="ALB17" s="445"/>
      <c r="ALC17" s="447"/>
      <c r="ALD17" s="443"/>
      <c r="ALE17" s="440"/>
      <c r="AMA17" s="441"/>
      <c r="AMB17" s="445"/>
      <c r="AMC17" s="447"/>
      <c r="AMD17" s="443"/>
      <c r="AME17" s="440"/>
      <c r="ANA17" s="441"/>
      <c r="ANB17" s="445"/>
      <c r="ANC17" s="447"/>
      <c r="AND17" s="443"/>
      <c r="ANE17" s="440"/>
      <c r="AOA17" s="441"/>
      <c r="AOB17" s="445"/>
      <c r="AOC17" s="447"/>
      <c r="AOD17" s="443"/>
      <c r="AOE17" s="440"/>
      <c r="APA17" s="441"/>
      <c r="APB17" s="445"/>
      <c r="APC17" s="447"/>
      <c r="APD17" s="443"/>
      <c r="APE17" s="440"/>
      <c r="AQA17" s="441"/>
      <c r="AQB17" s="445"/>
      <c r="AQC17" s="447"/>
      <c r="AQD17" s="443"/>
      <c r="AQE17" s="440"/>
      <c r="ARA17" s="441"/>
      <c r="ARB17" s="445"/>
      <c r="ARC17" s="447"/>
      <c r="ARD17" s="443"/>
      <c r="ARE17" s="440"/>
      <c r="ASA17" s="441"/>
      <c r="ASB17" s="445"/>
      <c r="ASC17" s="447"/>
      <c r="ASD17" s="443"/>
      <c r="ASE17" s="440"/>
      <c r="ATA17" s="441"/>
      <c r="ATB17" s="445"/>
      <c r="ATC17" s="447"/>
      <c r="ATD17" s="443"/>
      <c r="ATE17" s="440"/>
      <c r="AUA17" s="441"/>
      <c r="AUB17" s="445"/>
      <c r="AUC17" s="447"/>
      <c r="AUD17" s="443"/>
      <c r="AUE17" s="440"/>
      <c r="AVA17" s="441"/>
      <c r="AVB17" s="445"/>
      <c r="AVC17" s="447"/>
      <c r="AVD17" s="443"/>
      <c r="AVE17" s="440"/>
      <c r="AWA17" s="441"/>
      <c r="AWB17" s="445"/>
      <c r="AWC17" s="447"/>
      <c r="AWD17" s="443"/>
      <c r="AWE17" s="440"/>
      <c r="AXA17" s="441"/>
      <c r="AXB17" s="445"/>
      <c r="AXC17" s="447"/>
      <c r="AXD17" s="443"/>
      <c r="AXE17" s="440"/>
      <c r="AYA17" s="441"/>
      <c r="AYB17" s="445"/>
      <c r="AYC17" s="447"/>
      <c r="AYD17" s="443"/>
      <c r="AYE17" s="440"/>
      <c r="AZA17" s="441"/>
      <c r="AZB17" s="445"/>
      <c r="AZC17" s="447"/>
      <c r="AZD17" s="443"/>
      <c r="AZE17" s="440"/>
      <c r="BAA17" s="441"/>
      <c r="BAB17" s="445"/>
      <c r="BAC17" s="447"/>
      <c r="BAD17" s="443"/>
      <c r="BAE17" s="440"/>
      <c r="BBA17" s="441"/>
      <c r="BBB17" s="445"/>
      <c r="BBC17" s="447"/>
      <c r="BBD17" s="443"/>
      <c r="BBE17" s="440"/>
      <c r="BCA17" s="441"/>
      <c r="BCB17" s="445"/>
      <c r="BCC17" s="447"/>
      <c r="BCD17" s="443"/>
      <c r="BCE17" s="440"/>
      <c r="BDA17" s="441"/>
      <c r="BDB17" s="445"/>
      <c r="BDC17" s="447"/>
      <c r="BDD17" s="443"/>
      <c r="BDE17" s="440"/>
      <c r="BEA17" s="441"/>
      <c r="BEB17" s="445"/>
      <c r="BEC17" s="447"/>
      <c r="BED17" s="443"/>
      <c r="BEE17" s="440"/>
      <c r="BFA17" s="441"/>
      <c r="BFB17" s="445"/>
      <c r="BFC17" s="447"/>
      <c r="BFD17" s="443"/>
      <c r="BFE17" s="440"/>
      <c r="BGA17" s="441"/>
      <c r="BGB17" s="445"/>
      <c r="BGC17" s="447"/>
      <c r="BGD17" s="443"/>
      <c r="BGE17" s="440"/>
      <c r="BHA17" s="441"/>
      <c r="BHB17" s="445"/>
      <c r="BHC17" s="447"/>
      <c r="BHD17" s="443"/>
      <c r="BHE17" s="440"/>
      <c r="BIA17" s="441"/>
      <c r="BIB17" s="445"/>
      <c r="BIC17" s="447"/>
      <c r="BID17" s="443"/>
      <c r="BIE17" s="440"/>
      <c r="BJA17" s="441"/>
      <c r="BJB17" s="445"/>
      <c r="BJC17" s="447"/>
      <c r="BJD17" s="443"/>
      <c r="BJE17" s="440"/>
      <c r="BKA17" s="441"/>
      <c r="BKB17" s="445"/>
      <c r="BKC17" s="447"/>
      <c r="BKD17" s="443"/>
      <c r="BKE17" s="440"/>
      <c r="BLA17" s="441"/>
      <c r="BLB17" s="445"/>
      <c r="BLC17" s="447"/>
      <c r="BLD17" s="443"/>
      <c r="BLE17" s="440"/>
      <c r="BMA17" s="441"/>
      <c r="BMB17" s="445"/>
      <c r="BMC17" s="447"/>
      <c r="BMD17" s="443"/>
      <c r="BME17" s="440"/>
      <c r="BNA17" s="441"/>
      <c r="BNB17" s="445"/>
      <c r="BNC17" s="447"/>
      <c r="BND17" s="443"/>
      <c r="BNE17" s="440"/>
      <c r="BOA17" s="441"/>
      <c r="BOB17" s="445"/>
      <c r="BOC17" s="447"/>
      <c r="BOD17" s="443"/>
      <c r="BOE17" s="440"/>
      <c r="BPA17" s="441"/>
      <c r="BPB17" s="445"/>
      <c r="BPC17" s="447"/>
      <c r="BPD17" s="443"/>
      <c r="BPE17" s="440"/>
      <c r="BQA17" s="441"/>
      <c r="BQB17" s="445"/>
      <c r="BQC17" s="447"/>
      <c r="BQD17" s="443"/>
      <c r="BQE17" s="440"/>
      <c r="BRA17" s="441"/>
      <c r="BRB17" s="445"/>
      <c r="BRC17" s="447"/>
      <c r="BRD17" s="443"/>
      <c r="BRE17" s="440"/>
    </row>
    <row r="18" spans="1:1019 1041:1825" ht="15" customHeight="1">
      <c r="A18" s="1034"/>
      <c r="B18" s="114" t="s">
        <v>26</v>
      </c>
      <c r="F18"/>
      <c r="G18" s="574"/>
      <c r="H18" s="110"/>
      <c r="AA18" s="449"/>
      <c r="AB18" s="445"/>
      <c r="AC18" s="447"/>
      <c r="AD18" s="443"/>
      <c r="AE18" s="440"/>
      <c r="BA18" s="449"/>
      <c r="BB18" s="445"/>
      <c r="BC18" s="447"/>
      <c r="BD18" s="443"/>
      <c r="BE18" s="440"/>
      <c r="CA18" s="449"/>
      <c r="CB18" s="445"/>
      <c r="CC18" s="447"/>
      <c r="CD18" s="443"/>
      <c r="CE18" s="440"/>
      <c r="DA18" s="449"/>
      <c r="DB18" s="445"/>
      <c r="DC18" s="447"/>
      <c r="DD18" s="443"/>
      <c r="DE18" s="440"/>
      <c r="EA18" s="449"/>
      <c r="EB18" s="445"/>
      <c r="EC18" s="447"/>
      <c r="ED18" s="443"/>
      <c r="EE18" s="440"/>
      <c r="FA18" s="449"/>
      <c r="FB18" s="445"/>
      <c r="FC18" s="447"/>
      <c r="FD18" s="443"/>
      <c r="FE18" s="440"/>
      <c r="GA18" s="449"/>
      <c r="GB18" s="445"/>
      <c r="GC18" s="447"/>
      <c r="GD18" s="443"/>
      <c r="GE18" s="440"/>
      <c r="HA18" s="449"/>
      <c r="HB18" s="445"/>
      <c r="HC18" s="447"/>
      <c r="HD18" s="443"/>
      <c r="HE18" s="440"/>
      <c r="IA18" s="449"/>
      <c r="IB18" s="445"/>
      <c r="IC18" s="447"/>
      <c r="ID18" s="443"/>
      <c r="IE18" s="440"/>
      <c r="JA18" s="449"/>
      <c r="JB18" s="445"/>
      <c r="JC18" s="447"/>
      <c r="JD18" s="443"/>
      <c r="JE18" s="440"/>
      <c r="KA18" s="449"/>
      <c r="KB18" s="445"/>
      <c r="KC18" s="447"/>
      <c r="KD18" s="443"/>
      <c r="KE18" s="440"/>
      <c r="LA18" s="449"/>
      <c r="LB18" s="445"/>
      <c r="LC18" s="447"/>
      <c r="LD18" s="443"/>
      <c r="LE18" s="440"/>
      <c r="MA18" s="449"/>
      <c r="MB18" s="445"/>
      <c r="MC18" s="447"/>
      <c r="MD18" s="443"/>
      <c r="ME18" s="440"/>
      <c r="NA18" s="449"/>
      <c r="NB18" s="445"/>
      <c r="NC18" s="447"/>
      <c r="ND18" s="443"/>
      <c r="NE18" s="440"/>
      <c r="OA18" s="449"/>
      <c r="OB18" s="445"/>
      <c r="OC18" s="447"/>
      <c r="OD18" s="443"/>
      <c r="OE18" s="440"/>
      <c r="PA18" s="449"/>
      <c r="PB18" s="445"/>
      <c r="PC18" s="447"/>
      <c r="PD18" s="443"/>
      <c r="PE18" s="440"/>
      <c r="QA18" s="449"/>
      <c r="QB18" s="445"/>
      <c r="QC18" s="447"/>
      <c r="QD18" s="443"/>
      <c r="QE18" s="440"/>
      <c r="RA18" s="449"/>
      <c r="RB18" s="445"/>
      <c r="RC18" s="447"/>
      <c r="RD18" s="443"/>
      <c r="RE18" s="440"/>
      <c r="SA18" s="449"/>
      <c r="SB18" s="445"/>
      <c r="SC18" s="447"/>
      <c r="SD18" s="443"/>
      <c r="SE18" s="440"/>
      <c r="TA18" s="449"/>
      <c r="TB18" s="445"/>
      <c r="TC18" s="447"/>
      <c r="TD18" s="443"/>
      <c r="TE18" s="440"/>
      <c r="UA18" s="449"/>
      <c r="UB18" s="445"/>
      <c r="UC18" s="447"/>
      <c r="UD18" s="443"/>
      <c r="UE18" s="440"/>
      <c r="VA18" s="449"/>
      <c r="VB18" s="445"/>
      <c r="VC18" s="447"/>
      <c r="VD18" s="443"/>
      <c r="VE18" s="440"/>
      <c r="WA18" s="449"/>
      <c r="WB18" s="445"/>
      <c r="WC18" s="447"/>
      <c r="WD18" s="443"/>
      <c r="WE18" s="440"/>
      <c r="XA18" s="449"/>
      <c r="XB18" s="445"/>
      <c r="XC18" s="447"/>
      <c r="XD18" s="443"/>
      <c r="XE18" s="440"/>
      <c r="YA18" s="449"/>
      <c r="YB18" s="445"/>
      <c r="YC18" s="447"/>
      <c r="YD18" s="443"/>
      <c r="YE18" s="440"/>
      <c r="ZA18" s="449"/>
      <c r="ZB18" s="445"/>
      <c r="ZC18" s="447"/>
      <c r="ZD18" s="443"/>
      <c r="ZE18" s="440"/>
      <c r="AAA18" s="449"/>
      <c r="AAB18" s="445"/>
      <c r="AAC18" s="447"/>
      <c r="AAD18" s="443"/>
      <c r="AAE18" s="440"/>
      <c r="ABA18" s="449"/>
      <c r="ABB18" s="445"/>
      <c r="ABC18" s="447"/>
      <c r="ABD18" s="443"/>
      <c r="ABE18" s="440"/>
      <c r="ACA18" s="449"/>
      <c r="ACB18" s="445"/>
      <c r="ACC18" s="447"/>
      <c r="ACD18" s="443"/>
      <c r="ACE18" s="440"/>
      <c r="ADA18" s="449"/>
      <c r="ADB18" s="445"/>
      <c r="ADC18" s="447"/>
      <c r="ADD18" s="443"/>
      <c r="ADE18" s="440"/>
      <c r="AEA18" s="449"/>
      <c r="AEB18" s="445"/>
      <c r="AEC18" s="447"/>
      <c r="AED18" s="443"/>
      <c r="AEE18" s="440"/>
      <c r="AFA18" s="449"/>
      <c r="AFB18" s="445"/>
      <c r="AFC18" s="447"/>
      <c r="AFD18" s="443"/>
      <c r="AFE18" s="440"/>
      <c r="AGA18" s="449"/>
      <c r="AGB18" s="445"/>
      <c r="AGC18" s="447"/>
      <c r="AGD18" s="443"/>
      <c r="AGE18" s="440"/>
      <c r="AHA18" s="449"/>
      <c r="AHB18" s="445"/>
      <c r="AHC18" s="447"/>
      <c r="AHD18" s="443"/>
      <c r="AHE18" s="440"/>
      <c r="AIA18" s="449"/>
      <c r="AIB18" s="445"/>
      <c r="AIC18" s="447"/>
      <c r="AID18" s="443"/>
      <c r="AIE18" s="440"/>
      <c r="AJA18" s="449"/>
      <c r="AJB18" s="445"/>
      <c r="AJC18" s="447"/>
      <c r="AJD18" s="443"/>
      <c r="AJE18" s="440"/>
      <c r="AKA18" s="449"/>
      <c r="AKB18" s="445"/>
      <c r="AKC18" s="447"/>
      <c r="AKD18" s="443"/>
      <c r="AKE18" s="440"/>
      <c r="ALA18" s="449"/>
      <c r="ALB18" s="445"/>
      <c r="ALC18" s="447"/>
      <c r="ALD18" s="443"/>
      <c r="ALE18" s="440"/>
      <c r="AMA18" s="449"/>
      <c r="AMB18" s="445"/>
      <c r="AMC18" s="447"/>
      <c r="AMD18" s="443"/>
      <c r="AME18" s="440"/>
      <c r="ANA18" s="449"/>
      <c r="ANB18" s="445"/>
      <c r="ANC18" s="447"/>
      <c r="AND18" s="443"/>
      <c r="ANE18" s="440"/>
      <c r="AOA18" s="449"/>
      <c r="AOB18" s="445"/>
      <c r="AOC18" s="447"/>
      <c r="AOD18" s="443"/>
      <c r="AOE18" s="440"/>
      <c r="APA18" s="449"/>
      <c r="APB18" s="445"/>
      <c r="APC18" s="447"/>
      <c r="APD18" s="443"/>
      <c r="APE18" s="440"/>
      <c r="AQA18" s="449"/>
      <c r="AQB18" s="445"/>
      <c r="AQC18" s="447"/>
      <c r="AQD18" s="443"/>
      <c r="AQE18" s="440"/>
      <c r="ARA18" s="449"/>
      <c r="ARB18" s="445"/>
      <c r="ARC18" s="447"/>
      <c r="ARD18" s="443"/>
      <c r="ARE18" s="440"/>
      <c r="ASA18" s="449"/>
      <c r="ASB18" s="445"/>
      <c r="ASC18" s="447"/>
      <c r="ASD18" s="443"/>
      <c r="ASE18" s="440"/>
      <c r="ATA18" s="449"/>
      <c r="ATB18" s="445"/>
      <c r="ATC18" s="447"/>
      <c r="ATD18" s="443"/>
      <c r="ATE18" s="440"/>
      <c r="AUA18" s="449"/>
      <c r="AUB18" s="445"/>
      <c r="AUC18" s="447"/>
      <c r="AUD18" s="443"/>
      <c r="AUE18" s="440"/>
      <c r="AVA18" s="449"/>
      <c r="AVB18" s="445"/>
      <c r="AVC18" s="447"/>
      <c r="AVD18" s="443"/>
      <c r="AVE18" s="440"/>
      <c r="AWA18" s="449"/>
      <c r="AWB18" s="445"/>
      <c r="AWC18" s="447"/>
      <c r="AWD18" s="443"/>
      <c r="AWE18" s="440"/>
      <c r="AXA18" s="449"/>
      <c r="AXB18" s="445"/>
      <c r="AXC18" s="447"/>
      <c r="AXD18" s="443"/>
      <c r="AXE18" s="440"/>
      <c r="AYA18" s="449"/>
      <c r="AYB18" s="445"/>
      <c r="AYC18" s="447"/>
      <c r="AYD18" s="443"/>
      <c r="AYE18" s="440"/>
      <c r="AZA18" s="449"/>
      <c r="AZB18" s="445"/>
      <c r="AZC18" s="447"/>
      <c r="AZD18" s="443"/>
      <c r="AZE18" s="440"/>
      <c r="BAA18" s="449"/>
      <c r="BAB18" s="445"/>
      <c r="BAC18" s="447"/>
      <c r="BAD18" s="443"/>
      <c r="BAE18" s="440"/>
      <c r="BBA18" s="449"/>
      <c r="BBB18" s="445"/>
      <c r="BBC18" s="447"/>
      <c r="BBD18" s="443"/>
      <c r="BBE18" s="440"/>
      <c r="BCA18" s="449"/>
      <c r="BCB18" s="445"/>
      <c r="BCC18" s="447"/>
      <c r="BCD18" s="443"/>
      <c r="BCE18" s="440"/>
      <c r="BDA18" s="449"/>
      <c r="BDB18" s="445"/>
      <c r="BDC18" s="447"/>
      <c r="BDD18" s="443"/>
      <c r="BDE18" s="440"/>
      <c r="BEA18" s="449"/>
      <c r="BEB18" s="445"/>
      <c r="BEC18" s="447"/>
      <c r="BED18" s="443"/>
      <c r="BEE18" s="440"/>
      <c r="BFA18" s="449"/>
      <c r="BFB18" s="445"/>
      <c r="BFC18" s="447"/>
      <c r="BFD18" s="443"/>
      <c r="BFE18" s="440"/>
      <c r="BGA18" s="449"/>
      <c r="BGB18" s="445"/>
      <c r="BGC18" s="447"/>
      <c r="BGD18" s="443"/>
      <c r="BGE18" s="440"/>
      <c r="BHA18" s="449"/>
      <c r="BHB18" s="445"/>
      <c r="BHC18" s="447"/>
      <c r="BHD18" s="443"/>
      <c r="BHE18" s="440"/>
      <c r="BIA18" s="449"/>
      <c r="BIB18" s="445"/>
      <c r="BIC18" s="447"/>
      <c r="BID18" s="443"/>
      <c r="BIE18" s="440"/>
      <c r="BJA18" s="449"/>
      <c r="BJB18" s="445"/>
      <c r="BJC18" s="447"/>
      <c r="BJD18" s="443"/>
      <c r="BJE18" s="440"/>
      <c r="BKA18" s="449"/>
      <c r="BKB18" s="445"/>
      <c r="BKC18" s="447"/>
      <c r="BKD18" s="443"/>
      <c r="BKE18" s="440"/>
      <c r="BLA18" s="449"/>
      <c r="BLB18" s="445"/>
      <c r="BLC18" s="447"/>
      <c r="BLD18" s="443"/>
      <c r="BLE18" s="440"/>
      <c r="BMA18" s="449"/>
      <c r="BMB18" s="445"/>
      <c r="BMC18" s="447"/>
      <c r="BMD18" s="443"/>
      <c r="BME18" s="440"/>
      <c r="BNA18" s="449"/>
      <c r="BNB18" s="445"/>
      <c r="BNC18" s="447"/>
      <c r="BND18" s="443"/>
      <c r="BNE18" s="440"/>
      <c r="BOA18" s="449"/>
      <c r="BOB18" s="445"/>
      <c r="BOC18" s="447"/>
      <c r="BOD18" s="443"/>
      <c r="BOE18" s="440"/>
      <c r="BPA18" s="449"/>
      <c r="BPB18" s="445"/>
      <c r="BPC18" s="447"/>
      <c r="BPD18" s="443"/>
      <c r="BPE18" s="440"/>
      <c r="BQA18" s="449"/>
      <c r="BQB18" s="445"/>
      <c r="BQC18" s="447"/>
      <c r="BQD18" s="443"/>
      <c r="BQE18" s="440"/>
      <c r="BRA18" s="449"/>
      <c r="BRB18" s="445"/>
      <c r="BRC18" s="447"/>
      <c r="BRD18" s="443"/>
      <c r="BRE18" s="440"/>
    </row>
    <row r="19" spans="1:1019 1041:1825" ht="15" customHeight="1" thickBot="1">
      <c r="B19" s="114" t="s">
        <v>1433</v>
      </c>
      <c r="F19"/>
      <c r="G19" s="574"/>
      <c r="H19" s="110"/>
      <c r="AA19" s="450"/>
      <c r="AB19" s="451"/>
      <c r="AC19" s="451"/>
      <c r="AD19" s="452"/>
      <c r="AE19" s="453"/>
      <c r="BA19" s="450"/>
      <c r="BB19" s="451"/>
      <c r="BC19" s="451"/>
      <c r="BD19" s="452"/>
      <c r="BE19" s="453"/>
      <c r="CA19" s="450"/>
      <c r="CB19" s="451"/>
      <c r="CC19" s="451"/>
      <c r="CD19" s="452"/>
      <c r="CE19" s="453"/>
      <c r="DA19" s="450"/>
      <c r="DB19" s="451"/>
      <c r="DC19" s="451"/>
      <c r="DD19" s="452"/>
      <c r="DE19" s="453"/>
      <c r="EA19" s="450"/>
      <c r="EB19" s="451"/>
      <c r="EC19" s="451"/>
      <c r="ED19" s="452"/>
      <c r="EE19" s="453"/>
      <c r="FA19" s="450"/>
      <c r="FB19" s="451"/>
      <c r="FC19" s="451"/>
      <c r="FD19" s="452"/>
      <c r="FE19" s="453"/>
      <c r="GA19" s="450"/>
      <c r="GB19" s="451"/>
      <c r="GC19" s="451"/>
      <c r="GD19" s="452"/>
      <c r="GE19" s="453"/>
      <c r="HA19" s="450"/>
      <c r="HB19" s="451"/>
      <c r="HC19" s="451"/>
      <c r="HD19" s="452"/>
      <c r="HE19" s="453"/>
      <c r="IA19" s="450"/>
      <c r="IB19" s="451"/>
      <c r="IC19" s="451"/>
      <c r="ID19" s="452"/>
      <c r="IE19" s="453"/>
      <c r="JA19" s="450"/>
      <c r="JB19" s="451"/>
      <c r="JC19" s="451"/>
      <c r="JD19" s="452"/>
      <c r="JE19" s="453"/>
      <c r="KA19" s="450"/>
      <c r="KB19" s="451"/>
      <c r="KC19" s="451"/>
      <c r="KD19" s="452"/>
      <c r="KE19" s="453"/>
      <c r="LA19" s="450"/>
      <c r="LB19" s="451"/>
      <c r="LC19" s="451"/>
      <c r="LD19" s="452"/>
      <c r="LE19" s="453"/>
      <c r="MA19" s="450"/>
      <c r="MB19" s="451"/>
      <c r="MC19" s="451"/>
      <c r="MD19" s="452"/>
      <c r="ME19" s="453"/>
      <c r="NA19" s="450"/>
      <c r="NB19" s="451"/>
      <c r="NC19" s="451"/>
      <c r="ND19" s="452"/>
      <c r="NE19" s="453"/>
      <c r="OA19" s="450"/>
      <c r="OB19" s="451"/>
      <c r="OC19" s="451"/>
      <c r="OD19" s="452"/>
      <c r="OE19" s="453"/>
      <c r="PA19" s="450"/>
      <c r="PB19" s="451"/>
      <c r="PC19" s="451"/>
      <c r="PD19" s="452"/>
      <c r="PE19" s="453"/>
      <c r="QA19" s="450"/>
      <c r="QB19" s="451"/>
      <c r="QC19" s="451"/>
      <c r="QD19" s="452"/>
      <c r="QE19" s="453"/>
      <c r="RA19" s="450"/>
      <c r="RB19" s="451"/>
      <c r="RC19" s="451"/>
      <c r="RD19" s="452"/>
      <c r="RE19" s="453"/>
      <c r="SA19" s="450"/>
      <c r="SB19" s="451"/>
      <c r="SC19" s="451"/>
      <c r="SD19" s="452"/>
      <c r="SE19" s="453"/>
      <c r="TA19" s="450"/>
      <c r="TB19" s="451"/>
      <c r="TC19" s="451"/>
      <c r="TD19" s="452"/>
      <c r="TE19" s="453"/>
      <c r="UA19" s="450"/>
      <c r="UB19" s="451"/>
      <c r="UC19" s="451"/>
      <c r="UD19" s="452"/>
      <c r="UE19" s="453"/>
      <c r="VA19" s="450"/>
      <c r="VB19" s="451"/>
      <c r="VC19" s="451"/>
      <c r="VD19" s="452"/>
      <c r="VE19" s="453"/>
      <c r="WA19" s="450"/>
      <c r="WB19" s="451"/>
      <c r="WC19" s="451"/>
      <c r="WD19" s="452"/>
      <c r="WE19" s="453"/>
      <c r="XA19" s="450"/>
      <c r="XB19" s="451"/>
      <c r="XC19" s="451"/>
      <c r="XD19" s="452"/>
      <c r="XE19" s="453"/>
      <c r="YA19" s="450"/>
      <c r="YB19" s="451"/>
      <c r="YC19" s="451"/>
      <c r="YD19" s="452"/>
      <c r="YE19" s="453"/>
      <c r="ZA19" s="450"/>
      <c r="ZB19" s="451"/>
      <c r="ZC19" s="451"/>
      <c r="ZD19" s="452"/>
      <c r="ZE19" s="453"/>
      <c r="AAA19" s="450"/>
      <c r="AAB19" s="451"/>
      <c r="AAC19" s="451"/>
      <c r="AAD19" s="452"/>
      <c r="AAE19" s="453"/>
      <c r="ABA19" s="450"/>
      <c r="ABB19" s="451"/>
      <c r="ABC19" s="451"/>
      <c r="ABD19" s="452"/>
      <c r="ABE19" s="453"/>
      <c r="ACA19" s="450"/>
      <c r="ACB19" s="451"/>
      <c r="ACC19" s="451"/>
      <c r="ACD19" s="452"/>
      <c r="ACE19" s="453"/>
      <c r="ADA19" s="450"/>
      <c r="ADB19" s="451"/>
      <c r="ADC19" s="451"/>
      <c r="ADD19" s="452"/>
      <c r="ADE19" s="453"/>
      <c r="AEA19" s="450"/>
      <c r="AEB19" s="451"/>
      <c r="AEC19" s="451"/>
      <c r="AED19" s="452"/>
      <c r="AEE19" s="453"/>
      <c r="AFA19" s="450"/>
      <c r="AFB19" s="451"/>
      <c r="AFC19" s="451"/>
      <c r="AFD19" s="452"/>
      <c r="AFE19" s="453"/>
      <c r="AGA19" s="450"/>
      <c r="AGB19" s="451"/>
      <c r="AGC19" s="451"/>
      <c r="AGD19" s="452"/>
      <c r="AGE19" s="453"/>
      <c r="AHA19" s="450"/>
      <c r="AHB19" s="451"/>
      <c r="AHC19" s="451"/>
      <c r="AHD19" s="452"/>
      <c r="AHE19" s="453"/>
      <c r="AIA19" s="450"/>
      <c r="AIB19" s="451"/>
      <c r="AIC19" s="451"/>
      <c r="AID19" s="452"/>
      <c r="AIE19" s="453"/>
      <c r="AJA19" s="450"/>
      <c r="AJB19" s="451"/>
      <c r="AJC19" s="451"/>
      <c r="AJD19" s="452"/>
      <c r="AJE19" s="453"/>
      <c r="AKA19" s="450"/>
      <c r="AKB19" s="451"/>
      <c r="AKC19" s="451"/>
      <c r="AKD19" s="452"/>
      <c r="AKE19" s="453"/>
      <c r="ALA19" s="450"/>
      <c r="ALB19" s="451"/>
      <c r="ALC19" s="451"/>
      <c r="ALD19" s="452"/>
      <c r="ALE19" s="453"/>
      <c r="AMA19" s="450"/>
      <c r="AMB19" s="451"/>
      <c r="AMC19" s="451"/>
      <c r="AMD19" s="452"/>
      <c r="AME19" s="453"/>
      <c r="ANA19" s="450"/>
      <c r="ANB19" s="451"/>
      <c r="ANC19" s="451"/>
      <c r="AND19" s="452"/>
      <c r="ANE19" s="453"/>
      <c r="AOA19" s="450"/>
      <c r="AOB19" s="451"/>
      <c r="AOC19" s="451"/>
      <c r="AOD19" s="452"/>
      <c r="AOE19" s="453"/>
      <c r="APA19" s="450"/>
      <c r="APB19" s="451"/>
      <c r="APC19" s="451"/>
      <c r="APD19" s="452"/>
      <c r="APE19" s="453"/>
      <c r="AQA19" s="450"/>
      <c r="AQB19" s="451"/>
      <c r="AQC19" s="451"/>
      <c r="AQD19" s="452"/>
      <c r="AQE19" s="453"/>
      <c r="ARA19" s="450"/>
      <c r="ARB19" s="451"/>
      <c r="ARC19" s="451"/>
      <c r="ARD19" s="452"/>
      <c r="ARE19" s="453"/>
      <c r="ASA19" s="450"/>
      <c r="ASB19" s="451"/>
      <c r="ASC19" s="451"/>
      <c r="ASD19" s="452"/>
      <c r="ASE19" s="453"/>
      <c r="ATA19" s="450"/>
      <c r="ATB19" s="451"/>
      <c r="ATC19" s="451"/>
      <c r="ATD19" s="452"/>
      <c r="ATE19" s="453"/>
      <c r="AUA19" s="450"/>
      <c r="AUB19" s="451"/>
      <c r="AUC19" s="451"/>
      <c r="AUD19" s="452"/>
      <c r="AUE19" s="453"/>
      <c r="AVA19" s="450"/>
      <c r="AVB19" s="451"/>
      <c r="AVC19" s="451"/>
      <c r="AVD19" s="452"/>
      <c r="AVE19" s="453"/>
      <c r="AWA19" s="450"/>
      <c r="AWB19" s="451"/>
      <c r="AWC19" s="451"/>
      <c r="AWD19" s="452"/>
      <c r="AWE19" s="453"/>
      <c r="AXA19" s="450"/>
      <c r="AXB19" s="451"/>
      <c r="AXC19" s="451"/>
      <c r="AXD19" s="452"/>
      <c r="AXE19" s="453"/>
      <c r="AYA19" s="450"/>
      <c r="AYB19" s="451"/>
      <c r="AYC19" s="451"/>
      <c r="AYD19" s="452"/>
      <c r="AYE19" s="453"/>
      <c r="AZA19" s="450"/>
      <c r="AZB19" s="451"/>
      <c r="AZC19" s="451"/>
      <c r="AZD19" s="452"/>
      <c r="AZE19" s="453"/>
      <c r="BAA19" s="450"/>
      <c r="BAB19" s="451"/>
      <c r="BAC19" s="451"/>
      <c r="BAD19" s="452"/>
      <c r="BAE19" s="453"/>
      <c r="BBA19" s="450"/>
      <c r="BBB19" s="451"/>
      <c r="BBC19" s="451"/>
      <c r="BBD19" s="452"/>
      <c r="BBE19" s="453"/>
      <c r="BCA19" s="450"/>
      <c r="BCB19" s="451"/>
      <c r="BCC19" s="451"/>
      <c r="BCD19" s="452"/>
      <c r="BCE19" s="453"/>
      <c r="BDA19" s="450"/>
      <c r="BDB19" s="451"/>
      <c r="BDC19" s="451"/>
      <c r="BDD19" s="452"/>
      <c r="BDE19" s="453"/>
      <c r="BEA19" s="450"/>
      <c r="BEB19" s="451"/>
      <c r="BEC19" s="451"/>
      <c r="BED19" s="452"/>
      <c r="BEE19" s="453"/>
      <c r="BFA19" s="450"/>
      <c r="BFB19" s="451"/>
      <c r="BFC19" s="451"/>
      <c r="BFD19" s="452"/>
      <c r="BFE19" s="453"/>
      <c r="BGA19" s="450"/>
      <c r="BGB19" s="451"/>
      <c r="BGC19" s="451"/>
      <c r="BGD19" s="452"/>
      <c r="BGE19" s="453"/>
      <c r="BHA19" s="450"/>
      <c r="BHB19" s="451"/>
      <c r="BHC19" s="451"/>
      <c r="BHD19" s="452"/>
      <c r="BHE19" s="453"/>
      <c r="BIA19" s="450"/>
      <c r="BIB19" s="451"/>
      <c r="BIC19" s="451"/>
      <c r="BID19" s="452"/>
      <c r="BIE19" s="453"/>
      <c r="BJA19" s="450"/>
      <c r="BJB19" s="451"/>
      <c r="BJC19" s="451"/>
      <c r="BJD19" s="452"/>
      <c r="BJE19" s="453"/>
      <c r="BKA19" s="450"/>
      <c r="BKB19" s="451"/>
      <c r="BKC19" s="451"/>
      <c r="BKD19" s="452"/>
      <c r="BKE19" s="453"/>
      <c r="BLA19" s="450"/>
      <c r="BLB19" s="451"/>
      <c r="BLC19" s="451"/>
      <c r="BLD19" s="452"/>
      <c r="BLE19" s="453"/>
      <c r="BMA19" s="450"/>
      <c r="BMB19" s="451"/>
      <c r="BMC19" s="451"/>
      <c r="BMD19" s="452"/>
      <c r="BME19" s="453"/>
      <c r="BNA19" s="450"/>
      <c r="BNB19" s="451"/>
      <c r="BNC19" s="451"/>
      <c r="BND19" s="452"/>
      <c r="BNE19" s="453"/>
      <c r="BOA19" s="450"/>
      <c r="BOB19" s="451"/>
      <c r="BOC19" s="451"/>
      <c r="BOD19" s="452"/>
      <c r="BOE19" s="453"/>
      <c r="BPA19" s="450"/>
      <c r="BPB19" s="451"/>
      <c r="BPC19" s="451"/>
      <c r="BPD19" s="452"/>
      <c r="BPE19" s="453"/>
      <c r="BQA19" s="450"/>
      <c r="BQB19" s="451"/>
      <c r="BQC19" s="451"/>
      <c r="BQD19" s="452"/>
      <c r="BQE19" s="453"/>
      <c r="BRA19" s="450"/>
      <c r="BRB19" s="451"/>
      <c r="BRC19" s="451"/>
      <c r="BRD19" s="452"/>
      <c r="BRE19" s="453"/>
    </row>
    <row r="20" spans="1:1019 1041:1825" ht="15" customHeight="1">
      <c r="B20" s="114" t="s">
        <v>1502</v>
      </c>
      <c r="F20"/>
      <c r="G20" s="574"/>
      <c r="H20" s="110"/>
      <c r="AA20" s="449" t="s">
        <v>470</v>
      </c>
      <c r="AB20" s="120"/>
      <c r="AC20" s="454"/>
      <c r="AD20" s="120"/>
      <c r="AE20" s="440"/>
      <c r="BA20" s="449" t="s">
        <v>470</v>
      </c>
      <c r="BB20" s="120"/>
      <c r="BC20" s="454"/>
      <c r="BD20" s="120"/>
      <c r="BE20" s="440"/>
      <c r="CA20" s="449" t="s">
        <v>470</v>
      </c>
      <c r="CB20" s="120"/>
      <c r="CC20" s="454"/>
      <c r="CD20" s="120"/>
      <c r="CE20" s="440"/>
      <c r="DA20" s="449" t="s">
        <v>470</v>
      </c>
      <c r="DB20" s="120"/>
      <c r="DC20" s="454"/>
      <c r="DD20" s="120"/>
      <c r="DE20" s="440"/>
      <c r="EA20" s="449" t="s">
        <v>470</v>
      </c>
      <c r="EB20" s="120"/>
      <c r="EC20" s="454"/>
      <c r="ED20" s="120"/>
      <c r="EE20" s="440"/>
      <c r="FA20" s="449" t="s">
        <v>470</v>
      </c>
      <c r="FB20" s="120"/>
      <c r="FC20" s="454"/>
      <c r="FD20" s="120"/>
      <c r="FE20" s="440"/>
      <c r="GA20" s="449" t="s">
        <v>470</v>
      </c>
      <c r="GB20" s="120"/>
      <c r="GC20" s="454"/>
      <c r="GD20" s="120"/>
      <c r="GE20" s="440"/>
      <c r="HA20" s="449" t="s">
        <v>470</v>
      </c>
      <c r="HB20" s="120"/>
      <c r="HC20" s="454"/>
      <c r="HD20" s="120"/>
      <c r="HE20" s="440"/>
      <c r="IA20" s="449" t="s">
        <v>470</v>
      </c>
      <c r="IB20" s="120"/>
      <c r="IC20" s="454"/>
      <c r="ID20" s="120"/>
      <c r="IE20" s="440"/>
      <c r="JA20" s="449" t="s">
        <v>470</v>
      </c>
      <c r="JB20" s="120"/>
      <c r="JC20" s="454"/>
      <c r="JD20" s="120"/>
      <c r="JE20" s="440"/>
      <c r="KA20" s="449" t="s">
        <v>470</v>
      </c>
      <c r="KB20" s="120"/>
      <c r="KC20" s="454"/>
      <c r="KD20" s="120"/>
      <c r="KE20" s="440"/>
      <c r="LA20" s="449" t="s">
        <v>470</v>
      </c>
      <c r="LB20" s="120"/>
      <c r="LC20" s="454"/>
      <c r="LD20" s="120"/>
      <c r="LE20" s="440"/>
      <c r="MA20" s="449" t="s">
        <v>470</v>
      </c>
      <c r="MB20" s="120"/>
      <c r="MC20" s="454"/>
      <c r="MD20" s="120"/>
      <c r="ME20" s="440"/>
      <c r="NA20" s="449" t="s">
        <v>470</v>
      </c>
      <c r="NB20" s="120"/>
      <c r="NC20" s="454"/>
      <c r="ND20" s="120"/>
      <c r="NE20" s="440"/>
      <c r="OA20" s="449" t="s">
        <v>470</v>
      </c>
      <c r="OB20" s="120"/>
      <c r="OC20" s="454"/>
      <c r="OD20" s="120"/>
      <c r="OE20" s="440"/>
      <c r="PA20" s="449" t="s">
        <v>470</v>
      </c>
      <c r="PB20" s="120"/>
      <c r="PC20" s="454"/>
      <c r="PD20" s="120"/>
      <c r="PE20" s="440"/>
      <c r="QA20" s="449" t="s">
        <v>470</v>
      </c>
      <c r="QB20" s="120"/>
      <c r="QC20" s="454"/>
      <c r="QD20" s="120"/>
      <c r="QE20" s="440"/>
      <c r="RA20" s="449" t="s">
        <v>470</v>
      </c>
      <c r="RB20" s="120"/>
      <c r="RC20" s="454"/>
      <c r="RD20" s="120"/>
      <c r="RE20" s="440"/>
      <c r="SA20" s="449" t="s">
        <v>470</v>
      </c>
      <c r="SB20" s="120"/>
      <c r="SC20" s="454"/>
      <c r="SD20" s="120"/>
      <c r="SE20" s="440"/>
      <c r="TA20" s="449" t="s">
        <v>470</v>
      </c>
      <c r="TB20" s="120"/>
      <c r="TC20" s="454"/>
      <c r="TD20" s="120"/>
      <c r="TE20" s="440"/>
      <c r="UA20" s="449" t="s">
        <v>470</v>
      </c>
      <c r="UB20" s="120"/>
      <c r="UC20" s="454"/>
      <c r="UD20" s="120"/>
      <c r="UE20" s="440"/>
      <c r="VA20" s="449" t="s">
        <v>470</v>
      </c>
      <c r="VB20" s="120"/>
      <c r="VC20" s="454"/>
      <c r="VD20" s="120"/>
      <c r="VE20" s="440"/>
      <c r="WA20" s="449" t="s">
        <v>470</v>
      </c>
      <c r="WB20" s="120"/>
      <c r="WC20" s="454"/>
      <c r="WD20" s="120"/>
      <c r="WE20" s="440"/>
      <c r="XA20" s="449" t="s">
        <v>470</v>
      </c>
      <c r="XB20" s="120"/>
      <c r="XC20" s="454"/>
      <c r="XD20" s="120"/>
      <c r="XE20" s="440"/>
      <c r="YA20" s="449" t="s">
        <v>470</v>
      </c>
      <c r="YB20" s="120"/>
      <c r="YC20" s="454"/>
      <c r="YD20" s="120"/>
      <c r="YE20" s="440"/>
      <c r="ZA20" s="449" t="s">
        <v>470</v>
      </c>
      <c r="ZB20" s="120"/>
      <c r="ZC20" s="454"/>
      <c r="ZD20" s="120"/>
      <c r="ZE20" s="440"/>
      <c r="AAA20" s="449" t="s">
        <v>470</v>
      </c>
      <c r="AAB20" s="120"/>
      <c r="AAC20" s="454"/>
      <c r="AAD20" s="120"/>
      <c r="AAE20" s="440"/>
      <c r="ABA20" s="449" t="s">
        <v>470</v>
      </c>
      <c r="ABB20" s="120"/>
      <c r="ABC20" s="454"/>
      <c r="ABD20" s="120"/>
      <c r="ABE20" s="440"/>
      <c r="ACA20" s="449" t="s">
        <v>470</v>
      </c>
      <c r="ACB20" s="120"/>
      <c r="ACC20" s="454"/>
      <c r="ACD20" s="120"/>
      <c r="ACE20" s="440"/>
      <c r="ADA20" s="449" t="s">
        <v>470</v>
      </c>
      <c r="ADB20" s="120"/>
      <c r="ADC20" s="454"/>
      <c r="ADD20" s="120"/>
      <c r="ADE20" s="440"/>
      <c r="AEA20" s="449" t="s">
        <v>470</v>
      </c>
      <c r="AEB20" s="120"/>
      <c r="AEC20" s="454"/>
      <c r="AED20" s="120"/>
      <c r="AEE20" s="440"/>
      <c r="AFA20" s="449" t="s">
        <v>470</v>
      </c>
      <c r="AFB20" s="120"/>
      <c r="AFC20" s="454"/>
      <c r="AFD20" s="120"/>
      <c r="AFE20" s="440"/>
      <c r="AGA20" s="449" t="s">
        <v>470</v>
      </c>
      <c r="AGB20" s="120"/>
      <c r="AGC20" s="454"/>
      <c r="AGD20" s="120"/>
      <c r="AGE20" s="440"/>
      <c r="AHA20" s="449" t="s">
        <v>470</v>
      </c>
      <c r="AHB20" s="120"/>
      <c r="AHC20" s="454"/>
      <c r="AHD20" s="120"/>
      <c r="AHE20" s="440"/>
      <c r="AIA20" s="449" t="s">
        <v>470</v>
      </c>
      <c r="AIB20" s="120"/>
      <c r="AIC20" s="454"/>
      <c r="AID20" s="120"/>
      <c r="AIE20" s="440"/>
      <c r="AJA20" s="449" t="s">
        <v>470</v>
      </c>
      <c r="AJB20" s="120"/>
      <c r="AJC20" s="454"/>
      <c r="AJD20" s="120"/>
      <c r="AJE20" s="440"/>
      <c r="AKA20" s="449" t="s">
        <v>470</v>
      </c>
      <c r="AKB20" s="120"/>
      <c r="AKC20" s="454"/>
      <c r="AKD20" s="120"/>
      <c r="AKE20" s="440"/>
      <c r="ALA20" s="449" t="s">
        <v>470</v>
      </c>
      <c r="ALB20" s="120"/>
      <c r="ALC20" s="454"/>
      <c r="ALD20" s="120"/>
      <c r="ALE20" s="440"/>
      <c r="AMA20" s="449" t="s">
        <v>470</v>
      </c>
      <c r="AMB20" s="120"/>
      <c r="AMC20" s="454"/>
      <c r="AMD20" s="120"/>
      <c r="AME20" s="440"/>
      <c r="ANA20" s="449" t="s">
        <v>470</v>
      </c>
      <c r="ANB20" s="120"/>
      <c r="ANC20" s="454"/>
      <c r="AND20" s="120"/>
      <c r="ANE20" s="440"/>
      <c r="AOA20" s="449" t="s">
        <v>470</v>
      </c>
      <c r="AOB20" s="120"/>
      <c r="AOC20" s="454"/>
      <c r="AOD20" s="120"/>
      <c r="AOE20" s="440"/>
      <c r="APA20" s="449" t="s">
        <v>470</v>
      </c>
      <c r="APB20" s="120"/>
      <c r="APC20" s="454"/>
      <c r="APD20" s="120"/>
      <c r="APE20" s="440"/>
      <c r="AQA20" s="449" t="s">
        <v>470</v>
      </c>
      <c r="AQB20" s="120"/>
      <c r="AQC20" s="454"/>
      <c r="AQD20" s="120"/>
      <c r="AQE20" s="440"/>
      <c r="ARA20" s="449" t="s">
        <v>470</v>
      </c>
      <c r="ARB20" s="120"/>
      <c r="ARC20" s="454"/>
      <c r="ARD20" s="120"/>
      <c r="ARE20" s="440"/>
      <c r="ASA20" s="449" t="s">
        <v>470</v>
      </c>
      <c r="ASB20" s="120"/>
      <c r="ASC20" s="454"/>
      <c r="ASD20" s="120"/>
      <c r="ASE20" s="440"/>
      <c r="ATA20" s="449" t="s">
        <v>470</v>
      </c>
      <c r="ATB20" s="120"/>
      <c r="ATC20" s="454"/>
      <c r="ATD20" s="120"/>
      <c r="ATE20" s="440"/>
      <c r="AUA20" s="449" t="s">
        <v>470</v>
      </c>
      <c r="AUB20" s="120"/>
      <c r="AUC20" s="454"/>
      <c r="AUD20" s="120"/>
      <c r="AUE20" s="440"/>
      <c r="AVA20" s="449" t="s">
        <v>470</v>
      </c>
      <c r="AVB20" s="120"/>
      <c r="AVC20" s="454"/>
      <c r="AVD20" s="120"/>
      <c r="AVE20" s="440"/>
      <c r="AWA20" s="449" t="s">
        <v>470</v>
      </c>
      <c r="AWB20" s="120"/>
      <c r="AWC20" s="454"/>
      <c r="AWD20" s="120"/>
      <c r="AWE20" s="440"/>
      <c r="AXA20" s="449" t="s">
        <v>470</v>
      </c>
      <c r="AXB20" s="120"/>
      <c r="AXC20" s="454"/>
      <c r="AXD20" s="120"/>
      <c r="AXE20" s="440"/>
      <c r="AYA20" s="449" t="s">
        <v>470</v>
      </c>
      <c r="AYB20" s="120"/>
      <c r="AYC20" s="454"/>
      <c r="AYD20" s="120"/>
      <c r="AYE20" s="440"/>
      <c r="AZA20" s="449" t="s">
        <v>470</v>
      </c>
      <c r="AZB20" s="120"/>
      <c r="AZC20" s="454"/>
      <c r="AZD20" s="120"/>
      <c r="AZE20" s="440"/>
      <c r="BAA20" s="449" t="s">
        <v>470</v>
      </c>
      <c r="BAB20" s="120"/>
      <c r="BAC20" s="454"/>
      <c r="BAD20" s="120"/>
      <c r="BAE20" s="440"/>
      <c r="BBA20" s="449" t="s">
        <v>470</v>
      </c>
      <c r="BBB20" s="120"/>
      <c r="BBC20" s="454"/>
      <c r="BBD20" s="120"/>
      <c r="BBE20" s="440"/>
      <c r="BCA20" s="449" t="s">
        <v>470</v>
      </c>
      <c r="BCB20" s="120"/>
      <c r="BCC20" s="454"/>
      <c r="BCD20" s="120"/>
      <c r="BCE20" s="440"/>
      <c r="BDA20" s="449" t="s">
        <v>470</v>
      </c>
      <c r="BDB20" s="120"/>
      <c r="BDC20" s="454"/>
      <c r="BDD20" s="120"/>
      <c r="BDE20" s="440"/>
      <c r="BEA20" s="449" t="s">
        <v>470</v>
      </c>
      <c r="BEB20" s="120"/>
      <c r="BEC20" s="454"/>
      <c r="BED20" s="120"/>
      <c r="BEE20" s="440"/>
      <c r="BFA20" s="449" t="s">
        <v>470</v>
      </c>
      <c r="BFB20" s="120"/>
      <c r="BFC20" s="454"/>
      <c r="BFD20" s="120"/>
      <c r="BFE20" s="440"/>
      <c r="BGA20" s="449" t="s">
        <v>470</v>
      </c>
      <c r="BGB20" s="120"/>
      <c r="BGC20" s="454"/>
      <c r="BGD20" s="120"/>
      <c r="BGE20" s="440"/>
      <c r="BHA20" s="449" t="s">
        <v>470</v>
      </c>
      <c r="BHB20" s="120"/>
      <c r="BHC20" s="454"/>
      <c r="BHD20" s="120"/>
      <c r="BHE20" s="440"/>
      <c r="BIA20" s="449" t="s">
        <v>470</v>
      </c>
      <c r="BIB20" s="120"/>
      <c r="BIC20" s="454"/>
      <c r="BID20" s="120"/>
      <c r="BIE20" s="440"/>
      <c r="BJA20" s="449" t="s">
        <v>470</v>
      </c>
      <c r="BJB20" s="120"/>
      <c r="BJC20" s="454"/>
      <c r="BJD20" s="120"/>
      <c r="BJE20" s="440"/>
      <c r="BKA20" s="449" t="s">
        <v>470</v>
      </c>
      <c r="BKB20" s="120"/>
      <c r="BKC20" s="454"/>
      <c r="BKD20" s="120"/>
      <c r="BKE20" s="440"/>
      <c r="BLA20" s="449" t="s">
        <v>470</v>
      </c>
      <c r="BLB20" s="120"/>
      <c r="BLC20" s="454"/>
      <c r="BLD20" s="120"/>
      <c r="BLE20" s="440"/>
      <c r="BMA20" s="449" t="s">
        <v>470</v>
      </c>
      <c r="BMB20" s="120"/>
      <c r="BMC20" s="454"/>
      <c r="BMD20" s="120"/>
      <c r="BME20" s="440"/>
      <c r="BNA20" s="449" t="s">
        <v>470</v>
      </c>
      <c r="BNB20" s="120"/>
      <c r="BNC20" s="454"/>
      <c r="BND20" s="120"/>
      <c r="BNE20" s="440"/>
      <c r="BOA20" s="449" t="s">
        <v>470</v>
      </c>
      <c r="BOB20" s="120"/>
      <c r="BOC20" s="454"/>
      <c r="BOD20" s="120"/>
      <c r="BOE20" s="440"/>
      <c r="BPA20" s="449" t="s">
        <v>470</v>
      </c>
      <c r="BPB20" s="120"/>
      <c r="BPC20" s="454"/>
      <c r="BPD20" s="120"/>
      <c r="BPE20" s="440"/>
      <c r="BQA20" s="449" t="s">
        <v>470</v>
      </c>
      <c r="BQB20" s="120"/>
      <c r="BQC20" s="454"/>
      <c r="BQD20" s="120"/>
      <c r="BQE20" s="440"/>
      <c r="BRA20" s="449" t="s">
        <v>470</v>
      </c>
      <c r="BRB20" s="120"/>
      <c r="BRC20" s="454"/>
      <c r="BRD20" s="120"/>
      <c r="BRE20" s="440"/>
    </row>
    <row r="21" spans="1:1019 1041:1825" ht="15" customHeight="1">
      <c r="B21" s="114" t="s">
        <v>27</v>
      </c>
      <c r="F21"/>
      <c r="G21" s="574"/>
      <c r="H21" s="110"/>
      <c r="AA21" s="1698"/>
      <c r="AB21" s="1699"/>
      <c r="AC21" s="1699"/>
      <c r="AD21" s="1699"/>
      <c r="AE21" s="1700"/>
      <c r="BA21" s="1698"/>
      <c r="BB21" s="1699"/>
      <c r="BC21" s="1699"/>
      <c r="BD21" s="1699"/>
      <c r="BE21" s="1700"/>
      <c r="CA21" s="1698"/>
      <c r="CB21" s="1699"/>
      <c r="CC21" s="1699"/>
      <c r="CD21" s="1699"/>
      <c r="CE21" s="1700"/>
      <c r="DA21" s="1698"/>
      <c r="DB21" s="1699"/>
      <c r="DC21" s="1699"/>
      <c r="DD21" s="1699"/>
      <c r="DE21" s="1700"/>
      <c r="EA21" s="1698"/>
      <c r="EB21" s="1699"/>
      <c r="EC21" s="1699"/>
      <c r="ED21" s="1699"/>
      <c r="EE21" s="1700"/>
      <c r="FA21" s="1698"/>
      <c r="FB21" s="1699"/>
      <c r="FC21" s="1699"/>
      <c r="FD21" s="1699"/>
      <c r="FE21" s="1700"/>
      <c r="GA21" s="1698"/>
      <c r="GB21" s="1699"/>
      <c r="GC21" s="1699"/>
      <c r="GD21" s="1699"/>
      <c r="GE21" s="1700"/>
      <c r="HA21" s="1698"/>
      <c r="HB21" s="1699"/>
      <c r="HC21" s="1699"/>
      <c r="HD21" s="1699"/>
      <c r="HE21" s="1700"/>
      <c r="IA21" s="1698"/>
      <c r="IB21" s="1699"/>
      <c r="IC21" s="1699"/>
      <c r="ID21" s="1699"/>
      <c r="IE21" s="1700"/>
      <c r="JA21" s="1698"/>
      <c r="JB21" s="1699"/>
      <c r="JC21" s="1699"/>
      <c r="JD21" s="1699"/>
      <c r="JE21" s="1700"/>
      <c r="KA21" s="1698"/>
      <c r="KB21" s="1699"/>
      <c r="KC21" s="1699"/>
      <c r="KD21" s="1699"/>
      <c r="KE21" s="1700"/>
      <c r="LA21" s="1698"/>
      <c r="LB21" s="1699"/>
      <c r="LC21" s="1699"/>
      <c r="LD21" s="1699"/>
      <c r="LE21" s="1700"/>
      <c r="MA21" s="1698"/>
      <c r="MB21" s="1699"/>
      <c r="MC21" s="1699"/>
      <c r="MD21" s="1699"/>
      <c r="ME21" s="1700"/>
      <c r="NA21" s="1698"/>
      <c r="NB21" s="1699"/>
      <c r="NC21" s="1699"/>
      <c r="ND21" s="1699"/>
      <c r="NE21" s="1700"/>
      <c r="OA21" s="1698"/>
      <c r="OB21" s="1699"/>
      <c r="OC21" s="1699"/>
      <c r="OD21" s="1699"/>
      <c r="OE21" s="1700"/>
      <c r="PA21" s="1698"/>
      <c r="PB21" s="1699"/>
      <c r="PC21" s="1699"/>
      <c r="PD21" s="1699"/>
      <c r="PE21" s="1700"/>
      <c r="QA21" s="1698"/>
      <c r="QB21" s="1699"/>
      <c r="QC21" s="1699"/>
      <c r="QD21" s="1699"/>
      <c r="QE21" s="1700"/>
      <c r="RA21" s="1698"/>
      <c r="RB21" s="1699"/>
      <c r="RC21" s="1699"/>
      <c r="RD21" s="1699"/>
      <c r="RE21" s="1700"/>
      <c r="SA21" s="1698"/>
      <c r="SB21" s="1699"/>
      <c r="SC21" s="1699"/>
      <c r="SD21" s="1699"/>
      <c r="SE21" s="1700"/>
      <c r="TA21" s="1698"/>
      <c r="TB21" s="1699"/>
      <c r="TC21" s="1699"/>
      <c r="TD21" s="1699"/>
      <c r="TE21" s="1700"/>
      <c r="UA21" s="1698"/>
      <c r="UB21" s="1699"/>
      <c r="UC21" s="1699"/>
      <c r="UD21" s="1699"/>
      <c r="UE21" s="1700"/>
      <c r="VA21" s="1698"/>
      <c r="VB21" s="1699"/>
      <c r="VC21" s="1699"/>
      <c r="VD21" s="1699"/>
      <c r="VE21" s="1700"/>
      <c r="WA21" s="1698"/>
      <c r="WB21" s="1699"/>
      <c r="WC21" s="1699"/>
      <c r="WD21" s="1699"/>
      <c r="WE21" s="1700"/>
      <c r="XA21" s="1698"/>
      <c r="XB21" s="1699"/>
      <c r="XC21" s="1699"/>
      <c r="XD21" s="1699"/>
      <c r="XE21" s="1700"/>
      <c r="YA21" s="1698"/>
      <c r="YB21" s="1699"/>
      <c r="YC21" s="1699"/>
      <c r="YD21" s="1699"/>
      <c r="YE21" s="1700"/>
      <c r="ZA21" s="1698"/>
      <c r="ZB21" s="1699"/>
      <c r="ZC21" s="1699"/>
      <c r="ZD21" s="1699"/>
      <c r="ZE21" s="1700"/>
      <c r="AAA21" s="1698"/>
      <c r="AAB21" s="1699"/>
      <c r="AAC21" s="1699"/>
      <c r="AAD21" s="1699"/>
      <c r="AAE21" s="1700"/>
      <c r="ABA21" s="1698"/>
      <c r="ABB21" s="1699"/>
      <c r="ABC21" s="1699"/>
      <c r="ABD21" s="1699"/>
      <c r="ABE21" s="1700"/>
      <c r="ACA21" s="1698"/>
      <c r="ACB21" s="1699"/>
      <c r="ACC21" s="1699"/>
      <c r="ACD21" s="1699"/>
      <c r="ACE21" s="1700"/>
      <c r="ADA21" s="1698"/>
      <c r="ADB21" s="1699"/>
      <c r="ADC21" s="1699"/>
      <c r="ADD21" s="1699"/>
      <c r="ADE21" s="1700"/>
      <c r="AEA21" s="1698"/>
      <c r="AEB21" s="1699"/>
      <c r="AEC21" s="1699"/>
      <c r="AED21" s="1699"/>
      <c r="AEE21" s="1700"/>
      <c r="AFA21" s="1698"/>
      <c r="AFB21" s="1699"/>
      <c r="AFC21" s="1699"/>
      <c r="AFD21" s="1699"/>
      <c r="AFE21" s="1700"/>
      <c r="AGA21" s="1698"/>
      <c r="AGB21" s="1699"/>
      <c r="AGC21" s="1699"/>
      <c r="AGD21" s="1699"/>
      <c r="AGE21" s="1700"/>
      <c r="AHA21" s="1698"/>
      <c r="AHB21" s="1699"/>
      <c r="AHC21" s="1699"/>
      <c r="AHD21" s="1699"/>
      <c r="AHE21" s="1700"/>
      <c r="AIA21" s="1698"/>
      <c r="AIB21" s="1699"/>
      <c r="AIC21" s="1699"/>
      <c r="AID21" s="1699"/>
      <c r="AIE21" s="1700"/>
      <c r="AJA21" s="1698"/>
      <c r="AJB21" s="1699"/>
      <c r="AJC21" s="1699"/>
      <c r="AJD21" s="1699"/>
      <c r="AJE21" s="1700"/>
      <c r="AKA21" s="1698"/>
      <c r="AKB21" s="1699"/>
      <c r="AKC21" s="1699"/>
      <c r="AKD21" s="1699"/>
      <c r="AKE21" s="1700"/>
      <c r="ALA21" s="1698"/>
      <c r="ALB21" s="1699"/>
      <c r="ALC21" s="1699"/>
      <c r="ALD21" s="1699"/>
      <c r="ALE21" s="1700"/>
      <c r="AMA21" s="1698"/>
      <c r="AMB21" s="1699"/>
      <c r="AMC21" s="1699"/>
      <c r="AMD21" s="1699"/>
      <c r="AME21" s="1700"/>
      <c r="ANA21" s="1698"/>
      <c r="ANB21" s="1699"/>
      <c r="ANC21" s="1699"/>
      <c r="AND21" s="1699"/>
      <c r="ANE21" s="1700"/>
      <c r="AOA21" s="1698"/>
      <c r="AOB21" s="1699"/>
      <c r="AOC21" s="1699"/>
      <c r="AOD21" s="1699"/>
      <c r="AOE21" s="1700"/>
      <c r="APA21" s="1698"/>
      <c r="APB21" s="1699"/>
      <c r="APC21" s="1699"/>
      <c r="APD21" s="1699"/>
      <c r="APE21" s="1700"/>
      <c r="AQA21" s="1698"/>
      <c r="AQB21" s="1699"/>
      <c r="AQC21" s="1699"/>
      <c r="AQD21" s="1699"/>
      <c r="AQE21" s="1700"/>
      <c r="ARA21" s="1698"/>
      <c r="ARB21" s="1699"/>
      <c r="ARC21" s="1699"/>
      <c r="ARD21" s="1699"/>
      <c r="ARE21" s="1700"/>
      <c r="ASA21" s="1698"/>
      <c r="ASB21" s="1699"/>
      <c r="ASC21" s="1699"/>
      <c r="ASD21" s="1699"/>
      <c r="ASE21" s="1700"/>
      <c r="ATA21" s="1698"/>
      <c r="ATB21" s="1699"/>
      <c r="ATC21" s="1699"/>
      <c r="ATD21" s="1699"/>
      <c r="ATE21" s="1700"/>
      <c r="AUA21" s="1698"/>
      <c r="AUB21" s="1699"/>
      <c r="AUC21" s="1699"/>
      <c r="AUD21" s="1699"/>
      <c r="AUE21" s="1700"/>
      <c r="AVA21" s="1698"/>
      <c r="AVB21" s="1699"/>
      <c r="AVC21" s="1699"/>
      <c r="AVD21" s="1699"/>
      <c r="AVE21" s="1700"/>
      <c r="AWA21" s="1698"/>
      <c r="AWB21" s="1699"/>
      <c r="AWC21" s="1699"/>
      <c r="AWD21" s="1699"/>
      <c r="AWE21" s="1700"/>
      <c r="AXA21" s="1698"/>
      <c r="AXB21" s="1699"/>
      <c r="AXC21" s="1699"/>
      <c r="AXD21" s="1699"/>
      <c r="AXE21" s="1700"/>
      <c r="AYA21" s="1698"/>
      <c r="AYB21" s="1699"/>
      <c r="AYC21" s="1699"/>
      <c r="AYD21" s="1699"/>
      <c r="AYE21" s="1700"/>
      <c r="AZA21" s="1698"/>
      <c r="AZB21" s="1699"/>
      <c r="AZC21" s="1699"/>
      <c r="AZD21" s="1699"/>
      <c r="AZE21" s="1700"/>
      <c r="BAA21" s="1698"/>
      <c r="BAB21" s="1699"/>
      <c r="BAC21" s="1699"/>
      <c r="BAD21" s="1699"/>
      <c r="BAE21" s="1700"/>
      <c r="BBA21" s="1698"/>
      <c r="BBB21" s="1699"/>
      <c r="BBC21" s="1699"/>
      <c r="BBD21" s="1699"/>
      <c r="BBE21" s="1700"/>
      <c r="BCA21" s="1698"/>
      <c r="BCB21" s="1699"/>
      <c r="BCC21" s="1699"/>
      <c r="BCD21" s="1699"/>
      <c r="BCE21" s="1700"/>
      <c r="BDA21" s="1698"/>
      <c r="BDB21" s="1699"/>
      <c r="BDC21" s="1699"/>
      <c r="BDD21" s="1699"/>
      <c r="BDE21" s="1700"/>
      <c r="BEA21" s="1698"/>
      <c r="BEB21" s="1699"/>
      <c r="BEC21" s="1699"/>
      <c r="BED21" s="1699"/>
      <c r="BEE21" s="1700"/>
      <c r="BFA21" s="1698"/>
      <c r="BFB21" s="1699"/>
      <c r="BFC21" s="1699"/>
      <c r="BFD21" s="1699"/>
      <c r="BFE21" s="1700"/>
      <c r="BGA21" s="1698"/>
      <c r="BGB21" s="1699"/>
      <c r="BGC21" s="1699"/>
      <c r="BGD21" s="1699"/>
      <c r="BGE21" s="1700"/>
      <c r="BHA21" s="1698"/>
      <c r="BHB21" s="1699"/>
      <c r="BHC21" s="1699"/>
      <c r="BHD21" s="1699"/>
      <c r="BHE21" s="1700"/>
      <c r="BIA21" s="1698"/>
      <c r="BIB21" s="1699"/>
      <c r="BIC21" s="1699"/>
      <c r="BID21" s="1699"/>
      <c r="BIE21" s="1700"/>
      <c r="BJA21" s="1698"/>
      <c r="BJB21" s="1699"/>
      <c r="BJC21" s="1699"/>
      <c r="BJD21" s="1699"/>
      <c r="BJE21" s="1700"/>
      <c r="BKA21" s="1698"/>
      <c r="BKB21" s="1699"/>
      <c r="BKC21" s="1699"/>
      <c r="BKD21" s="1699"/>
      <c r="BKE21" s="1700"/>
      <c r="BLA21" s="1698"/>
      <c r="BLB21" s="1699"/>
      <c r="BLC21" s="1699"/>
      <c r="BLD21" s="1699"/>
      <c r="BLE21" s="1700"/>
      <c r="BMA21" s="1698"/>
      <c r="BMB21" s="1699"/>
      <c r="BMC21" s="1699"/>
      <c r="BMD21" s="1699"/>
      <c r="BME21" s="1700"/>
      <c r="BNA21" s="1698"/>
      <c r="BNB21" s="1699"/>
      <c r="BNC21" s="1699"/>
      <c r="BND21" s="1699"/>
      <c r="BNE21" s="1700"/>
      <c r="BOA21" s="1698"/>
      <c r="BOB21" s="1699"/>
      <c r="BOC21" s="1699"/>
      <c r="BOD21" s="1699"/>
      <c r="BOE21" s="1700"/>
      <c r="BPA21" s="1698"/>
      <c r="BPB21" s="1699"/>
      <c r="BPC21" s="1699"/>
      <c r="BPD21" s="1699"/>
      <c r="BPE21" s="1700"/>
      <c r="BQA21" s="1698"/>
      <c r="BQB21" s="1699"/>
      <c r="BQC21" s="1699"/>
      <c r="BQD21" s="1699"/>
      <c r="BQE21" s="1700"/>
      <c r="BRA21" s="1698"/>
      <c r="BRB21" s="1699"/>
      <c r="BRC21" s="1699"/>
      <c r="BRD21" s="1699"/>
      <c r="BRE21" s="1700"/>
    </row>
    <row r="22" spans="1:1019 1041:1825">
      <c r="B22" s="114" t="s">
        <v>23</v>
      </c>
      <c r="F22"/>
      <c r="G22" s="574"/>
      <c r="H22" s="110"/>
      <c r="AA22" s="1698"/>
      <c r="AB22" s="1699"/>
      <c r="AC22" s="1699"/>
      <c r="AD22" s="1699"/>
      <c r="AE22" s="1700"/>
      <c r="BA22" s="1698"/>
      <c r="BB22" s="1699"/>
      <c r="BC22" s="1699"/>
      <c r="BD22" s="1699"/>
      <c r="BE22" s="1700"/>
      <c r="CA22" s="1698"/>
      <c r="CB22" s="1699"/>
      <c r="CC22" s="1699"/>
      <c r="CD22" s="1699"/>
      <c r="CE22" s="1700"/>
      <c r="DA22" s="1698"/>
      <c r="DB22" s="1699"/>
      <c r="DC22" s="1699"/>
      <c r="DD22" s="1699"/>
      <c r="DE22" s="1700"/>
      <c r="EA22" s="1698"/>
      <c r="EB22" s="1699"/>
      <c r="EC22" s="1699"/>
      <c r="ED22" s="1699"/>
      <c r="EE22" s="1700"/>
      <c r="FA22" s="1698"/>
      <c r="FB22" s="1699"/>
      <c r="FC22" s="1699"/>
      <c r="FD22" s="1699"/>
      <c r="FE22" s="1700"/>
      <c r="GA22" s="1698"/>
      <c r="GB22" s="1699"/>
      <c r="GC22" s="1699"/>
      <c r="GD22" s="1699"/>
      <c r="GE22" s="1700"/>
      <c r="HA22" s="1698"/>
      <c r="HB22" s="1699"/>
      <c r="HC22" s="1699"/>
      <c r="HD22" s="1699"/>
      <c r="HE22" s="1700"/>
      <c r="IA22" s="1698"/>
      <c r="IB22" s="1699"/>
      <c r="IC22" s="1699"/>
      <c r="ID22" s="1699"/>
      <c r="IE22" s="1700"/>
      <c r="JA22" s="1698"/>
      <c r="JB22" s="1699"/>
      <c r="JC22" s="1699"/>
      <c r="JD22" s="1699"/>
      <c r="JE22" s="1700"/>
      <c r="KA22" s="1698"/>
      <c r="KB22" s="1699"/>
      <c r="KC22" s="1699"/>
      <c r="KD22" s="1699"/>
      <c r="KE22" s="1700"/>
      <c r="LA22" s="1698"/>
      <c r="LB22" s="1699"/>
      <c r="LC22" s="1699"/>
      <c r="LD22" s="1699"/>
      <c r="LE22" s="1700"/>
      <c r="MA22" s="1698"/>
      <c r="MB22" s="1699"/>
      <c r="MC22" s="1699"/>
      <c r="MD22" s="1699"/>
      <c r="ME22" s="1700"/>
      <c r="NA22" s="1698"/>
      <c r="NB22" s="1699"/>
      <c r="NC22" s="1699"/>
      <c r="ND22" s="1699"/>
      <c r="NE22" s="1700"/>
      <c r="OA22" s="1698"/>
      <c r="OB22" s="1699"/>
      <c r="OC22" s="1699"/>
      <c r="OD22" s="1699"/>
      <c r="OE22" s="1700"/>
      <c r="PA22" s="1698"/>
      <c r="PB22" s="1699"/>
      <c r="PC22" s="1699"/>
      <c r="PD22" s="1699"/>
      <c r="PE22" s="1700"/>
      <c r="QA22" s="1698"/>
      <c r="QB22" s="1699"/>
      <c r="QC22" s="1699"/>
      <c r="QD22" s="1699"/>
      <c r="QE22" s="1700"/>
      <c r="RA22" s="1698"/>
      <c r="RB22" s="1699"/>
      <c r="RC22" s="1699"/>
      <c r="RD22" s="1699"/>
      <c r="RE22" s="1700"/>
      <c r="SA22" s="1698"/>
      <c r="SB22" s="1699"/>
      <c r="SC22" s="1699"/>
      <c r="SD22" s="1699"/>
      <c r="SE22" s="1700"/>
      <c r="TA22" s="1698"/>
      <c r="TB22" s="1699"/>
      <c r="TC22" s="1699"/>
      <c r="TD22" s="1699"/>
      <c r="TE22" s="1700"/>
      <c r="UA22" s="1698"/>
      <c r="UB22" s="1699"/>
      <c r="UC22" s="1699"/>
      <c r="UD22" s="1699"/>
      <c r="UE22" s="1700"/>
      <c r="VA22" s="1698"/>
      <c r="VB22" s="1699"/>
      <c r="VC22" s="1699"/>
      <c r="VD22" s="1699"/>
      <c r="VE22" s="1700"/>
      <c r="WA22" s="1698"/>
      <c r="WB22" s="1699"/>
      <c r="WC22" s="1699"/>
      <c r="WD22" s="1699"/>
      <c r="WE22" s="1700"/>
      <c r="XA22" s="1698"/>
      <c r="XB22" s="1699"/>
      <c r="XC22" s="1699"/>
      <c r="XD22" s="1699"/>
      <c r="XE22" s="1700"/>
      <c r="YA22" s="1698"/>
      <c r="YB22" s="1699"/>
      <c r="YC22" s="1699"/>
      <c r="YD22" s="1699"/>
      <c r="YE22" s="1700"/>
      <c r="ZA22" s="1698"/>
      <c r="ZB22" s="1699"/>
      <c r="ZC22" s="1699"/>
      <c r="ZD22" s="1699"/>
      <c r="ZE22" s="1700"/>
      <c r="AAA22" s="1698"/>
      <c r="AAB22" s="1699"/>
      <c r="AAC22" s="1699"/>
      <c r="AAD22" s="1699"/>
      <c r="AAE22" s="1700"/>
      <c r="ABA22" s="1698"/>
      <c r="ABB22" s="1699"/>
      <c r="ABC22" s="1699"/>
      <c r="ABD22" s="1699"/>
      <c r="ABE22" s="1700"/>
      <c r="ACA22" s="1698"/>
      <c r="ACB22" s="1699"/>
      <c r="ACC22" s="1699"/>
      <c r="ACD22" s="1699"/>
      <c r="ACE22" s="1700"/>
      <c r="ADA22" s="1698"/>
      <c r="ADB22" s="1699"/>
      <c r="ADC22" s="1699"/>
      <c r="ADD22" s="1699"/>
      <c r="ADE22" s="1700"/>
      <c r="AEA22" s="1698"/>
      <c r="AEB22" s="1699"/>
      <c r="AEC22" s="1699"/>
      <c r="AED22" s="1699"/>
      <c r="AEE22" s="1700"/>
      <c r="AFA22" s="1698"/>
      <c r="AFB22" s="1699"/>
      <c r="AFC22" s="1699"/>
      <c r="AFD22" s="1699"/>
      <c r="AFE22" s="1700"/>
      <c r="AGA22" s="1698"/>
      <c r="AGB22" s="1699"/>
      <c r="AGC22" s="1699"/>
      <c r="AGD22" s="1699"/>
      <c r="AGE22" s="1700"/>
      <c r="AHA22" s="1698"/>
      <c r="AHB22" s="1699"/>
      <c r="AHC22" s="1699"/>
      <c r="AHD22" s="1699"/>
      <c r="AHE22" s="1700"/>
      <c r="AIA22" s="1698"/>
      <c r="AIB22" s="1699"/>
      <c r="AIC22" s="1699"/>
      <c r="AID22" s="1699"/>
      <c r="AIE22" s="1700"/>
      <c r="AJA22" s="1698"/>
      <c r="AJB22" s="1699"/>
      <c r="AJC22" s="1699"/>
      <c r="AJD22" s="1699"/>
      <c r="AJE22" s="1700"/>
      <c r="AKA22" s="1698"/>
      <c r="AKB22" s="1699"/>
      <c r="AKC22" s="1699"/>
      <c r="AKD22" s="1699"/>
      <c r="AKE22" s="1700"/>
      <c r="ALA22" s="1698"/>
      <c r="ALB22" s="1699"/>
      <c r="ALC22" s="1699"/>
      <c r="ALD22" s="1699"/>
      <c r="ALE22" s="1700"/>
      <c r="AMA22" s="1698"/>
      <c r="AMB22" s="1699"/>
      <c r="AMC22" s="1699"/>
      <c r="AMD22" s="1699"/>
      <c r="AME22" s="1700"/>
      <c r="ANA22" s="1698"/>
      <c r="ANB22" s="1699"/>
      <c r="ANC22" s="1699"/>
      <c r="AND22" s="1699"/>
      <c r="ANE22" s="1700"/>
      <c r="AOA22" s="1698"/>
      <c r="AOB22" s="1699"/>
      <c r="AOC22" s="1699"/>
      <c r="AOD22" s="1699"/>
      <c r="AOE22" s="1700"/>
      <c r="APA22" s="1698"/>
      <c r="APB22" s="1699"/>
      <c r="APC22" s="1699"/>
      <c r="APD22" s="1699"/>
      <c r="APE22" s="1700"/>
      <c r="AQA22" s="1698"/>
      <c r="AQB22" s="1699"/>
      <c r="AQC22" s="1699"/>
      <c r="AQD22" s="1699"/>
      <c r="AQE22" s="1700"/>
      <c r="ARA22" s="1698"/>
      <c r="ARB22" s="1699"/>
      <c r="ARC22" s="1699"/>
      <c r="ARD22" s="1699"/>
      <c r="ARE22" s="1700"/>
      <c r="ASA22" s="1698"/>
      <c r="ASB22" s="1699"/>
      <c r="ASC22" s="1699"/>
      <c r="ASD22" s="1699"/>
      <c r="ASE22" s="1700"/>
      <c r="ATA22" s="1698"/>
      <c r="ATB22" s="1699"/>
      <c r="ATC22" s="1699"/>
      <c r="ATD22" s="1699"/>
      <c r="ATE22" s="1700"/>
      <c r="AUA22" s="1698"/>
      <c r="AUB22" s="1699"/>
      <c r="AUC22" s="1699"/>
      <c r="AUD22" s="1699"/>
      <c r="AUE22" s="1700"/>
      <c r="AVA22" s="1698"/>
      <c r="AVB22" s="1699"/>
      <c r="AVC22" s="1699"/>
      <c r="AVD22" s="1699"/>
      <c r="AVE22" s="1700"/>
      <c r="AWA22" s="1698"/>
      <c r="AWB22" s="1699"/>
      <c r="AWC22" s="1699"/>
      <c r="AWD22" s="1699"/>
      <c r="AWE22" s="1700"/>
      <c r="AXA22" s="1698"/>
      <c r="AXB22" s="1699"/>
      <c r="AXC22" s="1699"/>
      <c r="AXD22" s="1699"/>
      <c r="AXE22" s="1700"/>
      <c r="AYA22" s="1698"/>
      <c r="AYB22" s="1699"/>
      <c r="AYC22" s="1699"/>
      <c r="AYD22" s="1699"/>
      <c r="AYE22" s="1700"/>
      <c r="AZA22" s="1698"/>
      <c r="AZB22" s="1699"/>
      <c r="AZC22" s="1699"/>
      <c r="AZD22" s="1699"/>
      <c r="AZE22" s="1700"/>
      <c r="BAA22" s="1698"/>
      <c r="BAB22" s="1699"/>
      <c r="BAC22" s="1699"/>
      <c r="BAD22" s="1699"/>
      <c r="BAE22" s="1700"/>
      <c r="BBA22" s="1698"/>
      <c r="BBB22" s="1699"/>
      <c r="BBC22" s="1699"/>
      <c r="BBD22" s="1699"/>
      <c r="BBE22" s="1700"/>
      <c r="BCA22" s="1698"/>
      <c r="BCB22" s="1699"/>
      <c r="BCC22" s="1699"/>
      <c r="BCD22" s="1699"/>
      <c r="BCE22" s="1700"/>
      <c r="BDA22" s="1698"/>
      <c r="BDB22" s="1699"/>
      <c r="BDC22" s="1699"/>
      <c r="BDD22" s="1699"/>
      <c r="BDE22" s="1700"/>
      <c r="BEA22" s="1698"/>
      <c r="BEB22" s="1699"/>
      <c r="BEC22" s="1699"/>
      <c r="BED22" s="1699"/>
      <c r="BEE22" s="1700"/>
      <c r="BFA22" s="1698"/>
      <c r="BFB22" s="1699"/>
      <c r="BFC22" s="1699"/>
      <c r="BFD22" s="1699"/>
      <c r="BFE22" s="1700"/>
      <c r="BGA22" s="1698"/>
      <c r="BGB22" s="1699"/>
      <c r="BGC22" s="1699"/>
      <c r="BGD22" s="1699"/>
      <c r="BGE22" s="1700"/>
      <c r="BHA22" s="1698"/>
      <c r="BHB22" s="1699"/>
      <c r="BHC22" s="1699"/>
      <c r="BHD22" s="1699"/>
      <c r="BHE22" s="1700"/>
      <c r="BIA22" s="1698"/>
      <c r="BIB22" s="1699"/>
      <c r="BIC22" s="1699"/>
      <c r="BID22" s="1699"/>
      <c r="BIE22" s="1700"/>
      <c r="BJA22" s="1698"/>
      <c r="BJB22" s="1699"/>
      <c r="BJC22" s="1699"/>
      <c r="BJD22" s="1699"/>
      <c r="BJE22" s="1700"/>
      <c r="BKA22" s="1698"/>
      <c r="BKB22" s="1699"/>
      <c r="BKC22" s="1699"/>
      <c r="BKD22" s="1699"/>
      <c r="BKE22" s="1700"/>
      <c r="BLA22" s="1698"/>
      <c r="BLB22" s="1699"/>
      <c r="BLC22" s="1699"/>
      <c r="BLD22" s="1699"/>
      <c r="BLE22" s="1700"/>
      <c r="BMA22" s="1698"/>
      <c r="BMB22" s="1699"/>
      <c r="BMC22" s="1699"/>
      <c r="BMD22" s="1699"/>
      <c r="BME22" s="1700"/>
      <c r="BNA22" s="1698"/>
      <c r="BNB22" s="1699"/>
      <c r="BNC22" s="1699"/>
      <c r="BND22" s="1699"/>
      <c r="BNE22" s="1700"/>
      <c r="BOA22" s="1698"/>
      <c r="BOB22" s="1699"/>
      <c r="BOC22" s="1699"/>
      <c r="BOD22" s="1699"/>
      <c r="BOE22" s="1700"/>
      <c r="BPA22" s="1698"/>
      <c r="BPB22" s="1699"/>
      <c r="BPC22" s="1699"/>
      <c r="BPD22" s="1699"/>
      <c r="BPE22" s="1700"/>
      <c r="BQA22" s="1698"/>
      <c r="BQB22" s="1699"/>
      <c r="BQC22" s="1699"/>
      <c r="BQD22" s="1699"/>
      <c r="BQE22" s="1700"/>
      <c r="BRA22" s="1698"/>
      <c r="BRB22" s="1699"/>
      <c r="BRC22" s="1699"/>
      <c r="BRD22" s="1699"/>
      <c r="BRE22" s="1700"/>
    </row>
    <row r="23" spans="1:1019 1041:1825">
      <c r="A23" s="1034"/>
      <c r="B23" s="114" t="s">
        <v>1503</v>
      </c>
      <c r="F23"/>
      <c r="G23" s="574"/>
      <c r="H23" s="110"/>
      <c r="AA23" s="1698"/>
      <c r="AB23" s="1699"/>
      <c r="AC23" s="1699"/>
      <c r="AD23" s="1699"/>
      <c r="AE23" s="1700"/>
      <c r="BA23" s="1698"/>
      <c r="BB23" s="1699"/>
      <c r="BC23" s="1699"/>
      <c r="BD23" s="1699"/>
      <c r="BE23" s="1700"/>
      <c r="CA23" s="1698"/>
      <c r="CB23" s="1699"/>
      <c r="CC23" s="1699"/>
      <c r="CD23" s="1699"/>
      <c r="CE23" s="1700"/>
      <c r="DA23" s="1698"/>
      <c r="DB23" s="1699"/>
      <c r="DC23" s="1699"/>
      <c r="DD23" s="1699"/>
      <c r="DE23" s="1700"/>
      <c r="EA23" s="1698"/>
      <c r="EB23" s="1699"/>
      <c r="EC23" s="1699"/>
      <c r="ED23" s="1699"/>
      <c r="EE23" s="1700"/>
      <c r="FA23" s="1698"/>
      <c r="FB23" s="1699"/>
      <c r="FC23" s="1699"/>
      <c r="FD23" s="1699"/>
      <c r="FE23" s="1700"/>
      <c r="GA23" s="1698"/>
      <c r="GB23" s="1699"/>
      <c r="GC23" s="1699"/>
      <c r="GD23" s="1699"/>
      <c r="GE23" s="1700"/>
      <c r="HA23" s="1698"/>
      <c r="HB23" s="1699"/>
      <c r="HC23" s="1699"/>
      <c r="HD23" s="1699"/>
      <c r="HE23" s="1700"/>
      <c r="IA23" s="1698"/>
      <c r="IB23" s="1699"/>
      <c r="IC23" s="1699"/>
      <c r="ID23" s="1699"/>
      <c r="IE23" s="1700"/>
      <c r="JA23" s="1698"/>
      <c r="JB23" s="1699"/>
      <c r="JC23" s="1699"/>
      <c r="JD23" s="1699"/>
      <c r="JE23" s="1700"/>
      <c r="KA23" s="1698"/>
      <c r="KB23" s="1699"/>
      <c r="KC23" s="1699"/>
      <c r="KD23" s="1699"/>
      <c r="KE23" s="1700"/>
      <c r="LA23" s="1698"/>
      <c r="LB23" s="1699"/>
      <c r="LC23" s="1699"/>
      <c r="LD23" s="1699"/>
      <c r="LE23" s="1700"/>
      <c r="MA23" s="1698"/>
      <c r="MB23" s="1699"/>
      <c r="MC23" s="1699"/>
      <c r="MD23" s="1699"/>
      <c r="ME23" s="1700"/>
      <c r="NA23" s="1698"/>
      <c r="NB23" s="1699"/>
      <c r="NC23" s="1699"/>
      <c r="ND23" s="1699"/>
      <c r="NE23" s="1700"/>
      <c r="OA23" s="1698"/>
      <c r="OB23" s="1699"/>
      <c r="OC23" s="1699"/>
      <c r="OD23" s="1699"/>
      <c r="OE23" s="1700"/>
      <c r="PA23" s="1698"/>
      <c r="PB23" s="1699"/>
      <c r="PC23" s="1699"/>
      <c r="PD23" s="1699"/>
      <c r="PE23" s="1700"/>
      <c r="QA23" s="1698"/>
      <c r="QB23" s="1699"/>
      <c r="QC23" s="1699"/>
      <c r="QD23" s="1699"/>
      <c r="QE23" s="1700"/>
      <c r="RA23" s="1698"/>
      <c r="RB23" s="1699"/>
      <c r="RC23" s="1699"/>
      <c r="RD23" s="1699"/>
      <c r="RE23" s="1700"/>
      <c r="SA23" s="1698"/>
      <c r="SB23" s="1699"/>
      <c r="SC23" s="1699"/>
      <c r="SD23" s="1699"/>
      <c r="SE23" s="1700"/>
      <c r="TA23" s="1698"/>
      <c r="TB23" s="1699"/>
      <c r="TC23" s="1699"/>
      <c r="TD23" s="1699"/>
      <c r="TE23" s="1700"/>
      <c r="UA23" s="1698"/>
      <c r="UB23" s="1699"/>
      <c r="UC23" s="1699"/>
      <c r="UD23" s="1699"/>
      <c r="UE23" s="1700"/>
      <c r="VA23" s="1698"/>
      <c r="VB23" s="1699"/>
      <c r="VC23" s="1699"/>
      <c r="VD23" s="1699"/>
      <c r="VE23" s="1700"/>
      <c r="WA23" s="1698"/>
      <c r="WB23" s="1699"/>
      <c r="WC23" s="1699"/>
      <c r="WD23" s="1699"/>
      <c r="WE23" s="1700"/>
      <c r="XA23" s="1698"/>
      <c r="XB23" s="1699"/>
      <c r="XC23" s="1699"/>
      <c r="XD23" s="1699"/>
      <c r="XE23" s="1700"/>
      <c r="YA23" s="1698"/>
      <c r="YB23" s="1699"/>
      <c r="YC23" s="1699"/>
      <c r="YD23" s="1699"/>
      <c r="YE23" s="1700"/>
      <c r="ZA23" s="1698"/>
      <c r="ZB23" s="1699"/>
      <c r="ZC23" s="1699"/>
      <c r="ZD23" s="1699"/>
      <c r="ZE23" s="1700"/>
      <c r="AAA23" s="1698"/>
      <c r="AAB23" s="1699"/>
      <c r="AAC23" s="1699"/>
      <c r="AAD23" s="1699"/>
      <c r="AAE23" s="1700"/>
      <c r="ABA23" s="1698"/>
      <c r="ABB23" s="1699"/>
      <c r="ABC23" s="1699"/>
      <c r="ABD23" s="1699"/>
      <c r="ABE23" s="1700"/>
      <c r="ACA23" s="1698"/>
      <c r="ACB23" s="1699"/>
      <c r="ACC23" s="1699"/>
      <c r="ACD23" s="1699"/>
      <c r="ACE23" s="1700"/>
      <c r="ADA23" s="1698"/>
      <c r="ADB23" s="1699"/>
      <c r="ADC23" s="1699"/>
      <c r="ADD23" s="1699"/>
      <c r="ADE23" s="1700"/>
      <c r="AEA23" s="1698"/>
      <c r="AEB23" s="1699"/>
      <c r="AEC23" s="1699"/>
      <c r="AED23" s="1699"/>
      <c r="AEE23" s="1700"/>
      <c r="AFA23" s="1698"/>
      <c r="AFB23" s="1699"/>
      <c r="AFC23" s="1699"/>
      <c r="AFD23" s="1699"/>
      <c r="AFE23" s="1700"/>
      <c r="AGA23" s="1698"/>
      <c r="AGB23" s="1699"/>
      <c r="AGC23" s="1699"/>
      <c r="AGD23" s="1699"/>
      <c r="AGE23" s="1700"/>
      <c r="AHA23" s="1698"/>
      <c r="AHB23" s="1699"/>
      <c r="AHC23" s="1699"/>
      <c r="AHD23" s="1699"/>
      <c r="AHE23" s="1700"/>
      <c r="AIA23" s="1698"/>
      <c r="AIB23" s="1699"/>
      <c r="AIC23" s="1699"/>
      <c r="AID23" s="1699"/>
      <c r="AIE23" s="1700"/>
      <c r="AJA23" s="1698"/>
      <c r="AJB23" s="1699"/>
      <c r="AJC23" s="1699"/>
      <c r="AJD23" s="1699"/>
      <c r="AJE23" s="1700"/>
      <c r="AKA23" s="1698"/>
      <c r="AKB23" s="1699"/>
      <c r="AKC23" s="1699"/>
      <c r="AKD23" s="1699"/>
      <c r="AKE23" s="1700"/>
      <c r="ALA23" s="1698"/>
      <c r="ALB23" s="1699"/>
      <c r="ALC23" s="1699"/>
      <c r="ALD23" s="1699"/>
      <c r="ALE23" s="1700"/>
      <c r="AMA23" s="1698"/>
      <c r="AMB23" s="1699"/>
      <c r="AMC23" s="1699"/>
      <c r="AMD23" s="1699"/>
      <c r="AME23" s="1700"/>
      <c r="ANA23" s="1698"/>
      <c r="ANB23" s="1699"/>
      <c r="ANC23" s="1699"/>
      <c r="AND23" s="1699"/>
      <c r="ANE23" s="1700"/>
      <c r="AOA23" s="1698"/>
      <c r="AOB23" s="1699"/>
      <c r="AOC23" s="1699"/>
      <c r="AOD23" s="1699"/>
      <c r="AOE23" s="1700"/>
      <c r="APA23" s="1698"/>
      <c r="APB23" s="1699"/>
      <c r="APC23" s="1699"/>
      <c r="APD23" s="1699"/>
      <c r="APE23" s="1700"/>
      <c r="AQA23" s="1698"/>
      <c r="AQB23" s="1699"/>
      <c r="AQC23" s="1699"/>
      <c r="AQD23" s="1699"/>
      <c r="AQE23" s="1700"/>
      <c r="ARA23" s="1698"/>
      <c r="ARB23" s="1699"/>
      <c r="ARC23" s="1699"/>
      <c r="ARD23" s="1699"/>
      <c r="ARE23" s="1700"/>
      <c r="ASA23" s="1698"/>
      <c r="ASB23" s="1699"/>
      <c r="ASC23" s="1699"/>
      <c r="ASD23" s="1699"/>
      <c r="ASE23" s="1700"/>
      <c r="ATA23" s="1698"/>
      <c r="ATB23" s="1699"/>
      <c r="ATC23" s="1699"/>
      <c r="ATD23" s="1699"/>
      <c r="ATE23" s="1700"/>
      <c r="AUA23" s="1698"/>
      <c r="AUB23" s="1699"/>
      <c r="AUC23" s="1699"/>
      <c r="AUD23" s="1699"/>
      <c r="AUE23" s="1700"/>
      <c r="AVA23" s="1698"/>
      <c r="AVB23" s="1699"/>
      <c r="AVC23" s="1699"/>
      <c r="AVD23" s="1699"/>
      <c r="AVE23" s="1700"/>
      <c r="AWA23" s="1698"/>
      <c r="AWB23" s="1699"/>
      <c r="AWC23" s="1699"/>
      <c r="AWD23" s="1699"/>
      <c r="AWE23" s="1700"/>
      <c r="AXA23" s="1698"/>
      <c r="AXB23" s="1699"/>
      <c r="AXC23" s="1699"/>
      <c r="AXD23" s="1699"/>
      <c r="AXE23" s="1700"/>
      <c r="AYA23" s="1698"/>
      <c r="AYB23" s="1699"/>
      <c r="AYC23" s="1699"/>
      <c r="AYD23" s="1699"/>
      <c r="AYE23" s="1700"/>
      <c r="AZA23" s="1698"/>
      <c r="AZB23" s="1699"/>
      <c r="AZC23" s="1699"/>
      <c r="AZD23" s="1699"/>
      <c r="AZE23" s="1700"/>
      <c r="BAA23" s="1698"/>
      <c r="BAB23" s="1699"/>
      <c r="BAC23" s="1699"/>
      <c r="BAD23" s="1699"/>
      <c r="BAE23" s="1700"/>
      <c r="BBA23" s="1698"/>
      <c r="BBB23" s="1699"/>
      <c r="BBC23" s="1699"/>
      <c r="BBD23" s="1699"/>
      <c r="BBE23" s="1700"/>
      <c r="BCA23" s="1698"/>
      <c r="BCB23" s="1699"/>
      <c r="BCC23" s="1699"/>
      <c r="BCD23" s="1699"/>
      <c r="BCE23" s="1700"/>
      <c r="BDA23" s="1698"/>
      <c r="BDB23" s="1699"/>
      <c r="BDC23" s="1699"/>
      <c r="BDD23" s="1699"/>
      <c r="BDE23" s="1700"/>
      <c r="BEA23" s="1698"/>
      <c r="BEB23" s="1699"/>
      <c r="BEC23" s="1699"/>
      <c r="BED23" s="1699"/>
      <c r="BEE23" s="1700"/>
      <c r="BFA23" s="1698"/>
      <c r="BFB23" s="1699"/>
      <c r="BFC23" s="1699"/>
      <c r="BFD23" s="1699"/>
      <c r="BFE23" s="1700"/>
      <c r="BGA23" s="1698"/>
      <c r="BGB23" s="1699"/>
      <c r="BGC23" s="1699"/>
      <c r="BGD23" s="1699"/>
      <c r="BGE23" s="1700"/>
      <c r="BHA23" s="1698"/>
      <c r="BHB23" s="1699"/>
      <c r="BHC23" s="1699"/>
      <c r="BHD23" s="1699"/>
      <c r="BHE23" s="1700"/>
      <c r="BIA23" s="1698"/>
      <c r="BIB23" s="1699"/>
      <c r="BIC23" s="1699"/>
      <c r="BID23" s="1699"/>
      <c r="BIE23" s="1700"/>
      <c r="BJA23" s="1698"/>
      <c r="BJB23" s="1699"/>
      <c r="BJC23" s="1699"/>
      <c r="BJD23" s="1699"/>
      <c r="BJE23" s="1700"/>
      <c r="BKA23" s="1698"/>
      <c r="BKB23" s="1699"/>
      <c r="BKC23" s="1699"/>
      <c r="BKD23" s="1699"/>
      <c r="BKE23" s="1700"/>
      <c r="BLA23" s="1698"/>
      <c r="BLB23" s="1699"/>
      <c r="BLC23" s="1699"/>
      <c r="BLD23" s="1699"/>
      <c r="BLE23" s="1700"/>
      <c r="BMA23" s="1698"/>
      <c r="BMB23" s="1699"/>
      <c r="BMC23" s="1699"/>
      <c r="BMD23" s="1699"/>
      <c r="BME23" s="1700"/>
      <c r="BNA23" s="1698"/>
      <c r="BNB23" s="1699"/>
      <c r="BNC23" s="1699"/>
      <c r="BND23" s="1699"/>
      <c r="BNE23" s="1700"/>
      <c r="BOA23" s="1698"/>
      <c r="BOB23" s="1699"/>
      <c r="BOC23" s="1699"/>
      <c r="BOD23" s="1699"/>
      <c r="BOE23" s="1700"/>
      <c r="BPA23" s="1698"/>
      <c r="BPB23" s="1699"/>
      <c r="BPC23" s="1699"/>
      <c r="BPD23" s="1699"/>
      <c r="BPE23" s="1700"/>
      <c r="BQA23" s="1698"/>
      <c r="BQB23" s="1699"/>
      <c r="BQC23" s="1699"/>
      <c r="BQD23" s="1699"/>
      <c r="BQE23" s="1700"/>
      <c r="BRA23" s="1698"/>
      <c r="BRB23" s="1699"/>
      <c r="BRC23" s="1699"/>
      <c r="BRD23" s="1699"/>
      <c r="BRE23" s="1700"/>
    </row>
    <row r="24" spans="1:1019 1041:1825">
      <c r="B24" s="114" t="s">
        <v>33</v>
      </c>
      <c r="F24"/>
      <c r="G24" s="574"/>
      <c r="H24" s="110"/>
      <c r="AA24" s="1794"/>
      <c r="AB24" s="1795"/>
      <c r="AC24" s="1795"/>
      <c r="AD24" s="1795"/>
      <c r="AE24" s="1796"/>
      <c r="BA24" s="1794"/>
      <c r="BB24" s="1795"/>
      <c r="BC24" s="1795"/>
      <c r="BD24" s="1795"/>
      <c r="BE24" s="1796"/>
      <c r="CA24" s="1794"/>
      <c r="CB24" s="1795"/>
      <c r="CC24" s="1795"/>
      <c r="CD24" s="1795"/>
      <c r="CE24" s="1796"/>
      <c r="DA24" s="1794"/>
      <c r="DB24" s="1795"/>
      <c r="DC24" s="1795"/>
      <c r="DD24" s="1795"/>
      <c r="DE24" s="1796"/>
      <c r="EA24" s="1794"/>
      <c r="EB24" s="1795"/>
      <c r="EC24" s="1795"/>
      <c r="ED24" s="1795"/>
      <c r="EE24" s="1796"/>
      <c r="FA24" s="1794"/>
      <c r="FB24" s="1795"/>
      <c r="FC24" s="1795"/>
      <c r="FD24" s="1795"/>
      <c r="FE24" s="1796"/>
      <c r="GA24" s="1794"/>
      <c r="GB24" s="1795"/>
      <c r="GC24" s="1795"/>
      <c r="GD24" s="1795"/>
      <c r="GE24" s="1796"/>
      <c r="HA24" s="1794"/>
      <c r="HB24" s="1795"/>
      <c r="HC24" s="1795"/>
      <c r="HD24" s="1795"/>
      <c r="HE24" s="1796"/>
      <c r="IA24" s="1794"/>
      <c r="IB24" s="1795"/>
      <c r="IC24" s="1795"/>
      <c r="ID24" s="1795"/>
      <c r="IE24" s="1796"/>
      <c r="JA24" s="1794"/>
      <c r="JB24" s="1795"/>
      <c r="JC24" s="1795"/>
      <c r="JD24" s="1795"/>
      <c r="JE24" s="1796"/>
      <c r="KA24" s="1794"/>
      <c r="KB24" s="1795"/>
      <c r="KC24" s="1795"/>
      <c r="KD24" s="1795"/>
      <c r="KE24" s="1796"/>
      <c r="LA24" s="1794"/>
      <c r="LB24" s="1795"/>
      <c r="LC24" s="1795"/>
      <c r="LD24" s="1795"/>
      <c r="LE24" s="1796"/>
      <c r="MA24" s="1794"/>
      <c r="MB24" s="1795"/>
      <c r="MC24" s="1795"/>
      <c r="MD24" s="1795"/>
      <c r="ME24" s="1796"/>
      <c r="NA24" s="1794"/>
      <c r="NB24" s="1795"/>
      <c r="NC24" s="1795"/>
      <c r="ND24" s="1795"/>
      <c r="NE24" s="1796"/>
      <c r="OA24" s="1794"/>
      <c r="OB24" s="1795"/>
      <c r="OC24" s="1795"/>
      <c r="OD24" s="1795"/>
      <c r="OE24" s="1796"/>
      <c r="PA24" s="1794"/>
      <c r="PB24" s="1795"/>
      <c r="PC24" s="1795"/>
      <c r="PD24" s="1795"/>
      <c r="PE24" s="1796"/>
      <c r="QA24" s="1794"/>
      <c r="QB24" s="1795"/>
      <c r="QC24" s="1795"/>
      <c r="QD24" s="1795"/>
      <c r="QE24" s="1796"/>
      <c r="RA24" s="1794"/>
      <c r="RB24" s="1795"/>
      <c r="RC24" s="1795"/>
      <c r="RD24" s="1795"/>
      <c r="RE24" s="1796"/>
      <c r="SA24" s="1794"/>
      <c r="SB24" s="1795"/>
      <c r="SC24" s="1795"/>
      <c r="SD24" s="1795"/>
      <c r="SE24" s="1796"/>
      <c r="TA24" s="1794"/>
      <c r="TB24" s="1795"/>
      <c r="TC24" s="1795"/>
      <c r="TD24" s="1795"/>
      <c r="TE24" s="1796"/>
      <c r="UA24" s="1794"/>
      <c r="UB24" s="1795"/>
      <c r="UC24" s="1795"/>
      <c r="UD24" s="1795"/>
      <c r="UE24" s="1796"/>
      <c r="VA24" s="1794"/>
      <c r="VB24" s="1795"/>
      <c r="VC24" s="1795"/>
      <c r="VD24" s="1795"/>
      <c r="VE24" s="1796"/>
      <c r="WA24" s="1794"/>
      <c r="WB24" s="1795"/>
      <c r="WC24" s="1795"/>
      <c r="WD24" s="1795"/>
      <c r="WE24" s="1796"/>
      <c r="XA24" s="1794"/>
      <c r="XB24" s="1795"/>
      <c r="XC24" s="1795"/>
      <c r="XD24" s="1795"/>
      <c r="XE24" s="1796"/>
      <c r="YA24" s="1794"/>
      <c r="YB24" s="1795"/>
      <c r="YC24" s="1795"/>
      <c r="YD24" s="1795"/>
      <c r="YE24" s="1796"/>
      <c r="ZA24" s="1794"/>
      <c r="ZB24" s="1795"/>
      <c r="ZC24" s="1795"/>
      <c r="ZD24" s="1795"/>
      <c r="ZE24" s="1796"/>
      <c r="AAA24" s="1794"/>
      <c r="AAB24" s="1795"/>
      <c r="AAC24" s="1795"/>
      <c r="AAD24" s="1795"/>
      <c r="AAE24" s="1796"/>
      <c r="ABA24" s="1794"/>
      <c r="ABB24" s="1795"/>
      <c r="ABC24" s="1795"/>
      <c r="ABD24" s="1795"/>
      <c r="ABE24" s="1796"/>
      <c r="ACA24" s="1794"/>
      <c r="ACB24" s="1795"/>
      <c r="ACC24" s="1795"/>
      <c r="ACD24" s="1795"/>
      <c r="ACE24" s="1796"/>
      <c r="ADA24" s="1794"/>
      <c r="ADB24" s="1795"/>
      <c r="ADC24" s="1795"/>
      <c r="ADD24" s="1795"/>
      <c r="ADE24" s="1796"/>
      <c r="AEA24" s="1794"/>
      <c r="AEB24" s="1795"/>
      <c r="AEC24" s="1795"/>
      <c r="AED24" s="1795"/>
      <c r="AEE24" s="1796"/>
      <c r="AFA24" s="1794"/>
      <c r="AFB24" s="1795"/>
      <c r="AFC24" s="1795"/>
      <c r="AFD24" s="1795"/>
      <c r="AFE24" s="1796"/>
      <c r="AGA24" s="1794"/>
      <c r="AGB24" s="1795"/>
      <c r="AGC24" s="1795"/>
      <c r="AGD24" s="1795"/>
      <c r="AGE24" s="1796"/>
      <c r="AHA24" s="1794"/>
      <c r="AHB24" s="1795"/>
      <c r="AHC24" s="1795"/>
      <c r="AHD24" s="1795"/>
      <c r="AHE24" s="1796"/>
      <c r="AIA24" s="1794"/>
      <c r="AIB24" s="1795"/>
      <c r="AIC24" s="1795"/>
      <c r="AID24" s="1795"/>
      <c r="AIE24" s="1796"/>
      <c r="AJA24" s="1794"/>
      <c r="AJB24" s="1795"/>
      <c r="AJC24" s="1795"/>
      <c r="AJD24" s="1795"/>
      <c r="AJE24" s="1796"/>
      <c r="AKA24" s="1794"/>
      <c r="AKB24" s="1795"/>
      <c r="AKC24" s="1795"/>
      <c r="AKD24" s="1795"/>
      <c r="AKE24" s="1796"/>
      <c r="ALA24" s="1794"/>
      <c r="ALB24" s="1795"/>
      <c r="ALC24" s="1795"/>
      <c r="ALD24" s="1795"/>
      <c r="ALE24" s="1796"/>
      <c r="AMA24" s="1794"/>
      <c r="AMB24" s="1795"/>
      <c r="AMC24" s="1795"/>
      <c r="AMD24" s="1795"/>
      <c r="AME24" s="1796"/>
      <c r="ANA24" s="1794"/>
      <c r="ANB24" s="1795"/>
      <c r="ANC24" s="1795"/>
      <c r="AND24" s="1795"/>
      <c r="ANE24" s="1796"/>
      <c r="AOA24" s="1794"/>
      <c r="AOB24" s="1795"/>
      <c r="AOC24" s="1795"/>
      <c r="AOD24" s="1795"/>
      <c r="AOE24" s="1796"/>
      <c r="APA24" s="1794"/>
      <c r="APB24" s="1795"/>
      <c r="APC24" s="1795"/>
      <c r="APD24" s="1795"/>
      <c r="APE24" s="1796"/>
      <c r="AQA24" s="1794"/>
      <c r="AQB24" s="1795"/>
      <c r="AQC24" s="1795"/>
      <c r="AQD24" s="1795"/>
      <c r="AQE24" s="1796"/>
      <c r="ARA24" s="1794"/>
      <c r="ARB24" s="1795"/>
      <c r="ARC24" s="1795"/>
      <c r="ARD24" s="1795"/>
      <c r="ARE24" s="1796"/>
      <c r="ASA24" s="1794"/>
      <c r="ASB24" s="1795"/>
      <c r="ASC24" s="1795"/>
      <c r="ASD24" s="1795"/>
      <c r="ASE24" s="1796"/>
      <c r="ATA24" s="1794"/>
      <c r="ATB24" s="1795"/>
      <c r="ATC24" s="1795"/>
      <c r="ATD24" s="1795"/>
      <c r="ATE24" s="1796"/>
      <c r="AUA24" s="1794"/>
      <c r="AUB24" s="1795"/>
      <c r="AUC24" s="1795"/>
      <c r="AUD24" s="1795"/>
      <c r="AUE24" s="1796"/>
      <c r="AVA24" s="1794"/>
      <c r="AVB24" s="1795"/>
      <c r="AVC24" s="1795"/>
      <c r="AVD24" s="1795"/>
      <c r="AVE24" s="1796"/>
      <c r="AWA24" s="1794"/>
      <c r="AWB24" s="1795"/>
      <c r="AWC24" s="1795"/>
      <c r="AWD24" s="1795"/>
      <c r="AWE24" s="1796"/>
      <c r="AXA24" s="1794"/>
      <c r="AXB24" s="1795"/>
      <c r="AXC24" s="1795"/>
      <c r="AXD24" s="1795"/>
      <c r="AXE24" s="1796"/>
      <c r="AYA24" s="1794"/>
      <c r="AYB24" s="1795"/>
      <c r="AYC24" s="1795"/>
      <c r="AYD24" s="1795"/>
      <c r="AYE24" s="1796"/>
      <c r="AZA24" s="1794"/>
      <c r="AZB24" s="1795"/>
      <c r="AZC24" s="1795"/>
      <c r="AZD24" s="1795"/>
      <c r="AZE24" s="1796"/>
      <c r="BAA24" s="1794"/>
      <c r="BAB24" s="1795"/>
      <c r="BAC24" s="1795"/>
      <c r="BAD24" s="1795"/>
      <c r="BAE24" s="1796"/>
      <c r="BBA24" s="1794"/>
      <c r="BBB24" s="1795"/>
      <c r="BBC24" s="1795"/>
      <c r="BBD24" s="1795"/>
      <c r="BBE24" s="1796"/>
      <c r="BCA24" s="1794"/>
      <c r="BCB24" s="1795"/>
      <c r="BCC24" s="1795"/>
      <c r="BCD24" s="1795"/>
      <c r="BCE24" s="1796"/>
      <c r="BDA24" s="1794"/>
      <c r="BDB24" s="1795"/>
      <c r="BDC24" s="1795"/>
      <c r="BDD24" s="1795"/>
      <c r="BDE24" s="1796"/>
      <c r="BEA24" s="1794"/>
      <c r="BEB24" s="1795"/>
      <c r="BEC24" s="1795"/>
      <c r="BED24" s="1795"/>
      <c r="BEE24" s="1796"/>
      <c r="BFA24" s="1794"/>
      <c r="BFB24" s="1795"/>
      <c r="BFC24" s="1795"/>
      <c r="BFD24" s="1795"/>
      <c r="BFE24" s="1796"/>
      <c r="BGA24" s="1794"/>
      <c r="BGB24" s="1795"/>
      <c r="BGC24" s="1795"/>
      <c r="BGD24" s="1795"/>
      <c r="BGE24" s="1796"/>
      <c r="BHA24" s="1794"/>
      <c r="BHB24" s="1795"/>
      <c r="BHC24" s="1795"/>
      <c r="BHD24" s="1795"/>
      <c r="BHE24" s="1796"/>
      <c r="BIA24" s="1794"/>
      <c r="BIB24" s="1795"/>
      <c r="BIC24" s="1795"/>
      <c r="BID24" s="1795"/>
      <c r="BIE24" s="1796"/>
      <c r="BJA24" s="1794"/>
      <c r="BJB24" s="1795"/>
      <c r="BJC24" s="1795"/>
      <c r="BJD24" s="1795"/>
      <c r="BJE24" s="1796"/>
      <c r="BKA24" s="1794"/>
      <c r="BKB24" s="1795"/>
      <c r="BKC24" s="1795"/>
      <c r="BKD24" s="1795"/>
      <c r="BKE24" s="1796"/>
      <c r="BLA24" s="1794"/>
      <c r="BLB24" s="1795"/>
      <c r="BLC24" s="1795"/>
      <c r="BLD24" s="1795"/>
      <c r="BLE24" s="1796"/>
      <c r="BMA24" s="1794"/>
      <c r="BMB24" s="1795"/>
      <c r="BMC24" s="1795"/>
      <c r="BMD24" s="1795"/>
      <c r="BME24" s="1796"/>
      <c r="BNA24" s="1794"/>
      <c r="BNB24" s="1795"/>
      <c r="BNC24" s="1795"/>
      <c r="BND24" s="1795"/>
      <c r="BNE24" s="1796"/>
      <c r="BOA24" s="1794"/>
      <c r="BOB24" s="1795"/>
      <c r="BOC24" s="1795"/>
      <c r="BOD24" s="1795"/>
      <c r="BOE24" s="1796"/>
      <c r="BPA24" s="1794"/>
      <c r="BPB24" s="1795"/>
      <c r="BPC24" s="1795"/>
      <c r="BPD24" s="1795"/>
      <c r="BPE24" s="1796"/>
      <c r="BQA24" s="1794"/>
      <c r="BQB24" s="1795"/>
      <c r="BQC24" s="1795"/>
      <c r="BQD24" s="1795"/>
      <c r="BQE24" s="1796"/>
      <c r="BRA24" s="1794"/>
      <c r="BRB24" s="1795"/>
      <c r="BRC24" s="1795"/>
      <c r="BRD24" s="1795"/>
      <c r="BRE24" s="1796"/>
    </row>
    <row r="25" spans="1:1019 1041:1825">
      <c r="A25" s="1034"/>
      <c r="B25" s="114" t="s">
        <v>611</v>
      </c>
      <c r="F25"/>
      <c r="G25" s="574"/>
      <c r="H25" s="110"/>
      <c r="AA25" s="449" t="s">
        <v>471</v>
      </c>
      <c r="AB25" s="120"/>
      <c r="AC25" s="454"/>
      <c r="AD25" s="120"/>
      <c r="AE25" s="440"/>
      <c r="BA25" s="449" t="s">
        <v>471</v>
      </c>
      <c r="BB25" s="120"/>
      <c r="BC25" s="454"/>
      <c r="BD25" s="120"/>
      <c r="BE25" s="440"/>
      <c r="CA25" s="449" t="s">
        <v>471</v>
      </c>
      <c r="CB25" s="120"/>
      <c r="CC25" s="454"/>
      <c r="CD25" s="120"/>
      <c r="CE25" s="440"/>
      <c r="DA25" s="449" t="s">
        <v>471</v>
      </c>
      <c r="DB25" s="120"/>
      <c r="DC25" s="454"/>
      <c r="DD25" s="120"/>
      <c r="DE25" s="440"/>
      <c r="EA25" s="449" t="s">
        <v>471</v>
      </c>
      <c r="EB25" s="120"/>
      <c r="EC25" s="454"/>
      <c r="ED25" s="120"/>
      <c r="EE25" s="440"/>
      <c r="FA25" s="449" t="s">
        <v>471</v>
      </c>
      <c r="FB25" s="120"/>
      <c r="FC25" s="454"/>
      <c r="FD25" s="120"/>
      <c r="FE25" s="440"/>
      <c r="GA25" s="449" t="s">
        <v>471</v>
      </c>
      <c r="GB25" s="120"/>
      <c r="GC25" s="454"/>
      <c r="GD25" s="120"/>
      <c r="GE25" s="440"/>
      <c r="HA25" s="449" t="s">
        <v>471</v>
      </c>
      <c r="HB25" s="120"/>
      <c r="HC25" s="454"/>
      <c r="HD25" s="120"/>
      <c r="HE25" s="440"/>
      <c r="IA25" s="449" t="s">
        <v>471</v>
      </c>
      <c r="IB25" s="120"/>
      <c r="IC25" s="454"/>
      <c r="ID25" s="120"/>
      <c r="IE25" s="440"/>
      <c r="JA25" s="449" t="s">
        <v>471</v>
      </c>
      <c r="JB25" s="120"/>
      <c r="JC25" s="454"/>
      <c r="JD25" s="120"/>
      <c r="JE25" s="440"/>
      <c r="KA25" s="449" t="s">
        <v>471</v>
      </c>
      <c r="KB25" s="120"/>
      <c r="KC25" s="454"/>
      <c r="KD25" s="120"/>
      <c r="KE25" s="440"/>
      <c r="LA25" s="449" t="s">
        <v>471</v>
      </c>
      <c r="LB25" s="120"/>
      <c r="LC25" s="454"/>
      <c r="LD25" s="120"/>
      <c r="LE25" s="440"/>
      <c r="MA25" s="449" t="s">
        <v>471</v>
      </c>
      <c r="MB25" s="120"/>
      <c r="MC25" s="454"/>
      <c r="MD25" s="120"/>
      <c r="ME25" s="440"/>
      <c r="NA25" s="449" t="s">
        <v>471</v>
      </c>
      <c r="NB25" s="120"/>
      <c r="NC25" s="454"/>
      <c r="ND25" s="120"/>
      <c r="NE25" s="440"/>
      <c r="OA25" s="449" t="s">
        <v>471</v>
      </c>
      <c r="OB25" s="120"/>
      <c r="OC25" s="454"/>
      <c r="OD25" s="120"/>
      <c r="OE25" s="440"/>
      <c r="PA25" s="449" t="s">
        <v>471</v>
      </c>
      <c r="PB25" s="120"/>
      <c r="PC25" s="454"/>
      <c r="PD25" s="120"/>
      <c r="PE25" s="440"/>
      <c r="QA25" s="449" t="s">
        <v>471</v>
      </c>
      <c r="QB25" s="120"/>
      <c r="QC25" s="454"/>
      <c r="QD25" s="120"/>
      <c r="QE25" s="440"/>
      <c r="RA25" s="449" t="s">
        <v>471</v>
      </c>
      <c r="RB25" s="120"/>
      <c r="RC25" s="454"/>
      <c r="RD25" s="120"/>
      <c r="RE25" s="440"/>
      <c r="SA25" s="449" t="s">
        <v>471</v>
      </c>
      <c r="SB25" s="120"/>
      <c r="SC25" s="454"/>
      <c r="SD25" s="120"/>
      <c r="SE25" s="440"/>
      <c r="TA25" s="449" t="s">
        <v>471</v>
      </c>
      <c r="TB25" s="120"/>
      <c r="TC25" s="454"/>
      <c r="TD25" s="120"/>
      <c r="TE25" s="440"/>
      <c r="UA25" s="449" t="s">
        <v>471</v>
      </c>
      <c r="UB25" s="120"/>
      <c r="UC25" s="454"/>
      <c r="UD25" s="120"/>
      <c r="UE25" s="440"/>
      <c r="VA25" s="449" t="s">
        <v>471</v>
      </c>
      <c r="VB25" s="120"/>
      <c r="VC25" s="454"/>
      <c r="VD25" s="120"/>
      <c r="VE25" s="440"/>
      <c r="WA25" s="449" t="s">
        <v>471</v>
      </c>
      <c r="WB25" s="120"/>
      <c r="WC25" s="454"/>
      <c r="WD25" s="120"/>
      <c r="WE25" s="440"/>
      <c r="XA25" s="449" t="s">
        <v>471</v>
      </c>
      <c r="XB25" s="120"/>
      <c r="XC25" s="454"/>
      <c r="XD25" s="120"/>
      <c r="XE25" s="440"/>
      <c r="YA25" s="449" t="s">
        <v>471</v>
      </c>
      <c r="YB25" s="120"/>
      <c r="YC25" s="454"/>
      <c r="YD25" s="120"/>
      <c r="YE25" s="440"/>
      <c r="ZA25" s="449" t="s">
        <v>471</v>
      </c>
      <c r="ZB25" s="120"/>
      <c r="ZC25" s="454"/>
      <c r="ZD25" s="120"/>
      <c r="ZE25" s="440"/>
      <c r="AAA25" s="449" t="s">
        <v>471</v>
      </c>
      <c r="AAB25" s="120"/>
      <c r="AAC25" s="454"/>
      <c r="AAD25" s="120"/>
      <c r="AAE25" s="440"/>
      <c r="ABA25" s="449" t="s">
        <v>471</v>
      </c>
      <c r="ABB25" s="120"/>
      <c r="ABC25" s="454"/>
      <c r="ABD25" s="120"/>
      <c r="ABE25" s="440"/>
      <c r="ACA25" s="449" t="s">
        <v>471</v>
      </c>
      <c r="ACB25" s="120"/>
      <c r="ACC25" s="454"/>
      <c r="ACD25" s="120"/>
      <c r="ACE25" s="440"/>
      <c r="ADA25" s="449" t="s">
        <v>471</v>
      </c>
      <c r="ADB25" s="120"/>
      <c r="ADC25" s="454"/>
      <c r="ADD25" s="120"/>
      <c r="ADE25" s="440"/>
      <c r="AEA25" s="449" t="s">
        <v>471</v>
      </c>
      <c r="AEB25" s="120"/>
      <c r="AEC25" s="454"/>
      <c r="AED25" s="120"/>
      <c r="AEE25" s="440"/>
      <c r="AFA25" s="449" t="s">
        <v>471</v>
      </c>
      <c r="AFB25" s="120"/>
      <c r="AFC25" s="454"/>
      <c r="AFD25" s="120"/>
      <c r="AFE25" s="440"/>
      <c r="AGA25" s="449" t="s">
        <v>471</v>
      </c>
      <c r="AGB25" s="120"/>
      <c r="AGC25" s="454"/>
      <c r="AGD25" s="120"/>
      <c r="AGE25" s="440"/>
      <c r="AHA25" s="449" t="s">
        <v>471</v>
      </c>
      <c r="AHB25" s="120"/>
      <c r="AHC25" s="454"/>
      <c r="AHD25" s="120"/>
      <c r="AHE25" s="440"/>
      <c r="AIA25" s="449" t="s">
        <v>471</v>
      </c>
      <c r="AIB25" s="120"/>
      <c r="AIC25" s="454"/>
      <c r="AID25" s="120"/>
      <c r="AIE25" s="440"/>
      <c r="AJA25" s="449" t="s">
        <v>471</v>
      </c>
      <c r="AJB25" s="120"/>
      <c r="AJC25" s="454"/>
      <c r="AJD25" s="120"/>
      <c r="AJE25" s="440"/>
      <c r="AKA25" s="449" t="s">
        <v>471</v>
      </c>
      <c r="AKB25" s="120"/>
      <c r="AKC25" s="454"/>
      <c r="AKD25" s="120"/>
      <c r="AKE25" s="440"/>
      <c r="ALA25" s="449" t="s">
        <v>471</v>
      </c>
      <c r="ALB25" s="120"/>
      <c r="ALC25" s="454"/>
      <c r="ALD25" s="120"/>
      <c r="ALE25" s="440"/>
      <c r="AMA25" s="449" t="s">
        <v>471</v>
      </c>
      <c r="AMB25" s="120"/>
      <c r="AMC25" s="454"/>
      <c r="AMD25" s="120"/>
      <c r="AME25" s="440"/>
      <c r="ANA25" s="449" t="s">
        <v>471</v>
      </c>
      <c r="ANB25" s="120"/>
      <c r="ANC25" s="454"/>
      <c r="AND25" s="120"/>
      <c r="ANE25" s="440"/>
      <c r="AOA25" s="449" t="s">
        <v>471</v>
      </c>
      <c r="AOB25" s="120"/>
      <c r="AOC25" s="454"/>
      <c r="AOD25" s="120"/>
      <c r="AOE25" s="440"/>
      <c r="APA25" s="449" t="s">
        <v>471</v>
      </c>
      <c r="APB25" s="120"/>
      <c r="APC25" s="454"/>
      <c r="APD25" s="120"/>
      <c r="APE25" s="440"/>
      <c r="AQA25" s="449" t="s">
        <v>471</v>
      </c>
      <c r="AQB25" s="120"/>
      <c r="AQC25" s="454"/>
      <c r="AQD25" s="120"/>
      <c r="AQE25" s="440"/>
      <c r="ARA25" s="449" t="s">
        <v>471</v>
      </c>
      <c r="ARB25" s="120"/>
      <c r="ARC25" s="454"/>
      <c r="ARD25" s="120"/>
      <c r="ARE25" s="440"/>
      <c r="ASA25" s="449" t="s">
        <v>471</v>
      </c>
      <c r="ASB25" s="120"/>
      <c r="ASC25" s="454"/>
      <c r="ASD25" s="120"/>
      <c r="ASE25" s="440"/>
      <c r="ATA25" s="449" t="s">
        <v>471</v>
      </c>
      <c r="ATB25" s="120"/>
      <c r="ATC25" s="454"/>
      <c r="ATD25" s="120"/>
      <c r="ATE25" s="440"/>
      <c r="AUA25" s="449" t="s">
        <v>471</v>
      </c>
      <c r="AUB25" s="120"/>
      <c r="AUC25" s="454"/>
      <c r="AUD25" s="120"/>
      <c r="AUE25" s="440"/>
      <c r="AVA25" s="449" t="s">
        <v>471</v>
      </c>
      <c r="AVB25" s="120"/>
      <c r="AVC25" s="454"/>
      <c r="AVD25" s="120"/>
      <c r="AVE25" s="440"/>
      <c r="AWA25" s="449" t="s">
        <v>471</v>
      </c>
      <c r="AWB25" s="120"/>
      <c r="AWC25" s="454"/>
      <c r="AWD25" s="120"/>
      <c r="AWE25" s="440"/>
      <c r="AXA25" s="449" t="s">
        <v>471</v>
      </c>
      <c r="AXB25" s="120"/>
      <c r="AXC25" s="454"/>
      <c r="AXD25" s="120"/>
      <c r="AXE25" s="440"/>
      <c r="AYA25" s="449" t="s">
        <v>471</v>
      </c>
      <c r="AYB25" s="120"/>
      <c r="AYC25" s="454"/>
      <c r="AYD25" s="120"/>
      <c r="AYE25" s="440"/>
      <c r="AZA25" s="449" t="s">
        <v>471</v>
      </c>
      <c r="AZB25" s="120"/>
      <c r="AZC25" s="454"/>
      <c r="AZD25" s="120"/>
      <c r="AZE25" s="440"/>
      <c r="BAA25" s="449" t="s">
        <v>471</v>
      </c>
      <c r="BAB25" s="120"/>
      <c r="BAC25" s="454"/>
      <c r="BAD25" s="120"/>
      <c r="BAE25" s="440"/>
      <c r="BBA25" s="449" t="s">
        <v>471</v>
      </c>
      <c r="BBB25" s="120"/>
      <c r="BBC25" s="454"/>
      <c r="BBD25" s="120"/>
      <c r="BBE25" s="440"/>
      <c r="BCA25" s="449" t="s">
        <v>471</v>
      </c>
      <c r="BCB25" s="120"/>
      <c r="BCC25" s="454"/>
      <c r="BCD25" s="120"/>
      <c r="BCE25" s="440"/>
      <c r="BDA25" s="449" t="s">
        <v>471</v>
      </c>
      <c r="BDB25" s="120"/>
      <c r="BDC25" s="454"/>
      <c r="BDD25" s="120"/>
      <c r="BDE25" s="440"/>
      <c r="BEA25" s="449" t="s">
        <v>471</v>
      </c>
      <c r="BEB25" s="120"/>
      <c r="BEC25" s="454"/>
      <c r="BED25" s="120"/>
      <c r="BEE25" s="440"/>
      <c r="BFA25" s="449" t="s">
        <v>471</v>
      </c>
      <c r="BFB25" s="120"/>
      <c r="BFC25" s="454"/>
      <c r="BFD25" s="120"/>
      <c r="BFE25" s="440"/>
      <c r="BGA25" s="449" t="s">
        <v>471</v>
      </c>
      <c r="BGB25" s="120"/>
      <c r="BGC25" s="454"/>
      <c r="BGD25" s="120"/>
      <c r="BGE25" s="440"/>
      <c r="BHA25" s="449" t="s">
        <v>471</v>
      </c>
      <c r="BHB25" s="120"/>
      <c r="BHC25" s="454"/>
      <c r="BHD25" s="120"/>
      <c r="BHE25" s="440"/>
      <c r="BIA25" s="449" t="s">
        <v>471</v>
      </c>
      <c r="BIB25" s="120"/>
      <c r="BIC25" s="454"/>
      <c r="BID25" s="120"/>
      <c r="BIE25" s="440"/>
      <c r="BJA25" s="449" t="s">
        <v>471</v>
      </c>
      <c r="BJB25" s="120"/>
      <c r="BJC25" s="454"/>
      <c r="BJD25" s="120"/>
      <c r="BJE25" s="440"/>
      <c r="BKA25" s="449" t="s">
        <v>471</v>
      </c>
      <c r="BKB25" s="120"/>
      <c r="BKC25" s="454"/>
      <c r="BKD25" s="120"/>
      <c r="BKE25" s="440"/>
      <c r="BLA25" s="449" t="s">
        <v>471</v>
      </c>
      <c r="BLB25" s="120"/>
      <c r="BLC25" s="454"/>
      <c r="BLD25" s="120"/>
      <c r="BLE25" s="440"/>
      <c r="BMA25" s="449" t="s">
        <v>471</v>
      </c>
      <c r="BMB25" s="120"/>
      <c r="BMC25" s="454"/>
      <c r="BMD25" s="120"/>
      <c r="BME25" s="440"/>
      <c r="BNA25" s="449" t="s">
        <v>471</v>
      </c>
      <c r="BNB25" s="120"/>
      <c r="BNC25" s="454"/>
      <c r="BND25" s="120"/>
      <c r="BNE25" s="440"/>
      <c r="BOA25" s="449" t="s">
        <v>471</v>
      </c>
      <c r="BOB25" s="120"/>
      <c r="BOC25" s="454"/>
      <c r="BOD25" s="120"/>
      <c r="BOE25" s="440"/>
      <c r="BPA25" s="449" t="s">
        <v>471</v>
      </c>
      <c r="BPB25" s="120"/>
      <c r="BPC25" s="454"/>
      <c r="BPD25" s="120"/>
      <c r="BPE25" s="440"/>
      <c r="BQA25" s="449" t="s">
        <v>471</v>
      </c>
      <c r="BQB25" s="120"/>
      <c r="BQC25" s="454"/>
      <c r="BQD25" s="120"/>
      <c r="BQE25" s="440"/>
      <c r="BRA25" s="449" t="s">
        <v>471</v>
      </c>
      <c r="BRB25" s="120"/>
      <c r="BRC25" s="454"/>
      <c r="BRD25" s="120"/>
      <c r="BRE25" s="440"/>
    </row>
    <row r="26" spans="1:1019 1041:1825">
      <c r="B26" s="114" t="s">
        <v>1504</v>
      </c>
      <c r="F26"/>
      <c r="G26" s="574"/>
      <c r="H26" s="110"/>
      <c r="AA26" s="436" t="s">
        <v>577</v>
      </c>
      <c r="AB26" s="120"/>
      <c r="AC26" s="446" t="s">
        <v>454</v>
      </c>
      <c r="AD26" s="120"/>
      <c r="AE26" s="440"/>
      <c r="BA26" s="436" t="s">
        <v>577</v>
      </c>
      <c r="BB26" s="120"/>
      <c r="BC26" s="446" t="s">
        <v>454</v>
      </c>
      <c r="BD26" s="120"/>
      <c r="BE26" s="440"/>
      <c r="CA26" s="436" t="s">
        <v>577</v>
      </c>
      <c r="CB26" s="120"/>
      <c r="CC26" s="446" t="s">
        <v>454</v>
      </c>
      <c r="CD26" s="120"/>
      <c r="CE26" s="440"/>
      <c r="DA26" s="436" t="s">
        <v>577</v>
      </c>
      <c r="DB26" s="120"/>
      <c r="DC26" s="446" t="s">
        <v>454</v>
      </c>
      <c r="DD26" s="120"/>
      <c r="DE26" s="440"/>
      <c r="EA26" s="436" t="s">
        <v>577</v>
      </c>
      <c r="EB26" s="120"/>
      <c r="EC26" s="446" t="s">
        <v>454</v>
      </c>
      <c r="ED26" s="120"/>
      <c r="EE26" s="440"/>
      <c r="FA26" s="436" t="s">
        <v>577</v>
      </c>
      <c r="FB26" s="120"/>
      <c r="FC26" s="446" t="s">
        <v>454</v>
      </c>
      <c r="FD26" s="120"/>
      <c r="FE26" s="440"/>
      <c r="GA26" s="436" t="s">
        <v>577</v>
      </c>
      <c r="GB26" s="120"/>
      <c r="GC26" s="446" t="s">
        <v>454</v>
      </c>
      <c r="GD26" s="120"/>
      <c r="GE26" s="440"/>
      <c r="HA26" s="436" t="s">
        <v>577</v>
      </c>
      <c r="HB26" s="120"/>
      <c r="HC26" s="446" t="s">
        <v>454</v>
      </c>
      <c r="HD26" s="120"/>
      <c r="HE26" s="440"/>
      <c r="IA26" s="436" t="s">
        <v>577</v>
      </c>
      <c r="IB26" s="1027" t="e">
        <f>IB15</f>
        <v>#REF!</v>
      </c>
      <c r="IC26" s="446" t="s">
        <v>454</v>
      </c>
      <c r="ID26" s="120"/>
      <c r="IE26" s="440"/>
      <c r="JA26" s="436" t="s">
        <v>577</v>
      </c>
      <c r="JB26" s="120"/>
      <c r="JC26" s="446" t="s">
        <v>454</v>
      </c>
      <c r="JD26" s="120"/>
      <c r="JE26" s="440"/>
      <c r="KA26" s="436" t="s">
        <v>577</v>
      </c>
      <c r="KB26" s="120">
        <f>KB15</f>
        <v>7.4570000000000007</v>
      </c>
      <c r="KC26" s="446" t="s">
        <v>454</v>
      </c>
      <c r="KD26" s="120"/>
      <c r="KE26" s="440"/>
      <c r="LA26" s="436" t="s">
        <v>577</v>
      </c>
      <c r="LB26" s="120"/>
      <c r="LC26" s="446" t="s">
        <v>454</v>
      </c>
      <c r="LD26" s="120"/>
      <c r="LE26" s="440"/>
      <c r="MA26" s="436" t="s">
        <v>577</v>
      </c>
      <c r="MB26" s="223"/>
      <c r="MC26" s="446" t="s">
        <v>454</v>
      </c>
      <c r="MD26" s="120"/>
      <c r="ME26" s="440"/>
      <c r="NA26" s="436" t="s">
        <v>577</v>
      </c>
      <c r="NB26" s="120"/>
      <c r="NC26" s="446" t="s">
        <v>454</v>
      </c>
      <c r="ND26" s="120"/>
      <c r="NE26" s="440"/>
      <c r="OA26" s="436" t="s">
        <v>577</v>
      </c>
      <c r="OB26" s="120">
        <f>OB15</f>
        <v>14.914000000000001</v>
      </c>
      <c r="OC26" s="446" t="s">
        <v>454</v>
      </c>
      <c r="OD26" s="120"/>
      <c r="OE26" s="440"/>
      <c r="PA26" s="436" t="s">
        <v>577</v>
      </c>
      <c r="PB26" s="120"/>
      <c r="PC26" s="446" t="s">
        <v>454</v>
      </c>
      <c r="PD26" s="120"/>
      <c r="PE26" s="440"/>
      <c r="QA26" s="436" t="s">
        <v>577</v>
      </c>
      <c r="QB26" s="120"/>
      <c r="QC26" s="446" t="s">
        <v>454</v>
      </c>
      <c r="QD26" s="120"/>
      <c r="QE26" s="440"/>
      <c r="RA26" s="436" t="s">
        <v>577</v>
      </c>
      <c r="RB26" s="120"/>
      <c r="RC26" s="446" t="s">
        <v>454</v>
      </c>
      <c r="RD26" s="120"/>
      <c r="RE26" s="440"/>
      <c r="SA26" s="436" t="s">
        <v>577</v>
      </c>
      <c r="SB26" s="120"/>
      <c r="SC26" s="446" t="s">
        <v>454</v>
      </c>
      <c r="SD26" s="120"/>
      <c r="SE26" s="440"/>
      <c r="TA26" s="436" t="s">
        <v>577</v>
      </c>
      <c r="TB26" s="120"/>
      <c r="TC26" s="446" t="s">
        <v>454</v>
      </c>
      <c r="TD26" s="120"/>
      <c r="TE26" s="440"/>
      <c r="UA26" s="436" t="s">
        <v>577</v>
      </c>
      <c r="UB26" s="120"/>
      <c r="UC26" s="446" t="s">
        <v>454</v>
      </c>
      <c r="UD26" s="120"/>
      <c r="UE26" s="440"/>
      <c r="VA26" s="436" t="s">
        <v>577</v>
      </c>
      <c r="VB26" s="120"/>
      <c r="VC26" s="446" t="s">
        <v>454</v>
      </c>
      <c r="VD26" s="120"/>
      <c r="VE26" s="440"/>
      <c r="WA26" s="436" t="s">
        <v>577</v>
      </c>
      <c r="WB26" s="120"/>
      <c r="WC26" s="446" t="s">
        <v>454</v>
      </c>
      <c r="WD26" s="120"/>
      <c r="WE26" s="440"/>
      <c r="XA26" s="436" t="s">
        <v>577</v>
      </c>
      <c r="XB26" s="120"/>
      <c r="XC26" s="446" t="s">
        <v>454</v>
      </c>
      <c r="XD26" s="120"/>
      <c r="XE26" s="440"/>
      <c r="YA26" s="436" t="s">
        <v>577</v>
      </c>
      <c r="YB26" s="120"/>
      <c r="YC26" s="446" t="s">
        <v>454</v>
      </c>
      <c r="YD26" s="120"/>
      <c r="YE26" s="440"/>
      <c r="ZA26" s="436" t="s">
        <v>577</v>
      </c>
      <c r="ZB26" s="120"/>
      <c r="ZC26" s="446" t="s">
        <v>454</v>
      </c>
      <c r="ZD26" s="120"/>
      <c r="ZE26" s="440"/>
      <c r="AAA26" s="436" t="s">
        <v>577</v>
      </c>
      <c r="AAB26" s="120"/>
      <c r="AAC26" s="446" t="s">
        <v>454</v>
      </c>
      <c r="AAD26" s="120"/>
      <c r="AAE26" s="440"/>
      <c r="ABA26" s="436" t="s">
        <v>577</v>
      </c>
      <c r="ABB26" s="120"/>
      <c r="ABC26" s="446" t="s">
        <v>454</v>
      </c>
      <c r="ABD26" s="120"/>
      <c r="ABE26" s="440"/>
      <c r="ACA26" s="436" t="s">
        <v>577</v>
      </c>
      <c r="ACB26" s="120">
        <f>ACB15</f>
        <v>14.914000000000001</v>
      </c>
      <c r="ACC26" s="446" t="s">
        <v>454</v>
      </c>
      <c r="ACD26" s="120"/>
      <c r="ACE26" s="440"/>
      <c r="ADA26" s="436" t="s">
        <v>577</v>
      </c>
      <c r="ADB26" s="120"/>
      <c r="ADC26" s="446" t="s">
        <v>454</v>
      </c>
      <c r="ADD26" s="120"/>
      <c r="ADE26" s="440"/>
      <c r="AEA26" s="436" t="s">
        <v>577</v>
      </c>
      <c r="AEB26" s="120"/>
      <c r="AEC26" s="446" t="s">
        <v>454</v>
      </c>
      <c r="AED26" s="120"/>
      <c r="AEE26" s="440"/>
      <c r="AFA26" s="436" t="s">
        <v>577</v>
      </c>
      <c r="AFB26" s="120"/>
      <c r="AFC26" s="446" t="s">
        <v>454</v>
      </c>
      <c r="AFD26" s="120"/>
      <c r="AFE26" s="440"/>
      <c r="AGA26" s="436" t="s">
        <v>577</v>
      </c>
      <c r="AGB26" s="120">
        <f>AGB15</f>
        <v>74.570000000000007</v>
      </c>
      <c r="AGC26" s="446" t="s">
        <v>454</v>
      </c>
      <c r="AGD26" s="120"/>
      <c r="AGE26" s="440"/>
      <c r="AHA26" s="436" t="s">
        <v>577</v>
      </c>
      <c r="AHB26" s="120"/>
      <c r="AHC26" s="446" t="s">
        <v>454</v>
      </c>
      <c r="AHD26" s="120"/>
      <c r="AHE26" s="440"/>
      <c r="AIA26" s="436" t="s">
        <v>577</v>
      </c>
      <c r="AIB26" s="120"/>
      <c r="AIC26" s="446" t="s">
        <v>454</v>
      </c>
      <c r="AID26" s="120"/>
      <c r="AIE26" s="440"/>
      <c r="AJA26" s="436" t="s">
        <v>577</v>
      </c>
      <c r="AJB26" s="223" t="e">
        <f>AJB15</f>
        <v>#REF!</v>
      </c>
      <c r="AJC26" s="446" t="s">
        <v>454</v>
      </c>
      <c r="AJD26" s="120"/>
      <c r="AJE26" s="440"/>
      <c r="AKA26" s="436" t="s">
        <v>577</v>
      </c>
      <c r="AKB26" s="120"/>
      <c r="AKC26" s="446" t="s">
        <v>454</v>
      </c>
      <c r="AKD26" s="120"/>
      <c r="AKE26" s="440"/>
      <c r="ALA26" s="436" t="s">
        <v>577</v>
      </c>
      <c r="ALB26" s="120"/>
      <c r="ALC26" s="446" t="s">
        <v>454</v>
      </c>
      <c r="ALD26" s="120"/>
      <c r="ALE26" s="440"/>
      <c r="AMA26" s="436" t="s">
        <v>577</v>
      </c>
      <c r="AMB26" s="120"/>
      <c r="AMC26" s="446" t="s">
        <v>454</v>
      </c>
      <c r="AMD26" s="120"/>
      <c r="AME26" s="440"/>
      <c r="ANA26" s="436" t="s">
        <v>577</v>
      </c>
      <c r="ANB26" s="120"/>
      <c r="ANC26" s="446" t="s">
        <v>454</v>
      </c>
      <c r="AND26" s="120"/>
      <c r="ANE26" s="440"/>
      <c r="AOA26" s="436" t="s">
        <v>577</v>
      </c>
      <c r="AOB26" s="120"/>
      <c r="AOC26" s="446" t="s">
        <v>454</v>
      </c>
      <c r="AOD26" s="120"/>
      <c r="AOE26" s="440"/>
      <c r="APA26" s="436" t="s">
        <v>577</v>
      </c>
      <c r="APB26" s="120"/>
      <c r="APC26" s="446" t="s">
        <v>454</v>
      </c>
      <c r="APD26" s="120"/>
      <c r="APE26" s="440"/>
      <c r="AQA26" s="436" t="s">
        <v>577</v>
      </c>
      <c r="AQB26" s="120">
        <f>AQB15</f>
        <v>14.914000000000001</v>
      </c>
      <c r="AQC26" s="446" t="s">
        <v>454</v>
      </c>
      <c r="AQD26" s="120"/>
      <c r="AQE26" s="440"/>
      <c r="ARA26" s="436" t="s">
        <v>577</v>
      </c>
      <c r="ARB26" s="120">
        <f>ARB15</f>
        <v>74.570000000000007</v>
      </c>
      <c r="ARC26" s="446" t="s">
        <v>454</v>
      </c>
      <c r="ARD26" s="120"/>
      <c r="ARE26" s="440"/>
      <c r="ASA26" s="436" t="s">
        <v>577</v>
      </c>
      <c r="ASB26" s="120"/>
      <c r="ASC26" s="446" t="s">
        <v>454</v>
      </c>
      <c r="ASD26" s="120"/>
      <c r="ASE26" s="440"/>
      <c r="ATA26" s="436" t="s">
        <v>577</v>
      </c>
      <c r="ATB26" s="120">
        <f>ATB15</f>
        <v>14.914000000000001</v>
      </c>
      <c r="ATC26" s="446" t="s">
        <v>454</v>
      </c>
      <c r="ATD26" s="120"/>
      <c r="ATE26" s="440"/>
      <c r="AUA26" s="436" t="s">
        <v>577</v>
      </c>
      <c r="AUB26" s="120"/>
      <c r="AUC26" s="446" t="s">
        <v>454</v>
      </c>
      <c r="AUD26" s="120"/>
      <c r="AUE26" s="440"/>
      <c r="AVA26" s="436" t="s">
        <v>577</v>
      </c>
      <c r="AVB26" s="120"/>
      <c r="AVC26" s="446" t="s">
        <v>454</v>
      </c>
      <c r="AVD26" s="120"/>
      <c r="AVE26" s="440"/>
      <c r="AWA26" s="436" t="s">
        <v>577</v>
      </c>
      <c r="AWB26" s="120"/>
      <c r="AWC26" s="446" t="s">
        <v>454</v>
      </c>
      <c r="AWD26" s="120"/>
      <c r="AWE26" s="440"/>
      <c r="AXA26" s="436" t="s">
        <v>577</v>
      </c>
      <c r="AXB26" s="120"/>
      <c r="AXC26" s="446" t="s">
        <v>454</v>
      </c>
      <c r="AXD26" s="120"/>
      <c r="AXE26" s="440"/>
      <c r="AYA26" s="436" t="s">
        <v>577</v>
      </c>
      <c r="AYB26" s="120"/>
      <c r="AYC26" s="446" t="s">
        <v>454</v>
      </c>
      <c r="AYD26" s="120"/>
      <c r="AYE26" s="440"/>
      <c r="AZA26" s="436" t="s">
        <v>577</v>
      </c>
      <c r="AZB26" s="120">
        <f>AZB15</f>
        <v>14.914000000000001</v>
      </c>
      <c r="AZC26" s="446" t="s">
        <v>454</v>
      </c>
      <c r="AZD26" s="120"/>
      <c r="AZE26" s="440"/>
      <c r="BAA26" s="436" t="s">
        <v>577</v>
      </c>
      <c r="BAB26" s="120"/>
      <c r="BAC26" s="446" t="s">
        <v>454</v>
      </c>
      <c r="BAD26" s="120"/>
      <c r="BAE26" s="440"/>
      <c r="BBA26" s="436" t="s">
        <v>577</v>
      </c>
      <c r="BBB26" s="120"/>
      <c r="BBC26" s="446" t="s">
        <v>454</v>
      </c>
      <c r="BBD26" s="120"/>
      <c r="BBE26" s="440"/>
      <c r="BCA26" s="436" t="s">
        <v>577</v>
      </c>
      <c r="BCB26" s="120">
        <f>BCB15</f>
        <v>14.914000000000001</v>
      </c>
      <c r="BCC26" s="446" t="s">
        <v>454</v>
      </c>
      <c r="BCD26" s="120"/>
      <c r="BCE26" s="440"/>
      <c r="BDA26" s="436" t="s">
        <v>577</v>
      </c>
      <c r="BDB26" s="120"/>
      <c r="BDC26" s="446" t="s">
        <v>454</v>
      </c>
      <c r="BDD26" s="120"/>
      <c r="BDE26" s="440"/>
      <c r="BEA26" s="436" t="s">
        <v>577</v>
      </c>
      <c r="BEB26" s="120"/>
      <c r="BEC26" s="446" t="s">
        <v>454</v>
      </c>
      <c r="BED26" s="120"/>
      <c r="BEE26" s="440"/>
      <c r="BFA26" s="436" t="s">
        <v>577</v>
      </c>
      <c r="BFB26" s="120"/>
      <c r="BFC26" s="446" t="s">
        <v>454</v>
      </c>
      <c r="BFD26" s="120"/>
      <c r="BFE26" s="440"/>
      <c r="BGA26" s="436" t="s">
        <v>577</v>
      </c>
      <c r="BGB26" s="120"/>
      <c r="BGC26" s="446" t="s">
        <v>454</v>
      </c>
      <c r="BGD26" s="120"/>
      <c r="BGE26" s="440"/>
      <c r="BHA26" s="436" t="s">
        <v>577</v>
      </c>
      <c r="BHB26" s="120"/>
      <c r="BHC26" s="446" t="s">
        <v>454</v>
      </c>
      <c r="BHD26" s="120"/>
      <c r="BHE26" s="440"/>
      <c r="BIA26" s="436" t="s">
        <v>577</v>
      </c>
      <c r="BIB26" s="120"/>
      <c r="BIC26" s="446" t="s">
        <v>454</v>
      </c>
      <c r="BID26" s="120"/>
      <c r="BIE26" s="440"/>
      <c r="BJA26" s="436" t="s">
        <v>577</v>
      </c>
      <c r="BJB26" s="120">
        <f>BJB15</f>
        <v>14.914000000000001</v>
      </c>
      <c r="BJC26" s="446" t="s">
        <v>454</v>
      </c>
      <c r="BJD26" s="120"/>
      <c r="BJE26" s="440"/>
      <c r="BKA26" s="436" t="s">
        <v>577</v>
      </c>
      <c r="BKB26" s="120"/>
      <c r="BKC26" s="446" t="s">
        <v>454</v>
      </c>
      <c r="BKD26" s="120"/>
      <c r="BKE26" s="440"/>
      <c r="BLA26" s="436" t="s">
        <v>577</v>
      </c>
      <c r="BLB26" s="120"/>
      <c r="BLC26" s="446" t="s">
        <v>454</v>
      </c>
      <c r="BLD26" s="120"/>
      <c r="BLE26" s="440"/>
      <c r="BMA26" s="436" t="s">
        <v>577</v>
      </c>
      <c r="BMB26" s="120"/>
      <c r="BMC26" s="446" t="s">
        <v>454</v>
      </c>
      <c r="BMD26" s="120"/>
      <c r="BME26" s="440"/>
      <c r="BNA26" s="436" t="s">
        <v>577</v>
      </c>
      <c r="BNB26" s="120"/>
      <c r="BNC26" s="446" t="s">
        <v>454</v>
      </c>
      <c r="BND26" s="120"/>
      <c r="BNE26" s="440"/>
      <c r="BOA26" s="436" t="s">
        <v>577</v>
      </c>
      <c r="BOB26" s="120"/>
      <c r="BOC26" s="446" t="s">
        <v>454</v>
      </c>
      <c r="BOD26" s="120"/>
      <c r="BOE26" s="440"/>
      <c r="BPA26" s="436" t="s">
        <v>577</v>
      </c>
      <c r="BPB26" s="120"/>
      <c r="BPC26" s="446" t="s">
        <v>454</v>
      </c>
      <c r="BPD26" s="120"/>
      <c r="BPE26" s="440"/>
      <c r="BQA26" s="436" t="s">
        <v>577</v>
      </c>
      <c r="BQB26" s="120"/>
      <c r="BQC26" s="446" t="s">
        <v>454</v>
      </c>
      <c r="BQD26" s="120"/>
      <c r="BQE26" s="440"/>
      <c r="BRA26" s="436" t="s">
        <v>577</v>
      </c>
      <c r="BRB26" s="120"/>
      <c r="BRC26" s="446" t="s">
        <v>454</v>
      </c>
      <c r="BRD26" s="120"/>
      <c r="BRE26" s="440"/>
    </row>
    <row r="27" spans="1:1019 1041:1825">
      <c r="B27" s="114" t="s">
        <v>1505</v>
      </c>
      <c r="F27"/>
      <c r="G27" s="574"/>
      <c r="H27" s="110"/>
      <c r="AA27" s="436" t="s">
        <v>578</v>
      </c>
      <c r="AB27" s="575" t="str">
        <f>IF(ISBLANK(AB26)," ",AB26/AB11/1000*3.6)</f>
        <v xml:space="preserve"> </v>
      </c>
      <c r="AC27" s="446" t="s">
        <v>579</v>
      </c>
      <c r="AD27" s="120"/>
      <c r="AE27" s="440"/>
      <c r="BA27" s="436" t="s">
        <v>578</v>
      </c>
      <c r="BB27" s="575" t="str">
        <f>IF(ISBLANK(BB26)," ",BB26/BB11/1000*3.6)</f>
        <v xml:space="preserve"> </v>
      </c>
      <c r="BC27" s="446" t="s">
        <v>579</v>
      </c>
      <c r="BD27" s="120"/>
      <c r="BE27" s="440"/>
      <c r="CA27" s="436" t="s">
        <v>578</v>
      </c>
      <c r="CB27" s="575" t="str">
        <f>IF(ISBLANK(CB26)," ",CB26/CB11/1000*3.6)</f>
        <v xml:space="preserve"> </v>
      </c>
      <c r="CC27" s="446" t="s">
        <v>579</v>
      </c>
      <c r="CD27" s="120"/>
      <c r="CE27" s="440"/>
      <c r="DA27" s="436" t="s">
        <v>578</v>
      </c>
      <c r="DB27" s="575" t="str">
        <f>IF(ISBLANK(DB26)," ",DB26/DB11/1000*3.6)</f>
        <v xml:space="preserve"> </v>
      </c>
      <c r="DC27" s="446" t="s">
        <v>579</v>
      </c>
      <c r="DD27" s="120"/>
      <c r="DE27" s="440"/>
      <c r="EA27" s="436" t="s">
        <v>578</v>
      </c>
      <c r="EB27" s="575" t="str">
        <f>IF(ISBLANK(EB26)," ",EB26/EB11/1000*3.6)</f>
        <v xml:space="preserve"> </v>
      </c>
      <c r="EC27" s="446" t="s">
        <v>579</v>
      </c>
      <c r="ED27" s="120"/>
      <c r="EE27" s="440"/>
      <c r="FA27" s="436" t="s">
        <v>578</v>
      </c>
      <c r="FB27" s="575" t="str">
        <f>IF(ISBLANK(FB26)," ",FB26/FB11/1000*3.6)</f>
        <v xml:space="preserve"> </v>
      </c>
      <c r="FC27" s="446" t="s">
        <v>579</v>
      </c>
      <c r="FD27" s="120"/>
      <c r="FE27" s="440"/>
      <c r="GA27" s="436" t="s">
        <v>578</v>
      </c>
      <c r="GB27" s="575" t="str">
        <f>IF(ISBLANK(GB26)," ",GB26/GB11/1000*3.6)</f>
        <v xml:space="preserve"> </v>
      </c>
      <c r="GC27" s="446" t="s">
        <v>579</v>
      </c>
      <c r="GD27" s="120"/>
      <c r="GE27" s="440"/>
      <c r="HA27" s="436" t="s">
        <v>578</v>
      </c>
      <c r="HB27" s="575" t="str">
        <f>IF(ISBLANK(HB26)," ",HB26/HB11/1000*3.6)</f>
        <v xml:space="preserve"> </v>
      </c>
      <c r="HC27" s="446" t="s">
        <v>579</v>
      </c>
      <c r="HD27" s="120"/>
      <c r="HE27" s="440"/>
      <c r="IA27" s="436" t="s">
        <v>578</v>
      </c>
      <c r="IB27" s="575" t="e">
        <f>IF(ISBLANK(IB26)," ",IB26/IB11/1000*3.6)</f>
        <v>#REF!</v>
      </c>
      <c r="IC27" s="446" t="s">
        <v>579</v>
      </c>
      <c r="ID27" s="120"/>
      <c r="IE27" s="440"/>
      <c r="JA27" s="436" t="s">
        <v>578</v>
      </c>
      <c r="JB27" s="575" t="str">
        <f>IF(ISBLANK(JB26)," ",JB26/JB11/1000*3.6)</f>
        <v xml:space="preserve"> </v>
      </c>
      <c r="JC27" s="446" t="s">
        <v>579</v>
      </c>
      <c r="JD27" s="120"/>
      <c r="JE27" s="440"/>
      <c r="KA27" s="436" t="s">
        <v>578</v>
      </c>
      <c r="KB27" s="575" t="e">
        <f>IF(ISBLANK(KB26)," ",KB26/KB11/1000*3.6)</f>
        <v>#REF!</v>
      </c>
      <c r="KC27" s="446" t="s">
        <v>579</v>
      </c>
      <c r="KD27" s="120"/>
      <c r="KE27" s="440"/>
      <c r="LA27" s="436" t="s">
        <v>578</v>
      </c>
      <c r="LB27" s="575" t="str">
        <f>IF(ISBLANK(LB26)," ",LB26/LB11/1000*3.6)</f>
        <v xml:space="preserve"> </v>
      </c>
      <c r="LC27" s="446" t="s">
        <v>579</v>
      </c>
      <c r="LD27" s="120"/>
      <c r="LE27" s="440"/>
      <c r="MA27" s="436" t="s">
        <v>578</v>
      </c>
      <c r="MB27" s="575"/>
      <c r="MC27" s="446" t="s">
        <v>579</v>
      </c>
      <c r="MD27" s="120"/>
      <c r="ME27" s="440"/>
      <c r="NA27" s="436" t="s">
        <v>578</v>
      </c>
      <c r="NB27" s="575" t="str">
        <f>IF(ISBLANK(NB26)," ",NB26/NB11/1000*3.6)</f>
        <v xml:space="preserve"> </v>
      </c>
      <c r="NC27" s="446" t="s">
        <v>579</v>
      </c>
      <c r="ND27" s="120"/>
      <c r="NE27" s="440"/>
      <c r="OA27" s="436" t="s">
        <v>578</v>
      </c>
      <c r="OB27" s="575" t="e">
        <f>IF(ISBLANK(OB26)," ",OB26/OB11/1000*3.6)</f>
        <v>#REF!</v>
      </c>
      <c r="OC27" s="446" t="s">
        <v>579</v>
      </c>
      <c r="OD27" s="120"/>
      <c r="OE27" s="440"/>
      <c r="PA27" s="436" t="s">
        <v>578</v>
      </c>
      <c r="PB27" s="575" t="str">
        <f>IF(ISBLANK(PB26)," ",PB26/PB11/1000*3.6)</f>
        <v xml:space="preserve"> </v>
      </c>
      <c r="PC27" s="446" t="s">
        <v>579</v>
      </c>
      <c r="PD27" s="120"/>
      <c r="PE27" s="440"/>
      <c r="QA27" s="436" t="s">
        <v>578</v>
      </c>
      <c r="QB27" s="575" t="str">
        <f>IF(ISBLANK(QB26)," ",QB26/QB11/1000*3.6)</f>
        <v xml:space="preserve"> </v>
      </c>
      <c r="QC27" s="446" t="s">
        <v>579</v>
      </c>
      <c r="QD27" s="120"/>
      <c r="QE27" s="440"/>
      <c r="RA27" s="436" t="s">
        <v>578</v>
      </c>
      <c r="RB27" s="575" t="str">
        <f>IF(ISBLANK(RB26)," ",RB26/RB11/1000*3.6)</f>
        <v xml:space="preserve"> </v>
      </c>
      <c r="RC27" s="446" t="s">
        <v>579</v>
      </c>
      <c r="RD27" s="120"/>
      <c r="RE27" s="440"/>
      <c r="SA27" s="436" t="s">
        <v>578</v>
      </c>
      <c r="SB27" s="575" t="str">
        <f>IF(ISBLANK(SB26)," ",SB26/SB11/1000*3.6)</f>
        <v xml:space="preserve"> </v>
      </c>
      <c r="SC27" s="446" t="s">
        <v>579</v>
      </c>
      <c r="SD27" s="120"/>
      <c r="SE27" s="440"/>
      <c r="TA27" s="436" t="s">
        <v>578</v>
      </c>
      <c r="TB27" s="575" t="str">
        <f>IF(ISBLANK(TB26)," ",TB26/TB11/1000*3.6)</f>
        <v xml:space="preserve"> </v>
      </c>
      <c r="TC27" s="446" t="s">
        <v>579</v>
      </c>
      <c r="TD27" s="120"/>
      <c r="TE27" s="440"/>
      <c r="UA27" s="436" t="s">
        <v>578</v>
      </c>
      <c r="UB27" s="575" t="str">
        <f>IF(ISBLANK(UB26)," ",UB26/UB11/1000*3.6)</f>
        <v xml:space="preserve"> </v>
      </c>
      <c r="UC27" s="446" t="s">
        <v>579</v>
      </c>
      <c r="UD27" s="120"/>
      <c r="UE27" s="440"/>
      <c r="VA27" s="436" t="s">
        <v>578</v>
      </c>
      <c r="VB27" s="575" t="str">
        <f>IF(ISBLANK(VB26)," ",VB26/VB11/1000*3.6)</f>
        <v xml:space="preserve"> </v>
      </c>
      <c r="VC27" s="446" t="s">
        <v>579</v>
      </c>
      <c r="VD27" s="120"/>
      <c r="VE27" s="440"/>
      <c r="WA27" s="436" t="s">
        <v>578</v>
      </c>
      <c r="WB27" s="575" t="str">
        <f>IF(ISBLANK(WB26)," ",WB26/WB11/1000*3.6)</f>
        <v xml:space="preserve"> </v>
      </c>
      <c r="WC27" s="446" t="s">
        <v>579</v>
      </c>
      <c r="WD27" s="120"/>
      <c r="WE27" s="440"/>
      <c r="XA27" s="436" t="s">
        <v>578</v>
      </c>
      <c r="XB27" s="575" t="str">
        <f>IF(ISBLANK(XB26)," ",XB26/XB11/1000*3.6)</f>
        <v xml:space="preserve"> </v>
      </c>
      <c r="XC27" s="446" t="s">
        <v>579</v>
      </c>
      <c r="XD27" s="120"/>
      <c r="XE27" s="440"/>
      <c r="YA27" s="436" t="s">
        <v>578</v>
      </c>
      <c r="YB27" s="575" t="str">
        <f>IF(ISBLANK(YB26)," ",YB26/YB11/1000*3.6)</f>
        <v xml:space="preserve"> </v>
      </c>
      <c r="YC27" s="446" t="s">
        <v>579</v>
      </c>
      <c r="YD27" s="120"/>
      <c r="YE27" s="440"/>
      <c r="ZA27" s="436" t="s">
        <v>578</v>
      </c>
      <c r="ZB27" s="575" t="str">
        <f>IF(ISBLANK(ZB26)," ",ZB26/ZB11/1000*3.6)</f>
        <v xml:space="preserve"> </v>
      </c>
      <c r="ZC27" s="446" t="s">
        <v>579</v>
      </c>
      <c r="ZD27" s="120"/>
      <c r="ZE27" s="440"/>
      <c r="AAA27" s="436" t="s">
        <v>578</v>
      </c>
      <c r="AAB27" s="575" t="str">
        <f>IF(ISBLANK(AAB26)," ",AAB26/AAB11/1000*3.6)</f>
        <v xml:space="preserve"> </v>
      </c>
      <c r="AAC27" s="446" t="s">
        <v>579</v>
      </c>
      <c r="AAD27" s="120"/>
      <c r="AAE27" s="440"/>
      <c r="ABA27" s="436" t="s">
        <v>578</v>
      </c>
      <c r="ABB27" s="575" t="str">
        <f>IF(ISBLANK(ABB26)," ",ABB26/ABB11/1000*3.6)</f>
        <v xml:space="preserve"> </v>
      </c>
      <c r="ABC27" s="446" t="s">
        <v>579</v>
      </c>
      <c r="ABD27" s="120"/>
      <c r="ABE27" s="440"/>
      <c r="ACA27" s="436" t="s">
        <v>578</v>
      </c>
      <c r="ACB27" s="575" t="e">
        <f>IF(ISBLANK(ACB26)," ",ACB26/ACB11/1000*3.6)</f>
        <v>#REF!</v>
      </c>
      <c r="ACC27" s="446" t="s">
        <v>579</v>
      </c>
      <c r="ACD27" s="120"/>
      <c r="ACE27" s="440"/>
      <c r="ADA27" s="436" t="s">
        <v>578</v>
      </c>
      <c r="ADB27" s="575" t="str">
        <f>IF(ISBLANK(ADB26)," ",ADB26/ADB11/1000*3.6)</f>
        <v xml:space="preserve"> </v>
      </c>
      <c r="ADC27" s="446" t="s">
        <v>579</v>
      </c>
      <c r="ADD27" s="120"/>
      <c r="ADE27" s="440"/>
      <c r="AEA27" s="436" t="s">
        <v>578</v>
      </c>
      <c r="AEB27" s="575" t="str">
        <f>IF(ISBLANK(AEB26)," ",AEB26/AEB11/1000*3.6)</f>
        <v xml:space="preserve"> </v>
      </c>
      <c r="AEC27" s="446" t="s">
        <v>579</v>
      </c>
      <c r="AED27" s="120"/>
      <c r="AEE27" s="440"/>
      <c r="AFA27" s="436" t="s">
        <v>578</v>
      </c>
      <c r="AFB27" s="575" t="str">
        <f>IF(ISBLANK(AFB26)," ",AFB26/AFB11/1000*3.6)</f>
        <v xml:space="preserve"> </v>
      </c>
      <c r="AFC27" s="446" t="s">
        <v>579</v>
      </c>
      <c r="AFD27" s="120"/>
      <c r="AFE27" s="440"/>
      <c r="AGA27" s="436" t="s">
        <v>578</v>
      </c>
      <c r="AGB27" s="575" t="e">
        <f>IF(ISBLANK(AGB26)," ",AGB26/AGB11/1000*3.6)</f>
        <v>#REF!</v>
      </c>
      <c r="AGC27" s="446" t="s">
        <v>579</v>
      </c>
      <c r="AGD27" s="120"/>
      <c r="AGE27" s="440"/>
      <c r="AHA27" s="436" t="s">
        <v>578</v>
      </c>
      <c r="AHB27" s="575" t="str">
        <f>IF(ISBLANK(AHB26)," ",AHB26/AHB11/1000*3.6)</f>
        <v xml:space="preserve"> </v>
      </c>
      <c r="AHC27" s="446" t="s">
        <v>579</v>
      </c>
      <c r="AHD27" s="120"/>
      <c r="AHE27" s="440"/>
      <c r="AIA27" s="436" t="s">
        <v>578</v>
      </c>
      <c r="AIB27" s="575" t="str">
        <f>IF(ISBLANK(AIB26)," ",AIB26/AIB11/1000*3.6)</f>
        <v xml:space="preserve"> </v>
      </c>
      <c r="AIC27" s="446" t="s">
        <v>579</v>
      </c>
      <c r="AID27" s="120"/>
      <c r="AIE27" s="440"/>
      <c r="AJA27" s="436" t="s">
        <v>578</v>
      </c>
      <c r="AJB27" s="575" t="e">
        <f>IF(ISBLANK(AJB26)," ",AJB26/AJB11/1000*3.6)</f>
        <v>#REF!</v>
      </c>
      <c r="AJC27" s="446" t="s">
        <v>579</v>
      </c>
      <c r="AJD27" s="120"/>
      <c r="AJE27" s="440"/>
      <c r="AKA27" s="436" t="s">
        <v>578</v>
      </c>
      <c r="AKB27" s="575" t="str">
        <f>IF(ISBLANK(AKB26)," ",AKB26/AKB11/1000*3.6)</f>
        <v xml:space="preserve"> </v>
      </c>
      <c r="AKC27" s="446" t="s">
        <v>579</v>
      </c>
      <c r="AKD27" s="120"/>
      <c r="AKE27" s="440"/>
      <c r="ALA27" s="436" t="s">
        <v>578</v>
      </c>
      <c r="ALB27" s="575" t="str">
        <f>IF(ISBLANK(ALB26)," ",ALB26/ALB11/1000*3.6)</f>
        <v xml:space="preserve"> </v>
      </c>
      <c r="ALC27" s="446" t="s">
        <v>579</v>
      </c>
      <c r="ALD27" s="120"/>
      <c r="ALE27" s="440"/>
      <c r="AMA27" s="436" t="s">
        <v>578</v>
      </c>
      <c r="AMB27" s="575" t="str">
        <f>IF(ISBLANK(AMB26)," ",AMB26/AMB11/1000*3.6)</f>
        <v xml:space="preserve"> </v>
      </c>
      <c r="AMC27" s="446" t="s">
        <v>579</v>
      </c>
      <c r="AMD27" s="120"/>
      <c r="AME27" s="440"/>
      <c r="ANA27" s="436" t="s">
        <v>578</v>
      </c>
      <c r="ANB27" s="575" t="str">
        <f>IF(ISBLANK(ANB26)," ",ANB26/ANB11/1000*3.6)</f>
        <v xml:space="preserve"> </v>
      </c>
      <c r="ANC27" s="446" t="s">
        <v>579</v>
      </c>
      <c r="AND27" s="120"/>
      <c r="ANE27" s="440"/>
      <c r="AOA27" s="436" t="s">
        <v>578</v>
      </c>
      <c r="AOB27" s="575" t="str">
        <f>IF(ISBLANK(AOB26)," ",AOB26/AOB11/1000*3.6)</f>
        <v xml:space="preserve"> </v>
      </c>
      <c r="AOC27" s="446" t="s">
        <v>579</v>
      </c>
      <c r="AOD27" s="120"/>
      <c r="AOE27" s="440"/>
      <c r="APA27" s="436" t="s">
        <v>578</v>
      </c>
      <c r="APB27" s="575" t="str">
        <f>IF(ISBLANK(APB26)," ",APB26/APB11/1000*3.6)</f>
        <v xml:space="preserve"> </v>
      </c>
      <c r="APC27" s="446" t="s">
        <v>579</v>
      </c>
      <c r="APD27" s="120"/>
      <c r="APE27" s="440"/>
      <c r="AQA27" s="436" t="s">
        <v>578</v>
      </c>
      <c r="AQB27" s="575" t="e">
        <f>IF(ISBLANK(AQB26)," ",AQB26/AQB11/1000*3.6)</f>
        <v>#REF!</v>
      </c>
      <c r="AQC27" s="446" t="s">
        <v>579</v>
      </c>
      <c r="AQD27" s="120"/>
      <c r="AQE27" s="440"/>
      <c r="ARA27" s="436" t="s">
        <v>578</v>
      </c>
      <c r="ARB27" s="575" t="e">
        <f>IF(ISBLANK(ARB26)," ",ARB26/ARB11/1000*3.6)</f>
        <v>#REF!</v>
      </c>
      <c r="ARC27" s="446" t="s">
        <v>579</v>
      </c>
      <c r="ARD27" s="120"/>
      <c r="ARE27" s="440"/>
      <c r="ASA27" s="436" t="s">
        <v>578</v>
      </c>
      <c r="ASB27" s="575" t="str">
        <f>IF(ISBLANK(ASB26)," ",ASB26/ASB11/1000*3.6)</f>
        <v xml:space="preserve"> </v>
      </c>
      <c r="ASC27" s="446" t="s">
        <v>579</v>
      </c>
      <c r="ASD27" s="120"/>
      <c r="ASE27" s="440"/>
      <c r="ATA27" s="436" t="s">
        <v>578</v>
      </c>
      <c r="ATB27" s="575" t="e">
        <f>IF(ISBLANK(ATB26)," ",ATB26/ATB11/1000*3.6)</f>
        <v>#REF!</v>
      </c>
      <c r="ATC27" s="446" t="s">
        <v>579</v>
      </c>
      <c r="ATD27" s="120"/>
      <c r="ATE27" s="440"/>
      <c r="AUA27" s="436" t="s">
        <v>578</v>
      </c>
      <c r="AUB27" s="575" t="str">
        <f>IF(ISBLANK(AUB26)," ",AUB26/AUB11/1000*3.6)</f>
        <v xml:space="preserve"> </v>
      </c>
      <c r="AUC27" s="446" t="s">
        <v>579</v>
      </c>
      <c r="AUD27" s="120"/>
      <c r="AUE27" s="440"/>
      <c r="AVA27" s="436" t="s">
        <v>578</v>
      </c>
      <c r="AVB27" s="575" t="str">
        <f>IF(ISBLANK(AVB26)," ",AVB26/AVB11/1000*3.6)</f>
        <v xml:space="preserve"> </v>
      </c>
      <c r="AVC27" s="446" t="s">
        <v>579</v>
      </c>
      <c r="AVD27" s="120"/>
      <c r="AVE27" s="440"/>
      <c r="AWA27" s="436" t="s">
        <v>578</v>
      </c>
      <c r="AWB27" s="575" t="str">
        <f>IF(ISBLANK(AWB26)," ",AWB26/AWB11/1000*3.6)</f>
        <v xml:space="preserve"> </v>
      </c>
      <c r="AWC27" s="446" t="s">
        <v>579</v>
      </c>
      <c r="AWD27" s="120"/>
      <c r="AWE27" s="440"/>
      <c r="AXA27" s="436" t="s">
        <v>578</v>
      </c>
      <c r="AXB27" s="575" t="str">
        <f>IF(ISBLANK(AXB26)," ",AXB26/AXB11/1000*3.6)</f>
        <v xml:space="preserve"> </v>
      </c>
      <c r="AXC27" s="446" t="s">
        <v>579</v>
      </c>
      <c r="AXD27" s="120"/>
      <c r="AXE27" s="440"/>
      <c r="AYA27" s="436" t="s">
        <v>578</v>
      </c>
      <c r="AYB27" s="575" t="str">
        <f>IF(ISBLANK(AYB26)," ",AYB26/AYB11/1000*3.6)</f>
        <v xml:space="preserve"> </v>
      </c>
      <c r="AYC27" s="446" t="s">
        <v>579</v>
      </c>
      <c r="AYD27" s="120"/>
      <c r="AYE27" s="440"/>
      <c r="AZA27" s="436" t="s">
        <v>578</v>
      </c>
      <c r="AZB27" s="575" t="e">
        <f>IF(ISBLANK(AZB26)," ",AZB26/AZB11/1000*3.6)</f>
        <v>#REF!</v>
      </c>
      <c r="AZC27" s="446" t="s">
        <v>579</v>
      </c>
      <c r="AZD27" s="120"/>
      <c r="AZE27" s="440"/>
      <c r="BAA27" s="436" t="s">
        <v>578</v>
      </c>
      <c r="BAB27" s="575" t="str">
        <f>IF(ISBLANK(BAB26)," ",BAB26/BAB11/1000*3.6)</f>
        <v xml:space="preserve"> </v>
      </c>
      <c r="BAC27" s="446" t="s">
        <v>579</v>
      </c>
      <c r="BAD27" s="120"/>
      <c r="BAE27" s="440"/>
      <c r="BBA27" s="436" t="s">
        <v>578</v>
      </c>
      <c r="BBB27" s="575" t="str">
        <f>IF(ISBLANK(BBB26)," ",BBB26/BBB11/1000*3.6)</f>
        <v xml:space="preserve"> </v>
      </c>
      <c r="BBC27" s="446" t="s">
        <v>579</v>
      </c>
      <c r="BBD27" s="120"/>
      <c r="BBE27" s="440"/>
      <c r="BCA27" s="436" t="s">
        <v>578</v>
      </c>
      <c r="BCB27" s="575" t="e">
        <f>IF(ISBLANK(BCB26)," ",BCB26/BCB11/1000*3.6)</f>
        <v>#REF!</v>
      </c>
      <c r="BCC27" s="446" t="s">
        <v>579</v>
      </c>
      <c r="BCD27" s="120"/>
      <c r="BCE27" s="440"/>
      <c r="BDA27" s="436" t="s">
        <v>578</v>
      </c>
      <c r="BDB27" s="575" t="str">
        <f>IF(ISBLANK(BDB26)," ",BDB26/BDB11/1000*3.6)</f>
        <v xml:space="preserve"> </v>
      </c>
      <c r="BDC27" s="446" t="s">
        <v>579</v>
      </c>
      <c r="BDD27" s="120"/>
      <c r="BDE27" s="440"/>
      <c r="BEA27" s="436" t="s">
        <v>578</v>
      </c>
      <c r="BEB27" s="575" t="str">
        <f>IF(ISBLANK(BEB26)," ",BEB26/BEB11/1000*3.6)</f>
        <v xml:space="preserve"> </v>
      </c>
      <c r="BEC27" s="446" t="s">
        <v>579</v>
      </c>
      <c r="BED27" s="120"/>
      <c r="BEE27" s="440"/>
      <c r="BFA27" s="436" t="s">
        <v>578</v>
      </c>
      <c r="BFB27" s="575" t="str">
        <f>IF(ISBLANK(BFB26)," ",BFB26/BFB11/1000*3.6)</f>
        <v xml:space="preserve"> </v>
      </c>
      <c r="BFC27" s="446" t="s">
        <v>579</v>
      </c>
      <c r="BFD27" s="120"/>
      <c r="BFE27" s="440"/>
      <c r="BGA27" s="436" t="s">
        <v>578</v>
      </c>
      <c r="BGB27" s="575" t="str">
        <f>IF(ISBLANK(BGB26)," ",BGB26/BGB11/1000*3.6)</f>
        <v xml:space="preserve"> </v>
      </c>
      <c r="BGC27" s="446" t="s">
        <v>579</v>
      </c>
      <c r="BGD27" s="120"/>
      <c r="BGE27" s="440"/>
      <c r="BHA27" s="436" t="s">
        <v>578</v>
      </c>
      <c r="BHB27" s="575" t="str">
        <f>IF(ISBLANK(BHB26)," ",BHB26/BHB11/1000*3.6)</f>
        <v xml:space="preserve"> </v>
      </c>
      <c r="BHC27" s="446" t="s">
        <v>579</v>
      </c>
      <c r="BHD27" s="120"/>
      <c r="BHE27" s="440"/>
      <c r="BIA27" s="436" t="s">
        <v>578</v>
      </c>
      <c r="BIB27" s="575" t="str">
        <f>IF(ISBLANK(BIB26)," ",BIB26/BIB11/1000*3.6)</f>
        <v xml:space="preserve"> </v>
      </c>
      <c r="BIC27" s="446" t="s">
        <v>579</v>
      </c>
      <c r="BID27" s="120"/>
      <c r="BIE27" s="440"/>
      <c r="BJA27" s="436" t="s">
        <v>578</v>
      </c>
      <c r="BJB27" s="575" t="e">
        <f>IF(ISBLANK(BJB26)," ",BJB26/BJB11/1000*3.6)</f>
        <v>#REF!</v>
      </c>
      <c r="BJC27" s="446" t="s">
        <v>579</v>
      </c>
      <c r="BJD27" s="120"/>
      <c r="BJE27" s="440"/>
      <c r="BKA27" s="436" t="s">
        <v>578</v>
      </c>
      <c r="BKB27" s="575" t="str">
        <f>IF(ISBLANK(BKB26)," ",BKB26/BKB11/1000*3.6)</f>
        <v xml:space="preserve"> </v>
      </c>
      <c r="BKC27" s="446" t="s">
        <v>579</v>
      </c>
      <c r="BKD27" s="120"/>
      <c r="BKE27" s="440"/>
      <c r="BLA27" s="436" t="s">
        <v>578</v>
      </c>
      <c r="BLB27" s="575" t="str">
        <f>IF(ISBLANK(BLB26)," ",BLB26/BLB11/1000*3.6)</f>
        <v xml:space="preserve"> </v>
      </c>
      <c r="BLC27" s="446" t="s">
        <v>579</v>
      </c>
      <c r="BLD27" s="120"/>
      <c r="BLE27" s="440"/>
      <c r="BMA27" s="436" t="s">
        <v>578</v>
      </c>
      <c r="BMB27" s="575" t="str">
        <f>IF(ISBLANK(BMB26)," ",BMB26/BMB11/1000*3.6)</f>
        <v xml:space="preserve"> </v>
      </c>
      <c r="BMC27" s="446" t="s">
        <v>579</v>
      </c>
      <c r="BMD27" s="120"/>
      <c r="BME27" s="440"/>
      <c r="BNA27" s="436" t="s">
        <v>578</v>
      </c>
      <c r="BNB27" s="575" t="str">
        <f>IF(ISBLANK(BNB26)," ",BNB26/BNB11/1000*3.6)</f>
        <v xml:space="preserve"> </v>
      </c>
      <c r="BNC27" s="446" t="s">
        <v>579</v>
      </c>
      <c r="BND27" s="120"/>
      <c r="BNE27" s="440"/>
      <c r="BOA27" s="436" t="s">
        <v>578</v>
      </c>
      <c r="BOB27" s="575" t="str">
        <f>IF(ISBLANK(BOB26)," ",BOB26/BOB11/1000*3.6)</f>
        <v xml:space="preserve"> </v>
      </c>
      <c r="BOC27" s="446" t="s">
        <v>579</v>
      </c>
      <c r="BOD27" s="120"/>
      <c r="BOE27" s="440"/>
      <c r="BPA27" s="436" t="s">
        <v>578</v>
      </c>
      <c r="BPB27" s="575" t="str">
        <f>IF(ISBLANK(BPB26)," ",BPB26/BPB11/1000*3.6)</f>
        <v xml:space="preserve"> </v>
      </c>
      <c r="BPC27" s="446" t="s">
        <v>579</v>
      </c>
      <c r="BPD27" s="120"/>
      <c r="BPE27" s="440"/>
      <c r="BQA27" s="436" t="s">
        <v>578</v>
      </c>
      <c r="BQB27" s="575" t="str">
        <f>IF(ISBLANK(BQB26)," ",BQB26/BQB11/1000*3.6)</f>
        <v xml:space="preserve"> </v>
      </c>
      <c r="BQC27" s="446" t="s">
        <v>579</v>
      </c>
      <c r="BQD27" s="120"/>
      <c r="BQE27" s="440"/>
      <c r="BRA27" s="436" t="s">
        <v>578</v>
      </c>
      <c r="BRB27" s="575" t="str">
        <f>IF(ISBLANK(BRB26)," ",BRB26/BRB11/1000*3.6)</f>
        <v xml:space="preserve"> </v>
      </c>
      <c r="BRC27" s="446" t="s">
        <v>579</v>
      </c>
      <c r="BRD27" s="120"/>
      <c r="BRE27" s="440"/>
    </row>
    <row r="28" spans="1:1019 1041:1825">
      <c r="B28" s="114" t="s">
        <v>29</v>
      </c>
      <c r="F28"/>
      <c r="G28" s="574"/>
      <c r="H28" s="110"/>
      <c r="AA28" s="436"/>
      <c r="AB28" s="120"/>
      <c r="AC28" s="446"/>
      <c r="AD28" s="120"/>
      <c r="AE28" s="440"/>
      <c r="BA28" s="436"/>
      <c r="BB28" s="120"/>
      <c r="BC28" s="446"/>
      <c r="BD28" s="120"/>
      <c r="BE28" s="440"/>
      <c r="CA28" s="436"/>
      <c r="CB28" s="120"/>
      <c r="CC28" s="446"/>
      <c r="CD28" s="120"/>
      <c r="CE28" s="440"/>
      <c r="DA28" s="436"/>
      <c r="DB28" s="120"/>
      <c r="DC28" s="446"/>
      <c r="DD28" s="120"/>
      <c r="DE28" s="440"/>
      <c r="EA28" s="436"/>
      <c r="EB28" s="120"/>
      <c r="EC28" s="446"/>
      <c r="ED28" s="120"/>
      <c r="EE28" s="440"/>
      <c r="FA28" s="436"/>
      <c r="FB28" s="120"/>
      <c r="FC28" s="446"/>
      <c r="FD28" s="120"/>
      <c r="FE28" s="440"/>
      <c r="GA28" s="436"/>
      <c r="GB28" s="120"/>
      <c r="GC28" s="446"/>
      <c r="GD28" s="120"/>
      <c r="GE28" s="440"/>
      <c r="HA28" s="436"/>
      <c r="HB28" s="120"/>
      <c r="HC28" s="446"/>
      <c r="HD28" s="120"/>
      <c r="HE28" s="440"/>
      <c r="IA28" s="436"/>
      <c r="IB28" s="120"/>
      <c r="IC28" s="446"/>
      <c r="ID28" s="120"/>
      <c r="IE28" s="440"/>
      <c r="JA28" s="436"/>
      <c r="JB28" s="120"/>
      <c r="JC28" s="446"/>
      <c r="JD28" s="120"/>
      <c r="JE28" s="440"/>
      <c r="KA28" s="436"/>
      <c r="KB28" s="120"/>
      <c r="KC28" s="446"/>
      <c r="KD28" s="120"/>
      <c r="KE28" s="440"/>
      <c r="LA28" s="436"/>
      <c r="LB28" s="120"/>
      <c r="LC28" s="446"/>
      <c r="LD28" s="120"/>
      <c r="LE28" s="440"/>
      <c r="MA28" s="436"/>
      <c r="MB28" s="120"/>
      <c r="MC28" s="446"/>
      <c r="MD28" s="120"/>
      <c r="ME28" s="440"/>
      <c r="NA28" s="436"/>
      <c r="NB28" s="120"/>
      <c r="NC28" s="446"/>
      <c r="ND28" s="120"/>
      <c r="NE28" s="440"/>
      <c r="OA28" s="436"/>
      <c r="OB28" s="120"/>
      <c r="OC28" s="446"/>
      <c r="OD28" s="120"/>
      <c r="OE28" s="440"/>
      <c r="PA28" s="436"/>
      <c r="PB28" s="120"/>
      <c r="PC28" s="446"/>
      <c r="PD28" s="120"/>
      <c r="PE28" s="440"/>
      <c r="QA28" s="436"/>
      <c r="QB28" s="120"/>
      <c r="QC28" s="446"/>
      <c r="QD28" s="120"/>
      <c r="QE28" s="440"/>
      <c r="RA28" s="436"/>
      <c r="RB28" s="120"/>
      <c r="RC28" s="446"/>
      <c r="RD28" s="120"/>
      <c r="RE28" s="440"/>
      <c r="SA28" s="436"/>
      <c r="SB28" s="120"/>
      <c r="SC28" s="446"/>
      <c r="SD28" s="120"/>
      <c r="SE28" s="440"/>
      <c r="TA28" s="436"/>
      <c r="TB28" s="120"/>
      <c r="TC28" s="446"/>
      <c r="TD28" s="120"/>
      <c r="TE28" s="440"/>
      <c r="UA28" s="436"/>
      <c r="UB28" s="120"/>
      <c r="UC28" s="446"/>
      <c r="UD28" s="120"/>
      <c r="UE28" s="440"/>
      <c r="VA28" s="436"/>
      <c r="VB28" s="120"/>
      <c r="VC28" s="446"/>
      <c r="VD28" s="120"/>
      <c r="VE28" s="440"/>
      <c r="WA28" s="436"/>
      <c r="WB28" s="120"/>
      <c r="WC28" s="446"/>
      <c r="WD28" s="120"/>
      <c r="WE28" s="440"/>
      <c r="XA28" s="436"/>
      <c r="XB28" s="120"/>
      <c r="XC28" s="446"/>
      <c r="XD28" s="120"/>
      <c r="XE28" s="440"/>
      <c r="YA28" s="436"/>
      <c r="YB28" s="120"/>
      <c r="YC28" s="446"/>
      <c r="YD28" s="120"/>
      <c r="YE28" s="440"/>
      <c r="ZA28" s="436"/>
      <c r="ZB28" s="120"/>
      <c r="ZC28" s="446"/>
      <c r="ZD28" s="120"/>
      <c r="ZE28" s="440"/>
      <c r="AAA28" s="436"/>
      <c r="AAB28" s="120"/>
      <c r="AAC28" s="446"/>
      <c r="AAD28" s="120"/>
      <c r="AAE28" s="440"/>
      <c r="ABA28" s="436"/>
      <c r="ABB28" s="120"/>
      <c r="ABC28" s="446"/>
      <c r="ABD28" s="120"/>
      <c r="ABE28" s="440"/>
      <c r="ACA28" s="436"/>
      <c r="ACB28" s="120"/>
      <c r="ACC28" s="446"/>
      <c r="ACD28" s="120"/>
      <c r="ACE28" s="440"/>
      <c r="ADA28" s="436"/>
      <c r="ADB28" s="120"/>
      <c r="ADC28" s="446"/>
      <c r="ADD28" s="120"/>
      <c r="ADE28" s="440"/>
      <c r="AEA28" s="436"/>
      <c r="AEB28" s="120"/>
      <c r="AEC28" s="446"/>
      <c r="AED28" s="120"/>
      <c r="AEE28" s="440"/>
      <c r="AFA28" s="436"/>
      <c r="AFB28" s="120"/>
      <c r="AFC28" s="446"/>
      <c r="AFD28" s="120"/>
      <c r="AFE28" s="440"/>
      <c r="AGA28" s="436"/>
      <c r="AGB28" s="120"/>
      <c r="AGC28" s="446"/>
      <c r="AGD28" s="120"/>
      <c r="AGE28" s="440"/>
      <c r="AHA28" s="436"/>
      <c r="AHB28" s="120"/>
      <c r="AHC28" s="446"/>
      <c r="AHD28" s="120"/>
      <c r="AHE28" s="440"/>
      <c r="AIA28" s="436"/>
      <c r="AIB28" s="120"/>
      <c r="AIC28" s="446"/>
      <c r="AID28" s="120"/>
      <c r="AIE28" s="440"/>
      <c r="AJA28" s="436"/>
      <c r="AJB28" s="120"/>
      <c r="AJC28" s="446"/>
      <c r="AJD28" s="120"/>
      <c r="AJE28" s="440"/>
      <c r="AKA28" s="436"/>
      <c r="AKB28" s="120"/>
      <c r="AKC28" s="446"/>
      <c r="AKD28" s="120"/>
      <c r="AKE28" s="440"/>
      <c r="ALA28" s="436"/>
      <c r="ALB28" s="120"/>
      <c r="ALC28" s="446"/>
      <c r="ALD28" s="120"/>
      <c r="ALE28" s="440"/>
      <c r="AMA28" s="436"/>
      <c r="AMB28" s="120"/>
      <c r="AMC28" s="446"/>
      <c r="AMD28" s="120"/>
      <c r="AME28" s="440"/>
      <c r="ANA28" s="436"/>
      <c r="ANB28" s="120"/>
      <c r="ANC28" s="446"/>
      <c r="AND28" s="120"/>
      <c r="ANE28" s="440"/>
      <c r="AOA28" s="436"/>
      <c r="AOB28" s="120"/>
      <c r="AOC28" s="446"/>
      <c r="AOD28" s="120"/>
      <c r="AOE28" s="440"/>
      <c r="APA28" s="436"/>
      <c r="APB28" s="120"/>
      <c r="APC28" s="446"/>
      <c r="APD28" s="120"/>
      <c r="APE28" s="440"/>
      <c r="AQA28" s="436"/>
      <c r="AQB28" s="120"/>
      <c r="AQC28" s="446"/>
      <c r="AQD28" s="120"/>
      <c r="AQE28" s="440"/>
      <c r="ARA28" s="436"/>
      <c r="ARB28" s="120"/>
      <c r="ARC28" s="446"/>
      <c r="ARD28" s="120"/>
      <c r="ARE28" s="440"/>
      <c r="ASA28" s="436"/>
      <c r="ASB28" s="120"/>
      <c r="ASC28" s="446"/>
      <c r="ASD28" s="120"/>
      <c r="ASE28" s="440"/>
      <c r="ATA28" s="436"/>
      <c r="ATB28" s="120"/>
      <c r="ATC28" s="446"/>
      <c r="ATD28" s="120"/>
      <c r="ATE28" s="440"/>
      <c r="AUA28" s="436"/>
      <c r="AUB28" s="120"/>
      <c r="AUC28" s="446"/>
      <c r="AUD28" s="120"/>
      <c r="AUE28" s="440"/>
      <c r="AVA28" s="436"/>
      <c r="AVB28" s="120"/>
      <c r="AVC28" s="446"/>
      <c r="AVD28" s="120"/>
      <c r="AVE28" s="440"/>
      <c r="AWA28" s="436"/>
      <c r="AWB28" s="120"/>
      <c r="AWC28" s="446"/>
      <c r="AWD28" s="120"/>
      <c r="AWE28" s="440"/>
      <c r="AXA28" s="436"/>
      <c r="AXB28" s="120"/>
      <c r="AXC28" s="446"/>
      <c r="AXD28" s="120"/>
      <c r="AXE28" s="440"/>
      <c r="AYA28" s="436"/>
      <c r="AYB28" s="120"/>
      <c r="AYC28" s="446"/>
      <c r="AYD28" s="120"/>
      <c r="AYE28" s="440"/>
      <c r="AZA28" s="436"/>
      <c r="AZB28" s="120"/>
      <c r="AZC28" s="446"/>
      <c r="AZD28" s="120"/>
      <c r="AZE28" s="440"/>
      <c r="BAA28" s="436"/>
      <c r="BAB28" s="120"/>
      <c r="BAC28" s="446"/>
      <c r="BAD28" s="120"/>
      <c r="BAE28" s="440"/>
      <c r="BBA28" s="436"/>
      <c r="BBB28" s="120"/>
      <c r="BBC28" s="446"/>
      <c r="BBD28" s="120"/>
      <c r="BBE28" s="440"/>
      <c r="BCA28" s="436"/>
      <c r="BCB28" s="120"/>
      <c r="BCC28" s="446"/>
      <c r="BCD28" s="120"/>
      <c r="BCE28" s="440"/>
      <c r="BDA28" s="436"/>
      <c r="BDB28" s="120"/>
      <c r="BDC28" s="446"/>
      <c r="BDD28" s="120"/>
      <c r="BDE28" s="440"/>
      <c r="BEA28" s="436"/>
      <c r="BEB28" s="120"/>
      <c r="BEC28" s="446"/>
      <c r="BED28" s="120"/>
      <c r="BEE28" s="440"/>
      <c r="BFA28" s="436"/>
      <c r="BFB28" s="120"/>
      <c r="BFC28" s="446"/>
      <c r="BFD28" s="120"/>
      <c r="BFE28" s="440"/>
      <c r="BGA28" s="436"/>
      <c r="BGB28" s="120"/>
      <c r="BGC28" s="446"/>
      <c r="BGD28" s="120"/>
      <c r="BGE28" s="440"/>
      <c r="BHA28" s="436"/>
      <c r="BHB28" s="120"/>
      <c r="BHC28" s="446"/>
      <c r="BHD28" s="120"/>
      <c r="BHE28" s="440"/>
      <c r="BIA28" s="436"/>
      <c r="BIB28" s="120"/>
      <c r="BIC28" s="446"/>
      <c r="BID28" s="120"/>
      <c r="BIE28" s="440"/>
      <c r="BJA28" s="436"/>
      <c r="BJB28" s="120"/>
      <c r="BJC28" s="446"/>
      <c r="BJD28" s="120"/>
      <c r="BJE28" s="440"/>
      <c r="BKA28" s="436"/>
      <c r="BKB28" s="120"/>
      <c r="BKC28" s="446"/>
      <c r="BKD28" s="120"/>
      <c r="BKE28" s="440"/>
      <c r="BLA28" s="436"/>
      <c r="BLB28" s="120"/>
      <c r="BLC28" s="446"/>
      <c r="BLD28" s="120"/>
      <c r="BLE28" s="440"/>
      <c r="BMA28" s="436"/>
      <c r="BMB28" s="120"/>
      <c r="BMC28" s="446"/>
      <c r="BMD28" s="120"/>
      <c r="BME28" s="440"/>
      <c r="BNA28" s="436"/>
      <c r="BNB28" s="120"/>
      <c r="BNC28" s="446"/>
      <c r="BND28" s="120"/>
      <c r="BNE28" s="440"/>
      <c r="BOA28" s="436"/>
      <c r="BOB28" s="120"/>
      <c r="BOC28" s="446"/>
      <c r="BOD28" s="120"/>
      <c r="BOE28" s="440"/>
      <c r="BPA28" s="436"/>
      <c r="BPB28" s="120"/>
      <c r="BPC28" s="446"/>
      <c r="BPD28" s="120"/>
      <c r="BPE28" s="440"/>
      <c r="BQA28" s="436"/>
      <c r="BQB28" s="120"/>
      <c r="BQC28" s="446"/>
      <c r="BQD28" s="120"/>
      <c r="BQE28" s="440"/>
      <c r="BRA28" s="436"/>
      <c r="BRB28" s="120"/>
      <c r="BRC28" s="446"/>
      <c r="BRD28" s="120"/>
      <c r="BRE28" s="440"/>
    </row>
    <row r="29" spans="1:1019 1041:1825">
      <c r="B29" s="114" t="s">
        <v>1932</v>
      </c>
      <c r="F29"/>
      <c r="G29" s="574"/>
      <c r="H29" s="110"/>
      <c r="AA29" s="436" t="s">
        <v>8</v>
      </c>
      <c r="AB29" s="120"/>
      <c r="AC29" s="459" t="s">
        <v>564</v>
      </c>
      <c r="AD29" s="120"/>
      <c r="AE29" s="440"/>
      <c r="BA29" s="436" t="s">
        <v>8</v>
      </c>
      <c r="BB29" s="120"/>
      <c r="BC29" s="459" t="s">
        <v>564</v>
      </c>
      <c r="BD29" s="120"/>
      <c r="BE29" s="440"/>
      <c r="CA29" s="436" t="s">
        <v>8</v>
      </c>
      <c r="CB29" s="120"/>
      <c r="CC29" s="459" t="s">
        <v>564</v>
      </c>
      <c r="CD29" s="120"/>
      <c r="CE29" s="440"/>
      <c r="DA29" s="436" t="s">
        <v>8</v>
      </c>
      <c r="DB29" s="120"/>
      <c r="DC29" s="459" t="s">
        <v>564</v>
      </c>
      <c r="DD29" s="120"/>
      <c r="DE29" s="440"/>
      <c r="EA29" s="436" t="s">
        <v>8</v>
      </c>
      <c r="EB29" s="120"/>
      <c r="EC29" s="459" t="s">
        <v>564</v>
      </c>
      <c r="ED29" s="120"/>
      <c r="EE29" s="440"/>
      <c r="FA29" s="436" t="s">
        <v>8</v>
      </c>
      <c r="FB29" s="120"/>
      <c r="FC29" s="459" t="s">
        <v>564</v>
      </c>
      <c r="FD29" s="120"/>
      <c r="FE29" s="440"/>
      <c r="GA29" s="436" t="s">
        <v>8</v>
      </c>
      <c r="GB29" s="120"/>
      <c r="GC29" s="459" t="s">
        <v>564</v>
      </c>
      <c r="GD29" s="120"/>
      <c r="GE29" s="440"/>
      <c r="HA29" s="436" t="s">
        <v>8</v>
      </c>
      <c r="HB29" s="120"/>
      <c r="HC29" s="459" t="s">
        <v>564</v>
      </c>
      <c r="HD29" s="120"/>
      <c r="HE29" s="440"/>
      <c r="IA29" s="436" t="s">
        <v>8</v>
      </c>
      <c r="IB29" s="120"/>
      <c r="IC29" s="459" t="s">
        <v>564</v>
      </c>
      <c r="ID29" s="120"/>
      <c r="IE29" s="440"/>
      <c r="JA29" s="436" t="s">
        <v>8</v>
      </c>
      <c r="JB29" s="120"/>
      <c r="JC29" s="459" t="s">
        <v>564</v>
      </c>
      <c r="JD29" s="120"/>
      <c r="JE29" s="440"/>
      <c r="KA29" s="436" t="s">
        <v>8</v>
      </c>
      <c r="KB29" s="120"/>
      <c r="KC29" s="459" t="s">
        <v>564</v>
      </c>
      <c r="KD29" s="120"/>
      <c r="KE29" s="440"/>
      <c r="LA29" s="436" t="s">
        <v>8</v>
      </c>
      <c r="LB29" s="120"/>
      <c r="LC29" s="459" t="s">
        <v>564</v>
      </c>
      <c r="LD29" s="120"/>
      <c r="LE29" s="440"/>
      <c r="MA29" s="436" t="s">
        <v>8</v>
      </c>
      <c r="MB29" s="223" t="e">
        <f>20*MB12*1055/MB11/1000</f>
        <v>#REF!</v>
      </c>
      <c r="MC29" s="459" t="s">
        <v>564</v>
      </c>
      <c r="MD29" s="120"/>
      <c r="ME29" s="440"/>
      <c r="NA29" s="436" t="s">
        <v>8</v>
      </c>
      <c r="NB29" s="120"/>
      <c r="NC29" s="459" t="s">
        <v>564</v>
      </c>
      <c r="ND29" s="120"/>
      <c r="NE29" s="440"/>
      <c r="OA29" s="436" t="s">
        <v>8</v>
      </c>
      <c r="OB29" s="120"/>
      <c r="OC29" s="459" t="s">
        <v>564</v>
      </c>
      <c r="OD29" s="120"/>
      <c r="OE29" s="440"/>
      <c r="PA29" s="436" t="s">
        <v>8</v>
      </c>
      <c r="PB29" s="120"/>
      <c r="PC29" s="459" t="s">
        <v>564</v>
      </c>
      <c r="PD29" s="120"/>
      <c r="PE29" s="440"/>
      <c r="QA29" s="436" t="s">
        <v>8</v>
      </c>
      <c r="QB29" s="120"/>
      <c r="QC29" s="459" t="s">
        <v>564</v>
      </c>
      <c r="QD29" s="120"/>
      <c r="QE29" s="440"/>
      <c r="RA29" s="436" t="s">
        <v>8</v>
      </c>
      <c r="RB29" s="120"/>
      <c r="RC29" s="459" t="s">
        <v>564</v>
      </c>
      <c r="RD29" s="120"/>
      <c r="RE29" s="440"/>
      <c r="SA29" s="436" t="s">
        <v>8</v>
      </c>
      <c r="SB29" s="120"/>
      <c r="SC29" s="459" t="s">
        <v>564</v>
      </c>
      <c r="SD29" s="120"/>
      <c r="SE29" s="440"/>
      <c r="TA29" s="436" t="s">
        <v>8</v>
      </c>
      <c r="TB29" s="120"/>
      <c r="TC29" s="459" t="s">
        <v>564</v>
      </c>
      <c r="TD29" s="120"/>
      <c r="TE29" s="440"/>
      <c r="UA29" s="436" t="s">
        <v>8</v>
      </c>
      <c r="UB29" s="120"/>
      <c r="UC29" s="459" t="s">
        <v>564</v>
      </c>
      <c r="UD29" s="120"/>
      <c r="UE29" s="440"/>
      <c r="VA29" s="436" t="s">
        <v>8</v>
      </c>
      <c r="VB29" s="120" t="e">
        <f>VB109*VB11/3600/0.8</f>
        <v>#REF!</v>
      </c>
      <c r="VC29" s="459" t="s">
        <v>564</v>
      </c>
      <c r="VD29" s="120"/>
      <c r="VE29" s="440"/>
      <c r="WA29" s="436" t="s">
        <v>8</v>
      </c>
      <c r="WB29" s="120"/>
      <c r="WC29" s="459" t="s">
        <v>564</v>
      </c>
      <c r="WD29" s="120"/>
      <c r="WE29" s="440"/>
      <c r="XA29" s="436" t="s">
        <v>8</v>
      </c>
      <c r="XB29" s="120"/>
      <c r="XC29" s="459" t="s">
        <v>564</v>
      </c>
      <c r="XD29" s="120"/>
      <c r="XE29" s="440"/>
      <c r="YA29" s="436" t="s">
        <v>8</v>
      </c>
      <c r="YB29" s="120"/>
      <c r="YC29" s="459" t="s">
        <v>564</v>
      </c>
      <c r="YD29" s="120"/>
      <c r="YE29" s="440"/>
      <c r="ZA29" s="436" t="s">
        <v>8</v>
      </c>
      <c r="ZB29" s="120"/>
      <c r="ZC29" s="459" t="s">
        <v>564</v>
      </c>
      <c r="ZD29" s="120"/>
      <c r="ZE29" s="440"/>
      <c r="AAA29" s="436" t="s">
        <v>8</v>
      </c>
      <c r="AAB29" s="120"/>
      <c r="AAC29" s="459" t="s">
        <v>564</v>
      </c>
      <c r="AAD29" s="120"/>
      <c r="AAE29" s="440"/>
      <c r="ABA29" s="436" t="s">
        <v>8</v>
      </c>
      <c r="ABB29" s="120"/>
      <c r="ABC29" s="459" t="s">
        <v>564</v>
      </c>
      <c r="ABD29" s="120"/>
      <c r="ABE29" s="440"/>
      <c r="ACA29" s="436" t="s">
        <v>8</v>
      </c>
      <c r="ACB29" s="120"/>
      <c r="ACC29" s="459" t="s">
        <v>564</v>
      </c>
      <c r="ACD29" s="120"/>
      <c r="ACE29" s="440"/>
      <c r="ADA29" s="436" t="s">
        <v>8</v>
      </c>
      <c r="ADB29" s="120"/>
      <c r="ADC29" s="459" t="s">
        <v>564</v>
      </c>
      <c r="ADD29" s="120"/>
      <c r="ADE29" s="440"/>
      <c r="AEA29" s="436" t="s">
        <v>8</v>
      </c>
      <c r="AEB29" s="120"/>
      <c r="AEC29" s="459" t="s">
        <v>564</v>
      </c>
      <c r="AED29" s="120"/>
      <c r="AEE29" s="440"/>
      <c r="AFA29" s="436" t="s">
        <v>8</v>
      </c>
      <c r="AFB29" s="120"/>
      <c r="AFC29" s="459" t="s">
        <v>564</v>
      </c>
      <c r="AFD29" s="120"/>
      <c r="AFE29" s="440"/>
      <c r="AGA29" s="436" t="s">
        <v>8</v>
      </c>
      <c r="AGB29" s="120"/>
      <c r="AGC29" s="459" t="s">
        <v>564</v>
      </c>
      <c r="AGD29" s="120"/>
      <c r="AGE29" s="440"/>
      <c r="AHA29" s="436" t="s">
        <v>8</v>
      </c>
      <c r="AHB29" s="120"/>
      <c r="AHC29" s="459" t="s">
        <v>564</v>
      </c>
      <c r="AHD29" s="120"/>
      <c r="AHE29" s="440"/>
      <c r="AIA29" s="436" t="s">
        <v>8</v>
      </c>
      <c r="AIB29" s="120"/>
      <c r="AIC29" s="459" t="s">
        <v>564</v>
      </c>
      <c r="AID29" s="120"/>
      <c r="AIE29" s="440"/>
      <c r="AJA29" s="436" t="s">
        <v>8</v>
      </c>
      <c r="AJB29" s="120"/>
      <c r="AJC29" s="459" t="s">
        <v>564</v>
      </c>
      <c r="AJD29" s="120"/>
      <c r="AJE29" s="440"/>
      <c r="AKA29" s="436" t="s">
        <v>8</v>
      </c>
      <c r="AKB29" s="120"/>
      <c r="AKC29" s="459" t="s">
        <v>564</v>
      </c>
      <c r="AKD29" s="120"/>
      <c r="AKE29" s="440"/>
      <c r="ALA29" s="436" t="s">
        <v>8</v>
      </c>
      <c r="ALB29" s="120"/>
      <c r="ALC29" s="459" t="s">
        <v>564</v>
      </c>
      <c r="ALD29" s="120"/>
      <c r="ALE29" s="440"/>
      <c r="AMA29" s="436" t="s">
        <v>8</v>
      </c>
      <c r="AMB29" s="120"/>
      <c r="AMC29" s="459" t="s">
        <v>564</v>
      </c>
      <c r="AMD29" s="120"/>
      <c r="AME29" s="440"/>
      <c r="ANA29" s="436" t="s">
        <v>8</v>
      </c>
      <c r="ANB29" s="120"/>
      <c r="ANC29" s="459" t="s">
        <v>564</v>
      </c>
      <c r="AND29" s="120"/>
      <c r="ANE29" s="440"/>
      <c r="AOA29" s="436" t="s">
        <v>8</v>
      </c>
      <c r="AOB29" s="120"/>
      <c r="AOC29" s="459" t="s">
        <v>564</v>
      </c>
      <c r="AOD29" s="120"/>
      <c r="AOE29" s="440"/>
      <c r="APA29" s="436" t="s">
        <v>8</v>
      </c>
      <c r="APB29" s="120"/>
      <c r="APC29" s="459" t="s">
        <v>564</v>
      </c>
      <c r="APD29" s="120"/>
      <c r="APE29" s="440"/>
      <c r="AQA29" s="436" t="s">
        <v>8</v>
      </c>
      <c r="AQB29" s="120"/>
      <c r="AQC29" s="459" t="s">
        <v>564</v>
      </c>
      <c r="AQD29" s="120"/>
      <c r="AQE29" s="440"/>
      <c r="ARA29" s="436" t="s">
        <v>8</v>
      </c>
      <c r="ARB29" s="120"/>
      <c r="ARC29" s="459" t="s">
        <v>564</v>
      </c>
      <c r="ARD29" s="120"/>
      <c r="ARE29" s="440"/>
      <c r="ASA29" s="436" t="s">
        <v>8</v>
      </c>
      <c r="ASB29" s="120"/>
      <c r="ASC29" s="459" t="s">
        <v>564</v>
      </c>
      <c r="ASD29" s="120"/>
      <c r="ASE29" s="440"/>
      <c r="ATA29" s="436" t="s">
        <v>8</v>
      </c>
      <c r="ATB29" s="120"/>
      <c r="ATC29" s="459" t="s">
        <v>564</v>
      </c>
      <c r="ATD29" s="120"/>
      <c r="ATE29" s="440"/>
      <c r="AUA29" s="436" t="s">
        <v>8</v>
      </c>
      <c r="AUB29" s="120"/>
      <c r="AUC29" s="459" t="s">
        <v>564</v>
      </c>
      <c r="AUD29" s="120"/>
      <c r="AUE29" s="440"/>
      <c r="AVA29" s="436" t="s">
        <v>8</v>
      </c>
      <c r="AVB29" s="120"/>
      <c r="AVC29" s="459" t="s">
        <v>564</v>
      </c>
      <c r="AVD29" s="120"/>
      <c r="AVE29" s="440"/>
      <c r="AWA29" s="436" t="s">
        <v>8</v>
      </c>
      <c r="AWB29" s="120"/>
      <c r="AWC29" s="459" t="s">
        <v>564</v>
      </c>
      <c r="AWD29" s="120"/>
      <c r="AWE29" s="440"/>
      <c r="AXA29" s="436" t="s">
        <v>8</v>
      </c>
      <c r="AXB29" s="120">
        <f>20*1055/1000*0.3</f>
        <v>6.33</v>
      </c>
      <c r="AXC29" s="459" t="s">
        <v>564</v>
      </c>
      <c r="AXD29" s="120"/>
      <c r="AXE29" s="440"/>
      <c r="AYA29" s="436" t="s">
        <v>8</v>
      </c>
      <c r="AYB29" s="120"/>
      <c r="AYC29" s="459" t="s">
        <v>564</v>
      </c>
      <c r="AYD29" s="120"/>
      <c r="AYE29" s="440"/>
      <c r="AZA29" s="436" t="s">
        <v>8</v>
      </c>
      <c r="AZB29" s="120"/>
      <c r="AZC29" s="459" t="s">
        <v>564</v>
      </c>
      <c r="AZD29" s="120"/>
      <c r="AZE29" s="440"/>
      <c r="BAA29" s="436" t="s">
        <v>8</v>
      </c>
      <c r="BAB29" s="120"/>
      <c r="BAC29" s="459" t="s">
        <v>564</v>
      </c>
      <c r="BAD29" s="120"/>
      <c r="BAE29" s="440"/>
      <c r="BBA29" s="436" t="s">
        <v>8</v>
      </c>
      <c r="BBB29" s="120"/>
      <c r="BBC29" s="459" t="s">
        <v>564</v>
      </c>
      <c r="BBD29" s="120"/>
      <c r="BBE29" s="440"/>
      <c r="BCA29" s="436" t="s">
        <v>8</v>
      </c>
      <c r="BCB29" s="120"/>
      <c r="BCC29" s="459" t="s">
        <v>564</v>
      </c>
      <c r="BCD29" s="120"/>
      <c r="BCE29" s="440"/>
      <c r="BDA29" s="436" t="s">
        <v>8</v>
      </c>
      <c r="BDB29" s="120"/>
      <c r="BDC29" s="459" t="s">
        <v>564</v>
      </c>
      <c r="BDD29" s="120"/>
      <c r="BDE29" s="440"/>
      <c r="BEA29" s="436" t="s">
        <v>8</v>
      </c>
      <c r="BEB29" s="120"/>
      <c r="BEC29" s="459" t="s">
        <v>564</v>
      </c>
      <c r="BED29" s="120"/>
      <c r="BEE29" s="440"/>
      <c r="BFA29" s="436" t="s">
        <v>8</v>
      </c>
      <c r="BFB29" s="120"/>
      <c r="BFC29" s="459" t="s">
        <v>564</v>
      </c>
      <c r="BFD29" s="120"/>
      <c r="BFE29" s="440"/>
      <c r="BGA29" s="436" t="s">
        <v>8</v>
      </c>
      <c r="BGB29" s="120"/>
      <c r="BGC29" s="459" t="s">
        <v>564</v>
      </c>
      <c r="BGD29" s="120"/>
      <c r="BGE29" s="440"/>
      <c r="BHA29" s="436" t="s">
        <v>8</v>
      </c>
      <c r="BHB29" s="120"/>
      <c r="BHC29" s="459" t="s">
        <v>564</v>
      </c>
      <c r="BHD29" s="120"/>
      <c r="BHE29" s="440"/>
      <c r="BIA29" s="436" t="s">
        <v>8</v>
      </c>
      <c r="BIB29" s="120"/>
      <c r="BIC29" s="459" t="s">
        <v>564</v>
      </c>
      <c r="BID29" s="120"/>
      <c r="BIE29" s="440"/>
      <c r="BJA29" s="436" t="s">
        <v>8</v>
      </c>
      <c r="BJB29" s="120"/>
      <c r="BJC29" s="459" t="s">
        <v>564</v>
      </c>
      <c r="BJD29" s="120"/>
      <c r="BJE29" s="440"/>
      <c r="BKA29" s="436" t="s">
        <v>8</v>
      </c>
      <c r="BKB29" s="120"/>
      <c r="BKC29" s="459" t="s">
        <v>564</v>
      </c>
      <c r="BKD29" s="120"/>
      <c r="BKE29" s="440"/>
      <c r="BLA29" s="436" t="s">
        <v>8</v>
      </c>
      <c r="BLB29" s="120"/>
      <c r="BLC29" s="459" t="s">
        <v>564</v>
      </c>
      <c r="BLD29" s="120"/>
      <c r="BLE29" s="440"/>
      <c r="BMA29" s="436" t="s">
        <v>8</v>
      </c>
      <c r="BMB29" s="120"/>
      <c r="BMC29" s="459" t="s">
        <v>564</v>
      </c>
      <c r="BMD29" s="120"/>
      <c r="BME29" s="440"/>
      <c r="BNA29" s="436" t="s">
        <v>8</v>
      </c>
      <c r="BNB29" s="120"/>
      <c r="BNC29" s="459" t="s">
        <v>564</v>
      </c>
      <c r="BND29" s="120"/>
      <c r="BNE29" s="440"/>
      <c r="BOA29" s="436" t="s">
        <v>8</v>
      </c>
      <c r="BOB29" s="120"/>
      <c r="BOC29" s="459" t="s">
        <v>564</v>
      </c>
      <c r="BOD29" s="120"/>
      <c r="BOE29" s="440"/>
      <c r="BPA29" s="436" t="s">
        <v>8</v>
      </c>
      <c r="BPB29" s="120"/>
      <c r="BPC29" s="459" t="s">
        <v>564</v>
      </c>
      <c r="BPD29" s="120"/>
      <c r="BPE29" s="440"/>
      <c r="BQA29" s="436" t="s">
        <v>8</v>
      </c>
      <c r="BQB29" s="120"/>
      <c r="BQC29" s="459" t="s">
        <v>564</v>
      </c>
      <c r="BQD29" s="120"/>
      <c r="BQE29" s="440"/>
      <c r="BRA29" s="436" t="s">
        <v>8</v>
      </c>
      <c r="BRB29" s="120"/>
      <c r="BRC29" s="459" t="s">
        <v>564</v>
      </c>
      <c r="BRD29" s="120"/>
      <c r="BRE29" s="440"/>
    </row>
    <row r="30" spans="1:1019 1041:1825">
      <c r="B30" s="114" t="s">
        <v>601</v>
      </c>
      <c r="G30" s="574"/>
      <c r="H30" s="110"/>
      <c r="AA30" s="436"/>
      <c r="AB30" s="120"/>
      <c r="AC30" s="459"/>
      <c r="AD30" s="120"/>
      <c r="AE30" s="440"/>
      <c r="BA30" s="436"/>
      <c r="BB30" s="120"/>
      <c r="BC30" s="459"/>
      <c r="BD30" s="120"/>
      <c r="BE30" s="440"/>
      <c r="CA30" s="436"/>
      <c r="CB30" s="120"/>
      <c r="CC30" s="459"/>
      <c r="CD30" s="120"/>
      <c r="CE30" s="440"/>
      <c r="DA30" s="436"/>
      <c r="DB30" s="120"/>
      <c r="DC30" s="459"/>
      <c r="DD30" s="120"/>
      <c r="DE30" s="440"/>
      <c r="EA30" s="436"/>
      <c r="EB30" s="120"/>
      <c r="EC30" s="459"/>
      <c r="ED30" s="120"/>
      <c r="EE30" s="440"/>
      <c r="FA30" s="436"/>
      <c r="FB30" s="120"/>
      <c r="FC30" s="459"/>
      <c r="FD30" s="120"/>
      <c r="FE30" s="440"/>
      <c r="GA30" s="436"/>
      <c r="GB30" s="120"/>
      <c r="GC30" s="459"/>
      <c r="GD30" s="120"/>
      <c r="GE30" s="440"/>
      <c r="HA30" s="436"/>
      <c r="HB30" s="120"/>
      <c r="HC30" s="459"/>
      <c r="HD30" s="120"/>
      <c r="HE30" s="440"/>
      <c r="IA30" s="436"/>
      <c r="IB30" s="120"/>
      <c r="IC30" s="459"/>
      <c r="ID30" s="120"/>
      <c r="IE30" s="440"/>
      <c r="JA30" s="436"/>
      <c r="JB30" s="120"/>
      <c r="JC30" s="459"/>
      <c r="JD30" s="120"/>
      <c r="JE30" s="440"/>
      <c r="KA30" s="436"/>
      <c r="KB30" s="120"/>
      <c r="KC30" s="459"/>
      <c r="KD30" s="120"/>
      <c r="KE30" s="440"/>
      <c r="LA30" s="436"/>
      <c r="LB30" s="120"/>
      <c r="LC30" s="459"/>
      <c r="LD30" s="120"/>
      <c r="LE30" s="440"/>
      <c r="MA30" s="436"/>
      <c r="MB30" s="120"/>
      <c r="MC30" s="459"/>
      <c r="MD30" s="120"/>
      <c r="ME30" s="440"/>
      <c r="NA30" s="436"/>
      <c r="NB30" s="120"/>
      <c r="NC30" s="459"/>
      <c r="ND30" s="120"/>
      <c r="NE30" s="440"/>
      <c r="OA30" s="436"/>
      <c r="OB30" s="120"/>
      <c r="OC30" s="459"/>
      <c r="OD30" s="120"/>
      <c r="OE30" s="440"/>
      <c r="PA30" s="436"/>
      <c r="PB30" s="120"/>
      <c r="PC30" s="459"/>
      <c r="PD30" s="120"/>
      <c r="PE30" s="440"/>
      <c r="QA30" s="436"/>
      <c r="QB30" s="120"/>
      <c r="QC30" s="459"/>
      <c r="QD30" s="120"/>
      <c r="QE30" s="440"/>
      <c r="RA30" s="436"/>
      <c r="RB30" s="120"/>
      <c r="RC30" s="459"/>
      <c r="RD30" s="120"/>
      <c r="RE30" s="440"/>
      <c r="SA30" s="436"/>
      <c r="SB30" s="120"/>
      <c r="SC30" s="459"/>
      <c r="SD30" s="120"/>
      <c r="SE30" s="440"/>
      <c r="TA30" s="436"/>
      <c r="TB30" s="120"/>
      <c r="TC30" s="459"/>
      <c r="TD30" s="120"/>
      <c r="TE30" s="440"/>
      <c r="UA30" s="436"/>
      <c r="UB30" s="120"/>
      <c r="UC30" s="459"/>
      <c r="UD30" s="120"/>
      <c r="UE30" s="440"/>
      <c r="VA30" s="436"/>
      <c r="VB30" s="120"/>
      <c r="VC30" s="459"/>
      <c r="VD30" s="120"/>
      <c r="VE30" s="440"/>
      <c r="WA30" s="436"/>
      <c r="WB30" s="120"/>
      <c r="WC30" s="459"/>
      <c r="WD30" s="120"/>
      <c r="WE30" s="440"/>
      <c r="XA30" s="436"/>
      <c r="XB30" s="120"/>
      <c r="XC30" s="459"/>
      <c r="XD30" s="120"/>
      <c r="XE30" s="440"/>
      <c r="YA30" s="436"/>
      <c r="YB30" s="120"/>
      <c r="YC30" s="459"/>
      <c r="YD30" s="120"/>
      <c r="YE30" s="440"/>
      <c r="ZA30" s="436"/>
      <c r="ZB30" s="120"/>
      <c r="ZC30" s="459"/>
      <c r="ZD30" s="120"/>
      <c r="ZE30" s="440"/>
      <c r="AAA30" s="436"/>
      <c r="AAB30" s="120"/>
      <c r="AAC30" s="459"/>
      <c r="AAD30" s="120"/>
      <c r="AAE30" s="440"/>
      <c r="ABA30" s="436"/>
      <c r="ABB30" s="120"/>
      <c r="ABC30" s="459"/>
      <c r="ABD30" s="120"/>
      <c r="ABE30" s="440"/>
      <c r="ACA30" s="436"/>
      <c r="ACB30" s="120"/>
      <c r="ACC30" s="459"/>
      <c r="ACD30" s="120"/>
      <c r="ACE30" s="440"/>
      <c r="ADA30" s="436"/>
      <c r="ADB30" s="120"/>
      <c r="ADC30" s="459"/>
      <c r="ADD30" s="120"/>
      <c r="ADE30" s="440"/>
      <c r="AEA30" s="436"/>
      <c r="AEB30" s="120"/>
      <c r="AEC30" s="459"/>
      <c r="AED30" s="120"/>
      <c r="AEE30" s="440"/>
      <c r="AFA30" s="436"/>
      <c r="AFB30" s="120"/>
      <c r="AFC30" s="459"/>
      <c r="AFD30" s="120"/>
      <c r="AFE30" s="440"/>
      <c r="AGA30" s="436"/>
      <c r="AGB30" s="120"/>
      <c r="AGC30" s="459"/>
      <c r="AGD30" s="120"/>
      <c r="AGE30" s="440"/>
      <c r="AHA30" s="436"/>
      <c r="AHB30" s="120"/>
      <c r="AHC30" s="459"/>
      <c r="AHD30" s="120"/>
      <c r="AHE30" s="440"/>
      <c r="AIA30" s="436"/>
      <c r="AIB30" s="120"/>
      <c r="AIC30" s="459"/>
      <c r="AID30" s="120"/>
      <c r="AIE30" s="440"/>
      <c r="AJA30" s="436"/>
      <c r="AJB30" s="120"/>
      <c r="AJC30" s="459"/>
      <c r="AJD30" s="120"/>
      <c r="AJE30" s="440"/>
      <c r="AKA30" s="436"/>
      <c r="AKB30" s="120"/>
      <c r="AKC30" s="459"/>
      <c r="AKD30" s="120"/>
      <c r="AKE30" s="440"/>
      <c r="ALA30" s="436"/>
      <c r="ALB30" s="120"/>
      <c r="ALC30" s="459"/>
      <c r="ALD30" s="120"/>
      <c r="ALE30" s="440"/>
      <c r="AMA30" s="436"/>
      <c r="AMB30" s="120"/>
      <c r="AMC30" s="459"/>
      <c r="AMD30" s="120"/>
      <c r="AME30" s="440"/>
      <c r="ANA30" s="436"/>
      <c r="ANB30" s="120"/>
      <c r="ANC30" s="459"/>
      <c r="AND30" s="120"/>
      <c r="ANE30" s="440"/>
      <c r="AOA30" s="436"/>
      <c r="AOB30" s="120"/>
      <c r="AOC30" s="459"/>
      <c r="AOD30" s="120"/>
      <c r="AOE30" s="440"/>
      <c r="APA30" s="436"/>
      <c r="APB30" s="120"/>
      <c r="APC30" s="459"/>
      <c r="APD30" s="120"/>
      <c r="APE30" s="440"/>
      <c r="AQA30" s="436"/>
      <c r="AQB30" s="120"/>
      <c r="AQC30" s="459"/>
      <c r="AQD30" s="120"/>
      <c r="AQE30" s="440"/>
      <c r="ARA30" s="436"/>
      <c r="ARB30" s="120"/>
      <c r="ARC30" s="459"/>
      <c r="ARD30" s="120"/>
      <c r="ARE30" s="440"/>
      <c r="ASA30" s="436"/>
      <c r="ASB30" s="120"/>
      <c r="ASC30" s="459"/>
      <c r="ASD30" s="120"/>
      <c r="ASE30" s="440"/>
      <c r="ATA30" s="436"/>
      <c r="ATB30" s="120"/>
      <c r="ATC30" s="459"/>
      <c r="ATD30" s="120"/>
      <c r="ATE30" s="440"/>
      <c r="AUA30" s="436"/>
      <c r="AUB30" s="120"/>
      <c r="AUC30" s="459"/>
      <c r="AUD30" s="120"/>
      <c r="AUE30" s="440"/>
      <c r="AVA30" s="436"/>
      <c r="AVB30" s="120"/>
      <c r="AVC30" s="459"/>
      <c r="AVD30" s="120"/>
      <c r="AVE30" s="440"/>
      <c r="AWA30" s="436"/>
      <c r="AWB30" s="120"/>
      <c r="AWC30" s="459"/>
      <c r="AWD30" s="120"/>
      <c r="AWE30" s="440"/>
      <c r="AXA30" s="436"/>
      <c r="AXB30" s="120"/>
      <c r="AXC30" s="459"/>
      <c r="AXD30" s="120"/>
      <c r="AXE30" s="440"/>
      <c r="AYA30" s="436"/>
      <c r="AYB30" s="120"/>
      <c r="AYC30" s="459"/>
      <c r="AYD30" s="120"/>
      <c r="AYE30" s="440"/>
      <c r="AZA30" s="436"/>
      <c r="AZB30" s="120"/>
      <c r="AZC30" s="459"/>
      <c r="AZD30" s="120"/>
      <c r="AZE30" s="440"/>
      <c r="BAA30" s="436"/>
      <c r="BAB30" s="120"/>
      <c r="BAC30" s="459"/>
      <c r="BAD30" s="120"/>
      <c r="BAE30" s="440"/>
      <c r="BBA30" s="436"/>
      <c r="BBB30" s="120"/>
      <c r="BBC30" s="459"/>
      <c r="BBD30" s="120"/>
      <c r="BBE30" s="440"/>
      <c r="BCA30" s="436"/>
      <c r="BCB30" s="120"/>
      <c r="BCC30" s="459"/>
      <c r="BCD30" s="120"/>
      <c r="BCE30" s="440"/>
      <c r="BDA30" s="436"/>
      <c r="BDB30" s="120"/>
      <c r="BDC30" s="459"/>
      <c r="BDD30" s="120"/>
      <c r="BDE30" s="440"/>
      <c r="BEA30" s="436"/>
      <c r="BEB30" s="120"/>
      <c r="BEC30" s="459"/>
      <c r="BED30" s="120"/>
      <c r="BEE30" s="440"/>
      <c r="BFA30" s="436"/>
      <c r="BFB30" s="120"/>
      <c r="BFC30" s="459"/>
      <c r="BFD30" s="120"/>
      <c r="BFE30" s="440"/>
      <c r="BGA30" s="436"/>
      <c r="BGB30" s="120"/>
      <c r="BGC30" s="459"/>
      <c r="BGD30" s="120"/>
      <c r="BGE30" s="440"/>
      <c r="BHA30" s="436"/>
      <c r="BHB30" s="120"/>
      <c r="BHC30" s="459"/>
      <c r="BHD30" s="120"/>
      <c r="BHE30" s="440"/>
      <c r="BIA30" s="436"/>
      <c r="BIB30" s="120"/>
      <c r="BIC30" s="459"/>
      <c r="BID30" s="120"/>
      <c r="BIE30" s="440"/>
      <c r="BJA30" s="436"/>
      <c r="BJB30" s="120"/>
      <c r="BJC30" s="459"/>
      <c r="BJD30" s="120"/>
      <c r="BJE30" s="440"/>
      <c r="BKA30" s="436"/>
      <c r="BKB30" s="120"/>
      <c r="BKC30" s="459"/>
      <c r="BKD30" s="120"/>
      <c r="BKE30" s="440"/>
      <c r="BLA30" s="436"/>
      <c r="BLB30" s="120"/>
      <c r="BLC30" s="459"/>
      <c r="BLD30" s="120"/>
      <c r="BLE30" s="440"/>
      <c r="BMA30" s="436"/>
      <c r="BMB30" s="120"/>
      <c r="BMC30" s="459"/>
      <c r="BMD30" s="120"/>
      <c r="BME30" s="440"/>
      <c r="BNA30" s="436"/>
      <c r="BNB30" s="120"/>
      <c r="BNC30" s="459"/>
      <c r="BND30" s="120"/>
      <c r="BNE30" s="440"/>
      <c r="BOA30" s="436"/>
      <c r="BOB30" s="120"/>
      <c r="BOC30" s="459"/>
      <c r="BOD30" s="120"/>
      <c r="BOE30" s="440"/>
      <c r="BPA30" s="436"/>
      <c r="BPB30" s="120"/>
      <c r="BPC30" s="459"/>
      <c r="BPD30" s="120"/>
      <c r="BPE30" s="440"/>
      <c r="BQA30" s="436"/>
      <c r="BQB30" s="120"/>
      <c r="BQC30" s="459"/>
      <c r="BQD30" s="120"/>
      <c r="BQE30" s="440"/>
      <c r="BRA30" s="436"/>
      <c r="BRB30" s="120"/>
      <c r="BRC30" s="459"/>
      <c r="BRD30" s="120"/>
      <c r="BRE30" s="440"/>
    </row>
    <row r="31" spans="1:1019 1041:1825">
      <c r="B31" s="114" t="s">
        <v>25</v>
      </c>
      <c r="G31" s="574"/>
      <c r="H31" s="110"/>
      <c r="AA31" s="436" t="s">
        <v>7</v>
      </c>
      <c r="AB31" s="120"/>
      <c r="AC31" s="459" t="s">
        <v>564</v>
      </c>
      <c r="AD31" s="120"/>
      <c r="AE31" s="440"/>
      <c r="BA31" s="436" t="s">
        <v>7</v>
      </c>
      <c r="BB31" s="120"/>
      <c r="BC31" s="459" t="s">
        <v>564</v>
      </c>
      <c r="BD31" s="120"/>
      <c r="BE31" s="440"/>
      <c r="CA31" s="436" t="s">
        <v>7</v>
      </c>
      <c r="CB31" s="120"/>
      <c r="CC31" s="459" t="s">
        <v>564</v>
      </c>
      <c r="CD31" s="120"/>
      <c r="CE31" s="440"/>
      <c r="DA31" s="436" t="s">
        <v>7</v>
      </c>
      <c r="DB31" s="120"/>
      <c r="DC31" s="459" t="s">
        <v>564</v>
      </c>
      <c r="DD31" s="120"/>
      <c r="DE31" s="440"/>
      <c r="EA31" s="436" t="s">
        <v>7</v>
      </c>
      <c r="EB31" s="120"/>
      <c r="EC31" s="459" t="s">
        <v>564</v>
      </c>
      <c r="ED31" s="120"/>
      <c r="EE31" s="440"/>
      <c r="FA31" s="436" t="s">
        <v>7</v>
      </c>
      <c r="FB31" s="120"/>
      <c r="FC31" s="459" t="s">
        <v>564</v>
      </c>
      <c r="FD31" s="120"/>
      <c r="FE31" s="440"/>
      <c r="GA31" s="436" t="s">
        <v>7</v>
      </c>
      <c r="GB31" s="120"/>
      <c r="GC31" s="459" t="s">
        <v>564</v>
      </c>
      <c r="GD31" s="120"/>
      <c r="GE31" s="440"/>
      <c r="HA31" s="436" t="s">
        <v>7</v>
      </c>
      <c r="HB31" s="120"/>
      <c r="HC31" s="459" t="s">
        <v>564</v>
      </c>
      <c r="HD31" s="120"/>
      <c r="HE31" s="440"/>
      <c r="IA31" s="436" t="s">
        <v>7</v>
      </c>
      <c r="IB31" s="120"/>
      <c r="IC31" s="459" t="s">
        <v>564</v>
      </c>
      <c r="ID31" s="120"/>
      <c r="IE31" s="440"/>
      <c r="JA31" s="436" t="s">
        <v>7</v>
      </c>
      <c r="JB31" s="120"/>
      <c r="JC31" s="459" t="s">
        <v>564</v>
      </c>
      <c r="JD31" s="120"/>
      <c r="JE31" s="440"/>
      <c r="KA31" s="436" t="s">
        <v>7</v>
      </c>
      <c r="KB31" s="120"/>
      <c r="KC31" s="459" t="s">
        <v>564</v>
      </c>
      <c r="KD31" s="120"/>
      <c r="KE31" s="440"/>
      <c r="LA31" s="436" t="s">
        <v>7</v>
      </c>
      <c r="LB31" s="120"/>
      <c r="LC31" s="459" t="s">
        <v>564</v>
      </c>
      <c r="LD31" s="120"/>
      <c r="LE31" s="440"/>
      <c r="MA31" s="436" t="s">
        <v>7</v>
      </c>
      <c r="MB31" s="120"/>
      <c r="MC31" s="459" t="s">
        <v>564</v>
      </c>
      <c r="MD31" s="120"/>
      <c r="ME31" s="440"/>
      <c r="NA31" s="436" t="s">
        <v>7</v>
      </c>
      <c r="NB31" s="120"/>
      <c r="NC31" s="459" t="s">
        <v>564</v>
      </c>
      <c r="ND31" s="120"/>
      <c r="NE31" s="440"/>
      <c r="OA31" s="436" t="s">
        <v>7</v>
      </c>
      <c r="OB31" s="120"/>
      <c r="OC31" s="459" t="s">
        <v>564</v>
      </c>
      <c r="OD31" s="120"/>
      <c r="OE31" s="440"/>
      <c r="PA31" s="436" t="s">
        <v>7</v>
      </c>
      <c r="PB31" s="120"/>
      <c r="PC31" s="459" t="s">
        <v>564</v>
      </c>
      <c r="PD31" s="120"/>
      <c r="PE31" s="440"/>
      <c r="QA31" s="436" t="s">
        <v>7</v>
      </c>
      <c r="QB31" s="120"/>
      <c r="QC31" s="459" t="s">
        <v>564</v>
      </c>
      <c r="QD31" s="120"/>
      <c r="QE31" s="440"/>
      <c r="RA31" s="436" t="s">
        <v>7</v>
      </c>
      <c r="RB31" s="120"/>
      <c r="RC31" s="459" t="s">
        <v>564</v>
      </c>
      <c r="RD31" s="120"/>
      <c r="RE31" s="440"/>
      <c r="SA31" s="436" t="s">
        <v>7</v>
      </c>
      <c r="SB31" s="120"/>
      <c r="SC31" s="459" t="s">
        <v>564</v>
      </c>
      <c r="SD31" s="120"/>
      <c r="SE31" s="440"/>
      <c r="TA31" s="436" t="s">
        <v>7</v>
      </c>
      <c r="TB31" s="120"/>
      <c r="TC31" s="459" t="s">
        <v>564</v>
      </c>
      <c r="TD31" s="120"/>
      <c r="TE31" s="440"/>
      <c r="UA31" s="436" t="s">
        <v>7</v>
      </c>
      <c r="UB31" s="120"/>
      <c r="UC31" s="459" t="s">
        <v>564</v>
      </c>
      <c r="UD31" s="120"/>
      <c r="UE31" s="440"/>
      <c r="VA31" s="436" t="s">
        <v>7</v>
      </c>
      <c r="VB31" s="120"/>
      <c r="VC31" s="459" t="s">
        <v>564</v>
      </c>
      <c r="VD31" s="120"/>
      <c r="VE31" s="440"/>
      <c r="WA31" s="436" t="s">
        <v>7</v>
      </c>
      <c r="WB31" s="120"/>
      <c r="WC31" s="459" t="s">
        <v>564</v>
      </c>
      <c r="WD31" s="120"/>
      <c r="WE31" s="440"/>
      <c r="XA31" s="436" t="s">
        <v>7</v>
      </c>
      <c r="XB31" s="120"/>
      <c r="XC31" s="459" t="s">
        <v>564</v>
      </c>
      <c r="XD31" s="120"/>
      <c r="XE31" s="440"/>
      <c r="YA31" s="436" t="s">
        <v>7</v>
      </c>
      <c r="YB31" s="120"/>
      <c r="YC31" s="459" t="s">
        <v>564</v>
      </c>
      <c r="YD31" s="120"/>
      <c r="YE31" s="440"/>
      <c r="ZA31" s="436" t="s">
        <v>7</v>
      </c>
      <c r="ZB31" s="120"/>
      <c r="ZC31" s="459" t="s">
        <v>564</v>
      </c>
      <c r="ZD31" s="120"/>
      <c r="ZE31" s="440"/>
      <c r="AAA31" s="436" t="s">
        <v>7</v>
      </c>
      <c r="AAB31" s="120"/>
      <c r="AAC31" s="459" t="s">
        <v>564</v>
      </c>
      <c r="AAD31" s="120"/>
      <c r="AAE31" s="440"/>
      <c r="ABA31" s="436" t="s">
        <v>7</v>
      </c>
      <c r="ABB31" s="120"/>
      <c r="ABC31" s="459" t="s">
        <v>564</v>
      </c>
      <c r="ABD31" s="120"/>
      <c r="ABE31" s="440"/>
      <c r="ACA31" s="436" t="s">
        <v>7</v>
      </c>
      <c r="ACB31" s="120"/>
      <c r="ACC31" s="459" t="s">
        <v>564</v>
      </c>
      <c r="ACD31" s="120"/>
      <c r="ACE31" s="440"/>
      <c r="ADA31" s="436" t="s">
        <v>7</v>
      </c>
      <c r="ADB31" s="120"/>
      <c r="ADC31" s="459" t="s">
        <v>564</v>
      </c>
      <c r="ADD31" s="120"/>
      <c r="ADE31" s="440"/>
      <c r="AEA31" s="436" t="s">
        <v>7</v>
      </c>
      <c r="AEB31" s="120"/>
      <c r="AEC31" s="459" t="s">
        <v>564</v>
      </c>
      <c r="AED31" s="120"/>
      <c r="AEE31" s="440"/>
      <c r="AFA31" s="436" t="s">
        <v>7</v>
      </c>
      <c r="AFB31" s="120"/>
      <c r="AFC31" s="459" t="s">
        <v>564</v>
      </c>
      <c r="AFD31" s="120"/>
      <c r="AFE31" s="440"/>
      <c r="AGA31" s="436" t="s">
        <v>7</v>
      </c>
      <c r="AGB31" s="120"/>
      <c r="AGC31" s="459" t="s">
        <v>564</v>
      </c>
      <c r="AGD31" s="120"/>
      <c r="AGE31" s="440"/>
      <c r="AHA31" s="436" t="s">
        <v>7</v>
      </c>
      <c r="AHB31" s="120"/>
      <c r="AHC31" s="459" t="s">
        <v>564</v>
      </c>
      <c r="AHD31" s="120"/>
      <c r="AHE31" s="440"/>
      <c r="AIA31" s="436" t="s">
        <v>7</v>
      </c>
      <c r="AIB31" s="120"/>
      <c r="AIC31" s="459" t="s">
        <v>564</v>
      </c>
      <c r="AID31" s="120"/>
      <c r="AIE31" s="440"/>
      <c r="AJA31" s="436" t="s">
        <v>7</v>
      </c>
      <c r="AJB31" s="120"/>
      <c r="AJC31" s="459" t="s">
        <v>564</v>
      </c>
      <c r="AJD31" s="120"/>
      <c r="AJE31" s="440"/>
      <c r="AKA31" s="436" t="s">
        <v>7</v>
      </c>
      <c r="AKB31" s="120"/>
      <c r="AKC31" s="459" t="s">
        <v>564</v>
      </c>
      <c r="AKD31" s="120"/>
      <c r="AKE31" s="440"/>
      <c r="ALA31" s="436" t="s">
        <v>7</v>
      </c>
      <c r="ALB31" s="120"/>
      <c r="ALC31" s="459" t="s">
        <v>564</v>
      </c>
      <c r="ALD31" s="120"/>
      <c r="ALE31" s="440"/>
      <c r="AMA31" s="436" t="s">
        <v>7</v>
      </c>
      <c r="AMB31" s="120"/>
      <c r="AMC31" s="459" t="s">
        <v>564</v>
      </c>
      <c r="AMD31" s="120"/>
      <c r="AME31" s="440"/>
      <c r="ANA31" s="436" t="s">
        <v>7</v>
      </c>
      <c r="ANB31" s="120"/>
      <c r="ANC31" s="459" t="s">
        <v>564</v>
      </c>
      <c r="AND31" s="120"/>
      <c r="ANE31" s="440"/>
      <c r="AOA31" s="436" t="s">
        <v>7</v>
      </c>
      <c r="AOB31" s="120"/>
      <c r="AOC31" s="459" t="s">
        <v>564</v>
      </c>
      <c r="AOD31" s="120"/>
      <c r="AOE31" s="440"/>
      <c r="APA31" s="436" t="s">
        <v>7</v>
      </c>
      <c r="APB31" s="120"/>
      <c r="APC31" s="459" t="s">
        <v>564</v>
      </c>
      <c r="APD31" s="120"/>
      <c r="APE31" s="440"/>
      <c r="AQA31" s="436" t="s">
        <v>7</v>
      </c>
      <c r="AQB31" s="120"/>
      <c r="AQC31" s="459" t="s">
        <v>564</v>
      </c>
      <c r="AQD31" s="120"/>
      <c r="AQE31" s="440"/>
      <c r="ARA31" s="436" t="s">
        <v>7</v>
      </c>
      <c r="ARB31" s="120"/>
      <c r="ARC31" s="459" t="s">
        <v>564</v>
      </c>
      <c r="ARD31" s="120"/>
      <c r="ARE31" s="440"/>
      <c r="ASA31" s="436" t="s">
        <v>7</v>
      </c>
      <c r="ASB31" s="120"/>
      <c r="ASC31" s="459" t="s">
        <v>564</v>
      </c>
      <c r="ASD31" s="120"/>
      <c r="ASE31" s="440"/>
      <c r="ATA31" s="436" t="s">
        <v>7</v>
      </c>
      <c r="ATB31" s="120"/>
      <c r="ATC31" s="459" t="s">
        <v>564</v>
      </c>
      <c r="ATD31" s="120"/>
      <c r="ATE31" s="440"/>
      <c r="AUA31" s="436" t="s">
        <v>7</v>
      </c>
      <c r="AUB31" s="120"/>
      <c r="AUC31" s="459" t="s">
        <v>564</v>
      </c>
      <c r="AUD31" s="120"/>
      <c r="AUE31" s="440"/>
      <c r="AVA31" s="436" t="s">
        <v>7</v>
      </c>
      <c r="AVB31" s="120"/>
      <c r="AVC31" s="459" t="s">
        <v>564</v>
      </c>
      <c r="AVD31" s="120"/>
      <c r="AVE31" s="440"/>
      <c r="AWA31" s="436" t="s">
        <v>7</v>
      </c>
      <c r="AWB31" s="120"/>
      <c r="AWC31" s="459" t="s">
        <v>564</v>
      </c>
      <c r="AWD31" s="120"/>
      <c r="AWE31" s="440"/>
      <c r="AXA31" s="436" t="s">
        <v>7</v>
      </c>
      <c r="AXB31" s="120"/>
      <c r="AXC31" s="459" t="s">
        <v>564</v>
      </c>
      <c r="AXD31" s="120"/>
      <c r="AXE31" s="440"/>
      <c r="AYA31" s="436" t="s">
        <v>7</v>
      </c>
      <c r="AYB31" s="120"/>
      <c r="AYC31" s="459" t="s">
        <v>564</v>
      </c>
      <c r="AYD31" s="120"/>
      <c r="AYE31" s="440"/>
      <c r="AZA31" s="436" t="s">
        <v>7</v>
      </c>
      <c r="AZB31" s="120"/>
      <c r="AZC31" s="459" t="s">
        <v>564</v>
      </c>
      <c r="AZD31" s="120"/>
      <c r="AZE31" s="440"/>
      <c r="BAA31" s="436" t="s">
        <v>7</v>
      </c>
      <c r="BAB31" s="120"/>
      <c r="BAC31" s="459" t="s">
        <v>564</v>
      </c>
      <c r="BAD31" s="120"/>
      <c r="BAE31" s="440"/>
      <c r="BBA31" s="436" t="s">
        <v>7</v>
      </c>
      <c r="BBB31" s="120"/>
      <c r="BBC31" s="459" t="s">
        <v>564</v>
      </c>
      <c r="BBD31" s="120"/>
      <c r="BBE31" s="440"/>
      <c r="BCA31" s="436" t="s">
        <v>7</v>
      </c>
      <c r="BCB31" s="120"/>
      <c r="BCC31" s="459" t="s">
        <v>564</v>
      </c>
      <c r="BCD31" s="120"/>
      <c r="BCE31" s="440"/>
      <c r="BDA31" s="436" t="s">
        <v>7</v>
      </c>
      <c r="BDB31" s="120"/>
      <c r="BDC31" s="459" t="s">
        <v>564</v>
      </c>
      <c r="BDD31" s="120"/>
      <c r="BDE31" s="440"/>
      <c r="BEA31" s="436" t="s">
        <v>7</v>
      </c>
      <c r="BEB31" s="120"/>
      <c r="BEC31" s="459" t="s">
        <v>564</v>
      </c>
      <c r="BED31" s="120"/>
      <c r="BEE31" s="440"/>
      <c r="BFA31" s="436" t="s">
        <v>7</v>
      </c>
      <c r="BFB31" s="120"/>
      <c r="BFC31" s="459" t="s">
        <v>564</v>
      </c>
      <c r="BFD31" s="120"/>
      <c r="BFE31" s="440"/>
      <c r="BGA31" s="436" t="s">
        <v>7</v>
      </c>
      <c r="BGB31" s="120"/>
      <c r="BGC31" s="459" t="s">
        <v>564</v>
      </c>
      <c r="BGD31" s="120"/>
      <c r="BGE31" s="440"/>
      <c r="BHA31" s="436" t="s">
        <v>7</v>
      </c>
      <c r="BHB31" s="120"/>
      <c r="BHC31" s="459" t="s">
        <v>564</v>
      </c>
      <c r="BHD31" s="120"/>
      <c r="BHE31" s="440"/>
      <c r="BIA31" s="436" t="s">
        <v>7</v>
      </c>
      <c r="BIB31" s="120"/>
      <c r="BIC31" s="459" t="s">
        <v>564</v>
      </c>
      <c r="BID31" s="120"/>
      <c r="BIE31" s="440"/>
      <c r="BJA31" s="436" t="s">
        <v>7</v>
      </c>
      <c r="BJB31" s="120"/>
      <c r="BJC31" s="459" t="s">
        <v>564</v>
      </c>
      <c r="BJD31" s="120"/>
      <c r="BJE31" s="440"/>
      <c r="BKA31" s="436" t="s">
        <v>7</v>
      </c>
      <c r="BKB31" s="120"/>
      <c r="BKC31" s="459" t="s">
        <v>564</v>
      </c>
      <c r="BKD31" s="120"/>
      <c r="BKE31" s="440"/>
      <c r="BLA31" s="436" t="s">
        <v>7</v>
      </c>
      <c r="BLB31" s="120"/>
      <c r="BLC31" s="459" t="s">
        <v>564</v>
      </c>
      <c r="BLD31" s="120"/>
      <c r="BLE31" s="440"/>
      <c r="BMA31" s="436" t="s">
        <v>7</v>
      </c>
      <c r="BMB31" s="120"/>
      <c r="BMC31" s="459" t="s">
        <v>564</v>
      </c>
      <c r="BMD31" s="120"/>
      <c r="BME31" s="440"/>
      <c r="BNA31" s="436" t="s">
        <v>7</v>
      </c>
      <c r="BNB31" s="120"/>
      <c r="BNC31" s="459" t="s">
        <v>564</v>
      </c>
      <c r="BND31" s="120"/>
      <c r="BNE31" s="440"/>
      <c r="BOA31" s="436" t="s">
        <v>7</v>
      </c>
      <c r="BOB31" s="120"/>
      <c r="BOC31" s="459" t="s">
        <v>564</v>
      </c>
      <c r="BOD31" s="120"/>
      <c r="BOE31" s="440"/>
      <c r="BPA31" s="436" t="s">
        <v>7</v>
      </c>
      <c r="BPB31" s="120"/>
      <c r="BPC31" s="459" t="s">
        <v>564</v>
      </c>
      <c r="BPD31" s="120"/>
      <c r="BPE31" s="440"/>
      <c r="BQA31" s="436" t="s">
        <v>7</v>
      </c>
      <c r="BQB31" s="120"/>
      <c r="BQC31" s="459" t="s">
        <v>564</v>
      </c>
      <c r="BQD31" s="120"/>
      <c r="BQE31" s="440"/>
      <c r="BRA31" s="436" t="s">
        <v>7</v>
      </c>
      <c r="BRB31" s="120"/>
      <c r="BRC31" s="459" t="s">
        <v>564</v>
      </c>
      <c r="BRD31" s="120"/>
      <c r="BRE31" s="440"/>
    </row>
    <row r="32" spans="1:1019 1041:1825">
      <c r="B32" s="114" t="s">
        <v>1506</v>
      </c>
      <c r="G32" s="574"/>
      <c r="H32" s="110"/>
      <c r="AA32" s="436"/>
      <c r="AB32" s="120"/>
      <c r="AC32" s="459"/>
      <c r="AD32" s="120"/>
      <c r="AE32" s="440"/>
      <c r="BA32" s="436"/>
      <c r="BB32" s="120"/>
      <c r="BC32" s="459"/>
      <c r="BD32" s="120"/>
      <c r="BE32" s="440"/>
      <c r="CA32" s="436"/>
      <c r="CB32" s="120"/>
      <c r="CC32" s="459"/>
      <c r="CD32" s="120"/>
      <c r="CE32" s="440"/>
      <c r="DA32" s="436"/>
      <c r="DB32" s="120"/>
      <c r="DC32" s="459"/>
      <c r="DD32" s="120"/>
      <c r="DE32" s="440"/>
      <c r="EA32" s="436"/>
      <c r="EB32" s="120"/>
      <c r="EC32" s="459"/>
      <c r="ED32" s="120"/>
      <c r="EE32" s="440"/>
      <c r="FA32" s="436"/>
      <c r="FB32" s="120"/>
      <c r="FC32" s="459"/>
      <c r="FD32" s="120"/>
      <c r="FE32" s="440"/>
      <c r="GA32" s="436"/>
      <c r="GB32" s="120"/>
      <c r="GC32" s="459"/>
      <c r="GD32" s="120"/>
      <c r="GE32" s="440"/>
      <c r="HA32" s="436"/>
      <c r="HB32" s="120"/>
      <c r="HC32" s="459"/>
      <c r="HD32" s="120"/>
      <c r="HE32" s="440"/>
      <c r="IA32" s="436"/>
      <c r="IB32" s="120"/>
      <c r="IC32" s="459"/>
      <c r="ID32" s="120"/>
      <c r="IE32" s="440"/>
      <c r="JA32" s="436"/>
      <c r="JB32" s="120"/>
      <c r="JC32" s="459"/>
      <c r="JD32" s="120"/>
      <c r="JE32" s="440"/>
      <c r="KA32" s="436"/>
      <c r="KB32" s="120"/>
      <c r="KC32" s="459"/>
      <c r="KD32" s="120"/>
      <c r="KE32" s="440"/>
      <c r="LA32" s="436"/>
      <c r="LB32" s="120"/>
      <c r="LC32" s="459"/>
      <c r="LD32" s="120"/>
      <c r="LE32" s="440"/>
      <c r="MA32" s="436"/>
      <c r="MB32" s="120"/>
      <c r="MC32" s="459"/>
      <c r="MD32" s="120"/>
      <c r="ME32" s="440"/>
      <c r="NA32" s="436"/>
      <c r="NB32" s="120"/>
      <c r="NC32" s="459"/>
      <c r="ND32" s="120"/>
      <c r="NE32" s="440"/>
      <c r="OA32" s="436"/>
      <c r="OB32" s="120"/>
      <c r="OC32" s="459"/>
      <c r="OD32" s="120"/>
      <c r="OE32" s="440"/>
      <c r="PA32" s="436"/>
      <c r="PB32" s="120"/>
      <c r="PC32" s="459"/>
      <c r="PD32" s="120"/>
      <c r="PE32" s="440"/>
      <c r="QA32" s="436"/>
      <c r="QB32" s="120"/>
      <c r="QC32" s="459"/>
      <c r="QD32" s="120"/>
      <c r="QE32" s="440"/>
      <c r="RA32" s="436"/>
      <c r="RB32" s="120"/>
      <c r="RC32" s="459"/>
      <c r="RD32" s="120"/>
      <c r="RE32" s="440"/>
      <c r="SA32" s="436"/>
      <c r="SB32" s="120"/>
      <c r="SC32" s="459"/>
      <c r="SD32" s="120"/>
      <c r="SE32" s="440"/>
      <c r="TA32" s="436"/>
      <c r="TB32" s="120"/>
      <c r="TC32" s="459"/>
      <c r="TD32" s="120"/>
      <c r="TE32" s="440"/>
      <c r="UA32" s="436"/>
      <c r="UB32" s="120"/>
      <c r="UC32" s="459"/>
      <c r="UD32" s="120"/>
      <c r="UE32" s="440"/>
      <c r="VA32" s="436"/>
      <c r="VB32" s="120"/>
      <c r="VC32" s="459"/>
      <c r="VD32" s="120"/>
      <c r="VE32" s="440"/>
      <c r="WA32" s="436"/>
      <c r="WB32" s="120"/>
      <c r="WC32" s="459"/>
      <c r="WD32" s="120"/>
      <c r="WE32" s="440"/>
      <c r="XA32" s="436"/>
      <c r="XB32" s="120"/>
      <c r="XC32" s="459"/>
      <c r="XD32" s="120"/>
      <c r="XE32" s="440"/>
      <c r="YA32" s="436"/>
      <c r="YB32" s="120"/>
      <c r="YC32" s="459"/>
      <c r="YD32" s="120"/>
      <c r="YE32" s="440"/>
      <c r="ZA32" s="436"/>
      <c r="ZB32" s="120"/>
      <c r="ZC32" s="459"/>
      <c r="ZD32" s="120"/>
      <c r="ZE32" s="440"/>
      <c r="AAA32" s="436"/>
      <c r="AAB32" s="120"/>
      <c r="AAC32" s="459"/>
      <c r="AAD32" s="120"/>
      <c r="AAE32" s="440"/>
      <c r="ABA32" s="436"/>
      <c r="ABB32" s="120"/>
      <c r="ABC32" s="459"/>
      <c r="ABD32" s="120"/>
      <c r="ABE32" s="440"/>
      <c r="ACA32" s="436"/>
      <c r="ACB32" s="120"/>
      <c r="ACC32" s="459"/>
      <c r="ACD32" s="120"/>
      <c r="ACE32" s="440"/>
      <c r="ADA32" s="436"/>
      <c r="ADB32" s="120"/>
      <c r="ADC32" s="459"/>
      <c r="ADD32" s="120"/>
      <c r="ADE32" s="440"/>
      <c r="AEA32" s="436"/>
      <c r="AEB32" s="120"/>
      <c r="AEC32" s="459"/>
      <c r="AED32" s="120"/>
      <c r="AEE32" s="440"/>
      <c r="AFA32" s="436"/>
      <c r="AFB32" s="120"/>
      <c r="AFC32" s="459"/>
      <c r="AFD32" s="120"/>
      <c r="AFE32" s="440"/>
      <c r="AGA32" s="436"/>
      <c r="AGB32" s="120"/>
      <c r="AGC32" s="459"/>
      <c r="AGD32" s="120"/>
      <c r="AGE32" s="440"/>
      <c r="AHA32" s="436"/>
      <c r="AHB32" s="120"/>
      <c r="AHC32" s="459"/>
      <c r="AHD32" s="120"/>
      <c r="AHE32" s="440"/>
      <c r="AIA32" s="436"/>
      <c r="AIB32" s="120"/>
      <c r="AIC32" s="459"/>
      <c r="AID32" s="120"/>
      <c r="AIE32" s="440"/>
      <c r="AJA32" s="436"/>
      <c r="AJB32" s="120"/>
      <c r="AJC32" s="459"/>
      <c r="AJD32" s="120"/>
      <c r="AJE32" s="440"/>
      <c r="AKA32" s="436"/>
      <c r="AKB32" s="120"/>
      <c r="AKC32" s="459"/>
      <c r="AKD32" s="120"/>
      <c r="AKE32" s="440"/>
      <c r="ALA32" s="436"/>
      <c r="ALB32" s="120"/>
      <c r="ALC32" s="459"/>
      <c r="ALD32" s="120"/>
      <c r="ALE32" s="440"/>
      <c r="AMA32" s="436"/>
      <c r="AMB32" s="120"/>
      <c r="AMC32" s="459"/>
      <c r="AMD32" s="120"/>
      <c r="AME32" s="440"/>
      <c r="ANA32" s="436"/>
      <c r="ANB32" s="120"/>
      <c r="ANC32" s="459"/>
      <c r="AND32" s="120"/>
      <c r="ANE32" s="440"/>
      <c r="AOA32" s="436"/>
      <c r="AOB32" s="120"/>
      <c r="AOC32" s="459"/>
      <c r="AOD32" s="120"/>
      <c r="AOE32" s="440"/>
      <c r="APA32" s="436"/>
      <c r="APB32" s="120"/>
      <c r="APC32" s="459"/>
      <c r="APD32" s="120"/>
      <c r="APE32" s="440"/>
      <c r="AQA32" s="436"/>
      <c r="AQB32" s="120"/>
      <c r="AQC32" s="459"/>
      <c r="AQD32" s="120"/>
      <c r="AQE32" s="440"/>
      <c r="ARA32" s="436"/>
      <c r="ARB32" s="120"/>
      <c r="ARC32" s="459"/>
      <c r="ARD32" s="120"/>
      <c r="ARE32" s="440"/>
      <c r="ASA32" s="436"/>
      <c r="ASB32" s="120"/>
      <c r="ASC32" s="459"/>
      <c r="ASD32" s="120"/>
      <c r="ASE32" s="440"/>
      <c r="ATA32" s="436"/>
      <c r="ATB32" s="120"/>
      <c r="ATC32" s="459"/>
      <c r="ATD32" s="120"/>
      <c r="ATE32" s="440"/>
      <c r="AUA32" s="436"/>
      <c r="AUB32" s="120"/>
      <c r="AUC32" s="459"/>
      <c r="AUD32" s="120"/>
      <c r="AUE32" s="440"/>
      <c r="AVA32" s="436"/>
      <c r="AVB32" s="120"/>
      <c r="AVC32" s="459"/>
      <c r="AVD32" s="120"/>
      <c r="AVE32" s="440"/>
      <c r="AWA32" s="436"/>
      <c r="AWB32" s="120"/>
      <c r="AWC32" s="459"/>
      <c r="AWD32" s="120"/>
      <c r="AWE32" s="440"/>
      <c r="AXA32" s="436"/>
      <c r="AXB32" s="120"/>
      <c r="AXC32" s="459"/>
      <c r="AXD32" s="120"/>
      <c r="AXE32" s="440"/>
      <c r="AYA32" s="436"/>
      <c r="AYB32" s="120"/>
      <c r="AYC32" s="459"/>
      <c r="AYD32" s="120"/>
      <c r="AYE32" s="440"/>
      <c r="AZA32" s="436"/>
      <c r="AZB32" s="120"/>
      <c r="AZC32" s="459"/>
      <c r="AZD32" s="120"/>
      <c r="AZE32" s="440"/>
      <c r="BAA32" s="436"/>
      <c r="BAB32" s="120"/>
      <c r="BAC32" s="459"/>
      <c r="BAD32" s="120"/>
      <c r="BAE32" s="440"/>
      <c r="BBA32" s="436"/>
      <c r="BBB32" s="120"/>
      <c r="BBC32" s="459"/>
      <c r="BBD32" s="120"/>
      <c r="BBE32" s="440"/>
      <c r="BCA32" s="436"/>
      <c r="BCB32" s="120"/>
      <c r="BCC32" s="459"/>
      <c r="BCD32" s="120"/>
      <c r="BCE32" s="440"/>
      <c r="BDA32" s="436"/>
      <c r="BDB32" s="120"/>
      <c r="BDC32" s="459"/>
      <c r="BDD32" s="120"/>
      <c r="BDE32" s="440"/>
      <c r="BEA32" s="436"/>
      <c r="BEB32" s="120"/>
      <c r="BEC32" s="459"/>
      <c r="BED32" s="120"/>
      <c r="BEE32" s="440"/>
      <c r="BFA32" s="436"/>
      <c r="BFB32" s="120"/>
      <c r="BFC32" s="459"/>
      <c r="BFD32" s="120"/>
      <c r="BFE32" s="440"/>
      <c r="BGA32" s="436"/>
      <c r="BGB32" s="120"/>
      <c r="BGC32" s="459"/>
      <c r="BGD32" s="120"/>
      <c r="BGE32" s="440"/>
      <c r="BHA32" s="436"/>
      <c r="BHB32" s="120"/>
      <c r="BHC32" s="459"/>
      <c r="BHD32" s="120"/>
      <c r="BHE32" s="440"/>
      <c r="BIA32" s="436"/>
      <c r="BIB32" s="120"/>
      <c r="BIC32" s="459"/>
      <c r="BID32" s="120"/>
      <c r="BIE32" s="440"/>
      <c r="BJA32" s="436"/>
      <c r="BJB32" s="120"/>
      <c r="BJC32" s="459"/>
      <c r="BJD32" s="120"/>
      <c r="BJE32" s="440"/>
      <c r="BKA32" s="436"/>
      <c r="BKB32" s="120"/>
      <c r="BKC32" s="459"/>
      <c r="BKD32" s="120"/>
      <c r="BKE32" s="440"/>
      <c r="BLA32" s="436"/>
      <c r="BLB32" s="120"/>
      <c r="BLC32" s="459"/>
      <c r="BLD32" s="120"/>
      <c r="BLE32" s="440"/>
      <c r="BMA32" s="436"/>
      <c r="BMB32" s="120"/>
      <c r="BMC32" s="459"/>
      <c r="BMD32" s="120"/>
      <c r="BME32" s="440"/>
      <c r="BNA32" s="436"/>
      <c r="BNB32" s="120"/>
      <c r="BNC32" s="459"/>
      <c r="BND32" s="120"/>
      <c r="BNE32" s="440"/>
      <c r="BOA32" s="436"/>
      <c r="BOB32" s="120"/>
      <c r="BOC32" s="459"/>
      <c r="BOD32" s="120"/>
      <c r="BOE32" s="440"/>
      <c r="BPA32" s="436"/>
      <c r="BPB32" s="120"/>
      <c r="BPC32" s="459"/>
      <c r="BPD32" s="120"/>
      <c r="BPE32" s="440"/>
      <c r="BQA32" s="436"/>
      <c r="BQB32" s="120"/>
      <c r="BQC32" s="459"/>
      <c r="BQD32" s="120"/>
      <c r="BQE32" s="440"/>
      <c r="BRA32" s="436"/>
      <c r="BRB32" s="120"/>
      <c r="BRC32" s="459"/>
      <c r="BRD32" s="120"/>
      <c r="BRE32" s="440"/>
    </row>
    <row r="33" spans="1:1019 1041:1825">
      <c r="A33" s="1034"/>
      <c r="B33" s="114" t="s">
        <v>1507</v>
      </c>
      <c r="G33" s="574"/>
      <c r="H33" s="110"/>
      <c r="AA33" s="436" t="s">
        <v>9</v>
      </c>
      <c r="AB33" s="120"/>
      <c r="AC33" s="459" t="s">
        <v>564</v>
      </c>
      <c r="AD33" s="120"/>
      <c r="AE33" s="440"/>
      <c r="BA33" s="436" t="s">
        <v>9</v>
      </c>
      <c r="BB33" s="120"/>
      <c r="BC33" s="459" t="s">
        <v>564</v>
      </c>
      <c r="BD33" s="120"/>
      <c r="BE33" s="440"/>
      <c r="CA33" s="436" t="s">
        <v>9</v>
      </c>
      <c r="CB33" s="120"/>
      <c r="CC33" s="459" t="s">
        <v>564</v>
      </c>
      <c r="CD33" s="120"/>
      <c r="CE33" s="440"/>
      <c r="DA33" s="436" t="s">
        <v>9</v>
      </c>
      <c r="DB33" s="120"/>
      <c r="DC33" s="459" t="s">
        <v>564</v>
      </c>
      <c r="DD33" s="120"/>
      <c r="DE33" s="440"/>
      <c r="EA33" s="436" t="s">
        <v>9</v>
      </c>
      <c r="EB33" s="120"/>
      <c r="EC33" s="459" t="s">
        <v>564</v>
      </c>
      <c r="ED33" s="120"/>
      <c r="EE33" s="440"/>
      <c r="FA33" s="436" t="s">
        <v>9</v>
      </c>
      <c r="FB33" s="120"/>
      <c r="FC33" s="459" t="s">
        <v>564</v>
      </c>
      <c r="FD33" s="120"/>
      <c r="FE33" s="440"/>
      <c r="GA33" s="436" t="s">
        <v>9</v>
      </c>
      <c r="GB33" s="120"/>
      <c r="GC33" s="459" t="s">
        <v>564</v>
      </c>
      <c r="GD33" s="120"/>
      <c r="GE33" s="440"/>
      <c r="HA33" s="436" t="s">
        <v>9</v>
      </c>
      <c r="HB33" s="120"/>
      <c r="HC33" s="459" t="s">
        <v>564</v>
      </c>
      <c r="HD33" s="120"/>
      <c r="HE33" s="440"/>
      <c r="IA33" s="436" t="s">
        <v>9</v>
      </c>
      <c r="IB33" s="120"/>
      <c r="IC33" s="459" t="s">
        <v>564</v>
      </c>
      <c r="ID33" s="120"/>
      <c r="IE33" s="440"/>
      <c r="JA33" s="436" t="s">
        <v>9</v>
      </c>
      <c r="JB33" s="120"/>
      <c r="JC33" s="459" t="s">
        <v>564</v>
      </c>
      <c r="JD33" s="120"/>
      <c r="JE33" s="440"/>
      <c r="KA33" s="436" t="s">
        <v>9</v>
      </c>
      <c r="KB33" s="120"/>
      <c r="KC33" s="459" t="s">
        <v>564</v>
      </c>
      <c r="KD33" s="120"/>
      <c r="KE33" s="440"/>
      <c r="LA33" s="436" t="s">
        <v>9</v>
      </c>
      <c r="LB33" s="120"/>
      <c r="LC33" s="459" t="s">
        <v>564</v>
      </c>
      <c r="LD33" s="120"/>
      <c r="LE33" s="440"/>
      <c r="MA33" s="436" t="s">
        <v>9</v>
      </c>
      <c r="MB33" s="120"/>
      <c r="MC33" s="459" t="s">
        <v>564</v>
      </c>
      <c r="MD33" s="120"/>
      <c r="ME33" s="440"/>
      <c r="NA33" s="436" t="s">
        <v>9</v>
      </c>
      <c r="NB33" s="120"/>
      <c r="NC33" s="459" t="s">
        <v>564</v>
      </c>
      <c r="ND33" s="120"/>
      <c r="NE33" s="440"/>
      <c r="OA33" s="436" t="s">
        <v>9</v>
      </c>
      <c r="OB33" s="120"/>
      <c r="OC33" s="459" t="s">
        <v>564</v>
      </c>
      <c r="OD33" s="120"/>
      <c r="OE33" s="440"/>
      <c r="PA33" s="436" t="s">
        <v>9</v>
      </c>
      <c r="PB33" s="120"/>
      <c r="PC33" s="459" t="s">
        <v>564</v>
      </c>
      <c r="PD33" s="120"/>
      <c r="PE33" s="440"/>
      <c r="QA33" s="436" t="s">
        <v>9</v>
      </c>
      <c r="QB33" s="120"/>
      <c r="QC33" s="459" t="s">
        <v>564</v>
      </c>
      <c r="QD33" s="120"/>
      <c r="QE33" s="440"/>
      <c r="RA33" s="436" t="s">
        <v>9</v>
      </c>
      <c r="RB33" s="120"/>
      <c r="RC33" s="459" t="s">
        <v>564</v>
      </c>
      <c r="RD33" s="120"/>
      <c r="RE33" s="440"/>
      <c r="SA33" s="436" t="s">
        <v>9</v>
      </c>
      <c r="SB33" s="120"/>
      <c r="SC33" s="459" t="s">
        <v>564</v>
      </c>
      <c r="SD33" s="120"/>
      <c r="SE33" s="440"/>
      <c r="TA33" s="436" t="s">
        <v>9</v>
      </c>
      <c r="TB33" s="120"/>
      <c r="TC33" s="459" t="s">
        <v>564</v>
      </c>
      <c r="TD33" s="120"/>
      <c r="TE33" s="440"/>
      <c r="UA33" s="436" t="s">
        <v>9</v>
      </c>
      <c r="UB33" s="120"/>
      <c r="UC33" s="459" t="s">
        <v>564</v>
      </c>
      <c r="UD33" s="120"/>
      <c r="UE33" s="440"/>
      <c r="VA33" s="436" t="s">
        <v>9</v>
      </c>
      <c r="VB33" s="120"/>
      <c r="VC33" s="459" t="s">
        <v>564</v>
      </c>
      <c r="VD33" s="120"/>
      <c r="VE33" s="440"/>
      <c r="WA33" s="436" t="s">
        <v>9</v>
      </c>
      <c r="WB33" s="120"/>
      <c r="WC33" s="459" t="s">
        <v>564</v>
      </c>
      <c r="WD33" s="120"/>
      <c r="WE33" s="440"/>
      <c r="XA33" s="436" t="s">
        <v>9</v>
      </c>
      <c r="XB33" s="120"/>
      <c r="XC33" s="459" t="s">
        <v>564</v>
      </c>
      <c r="XD33" s="120"/>
      <c r="XE33" s="440"/>
      <c r="YA33" s="436" t="s">
        <v>9</v>
      </c>
      <c r="YB33" s="120"/>
      <c r="YC33" s="459" t="s">
        <v>564</v>
      </c>
      <c r="YD33" s="120"/>
      <c r="YE33" s="440"/>
      <c r="ZA33" s="436" t="s">
        <v>9</v>
      </c>
      <c r="ZB33" s="120"/>
      <c r="ZC33" s="459" t="s">
        <v>564</v>
      </c>
      <c r="ZD33" s="120"/>
      <c r="ZE33" s="440"/>
      <c r="AAA33" s="436" t="s">
        <v>9</v>
      </c>
      <c r="AAB33" s="120"/>
      <c r="AAC33" s="459" t="s">
        <v>564</v>
      </c>
      <c r="AAD33" s="120"/>
      <c r="AAE33" s="440"/>
      <c r="ABA33" s="436" t="s">
        <v>9</v>
      </c>
      <c r="ABB33" s="120"/>
      <c r="ABC33" s="459" t="s">
        <v>564</v>
      </c>
      <c r="ABD33" s="120"/>
      <c r="ABE33" s="440"/>
      <c r="ACA33" s="436" t="s">
        <v>9</v>
      </c>
      <c r="ACB33" s="120"/>
      <c r="ACC33" s="459" t="s">
        <v>564</v>
      </c>
      <c r="ACD33" s="120"/>
      <c r="ACE33" s="440"/>
      <c r="ADA33" s="436" t="s">
        <v>9</v>
      </c>
      <c r="ADB33" s="120"/>
      <c r="ADC33" s="459" t="s">
        <v>564</v>
      </c>
      <c r="ADD33" s="120"/>
      <c r="ADE33" s="440"/>
      <c r="AEA33" s="436" t="s">
        <v>9</v>
      </c>
      <c r="AEB33" s="120"/>
      <c r="AEC33" s="459" t="s">
        <v>564</v>
      </c>
      <c r="AED33" s="120"/>
      <c r="AEE33" s="440"/>
      <c r="AFA33" s="436" t="s">
        <v>9</v>
      </c>
      <c r="AFB33" s="120"/>
      <c r="AFC33" s="459" t="s">
        <v>564</v>
      </c>
      <c r="AFD33" s="120"/>
      <c r="AFE33" s="440"/>
      <c r="AGA33" s="436" t="s">
        <v>9</v>
      </c>
      <c r="AGB33" s="120"/>
      <c r="AGC33" s="459" t="s">
        <v>564</v>
      </c>
      <c r="AGD33" s="120"/>
      <c r="AGE33" s="440"/>
      <c r="AHA33" s="436" t="s">
        <v>9</v>
      </c>
      <c r="AHB33" s="120"/>
      <c r="AHC33" s="459" t="s">
        <v>564</v>
      </c>
      <c r="AHD33" s="120"/>
      <c r="AHE33" s="440"/>
      <c r="AIA33" s="436" t="s">
        <v>9</v>
      </c>
      <c r="AIB33" s="120"/>
      <c r="AIC33" s="459" t="s">
        <v>564</v>
      </c>
      <c r="AID33" s="120"/>
      <c r="AIE33" s="440"/>
      <c r="AJA33" s="436" t="s">
        <v>9</v>
      </c>
      <c r="AJB33" s="120"/>
      <c r="AJC33" s="459" t="s">
        <v>564</v>
      </c>
      <c r="AJD33" s="120"/>
      <c r="AJE33" s="440"/>
      <c r="AKA33" s="436" t="s">
        <v>9</v>
      </c>
      <c r="AKB33" s="120"/>
      <c r="AKC33" s="459" t="s">
        <v>564</v>
      </c>
      <c r="AKD33" s="120"/>
      <c r="AKE33" s="440"/>
      <c r="ALA33" s="436" t="s">
        <v>9</v>
      </c>
      <c r="ALB33" s="120"/>
      <c r="ALC33" s="459" t="s">
        <v>564</v>
      </c>
      <c r="ALD33" s="120"/>
      <c r="ALE33" s="440"/>
      <c r="AMA33" s="436" t="s">
        <v>9</v>
      </c>
      <c r="AMB33" s="120"/>
      <c r="AMC33" s="459" t="s">
        <v>564</v>
      </c>
      <c r="AMD33" s="120"/>
      <c r="AME33" s="440"/>
      <c r="ANA33" s="436" t="s">
        <v>9</v>
      </c>
      <c r="ANB33" s="120"/>
      <c r="ANC33" s="459" t="s">
        <v>564</v>
      </c>
      <c r="AND33" s="120"/>
      <c r="ANE33" s="440"/>
      <c r="AOA33" s="436" t="s">
        <v>9</v>
      </c>
      <c r="AOB33" s="120"/>
      <c r="AOC33" s="459" t="s">
        <v>564</v>
      </c>
      <c r="AOD33" s="120"/>
      <c r="AOE33" s="440"/>
      <c r="APA33" s="436" t="s">
        <v>9</v>
      </c>
      <c r="APB33" s="120"/>
      <c r="APC33" s="459" t="s">
        <v>564</v>
      </c>
      <c r="APD33" s="120"/>
      <c r="APE33" s="440"/>
      <c r="AQA33" s="436" t="s">
        <v>9</v>
      </c>
      <c r="AQB33" s="120"/>
      <c r="AQC33" s="459" t="s">
        <v>564</v>
      </c>
      <c r="AQD33" s="120"/>
      <c r="AQE33" s="440"/>
      <c r="ARA33" s="436" t="s">
        <v>9</v>
      </c>
      <c r="ARB33" s="120"/>
      <c r="ARC33" s="459" t="s">
        <v>564</v>
      </c>
      <c r="ARD33" s="120"/>
      <c r="ARE33" s="440"/>
      <c r="ASA33" s="436" t="s">
        <v>9</v>
      </c>
      <c r="ASB33" s="120"/>
      <c r="ASC33" s="459" t="s">
        <v>564</v>
      </c>
      <c r="ASD33" s="120"/>
      <c r="ASE33" s="440"/>
      <c r="ATA33" s="436" t="s">
        <v>9</v>
      </c>
      <c r="ATB33" s="120"/>
      <c r="ATC33" s="459" t="s">
        <v>564</v>
      </c>
      <c r="ATD33" s="120"/>
      <c r="ATE33" s="440"/>
      <c r="AUA33" s="436" t="s">
        <v>9</v>
      </c>
      <c r="AUB33" s="120"/>
      <c r="AUC33" s="459" t="s">
        <v>564</v>
      </c>
      <c r="AUD33" s="120"/>
      <c r="AUE33" s="440"/>
      <c r="AVA33" s="436" t="s">
        <v>9</v>
      </c>
      <c r="AVB33" s="120"/>
      <c r="AVC33" s="459" t="s">
        <v>564</v>
      </c>
      <c r="AVD33" s="120"/>
      <c r="AVE33" s="440"/>
      <c r="AWA33" s="436" t="s">
        <v>9</v>
      </c>
      <c r="AWB33" s="120"/>
      <c r="AWC33" s="459" t="s">
        <v>564</v>
      </c>
      <c r="AWD33" s="120"/>
      <c r="AWE33" s="440"/>
      <c r="AXA33" s="436" t="s">
        <v>9</v>
      </c>
      <c r="AXB33" s="120"/>
      <c r="AXC33" s="459" t="s">
        <v>564</v>
      </c>
      <c r="AXD33" s="120"/>
      <c r="AXE33" s="440"/>
      <c r="AYA33" s="436" t="s">
        <v>9</v>
      </c>
      <c r="AYB33" s="120"/>
      <c r="AYC33" s="459" t="s">
        <v>564</v>
      </c>
      <c r="AYD33" s="120"/>
      <c r="AYE33" s="440"/>
      <c r="AZA33" s="436" t="s">
        <v>9</v>
      </c>
      <c r="AZB33" s="120"/>
      <c r="AZC33" s="459" t="s">
        <v>564</v>
      </c>
      <c r="AZD33" s="120"/>
      <c r="AZE33" s="440"/>
      <c r="BAA33" s="436" t="s">
        <v>9</v>
      </c>
      <c r="BAB33" s="120"/>
      <c r="BAC33" s="459" t="s">
        <v>564</v>
      </c>
      <c r="BAD33" s="120"/>
      <c r="BAE33" s="440"/>
      <c r="BBA33" s="436" t="s">
        <v>9</v>
      </c>
      <c r="BBB33" s="120"/>
      <c r="BBC33" s="459" t="s">
        <v>564</v>
      </c>
      <c r="BBD33" s="120"/>
      <c r="BBE33" s="440"/>
      <c r="BCA33" s="436" t="s">
        <v>9</v>
      </c>
      <c r="BCB33" s="120"/>
      <c r="BCC33" s="459" t="s">
        <v>564</v>
      </c>
      <c r="BCD33" s="120"/>
      <c r="BCE33" s="440"/>
      <c r="BDA33" s="436" t="s">
        <v>9</v>
      </c>
      <c r="BDB33" s="120"/>
      <c r="BDC33" s="459" t="s">
        <v>564</v>
      </c>
      <c r="BDD33" s="120"/>
      <c r="BDE33" s="440"/>
      <c r="BEA33" s="436" t="s">
        <v>9</v>
      </c>
      <c r="BEB33" s="120"/>
      <c r="BEC33" s="459" t="s">
        <v>564</v>
      </c>
      <c r="BED33" s="120"/>
      <c r="BEE33" s="440"/>
      <c r="BFA33" s="436" t="s">
        <v>9</v>
      </c>
      <c r="BFB33" s="120"/>
      <c r="BFC33" s="459" t="s">
        <v>564</v>
      </c>
      <c r="BFD33" s="120"/>
      <c r="BFE33" s="440"/>
      <c r="BGA33" s="436" t="s">
        <v>9</v>
      </c>
      <c r="BGB33" s="120"/>
      <c r="BGC33" s="459" t="s">
        <v>564</v>
      </c>
      <c r="BGD33" s="120"/>
      <c r="BGE33" s="440"/>
      <c r="BHA33" s="436" t="s">
        <v>9</v>
      </c>
      <c r="BHB33" s="120"/>
      <c r="BHC33" s="459" t="s">
        <v>564</v>
      </c>
      <c r="BHD33" s="120"/>
      <c r="BHE33" s="440"/>
      <c r="BIA33" s="436" t="s">
        <v>9</v>
      </c>
      <c r="BIB33" s="120"/>
      <c r="BIC33" s="459" t="s">
        <v>564</v>
      </c>
      <c r="BID33" s="120"/>
      <c r="BIE33" s="440"/>
      <c r="BJA33" s="436" t="s">
        <v>9</v>
      </c>
      <c r="BJB33" s="120"/>
      <c r="BJC33" s="459" t="s">
        <v>564</v>
      </c>
      <c r="BJD33" s="120"/>
      <c r="BJE33" s="440"/>
      <c r="BKA33" s="436" t="s">
        <v>9</v>
      </c>
      <c r="BKB33" s="120"/>
      <c r="BKC33" s="459" t="s">
        <v>564</v>
      </c>
      <c r="BKD33" s="120"/>
      <c r="BKE33" s="440"/>
      <c r="BLA33" s="436" t="s">
        <v>9</v>
      </c>
      <c r="BLB33" s="120"/>
      <c r="BLC33" s="459" t="s">
        <v>564</v>
      </c>
      <c r="BLD33" s="120"/>
      <c r="BLE33" s="440"/>
      <c r="BMA33" s="436" t="s">
        <v>9</v>
      </c>
      <c r="BMB33" s="120"/>
      <c r="BMC33" s="459" t="s">
        <v>564</v>
      </c>
      <c r="BMD33" s="120"/>
      <c r="BME33" s="440"/>
      <c r="BNA33" s="436" t="s">
        <v>9</v>
      </c>
      <c r="BNB33" s="120"/>
      <c r="BNC33" s="459" t="s">
        <v>564</v>
      </c>
      <c r="BND33" s="120"/>
      <c r="BNE33" s="440"/>
      <c r="BOA33" s="436" t="s">
        <v>9</v>
      </c>
      <c r="BOB33" s="120"/>
      <c r="BOC33" s="459" t="s">
        <v>564</v>
      </c>
      <c r="BOD33" s="120"/>
      <c r="BOE33" s="440"/>
      <c r="BPA33" s="436" t="s">
        <v>9</v>
      </c>
      <c r="BPB33" s="120"/>
      <c r="BPC33" s="459" t="s">
        <v>564</v>
      </c>
      <c r="BPD33" s="120"/>
      <c r="BPE33" s="440"/>
      <c r="BQA33" s="436" t="s">
        <v>9</v>
      </c>
      <c r="BQB33" s="120"/>
      <c r="BQC33" s="459" t="s">
        <v>564</v>
      </c>
      <c r="BQD33" s="120"/>
      <c r="BQE33" s="440"/>
      <c r="BRA33" s="436" t="s">
        <v>9</v>
      </c>
      <c r="BRB33" s="120"/>
      <c r="BRC33" s="459" t="s">
        <v>564</v>
      </c>
      <c r="BRD33" s="120"/>
      <c r="BRE33" s="440"/>
    </row>
    <row r="34" spans="1:1019 1041:1825">
      <c r="B34" s="114" t="s">
        <v>1508</v>
      </c>
      <c r="G34" s="574"/>
      <c r="H34" s="110"/>
      <c r="AA34" s="436"/>
      <c r="AB34" s="120"/>
      <c r="AC34" s="459"/>
      <c r="AD34" s="120"/>
      <c r="AE34" s="440"/>
      <c r="BA34" s="436"/>
      <c r="BB34" s="120"/>
      <c r="BC34" s="459"/>
      <c r="BD34" s="120"/>
      <c r="BE34" s="440"/>
      <c r="CA34" s="436"/>
      <c r="CB34" s="120"/>
      <c r="CC34" s="459"/>
      <c r="CD34" s="120"/>
      <c r="CE34" s="440"/>
      <c r="DA34" s="436"/>
      <c r="DB34" s="120"/>
      <c r="DC34" s="459"/>
      <c r="DD34" s="120"/>
      <c r="DE34" s="440"/>
      <c r="EA34" s="436"/>
      <c r="EB34" s="120"/>
      <c r="EC34" s="459"/>
      <c r="ED34" s="120"/>
      <c r="EE34" s="440"/>
      <c r="FA34" s="436"/>
      <c r="FB34" s="120"/>
      <c r="FC34" s="459"/>
      <c r="FD34" s="120"/>
      <c r="FE34" s="440"/>
      <c r="GA34" s="436"/>
      <c r="GB34" s="120"/>
      <c r="GC34" s="459"/>
      <c r="GD34" s="120"/>
      <c r="GE34" s="440"/>
      <c r="HA34" s="436"/>
      <c r="HB34" s="120"/>
      <c r="HC34" s="459"/>
      <c r="HD34" s="120"/>
      <c r="HE34" s="440"/>
      <c r="IA34" s="436"/>
      <c r="IB34" s="120"/>
      <c r="IC34" s="459"/>
      <c r="ID34" s="120"/>
      <c r="IE34" s="440"/>
      <c r="JA34" s="436"/>
      <c r="JB34" s="120"/>
      <c r="JC34" s="459"/>
      <c r="JD34" s="120"/>
      <c r="JE34" s="440"/>
      <c r="KA34" s="436"/>
      <c r="KB34" s="120"/>
      <c r="KC34" s="459"/>
      <c r="KD34" s="120"/>
      <c r="KE34" s="440"/>
      <c r="LA34" s="436"/>
      <c r="LB34" s="120"/>
      <c r="LC34" s="459"/>
      <c r="LD34" s="120"/>
      <c r="LE34" s="440"/>
      <c r="MA34" s="436"/>
      <c r="MB34" s="120"/>
      <c r="MC34" s="459"/>
      <c r="MD34" s="120"/>
      <c r="ME34" s="440"/>
      <c r="NA34" s="436"/>
      <c r="NB34" s="120"/>
      <c r="NC34" s="459"/>
      <c r="ND34" s="120"/>
      <c r="NE34" s="440"/>
      <c r="OA34" s="436"/>
      <c r="OB34" s="120"/>
      <c r="OC34" s="459"/>
      <c r="OD34" s="120"/>
      <c r="OE34" s="440"/>
      <c r="PA34" s="436"/>
      <c r="PB34" s="120"/>
      <c r="PC34" s="459"/>
      <c r="PD34" s="120"/>
      <c r="PE34" s="440"/>
      <c r="QA34" s="436"/>
      <c r="QB34" s="120"/>
      <c r="QC34" s="459"/>
      <c r="QD34" s="120"/>
      <c r="QE34" s="440"/>
      <c r="RA34" s="436"/>
      <c r="RB34" s="120"/>
      <c r="RC34" s="459"/>
      <c r="RD34" s="120"/>
      <c r="RE34" s="440"/>
      <c r="SA34" s="436"/>
      <c r="SB34" s="120"/>
      <c r="SC34" s="459"/>
      <c r="SD34" s="120"/>
      <c r="SE34" s="440"/>
      <c r="TA34" s="436"/>
      <c r="TB34" s="120"/>
      <c r="TC34" s="459"/>
      <c r="TD34" s="120"/>
      <c r="TE34" s="440"/>
      <c r="UA34" s="436"/>
      <c r="UB34" s="120"/>
      <c r="UC34" s="459"/>
      <c r="UD34" s="120"/>
      <c r="UE34" s="440"/>
      <c r="VA34" s="436"/>
      <c r="VB34" s="120"/>
      <c r="VC34" s="459"/>
      <c r="VD34" s="120"/>
      <c r="VE34" s="440"/>
      <c r="WA34" s="436"/>
      <c r="WB34" s="120"/>
      <c r="WC34" s="459"/>
      <c r="WD34" s="120"/>
      <c r="WE34" s="440"/>
      <c r="XA34" s="436"/>
      <c r="XB34" s="120"/>
      <c r="XC34" s="459"/>
      <c r="XD34" s="120"/>
      <c r="XE34" s="440"/>
      <c r="YA34" s="436"/>
      <c r="YB34" s="120"/>
      <c r="YC34" s="459"/>
      <c r="YD34" s="120"/>
      <c r="YE34" s="440"/>
      <c r="ZA34" s="436"/>
      <c r="ZB34" s="120"/>
      <c r="ZC34" s="459"/>
      <c r="ZD34" s="120"/>
      <c r="ZE34" s="440"/>
      <c r="AAA34" s="436"/>
      <c r="AAB34" s="120"/>
      <c r="AAC34" s="459"/>
      <c r="AAD34" s="120"/>
      <c r="AAE34" s="440"/>
      <c r="ABA34" s="436"/>
      <c r="ABB34" s="120"/>
      <c r="ABC34" s="459"/>
      <c r="ABD34" s="120"/>
      <c r="ABE34" s="440"/>
      <c r="ACA34" s="436"/>
      <c r="ACB34" s="120"/>
      <c r="ACC34" s="459"/>
      <c r="ACD34" s="120"/>
      <c r="ACE34" s="440"/>
      <c r="ADA34" s="436"/>
      <c r="ADB34" s="120"/>
      <c r="ADC34" s="459"/>
      <c r="ADD34" s="120"/>
      <c r="ADE34" s="440"/>
      <c r="AEA34" s="436"/>
      <c r="AEB34" s="120"/>
      <c r="AEC34" s="459"/>
      <c r="AED34" s="120"/>
      <c r="AEE34" s="440"/>
      <c r="AFA34" s="436"/>
      <c r="AFB34" s="120"/>
      <c r="AFC34" s="459"/>
      <c r="AFD34" s="120"/>
      <c r="AFE34" s="440"/>
      <c r="AGA34" s="436"/>
      <c r="AGB34" s="120"/>
      <c r="AGC34" s="459"/>
      <c r="AGD34" s="120"/>
      <c r="AGE34" s="440"/>
      <c r="AHA34" s="436"/>
      <c r="AHB34" s="120"/>
      <c r="AHC34" s="459"/>
      <c r="AHD34" s="120"/>
      <c r="AHE34" s="440"/>
      <c r="AIA34" s="436"/>
      <c r="AIB34" s="120"/>
      <c r="AIC34" s="459"/>
      <c r="AID34" s="120"/>
      <c r="AIE34" s="440"/>
      <c r="AJA34" s="436"/>
      <c r="AJB34" s="120"/>
      <c r="AJC34" s="459"/>
      <c r="AJD34" s="120"/>
      <c r="AJE34" s="440"/>
      <c r="AKA34" s="436"/>
      <c r="AKB34" s="120"/>
      <c r="AKC34" s="459"/>
      <c r="AKD34" s="120"/>
      <c r="AKE34" s="440"/>
      <c r="ALA34" s="436"/>
      <c r="ALB34" s="120"/>
      <c r="ALC34" s="459"/>
      <c r="ALD34" s="120"/>
      <c r="ALE34" s="440"/>
      <c r="AMA34" s="436"/>
      <c r="AMB34" s="120"/>
      <c r="AMC34" s="459"/>
      <c r="AMD34" s="120"/>
      <c r="AME34" s="440"/>
      <c r="ANA34" s="436"/>
      <c r="ANB34" s="120"/>
      <c r="ANC34" s="459"/>
      <c r="AND34" s="120"/>
      <c r="ANE34" s="440"/>
      <c r="AOA34" s="436"/>
      <c r="AOB34" s="120"/>
      <c r="AOC34" s="459"/>
      <c r="AOD34" s="120"/>
      <c r="AOE34" s="440"/>
      <c r="APA34" s="436"/>
      <c r="APB34" s="120"/>
      <c r="APC34" s="459"/>
      <c r="APD34" s="120"/>
      <c r="APE34" s="440"/>
      <c r="AQA34" s="436"/>
      <c r="AQB34" s="120"/>
      <c r="AQC34" s="459"/>
      <c r="AQD34" s="120"/>
      <c r="AQE34" s="440"/>
      <c r="ARA34" s="436"/>
      <c r="ARB34" s="120"/>
      <c r="ARC34" s="459"/>
      <c r="ARD34" s="120"/>
      <c r="ARE34" s="440"/>
      <c r="ASA34" s="436"/>
      <c r="ASB34" s="120"/>
      <c r="ASC34" s="459"/>
      <c r="ASD34" s="120"/>
      <c r="ASE34" s="440"/>
      <c r="ATA34" s="436"/>
      <c r="ATB34" s="120"/>
      <c r="ATC34" s="459"/>
      <c r="ATD34" s="120"/>
      <c r="ATE34" s="440"/>
      <c r="AUA34" s="436"/>
      <c r="AUB34" s="120"/>
      <c r="AUC34" s="459"/>
      <c r="AUD34" s="120"/>
      <c r="AUE34" s="440"/>
      <c r="AVA34" s="436"/>
      <c r="AVB34" s="120"/>
      <c r="AVC34" s="459"/>
      <c r="AVD34" s="120"/>
      <c r="AVE34" s="440"/>
      <c r="AWA34" s="436"/>
      <c r="AWB34" s="120"/>
      <c r="AWC34" s="459"/>
      <c r="AWD34" s="120"/>
      <c r="AWE34" s="440"/>
      <c r="AXA34" s="436"/>
      <c r="AXB34" s="120"/>
      <c r="AXC34" s="459"/>
      <c r="AXD34" s="120"/>
      <c r="AXE34" s="440"/>
      <c r="AYA34" s="436"/>
      <c r="AYB34" s="120"/>
      <c r="AYC34" s="459"/>
      <c r="AYD34" s="120"/>
      <c r="AYE34" s="440"/>
      <c r="AZA34" s="436"/>
      <c r="AZB34" s="120"/>
      <c r="AZC34" s="459"/>
      <c r="AZD34" s="120"/>
      <c r="AZE34" s="440"/>
      <c r="BAA34" s="436"/>
      <c r="BAB34" s="120"/>
      <c r="BAC34" s="459"/>
      <c r="BAD34" s="120"/>
      <c r="BAE34" s="440"/>
      <c r="BBA34" s="436"/>
      <c r="BBB34" s="120"/>
      <c r="BBC34" s="459"/>
      <c r="BBD34" s="120"/>
      <c r="BBE34" s="440"/>
      <c r="BCA34" s="436"/>
      <c r="BCB34" s="120"/>
      <c r="BCC34" s="459"/>
      <c r="BCD34" s="120"/>
      <c r="BCE34" s="440"/>
      <c r="BDA34" s="436"/>
      <c r="BDB34" s="120"/>
      <c r="BDC34" s="459"/>
      <c r="BDD34" s="120"/>
      <c r="BDE34" s="440"/>
      <c r="BEA34" s="436"/>
      <c r="BEB34" s="120"/>
      <c r="BEC34" s="459"/>
      <c r="BED34" s="120"/>
      <c r="BEE34" s="440"/>
      <c r="BFA34" s="436"/>
      <c r="BFB34" s="120"/>
      <c r="BFC34" s="459"/>
      <c r="BFD34" s="120"/>
      <c r="BFE34" s="440"/>
      <c r="BGA34" s="436"/>
      <c r="BGB34" s="120"/>
      <c r="BGC34" s="459"/>
      <c r="BGD34" s="120"/>
      <c r="BGE34" s="440"/>
      <c r="BHA34" s="436"/>
      <c r="BHB34" s="120"/>
      <c r="BHC34" s="459"/>
      <c r="BHD34" s="120"/>
      <c r="BHE34" s="440"/>
      <c r="BIA34" s="436"/>
      <c r="BIB34" s="120"/>
      <c r="BIC34" s="459"/>
      <c r="BID34" s="120"/>
      <c r="BIE34" s="440"/>
      <c r="BJA34" s="436"/>
      <c r="BJB34" s="120"/>
      <c r="BJC34" s="459"/>
      <c r="BJD34" s="120"/>
      <c r="BJE34" s="440"/>
      <c r="BKA34" s="436"/>
      <c r="BKB34" s="120"/>
      <c r="BKC34" s="459"/>
      <c r="BKD34" s="120"/>
      <c r="BKE34" s="440"/>
      <c r="BLA34" s="436"/>
      <c r="BLB34" s="120"/>
      <c r="BLC34" s="459"/>
      <c r="BLD34" s="120"/>
      <c r="BLE34" s="440"/>
      <c r="BMA34" s="436"/>
      <c r="BMB34" s="120"/>
      <c r="BMC34" s="459"/>
      <c r="BMD34" s="120"/>
      <c r="BME34" s="440"/>
      <c r="BNA34" s="436"/>
      <c r="BNB34" s="120"/>
      <c r="BNC34" s="459"/>
      <c r="BND34" s="120"/>
      <c r="BNE34" s="440"/>
      <c r="BOA34" s="436"/>
      <c r="BOB34" s="120"/>
      <c r="BOC34" s="459"/>
      <c r="BOD34" s="120"/>
      <c r="BOE34" s="440"/>
      <c r="BPA34" s="436"/>
      <c r="BPB34" s="120"/>
      <c r="BPC34" s="459"/>
      <c r="BPD34" s="120"/>
      <c r="BPE34" s="440"/>
      <c r="BQA34" s="436"/>
      <c r="BQB34" s="120"/>
      <c r="BQC34" s="459"/>
      <c r="BQD34" s="120"/>
      <c r="BQE34" s="440"/>
      <c r="BRA34" s="436"/>
      <c r="BRB34" s="120"/>
      <c r="BRC34" s="459"/>
      <c r="BRD34" s="120"/>
      <c r="BRE34" s="440"/>
    </row>
    <row r="35" spans="1:1019 1041:1825">
      <c r="B35" s="114" t="s">
        <v>1509</v>
      </c>
      <c r="G35" s="574"/>
      <c r="H35" s="110"/>
      <c r="AA35" s="436" t="s">
        <v>324</v>
      </c>
      <c r="AB35" s="120"/>
      <c r="AC35" s="459" t="s">
        <v>564</v>
      </c>
      <c r="AD35" s="120"/>
      <c r="AE35" s="440" t="s">
        <v>569</v>
      </c>
      <c r="BA35" s="436" t="s">
        <v>324</v>
      </c>
      <c r="BB35" s="120"/>
      <c r="BC35" s="459" t="s">
        <v>564</v>
      </c>
      <c r="BD35" s="120"/>
      <c r="BE35" s="440" t="s">
        <v>569</v>
      </c>
      <c r="CA35" s="436" t="s">
        <v>324</v>
      </c>
      <c r="CB35" s="120"/>
      <c r="CC35" s="459" t="s">
        <v>564</v>
      </c>
      <c r="CD35" s="120"/>
      <c r="CE35" s="440" t="s">
        <v>569</v>
      </c>
      <c r="DA35" s="436" t="s">
        <v>324</v>
      </c>
      <c r="DB35" s="120"/>
      <c r="DC35" s="459" t="s">
        <v>564</v>
      </c>
      <c r="DD35" s="120"/>
      <c r="DE35" s="440" t="s">
        <v>569</v>
      </c>
      <c r="EA35" s="436" t="s">
        <v>324</v>
      </c>
      <c r="EB35" s="120"/>
      <c r="EC35" s="459" t="s">
        <v>564</v>
      </c>
      <c r="ED35" s="120"/>
      <c r="EE35" s="440" t="s">
        <v>569</v>
      </c>
      <c r="FA35" s="436" t="s">
        <v>324</v>
      </c>
      <c r="FB35" s="120"/>
      <c r="FC35" s="459" t="s">
        <v>564</v>
      </c>
      <c r="FD35" s="120"/>
      <c r="FE35" s="440" t="s">
        <v>569</v>
      </c>
      <c r="GA35" s="436" t="s">
        <v>324</v>
      </c>
      <c r="GB35" s="120"/>
      <c r="GC35" s="459" t="s">
        <v>564</v>
      </c>
      <c r="GD35" s="120"/>
      <c r="GE35" s="440" t="s">
        <v>569</v>
      </c>
      <c r="HA35" s="436" t="s">
        <v>324</v>
      </c>
      <c r="HB35" s="120"/>
      <c r="HC35" s="459" t="s">
        <v>564</v>
      </c>
      <c r="HD35" s="120"/>
      <c r="HE35" s="440" t="s">
        <v>569</v>
      </c>
      <c r="IA35" s="436" t="s">
        <v>324</v>
      </c>
      <c r="IB35" s="120"/>
      <c r="IC35" s="459" t="s">
        <v>564</v>
      </c>
      <c r="ID35" s="120"/>
      <c r="IE35" s="440" t="s">
        <v>569</v>
      </c>
      <c r="JA35" s="436" t="s">
        <v>324</v>
      </c>
      <c r="JB35" s="120"/>
      <c r="JC35" s="459" t="s">
        <v>564</v>
      </c>
      <c r="JD35" s="120"/>
      <c r="JE35" s="440" t="s">
        <v>569</v>
      </c>
      <c r="KA35" s="436" t="s">
        <v>324</v>
      </c>
      <c r="KB35" s="120"/>
      <c r="KC35" s="459" t="s">
        <v>564</v>
      </c>
      <c r="KD35" s="120"/>
      <c r="KE35" s="440" t="s">
        <v>569</v>
      </c>
      <c r="LA35" s="436" t="s">
        <v>324</v>
      </c>
      <c r="LB35" s="120"/>
      <c r="LC35" s="459" t="s">
        <v>564</v>
      </c>
      <c r="LD35" s="120"/>
      <c r="LE35" s="440" t="s">
        <v>569</v>
      </c>
      <c r="MA35" s="436" t="s">
        <v>324</v>
      </c>
      <c r="MB35" s="120"/>
      <c r="MC35" s="459" t="s">
        <v>564</v>
      </c>
      <c r="MD35" s="120"/>
      <c r="ME35" s="440" t="s">
        <v>569</v>
      </c>
      <c r="NA35" s="436" t="s">
        <v>324</v>
      </c>
      <c r="NB35" s="120"/>
      <c r="NC35" s="459" t="s">
        <v>564</v>
      </c>
      <c r="ND35" s="120"/>
      <c r="NE35" s="440" t="s">
        <v>569</v>
      </c>
      <c r="OA35" s="436" t="s">
        <v>324</v>
      </c>
      <c r="OB35" s="120"/>
      <c r="OC35" s="459" t="s">
        <v>564</v>
      </c>
      <c r="OD35" s="120"/>
      <c r="OE35" s="440" t="s">
        <v>569</v>
      </c>
      <c r="PA35" s="436" t="s">
        <v>324</v>
      </c>
      <c r="PB35" s="120"/>
      <c r="PC35" s="459" t="s">
        <v>564</v>
      </c>
      <c r="PD35" s="120"/>
      <c r="PE35" s="440" t="s">
        <v>569</v>
      </c>
      <c r="QA35" s="436" t="s">
        <v>324</v>
      </c>
      <c r="QB35" s="120"/>
      <c r="QC35" s="459" t="s">
        <v>564</v>
      </c>
      <c r="QD35" s="120"/>
      <c r="QE35" s="440" t="s">
        <v>569</v>
      </c>
      <c r="RA35" s="436" t="s">
        <v>324</v>
      </c>
      <c r="RB35" s="120"/>
      <c r="RC35" s="459" t="s">
        <v>564</v>
      </c>
      <c r="RD35" s="120"/>
      <c r="RE35" s="440" t="s">
        <v>569</v>
      </c>
      <c r="SA35" s="436" t="s">
        <v>324</v>
      </c>
      <c r="SB35" s="120"/>
      <c r="SC35" s="459" t="s">
        <v>564</v>
      </c>
      <c r="SD35" s="120"/>
      <c r="SE35" s="440" t="s">
        <v>569</v>
      </c>
      <c r="TA35" s="436" t="s">
        <v>324</v>
      </c>
      <c r="TB35" s="120"/>
      <c r="TC35" s="459" t="s">
        <v>564</v>
      </c>
      <c r="TD35" s="120"/>
      <c r="TE35" s="440" t="s">
        <v>569</v>
      </c>
      <c r="UA35" s="436" t="s">
        <v>324</v>
      </c>
      <c r="UB35" s="120"/>
      <c r="UC35" s="459" t="s">
        <v>564</v>
      </c>
      <c r="UD35" s="120"/>
      <c r="UE35" s="440" t="s">
        <v>569</v>
      </c>
      <c r="VA35" s="436" t="s">
        <v>324</v>
      </c>
      <c r="VB35" s="120"/>
      <c r="VC35" s="459" t="s">
        <v>564</v>
      </c>
      <c r="VD35" s="120"/>
      <c r="VE35" s="440" t="s">
        <v>569</v>
      </c>
      <c r="WA35" s="436" t="s">
        <v>324</v>
      </c>
      <c r="WB35" s="120"/>
      <c r="WC35" s="459" t="s">
        <v>564</v>
      </c>
      <c r="WD35" s="120"/>
      <c r="WE35" s="440" t="s">
        <v>569</v>
      </c>
      <c r="XA35" s="436" t="s">
        <v>324</v>
      </c>
      <c r="XB35" s="120"/>
      <c r="XC35" s="459" t="s">
        <v>564</v>
      </c>
      <c r="XD35" s="120"/>
      <c r="XE35" s="440" t="s">
        <v>569</v>
      </c>
      <c r="YA35" s="436" t="s">
        <v>324</v>
      </c>
      <c r="YB35" s="120"/>
      <c r="YC35" s="459" t="s">
        <v>564</v>
      </c>
      <c r="YD35" s="120"/>
      <c r="YE35" s="440" t="s">
        <v>569</v>
      </c>
      <c r="ZA35" s="436" t="s">
        <v>324</v>
      </c>
      <c r="ZB35" s="120"/>
      <c r="ZC35" s="459" t="s">
        <v>564</v>
      </c>
      <c r="ZD35" s="120"/>
      <c r="ZE35" s="440" t="s">
        <v>569</v>
      </c>
      <c r="AAA35" s="436" t="s">
        <v>324</v>
      </c>
      <c r="AAB35" s="120"/>
      <c r="AAC35" s="459" t="s">
        <v>564</v>
      </c>
      <c r="AAD35" s="120"/>
      <c r="AAE35" s="440" t="s">
        <v>569</v>
      </c>
      <c r="ABA35" s="436" t="s">
        <v>324</v>
      </c>
      <c r="ABB35" s="120"/>
      <c r="ABC35" s="459" t="s">
        <v>564</v>
      </c>
      <c r="ABD35" s="120"/>
      <c r="ABE35" s="440" t="s">
        <v>569</v>
      </c>
      <c r="ACA35" s="436" t="s">
        <v>324</v>
      </c>
      <c r="ACB35" s="120"/>
      <c r="ACC35" s="459" t="s">
        <v>564</v>
      </c>
      <c r="ACD35" s="120"/>
      <c r="ACE35" s="440" t="s">
        <v>569</v>
      </c>
      <c r="ADA35" s="436" t="s">
        <v>324</v>
      </c>
      <c r="ADB35" s="120"/>
      <c r="ADC35" s="459" t="s">
        <v>564</v>
      </c>
      <c r="ADD35" s="120"/>
      <c r="ADE35" s="440" t="s">
        <v>569</v>
      </c>
      <c r="AEA35" s="436" t="s">
        <v>324</v>
      </c>
      <c r="AEB35" s="120"/>
      <c r="AEC35" s="459" t="s">
        <v>564</v>
      </c>
      <c r="AED35" s="120"/>
      <c r="AEE35" s="440" t="s">
        <v>569</v>
      </c>
      <c r="AFA35" s="436" t="s">
        <v>324</v>
      </c>
      <c r="AFB35" s="120"/>
      <c r="AFC35" s="459" t="s">
        <v>564</v>
      </c>
      <c r="AFD35" s="120"/>
      <c r="AFE35" s="440" t="s">
        <v>569</v>
      </c>
      <c r="AGA35" s="436" t="s">
        <v>324</v>
      </c>
      <c r="AGB35" s="120"/>
      <c r="AGC35" s="459" t="s">
        <v>564</v>
      </c>
      <c r="AGD35" s="120"/>
      <c r="AGE35" s="440" t="s">
        <v>569</v>
      </c>
      <c r="AHA35" s="436" t="s">
        <v>324</v>
      </c>
      <c r="AHB35" s="120"/>
      <c r="AHC35" s="459" t="s">
        <v>564</v>
      </c>
      <c r="AHD35" s="120"/>
      <c r="AHE35" s="440" t="s">
        <v>569</v>
      </c>
      <c r="AIA35" s="436" t="s">
        <v>324</v>
      </c>
      <c r="AIB35" s="120"/>
      <c r="AIC35" s="459" t="s">
        <v>564</v>
      </c>
      <c r="AID35" s="120"/>
      <c r="AIE35" s="440" t="s">
        <v>569</v>
      </c>
      <c r="AJA35" s="436" t="s">
        <v>324</v>
      </c>
      <c r="AJB35" s="120"/>
      <c r="AJC35" s="459" t="s">
        <v>564</v>
      </c>
      <c r="AJD35" s="120"/>
      <c r="AJE35" s="440" t="s">
        <v>569</v>
      </c>
      <c r="AKA35" s="436" t="s">
        <v>324</v>
      </c>
      <c r="AKB35" s="120"/>
      <c r="AKC35" s="459" t="s">
        <v>564</v>
      </c>
      <c r="AKD35" s="120"/>
      <c r="AKE35" s="440" t="s">
        <v>569</v>
      </c>
      <c r="ALA35" s="436" t="s">
        <v>324</v>
      </c>
      <c r="ALB35" s="120"/>
      <c r="ALC35" s="459" t="s">
        <v>564</v>
      </c>
      <c r="ALD35" s="120"/>
      <c r="ALE35" s="440" t="s">
        <v>569</v>
      </c>
      <c r="AMA35" s="436" t="s">
        <v>324</v>
      </c>
      <c r="AMB35" s="120"/>
      <c r="AMC35" s="459" t="s">
        <v>564</v>
      </c>
      <c r="AMD35" s="120"/>
      <c r="AME35" s="440" t="s">
        <v>569</v>
      </c>
      <c r="ANA35" s="436" t="s">
        <v>324</v>
      </c>
      <c r="ANB35" s="120"/>
      <c r="ANC35" s="459" t="s">
        <v>564</v>
      </c>
      <c r="AND35" s="120"/>
      <c r="ANE35" s="440" t="s">
        <v>569</v>
      </c>
      <c r="AOA35" s="436" t="s">
        <v>324</v>
      </c>
      <c r="AOB35" s="120"/>
      <c r="AOC35" s="459" t="s">
        <v>564</v>
      </c>
      <c r="AOD35" s="120"/>
      <c r="AOE35" s="440" t="s">
        <v>569</v>
      </c>
      <c r="APA35" s="436" t="s">
        <v>324</v>
      </c>
      <c r="APB35" s="120"/>
      <c r="APC35" s="459" t="s">
        <v>564</v>
      </c>
      <c r="APD35" s="120"/>
      <c r="APE35" s="440" t="s">
        <v>569</v>
      </c>
      <c r="AQA35" s="436" t="s">
        <v>324</v>
      </c>
      <c r="AQB35" s="120"/>
      <c r="AQC35" s="459" t="s">
        <v>564</v>
      </c>
      <c r="AQD35" s="120"/>
      <c r="AQE35" s="440" t="s">
        <v>569</v>
      </c>
      <c r="ARA35" s="436" t="s">
        <v>324</v>
      </c>
      <c r="ARB35" s="120"/>
      <c r="ARC35" s="459" t="s">
        <v>564</v>
      </c>
      <c r="ARD35" s="120"/>
      <c r="ARE35" s="440" t="s">
        <v>569</v>
      </c>
      <c r="ASA35" s="436" t="s">
        <v>324</v>
      </c>
      <c r="ASB35" s="120"/>
      <c r="ASC35" s="459" t="s">
        <v>564</v>
      </c>
      <c r="ASD35" s="120"/>
      <c r="ASE35" s="440" t="s">
        <v>569</v>
      </c>
      <c r="ATA35" s="436" t="s">
        <v>324</v>
      </c>
      <c r="ATB35" s="120"/>
      <c r="ATC35" s="459" t="s">
        <v>564</v>
      </c>
      <c r="ATD35" s="120"/>
      <c r="ATE35" s="440" t="s">
        <v>569</v>
      </c>
      <c r="AUA35" s="436" t="s">
        <v>324</v>
      </c>
      <c r="AUB35" s="120"/>
      <c r="AUC35" s="459" t="s">
        <v>564</v>
      </c>
      <c r="AUD35" s="120"/>
      <c r="AUE35" s="440" t="s">
        <v>569</v>
      </c>
      <c r="AVA35" s="436" t="s">
        <v>324</v>
      </c>
      <c r="AVB35" s="120"/>
      <c r="AVC35" s="459" t="s">
        <v>564</v>
      </c>
      <c r="AVD35" s="120"/>
      <c r="AVE35" s="440" t="s">
        <v>569</v>
      </c>
      <c r="AWA35" s="436" t="s">
        <v>324</v>
      </c>
      <c r="AWB35" s="120"/>
      <c r="AWC35" s="459" t="s">
        <v>564</v>
      </c>
      <c r="AWD35" s="120"/>
      <c r="AWE35" s="440" t="s">
        <v>569</v>
      </c>
      <c r="AXA35" s="436" t="s">
        <v>324</v>
      </c>
      <c r="AXB35" s="120"/>
      <c r="AXC35" s="459" t="s">
        <v>564</v>
      </c>
      <c r="AXD35" s="120"/>
      <c r="AXE35" s="440" t="s">
        <v>569</v>
      </c>
      <c r="AYA35" s="436" t="s">
        <v>324</v>
      </c>
      <c r="AYB35" s="120"/>
      <c r="AYC35" s="459" t="s">
        <v>564</v>
      </c>
      <c r="AYD35" s="120"/>
      <c r="AYE35" s="440" t="s">
        <v>569</v>
      </c>
      <c r="AZA35" s="436" t="s">
        <v>324</v>
      </c>
      <c r="AZB35" s="120"/>
      <c r="AZC35" s="459" t="s">
        <v>564</v>
      </c>
      <c r="AZD35" s="120"/>
      <c r="AZE35" s="440" t="s">
        <v>569</v>
      </c>
      <c r="BAA35" s="436" t="s">
        <v>324</v>
      </c>
      <c r="BAB35" s="120"/>
      <c r="BAC35" s="459" t="s">
        <v>564</v>
      </c>
      <c r="BAD35" s="120"/>
      <c r="BAE35" s="440" t="s">
        <v>569</v>
      </c>
      <c r="BBA35" s="436" t="s">
        <v>324</v>
      </c>
      <c r="BBB35" s="120"/>
      <c r="BBC35" s="459" t="s">
        <v>564</v>
      </c>
      <c r="BBD35" s="120"/>
      <c r="BBE35" s="440" t="s">
        <v>569</v>
      </c>
      <c r="BCA35" s="436" t="s">
        <v>324</v>
      </c>
      <c r="BCB35" s="120"/>
      <c r="BCC35" s="459" t="s">
        <v>564</v>
      </c>
      <c r="BCD35" s="120"/>
      <c r="BCE35" s="440" t="s">
        <v>569</v>
      </c>
      <c r="BDA35" s="436" t="s">
        <v>324</v>
      </c>
      <c r="BDB35" s="120"/>
      <c r="BDC35" s="459" t="s">
        <v>564</v>
      </c>
      <c r="BDD35" s="120"/>
      <c r="BDE35" s="440" t="s">
        <v>569</v>
      </c>
      <c r="BEA35" s="436" t="s">
        <v>324</v>
      </c>
      <c r="BEB35" s="120"/>
      <c r="BEC35" s="459" t="s">
        <v>564</v>
      </c>
      <c r="BED35" s="120"/>
      <c r="BEE35" s="440" t="s">
        <v>569</v>
      </c>
      <c r="BFA35" s="436" t="s">
        <v>324</v>
      </c>
      <c r="BFB35" s="120"/>
      <c r="BFC35" s="459" t="s">
        <v>564</v>
      </c>
      <c r="BFD35" s="120"/>
      <c r="BFE35" s="440" t="s">
        <v>569</v>
      </c>
      <c r="BGA35" s="436" t="s">
        <v>324</v>
      </c>
      <c r="BGB35" s="120"/>
      <c r="BGC35" s="459" t="s">
        <v>564</v>
      </c>
      <c r="BGD35" s="120"/>
      <c r="BGE35" s="440" t="s">
        <v>569</v>
      </c>
      <c r="BHA35" s="436" t="s">
        <v>324</v>
      </c>
      <c r="BHB35" s="120"/>
      <c r="BHC35" s="459" t="s">
        <v>564</v>
      </c>
      <c r="BHD35" s="120"/>
      <c r="BHE35" s="440" t="s">
        <v>569</v>
      </c>
      <c r="BIA35" s="436" t="s">
        <v>324</v>
      </c>
      <c r="BIB35" s="120"/>
      <c r="BIC35" s="459" t="s">
        <v>564</v>
      </c>
      <c r="BID35" s="120"/>
      <c r="BIE35" s="440" t="s">
        <v>569</v>
      </c>
      <c r="BJA35" s="436" t="s">
        <v>324</v>
      </c>
      <c r="BJB35" s="120"/>
      <c r="BJC35" s="459" t="s">
        <v>564</v>
      </c>
      <c r="BJD35" s="120"/>
      <c r="BJE35" s="440" t="s">
        <v>569</v>
      </c>
      <c r="BKA35" s="436" t="s">
        <v>324</v>
      </c>
      <c r="BKB35" s="120"/>
      <c r="BKC35" s="459" t="s">
        <v>564</v>
      </c>
      <c r="BKD35" s="120"/>
      <c r="BKE35" s="440" t="s">
        <v>569</v>
      </c>
      <c r="BLA35" s="436" t="s">
        <v>324</v>
      </c>
      <c r="BLB35" s="120"/>
      <c r="BLC35" s="459" t="s">
        <v>564</v>
      </c>
      <c r="BLD35" s="120"/>
      <c r="BLE35" s="440" t="s">
        <v>569</v>
      </c>
      <c r="BMA35" s="436" t="s">
        <v>324</v>
      </c>
      <c r="BMB35" s="120"/>
      <c r="BMC35" s="459" t="s">
        <v>564</v>
      </c>
      <c r="BMD35" s="120"/>
      <c r="BME35" s="440" t="s">
        <v>569</v>
      </c>
      <c r="BNA35" s="436" t="s">
        <v>324</v>
      </c>
      <c r="BNB35" s="120"/>
      <c r="BNC35" s="459" t="s">
        <v>564</v>
      </c>
      <c r="BND35" s="120"/>
      <c r="BNE35" s="440" t="s">
        <v>569</v>
      </c>
      <c r="BOA35" s="436" t="s">
        <v>324</v>
      </c>
      <c r="BOB35" s="120"/>
      <c r="BOC35" s="459" t="s">
        <v>564</v>
      </c>
      <c r="BOD35" s="120"/>
      <c r="BOE35" s="440" t="s">
        <v>569</v>
      </c>
      <c r="BPA35" s="436" t="s">
        <v>324</v>
      </c>
      <c r="BPB35" s="120"/>
      <c r="BPC35" s="459" t="s">
        <v>564</v>
      </c>
      <c r="BPD35" s="120"/>
      <c r="BPE35" s="440" t="s">
        <v>569</v>
      </c>
      <c r="BQA35" s="436" t="s">
        <v>324</v>
      </c>
      <c r="BQB35" s="120"/>
      <c r="BQC35" s="459" t="s">
        <v>564</v>
      </c>
      <c r="BQD35" s="120"/>
      <c r="BQE35" s="440" t="s">
        <v>569</v>
      </c>
      <c r="BRA35" s="436" t="s">
        <v>324</v>
      </c>
      <c r="BRB35" s="120"/>
      <c r="BRC35" s="459" t="s">
        <v>564</v>
      </c>
      <c r="BRD35" s="120"/>
      <c r="BRE35" s="440" t="s">
        <v>569</v>
      </c>
    </row>
    <row r="36" spans="1:1019 1041:1825">
      <c r="A36" s="1034"/>
      <c r="B36" s="114" t="s">
        <v>1523</v>
      </c>
      <c r="G36" s="574"/>
      <c r="H36" s="110"/>
      <c r="AA36" s="436"/>
      <c r="AB36" s="120"/>
      <c r="AC36" s="468"/>
      <c r="AD36" s="469"/>
      <c r="AE36" s="440"/>
      <c r="BA36" s="436"/>
      <c r="BB36" s="120"/>
      <c r="BC36" s="468"/>
      <c r="BD36" s="469"/>
      <c r="BE36" s="440"/>
      <c r="CA36" s="436"/>
      <c r="CB36" s="120"/>
      <c r="CC36" s="468"/>
      <c r="CD36" s="469"/>
      <c r="CE36" s="440"/>
      <c r="DA36" s="436"/>
      <c r="DB36" s="120"/>
      <c r="DC36" s="468"/>
      <c r="DD36" s="469"/>
      <c r="DE36" s="440"/>
      <c r="EA36" s="436"/>
      <c r="EB36" s="120"/>
      <c r="EC36" s="468"/>
      <c r="ED36" s="469"/>
      <c r="EE36" s="440"/>
      <c r="FA36" s="436"/>
      <c r="FB36" s="120"/>
      <c r="FC36" s="468"/>
      <c r="FD36" s="469"/>
      <c r="FE36" s="440"/>
      <c r="GA36" s="436"/>
      <c r="GB36" s="120"/>
      <c r="GC36" s="468"/>
      <c r="GD36" s="469"/>
      <c r="GE36" s="440"/>
      <c r="HA36" s="436"/>
      <c r="HB36" s="120"/>
      <c r="HC36" s="468"/>
      <c r="HD36" s="469"/>
      <c r="HE36" s="440"/>
      <c r="IA36" s="436"/>
      <c r="IB36" s="120"/>
      <c r="IC36" s="468"/>
      <c r="ID36" s="469"/>
      <c r="IE36" s="440"/>
      <c r="JA36" s="436"/>
      <c r="JB36" s="120"/>
      <c r="JC36" s="468"/>
      <c r="JD36" s="469"/>
      <c r="JE36" s="440"/>
      <c r="KA36" s="436"/>
      <c r="KB36" s="120"/>
      <c r="KC36" s="468"/>
      <c r="KD36" s="469"/>
      <c r="KE36" s="440"/>
      <c r="LA36" s="436"/>
      <c r="LB36" s="120"/>
      <c r="LC36" s="468"/>
      <c r="LD36" s="469"/>
      <c r="LE36" s="440"/>
      <c r="MA36" s="436"/>
      <c r="MB36" s="120"/>
      <c r="MC36" s="468"/>
      <c r="MD36" s="469"/>
      <c r="ME36" s="440"/>
      <c r="NA36" s="436"/>
      <c r="NB36" s="120"/>
      <c r="NC36" s="468"/>
      <c r="ND36" s="469"/>
      <c r="NE36" s="440"/>
      <c r="OA36" s="436"/>
      <c r="OB36" s="120"/>
      <c r="OC36" s="468"/>
      <c r="OD36" s="469"/>
      <c r="OE36" s="440"/>
      <c r="PA36" s="436"/>
      <c r="PB36" s="120"/>
      <c r="PC36" s="468"/>
      <c r="PD36" s="469"/>
      <c r="PE36" s="440"/>
      <c r="QA36" s="436"/>
      <c r="QB36" s="120"/>
      <c r="QC36" s="468"/>
      <c r="QD36" s="469"/>
      <c r="QE36" s="440"/>
      <c r="RA36" s="436"/>
      <c r="RB36" s="120"/>
      <c r="RC36" s="468"/>
      <c r="RD36" s="469"/>
      <c r="RE36" s="440"/>
      <c r="SA36" s="436"/>
      <c r="SB36" s="120"/>
      <c r="SC36" s="468"/>
      <c r="SD36" s="469"/>
      <c r="SE36" s="440"/>
      <c r="TA36" s="436"/>
      <c r="TB36" s="120"/>
      <c r="TC36" s="468"/>
      <c r="TD36" s="469"/>
      <c r="TE36" s="440"/>
      <c r="UA36" s="436"/>
      <c r="UB36" s="120"/>
      <c r="UC36" s="468"/>
      <c r="UD36" s="469"/>
      <c r="UE36" s="440"/>
      <c r="VA36" s="436"/>
      <c r="VB36" s="120"/>
      <c r="VC36" s="468"/>
      <c r="VD36" s="469"/>
      <c r="VE36" s="440"/>
      <c r="WA36" s="436"/>
      <c r="WB36" s="120"/>
      <c r="WC36" s="468"/>
      <c r="WD36" s="469"/>
      <c r="WE36" s="440"/>
      <c r="XA36" s="436"/>
      <c r="XB36" s="120"/>
      <c r="XC36" s="468"/>
      <c r="XD36" s="469"/>
      <c r="XE36" s="440"/>
      <c r="YA36" s="436"/>
      <c r="YB36" s="120"/>
      <c r="YC36" s="468"/>
      <c r="YD36" s="469"/>
      <c r="YE36" s="440"/>
      <c r="ZA36" s="436"/>
      <c r="ZB36" s="120"/>
      <c r="ZC36" s="468"/>
      <c r="ZD36" s="469"/>
      <c r="ZE36" s="440"/>
      <c r="AAA36" s="436"/>
      <c r="AAB36" s="120"/>
      <c r="AAC36" s="468"/>
      <c r="AAD36" s="469"/>
      <c r="AAE36" s="440"/>
      <c r="ABA36" s="436"/>
      <c r="ABB36" s="120"/>
      <c r="ABC36" s="468"/>
      <c r="ABD36" s="469"/>
      <c r="ABE36" s="440"/>
      <c r="ACA36" s="436"/>
      <c r="ACB36" s="120"/>
      <c r="ACC36" s="468"/>
      <c r="ACD36" s="469"/>
      <c r="ACE36" s="440"/>
      <c r="ADA36" s="436"/>
      <c r="ADB36" s="120"/>
      <c r="ADC36" s="468"/>
      <c r="ADD36" s="469"/>
      <c r="ADE36" s="440"/>
      <c r="AEA36" s="436"/>
      <c r="AEB36" s="120"/>
      <c r="AEC36" s="468"/>
      <c r="AED36" s="469"/>
      <c r="AEE36" s="440"/>
      <c r="AFA36" s="436"/>
      <c r="AFB36" s="120"/>
      <c r="AFC36" s="468"/>
      <c r="AFD36" s="469"/>
      <c r="AFE36" s="440"/>
      <c r="AGA36" s="436"/>
      <c r="AGB36" s="120"/>
      <c r="AGC36" s="468"/>
      <c r="AGD36" s="469"/>
      <c r="AGE36" s="440"/>
      <c r="AHA36" s="436"/>
      <c r="AHB36" s="120"/>
      <c r="AHC36" s="468"/>
      <c r="AHD36" s="469"/>
      <c r="AHE36" s="440"/>
      <c r="AIA36" s="436"/>
      <c r="AIB36" s="120"/>
      <c r="AIC36" s="468"/>
      <c r="AID36" s="469"/>
      <c r="AIE36" s="440"/>
      <c r="AJA36" s="436"/>
      <c r="AJB36" s="120"/>
      <c r="AJC36" s="468"/>
      <c r="AJD36" s="469"/>
      <c r="AJE36" s="440"/>
      <c r="AKA36" s="436"/>
      <c r="AKB36" s="120"/>
      <c r="AKC36" s="468"/>
      <c r="AKD36" s="469"/>
      <c r="AKE36" s="440"/>
      <c r="ALA36" s="436"/>
      <c r="ALB36" s="120"/>
      <c r="ALC36" s="468"/>
      <c r="ALD36" s="469"/>
      <c r="ALE36" s="440"/>
      <c r="AMA36" s="436"/>
      <c r="AMB36" s="120"/>
      <c r="AMC36" s="468"/>
      <c r="AMD36" s="469"/>
      <c r="AME36" s="440"/>
      <c r="ANA36" s="436"/>
      <c r="ANB36" s="120"/>
      <c r="ANC36" s="468"/>
      <c r="AND36" s="469"/>
      <c r="ANE36" s="440"/>
      <c r="AOA36" s="436"/>
      <c r="AOB36" s="120"/>
      <c r="AOC36" s="468"/>
      <c r="AOD36" s="469"/>
      <c r="AOE36" s="440"/>
      <c r="APA36" s="436"/>
      <c r="APB36" s="120"/>
      <c r="APC36" s="468"/>
      <c r="APD36" s="469"/>
      <c r="APE36" s="440"/>
      <c r="AQA36" s="436"/>
      <c r="AQB36" s="120"/>
      <c r="AQC36" s="468"/>
      <c r="AQD36" s="469"/>
      <c r="AQE36" s="440"/>
      <c r="ARA36" s="436"/>
      <c r="ARB36" s="120"/>
      <c r="ARC36" s="468"/>
      <c r="ARD36" s="469"/>
      <c r="ARE36" s="440"/>
      <c r="ASA36" s="436"/>
      <c r="ASB36" s="120"/>
      <c r="ASC36" s="468"/>
      <c r="ASD36" s="469"/>
      <c r="ASE36" s="440"/>
      <c r="ATA36" s="436"/>
      <c r="ATB36" s="120"/>
      <c r="ATC36" s="468"/>
      <c r="ATD36" s="469"/>
      <c r="ATE36" s="440"/>
      <c r="AUA36" s="436"/>
      <c r="AUB36" s="120"/>
      <c r="AUC36" s="468"/>
      <c r="AUD36" s="469"/>
      <c r="AUE36" s="440"/>
      <c r="AVA36" s="436"/>
      <c r="AVB36" s="120"/>
      <c r="AVC36" s="468"/>
      <c r="AVD36" s="469"/>
      <c r="AVE36" s="440"/>
      <c r="AWA36" s="436"/>
      <c r="AWB36" s="120"/>
      <c r="AWC36" s="468"/>
      <c r="AWD36" s="469"/>
      <c r="AWE36" s="440"/>
      <c r="AXA36" s="436"/>
      <c r="AXB36" s="120"/>
      <c r="AXC36" s="468"/>
      <c r="AXD36" s="469"/>
      <c r="AXE36" s="440"/>
      <c r="AYA36" s="436"/>
      <c r="AYB36" s="120"/>
      <c r="AYC36" s="468"/>
      <c r="AYD36" s="469"/>
      <c r="AYE36" s="440"/>
      <c r="AZA36" s="436"/>
      <c r="AZB36" s="120"/>
      <c r="AZC36" s="468"/>
      <c r="AZD36" s="469"/>
      <c r="AZE36" s="440"/>
      <c r="BAA36" s="436"/>
      <c r="BAB36" s="120"/>
      <c r="BAC36" s="468"/>
      <c r="BAD36" s="469"/>
      <c r="BAE36" s="440"/>
      <c r="BBA36" s="436"/>
      <c r="BBB36" s="120"/>
      <c r="BBC36" s="468"/>
      <c r="BBD36" s="469"/>
      <c r="BBE36" s="440"/>
      <c r="BCA36" s="436"/>
      <c r="BCB36" s="120"/>
      <c r="BCC36" s="468"/>
      <c r="BCD36" s="469"/>
      <c r="BCE36" s="440"/>
      <c r="BDA36" s="436"/>
      <c r="BDB36" s="120"/>
      <c r="BDC36" s="468"/>
      <c r="BDD36" s="469"/>
      <c r="BDE36" s="440"/>
      <c r="BEA36" s="436"/>
      <c r="BEB36" s="120"/>
      <c r="BEC36" s="468"/>
      <c r="BED36" s="469"/>
      <c r="BEE36" s="440"/>
      <c r="BFA36" s="436"/>
      <c r="BFB36" s="120"/>
      <c r="BFC36" s="468"/>
      <c r="BFD36" s="469"/>
      <c r="BFE36" s="440"/>
      <c r="BGA36" s="436"/>
      <c r="BGB36" s="120"/>
      <c r="BGC36" s="468"/>
      <c r="BGD36" s="469"/>
      <c r="BGE36" s="440"/>
      <c r="BHA36" s="436"/>
      <c r="BHB36" s="120"/>
      <c r="BHC36" s="468"/>
      <c r="BHD36" s="469"/>
      <c r="BHE36" s="440"/>
      <c r="BIA36" s="436"/>
      <c r="BIB36" s="120"/>
      <c r="BIC36" s="468"/>
      <c r="BID36" s="469"/>
      <c r="BIE36" s="440"/>
      <c r="BJA36" s="436"/>
      <c r="BJB36" s="120"/>
      <c r="BJC36" s="468"/>
      <c r="BJD36" s="469"/>
      <c r="BJE36" s="440"/>
      <c r="BKA36" s="436"/>
      <c r="BKB36" s="120"/>
      <c r="BKC36" s="468"/>
      <c r="BKD36" s="469"/>
      <c r="BKE36" s="440"/>
      <c r="BLA36" s="436"/>
      <c r="BLB36" s="120"/>
      <c r="BLC36" s="468"/>
      <c r="BLD36" s="469"/>
      <c r="BLE36" s="440"/>
      <c r="BMA36" s="436"/>
      <c r="BMB36" s="120"/>
      <c r="BMC36" s="468"/>
      <c r="BMD36" s="469"/>
      <c r="BME36" s="440"/>
      <c r="BNA36" s="436"/>
      <c r="BNB36" s="120"/>
      <c r="BNC36" s="468"/>
      <c r="BND36" s="469"/>
      <c r="BNE36" s="440"/>
      <c r="BOA36" s="436"/>
      <c r="BOB36" s="120"/>
      <c r="BOC36" s="468"/>
      <c r="BOD36" s="469"/>
      <c r="BOE36" s="440"/>
      <c r="BPA36" s="436"/>
      <c r="BPB36" s="120"/>
      <c r="BPC36" s="468"/>
      <c r="BPD36" s="469"/>
      <c r="BPE36" s="440"/>
      <c r="BQA36" s="436"/>
      <c r="BQB36" s="120"/>
      <c r="BQC36" s="468"/>
      <c r="BQD36" s="469"/>
      <c r="BQE36" s="440"/>
      <c r="BRA36" s="436"/>
      <c r="BRB36" s="120"/>
      <c r="BRC36" s="468"/>
      <c r="BRD36" s="469"/>
      <c r="BRE36" s="440"/>
    </row>
    <row r="37" spans="1:1019 1041:1825" ht="15.5">
      <c r="B37" s="114" t="s">
        <v>1537</v>
      </c>
      <c r="G37" s="570"/>
      <c r="H37" s="570"/>
      <c r="I37" s="570"/>
      <c r="J37" s="570"/>
      <c r="K37" s="570"/>
      <c r="L37" s="570"/>
      <c r="AA37" s="436" t="s">
        <v>374</v>
      </c>
      <c r="AB37" s="120"/>
      <c r="AC37" s="459" t="s">
        <v>564</v>
      </c>
      <c r="AD37" s="469"/>
      <c r="AE37" s="440" t="s">
        <v>569</v>
      </c>
      <c r="BA37" s="436" t="s">
        <v>374</v>
      </c>
      <c r="BB37" s="120"/>
      <c r="BC37" s="459" t="s">
        <v>564</v>
      </c>
      <c r="BD37" s="469"/>
      <c r="BE37" s="440" t="s">
        <v>569</v>
      </c>
      <c r="CA37" s="436" t="s">
        <v>374</v>
      </c>
      <c r="CB37" s="120"/>
      <c r="CC37" s="459" t="s">
        <v>564</v>
      </c>
      <c r="CD37" s="469"/>
      <c r="CE37" s="440" t="s">
        <v>569</v>
      </c>
      <c r="DA37" s="436" t="s">
        <v>374</v>
      </c>
      <c r="DB37" s="120"/>
      <c r="DC37" s="459" t="s">
        <v>564</v>
      </c>
      <c r="DD37" s="469"/>
      <c r="DE37" s="440" t="s">
        <v>569</v>
      </c>
      <c r="EA37" s="436" t="s">
        <v>374</v>
      </c>
      <c r="EB37" s="120"/>
      <c r="EC37" s="459" t="s">
        <v>564</v>
      </c>
      <c r="ED37" s="469"/>
      <c r="EE37" s="440" t="s">
        <v>569</v>
      </c>
      <c r="FA37" s="436" t="s">
        <v>374</v>
      </c>
      <c r="FB37" s="120"/>
      <c r="FC37" s="459" t="s">
        <v>564</v>
      </c>
      <c r="FD37" s="469"/>
      <c r="FE37" s="440" t="s">
        <v>569</v>
      </c>
      <c r="GA37" s="436" t="s">
        <v>374</v>
      </c>
      <c r="GB37" s="120"/>
      <c r="GC37" s="459" t="s">
        <v>564</v>
      </c>
      <c r="GD37" s="469"/>
      <c r="GE37" s="440" t="s">
        <v>569</v>
      </c>
      <c r="HA37" s="436" t="s">
        <v>374</v>
      </c>
      <c r="HB37" s="120"/>
      <c r="HC37" s="459" t="s">
        <v>564</v>
      </c>
      <c r="HD37" s="469"/>
      <c r="HE37" s="440" t="s">
        <v>569</v>
      </c>
      <c r="IA37" s="436" t="s">
        <v>374</v>
      </c>
      <c r="IB37" s="120"/>
      <c r="IC37" s="459" t="s">
        <v>564</v>
      </c>
      <c r="ID37" s="469"/>
      <c r="IE37" s="440" t="s">
        <v>569</v>
      </c>
      <c r="JA37" s="436" t="s">
        <v>374</v>
      </c>
      <c r="JB37" s="120"/>
      <c r="JC37" s="459" t="s">
        <v>564</v>
      </c>
      <c r="JD37" s="469"/>
      <c r="JE37" s="440" t="s">
        <v>569</v>
      </c>
      <c r="KA37" s="436" t="s">
        <v>374</v>
      </c>
      <c r="KB37" s="120"/>
      <c r="KC37" s="459" t="s">
        <v>564</v>
      </c>
      <c r="KD37" s="469"/>
      <c r="KE37" s="440" t="s">
        <v>569</v>
      </c>
      <c r="LA37" s="436" t="s">
        <v>374</v>
      </c>
      <c r="LB37" s="120"/>
      <c r="LC37" s="459" t="s">
        <v>564</v>
      </c>
      <c r="LD37" s="469"/>
      <c r="LE37" s="440" t="s">
        <v>569</v>
      </c>
      <c r="MA37" s="436" t="s">
        <v>374</v>
      </c>
      <c r="MB37" s="120"/>
      <c r="MC37" s="459" t="s">
        <v>564</v>
      </c>
      <c r="MD37" s="469"/>
      <c r="ME37" s="440" t="s">
        <v>569</v>
      </c>
      <c r="NA37" s="436" t="s">
        <v>374</v>
      </c>
      <c r="NB37" s="120"/>
      <c r="NC37" s="459" t="s">
        <v>564</v>
      </c>
      <c r="ND37" s="469"/>
      <c r="NE37" s="440" t="s">
        <v>569</v>
      </c>
      <c r="OA37" s="436" t="s">
        <v>374</v>
      </c>
      <c r="OB37" s="120"/>
      <c r="OC37" s="459" t="s">
        <v>564</v>
      </c>
      <c r="OD37" s="469"/>
      <c r="OE37" s="440" t="s">
        <v>569</v>
      </c>
      <c r="PA37" s="436" t="s">
        <v>374</v>
      </c>
      <c r="PB37" s="120"/>
      <c r="PC37" s="459" t="s">
        <v>564</v>
      </c>
      <c r="PD37" s="469"/>
      <c r="PE37" s="440" t="s">
        <v>569</v>
      </c>
      <c r="QA37" s="436" t="s">
        <v>374</v>
      </c>
      <c r="QB37" s="120"/>
      <c r="QC37" s="459" t="s">
        <v>564</v>
      </c>
      <c r="QD37" s="469"/>
      <c r="QE37" s="440" t="s">
        <v>569</v>
      </c>
      <c r="RA37" s="436" t="s">
        <v>374</v>
      </c>
      <c r="RB37" s="120"/>
      <c r="RC37" s="459" t="s">
        <v>564</v>
      </c>
      <c r="RD37" s="469"/>
      <c r="RE37" s="440" t="s">
        <v>569</v>
      </c>
      <c r="SA37" s="436" t="s">
        <v>374</v>
      </c>
      <c r="SB37" s="120"/>
      <c r="SC37" s="459" t="s">
        <v>564</v>
      </c>
      <c r="SD37" s="469"/>
      <c r="SE37" s="440" t="s">
        <v>569</v>
      </c>
      <c r="TA37" s="436" t="s">
        <v>374</v>
      </c>
      <c r="TB37" s="120"/>
      <c r="TC37" s="459" t="s">
        <v>564</v>
      </c>
      <c r="TD37" s="469"/>
      <c r="TE37" s="440" t="s">
        <v>569</v>
      </c>
      <c r="UA37" s="436" t="s">
        <v>374</v>
      </c>
      <c r="UB37" s="120"/>
      <c r="UC37" s="459" t="s">
        <v>564</v>
      </c>
      <c r="UD37" s="469"/>
      <c r="UE37" s="440" t="s">
        <v>569</v>
      </c>
      <c r="VA37" s="436" t="s">
        <v>374</v>
      </c>
      <c r="VB37" s="120"/>
      <c r="VC37" s="459" t="s">
        <v>564</v>
      </c>
      <c r="VD37" s="469"/>
      <c r="VE37" s="440" t="s">
        <v>569</v>
      </c>
      <c r="WA37" s="436" t="s">
        <v>374</v>
      </c>
      <c r="WB37" s="120"/>
      <c r="WC37" s="459" t="s">
        <v>564</v>
      </c>
      <c r="WD37" s="469"/>
      <c r="WE37" s="440" t="s">
        <v>569</v>
      </c>
      <c r="XA37" s="436" t="s">
        <v>374</v>
      </c>
      <c r="XB37" s="120"/>
      <c r="XC37" s="459" t="s">
        <v>564</v>
      </c>
      <c r="XD37" s="469"/>
      <c r="XE37" s="440" t="s">
        <v>569</v>
      </c>
      <c r="YA37" s="436" t="s">
        <v>374</v>
      </c>
      <c r="YB37" s="120"/>
      <c r="YC37" s="459" t="s">
        <v>564</v>
      </c>
      <c r="YD37" s="469"/>
      <c r="YE37" s="440" t="s">
        <v>569</v>
      </c>
      <c r="ZA37" s="436" t="s">
        <v>374</v>
      </c>
      <c r="ZB37" s="120"/>
      <c r="ZC37" s="459" t="s">
        <v>564</v>
      </c>
      <c r="ZD37" s="469"/>
      <c r="ZE37" s="440" t="s">
        <v>569</v>
      </c>
      <c r="AAA37" s="436" t="s">
        <v>374</v>
      </c>
      <c r="AAB37" s="120"/>
      <c r="AAC37" s="459" t="s">
        <v>564</v>
      </c>
      <c r="AAD37" s="469"/>
      <c r="AAE37" s="440" t="s">
        <v>569</v>
      </c>
      <c r="ABA37" s="436" t="s">
        <v>374</v>
      </c>
      <c r="ABB37" s="120"/>
      <c r="ABC37" s="459" t="s">
        <v>564</v>
      </c>
      <c r="ABD37" s="469"/>
      <c r="ABE37" s="440" t="s">
        <v>569</v>
      </c>
      <c r="ACA37" s="436" t="s">
        <v>374</v>
      </c>
      <c r="ACB37" s="120"/>
      <c r="ACC37" s="459" t="s">
        <v>564</v>
      </c>
      <c r="ACD37" s="469"/>
      <c r="ACE37" s="440" t="s">
        <v>569</v>
      </c>
      <c r="ADA37" s="436" t="s">
        <v>374</v>
      </c>
      <c r="ADB37" s="120"/>
      <c r="ADC37" s="459" t="s">
        <v>564</v>
      </c>
      <c r="ADD37" s="469"/>
      <c r="ADE37" s="440" t="s">
        <v>569</v>
      </c>
      <c r="AEA37" s="436" t="s">
        <v>374</v>
      </c>
      <c r="AEB37" s="120"/>
      <c r="AEC37" s="459" t="s">
        <v>564</v>
      </c>
      <c r="AED37" s="469"/>
      <c r="AEE37" s="440" t="s">
        <v>569</v>
      </c>
      <c r="AFA37" s="436" t="s">
        <v>374</v>
      </c>
      <c r="AFB37" s="120"/>
      <c r="AFC37" s="459" t="s">
        <v>564</v>
      </c>
      <c r="AFD37" s="469"/>
      <c r="AFE37" s="440" t="s">
        <v>569</v>
      </c>
      <c r="AGA37" s="436" t="s">
        <v>374</v>
      </c>
      <c r="AGB37" s="120"/>
      <c r="AGC37" s="459" t="s">
        <v>564</v>
      </c>
      <c r="AGD37" s="469"/>
      <c r="AGE37" s="440" t="s">
        <v>569</v>
      </c>
      <c r="AHA37" s="436" t="s">
        <v>374</v>
      </c>
      <c r="AHB37" s="120"/>
      <c r="AHC37" s="459" t="s">
        <v>564</v>
      </c>
      <c r="AHD37" s="469"/>
      <c r="AHE37" s="440" t="s">
        <v>569</v>
      </c>
      <c r="AIA37" s="436" t="s">
        <v>374</v>
      </c>
      <c r="AIB37" s="120"/>
      <c r="AIC37" s="459" t="s">
        <v>564</v>
      </c>
      <c r="AID37" s="469"/>
      <c r="AIE37" s="440" t="s">
        <v>569</v>
      </c>
      <c r="AJA37" s="436" t="s">
        <v>374</v>
      </c>
      <c r="AJB37" s="120"/>
      <c r="AJC37" s="459" t="s">
        <v>564</v>
      </c>
      <c r="AJD37" s="469"/>
      <c r="AJE37" s="440" t="s">
        <v>569</v>
      </c>
      <c r="AKA37" s="436" t="s">
        <v>374</v>
      </c>
      <c r="AKB37" s="120"/>
      <c r="AKC37" s="459" t="s">
        <v>564</v>
      </c>
      <c r="AKD37" s="469"/>
      <c r="AKE37" s="440" t="s">
        <v>569</v>
      </c>
      <c r="ALA37" s="436" t="s">
        <v>374</v>
      </c>
      <c r="ALB37" s="120"/>
      <c r="ALC37" s="459" t="s">
        <v>564</v>
      </c>
      <c r="ALD37" s="469"/>
      <c r="ALE37" s="440" t="s">
        <v>569</v>
      </c>
      <c r="AMA37" s="436" t="s">
        <v>374</v>
      </c>
      <c r="AMB37" s="120"/>
      <c r="AMC37" s="459" t="s">
        <v>564</v>
      </c>
      <c r="AMD37" s="469"/>
      <c r="AME37" s="440" t="s">
        <v>569</v>
      </c>
      <c r="ANA37" s="436" t="s">
        <v>374</v>
      </c>
      <c r="ANB37" s="120"/>
      <c r="ANC37" s="459" t="s">
        <v>564</v>
      </c>
      <c r="AND37" s="469"/>
      <c r="ANE37" s="440" t="s">
        <v>569</v>
      </c>
      <c r="AOA37" s="436" t="s">
        <v>374</v>
      </c>
      <c r="AOB37" s="120"/>
      <c r="AOC37" s="459" t="s">
        <v>564</v>
      </c>
      <c r="AOD37" s="469"/>
      <c r="AOE37" s="440" t="s">
        <v>569</v>
      </c>
      <c r="APA37" s="436" t="s">
        <v>374</v>
      </c>
      <c r="APB37" s="120"/>
      <c r="APC37" s="459" t="s">
        <v>564</v>
      </c>
      <c r="APD37" s="469"/>
      <c r="APE37" s="440" t="s">
        <v>569</v>
      </c>
      <c r="AQA37" s="436" t="s">
        <v>374</v>
      </c>
      <c r="AQB37" s="120"/>
      <c r="AQC37" s="459" t="s">
        <v>564</v>
      </c>
      <c r="AQD37" s="469"/>
      <c r="AQE37" s="440" t="s">
        <v>569</v>
      </c>
      <c r="ARA37" s="436" t="s">
        <v>374</v>
      </c>
      <c r="ARB37" s="120"/>
      <c r="ARC37" s="459" t="s">
        <v>564</v>
      </c>
      <c r="ARD37" s="469"/>
      <c r="ARE37" s="440" t="s">
        <v>569</v>
      </c>
      <c r="ASA37" s="436" t="s">
        <v>374</v>
      </c>
      <c r="ASB37" s="120"/>
      <c r="ASC37" s="459" t="s">
        <v>564</v>
      </c>
      <c r="ASD37" s="469"/>
      <c r="ASE37" s="440" t="s">
        <v>569</v>
      </c>
      <c r="ATA37" s="436" t="s">
        <v>374</v>
      </c>
      <c r="ATB37" s="120"/>
      <c r="ATC37" s="459" t="s">
        <v>564</v>
      </c>
      <c r="ATD37" s="469"/>
      <c r="ATE37" s="440" t="s">
        <v>569</v>
      </c>
      <c r="AUA37" s="436" t="s">
        <v>374</v>
      </c>
      <c r="AUB37" s="120"/>
      <c r="AUC37" s="459" t="s">
        <v>564</v>
      </c>
      <c r="AUD37" s="469"/>
      <c r="AUE37" s="440" t="s">
        <v>569</v>
      </c>
      <c r="AVA37" s="436" t="s">
        <v>374</v>
      </c>
      <c r="AVB37" s="120"/>
      <c r="AVC37" s="459" t="s">
        <v>564</v>
      </c>
      <c r="AVD37" s="469"/>
      <c r="AVE37" s="440" t="s">
        <v>569</v>
      </c>
      <c r="AWA37" s="436" t="s">
        <v>374</v>
      </c>
      <c r="AWB37" s="120"/>
      <c r="AWC37" s="459" t="s">
        <v>564</v>
      </c>
      <c r="AWD37" s="469"/>
      <c r="AWE37" s="440" t="s">
        <v>569</v>
      </c>
      <c r="AXA37" s="436" t="s">
        <v>374</v>
      </c>
      <c r="AXB37" s="120"/>
      <c r="AXC37" s="459" t="s">
        <v>564</v>
      </c>
      <c r="AXD37" s="469"/>
      <c r="AXE37" s="440" t="s">
        <v>569</v>
      </c>
      <c r="AYA37" s="436" t="s">
        <v>374</v>
      </c>
      <c r="AYB37" s="120"/>
      <c r="AYC37" s="459" t="s">
        <v>564</v>
      </c>
      <c r="AYD37" s="469"/>
      <c r="AYE37" s="440" t="s">
        <v>569</v>
      </c>
      <c r="AZA37" s="436" t="s">
        <v>374</v>
      </c>
      <c r="AZB37" s="120"/>
      <c r="AZC37" s="459" t="s">
        <v>564</v>
      </c>
      <c r="AZD37" s="469"/>
      <c r="AZE37" s="440" t="s">
        <v>569</v>
      </c>
      <c r="BAA37" s="436" t="s">
        <v>374</v>
      </c>
      <c r="BAB37" s="120"/>
      <c r="BAC37" s="459" t="s">
        <v>564</v>
      </c>
      <c r="BAD37" s="469"/>
      <c r="BAE37" s="440" t="s">
        <v>569</v>
      </c>
      <c r="BBA37" s="436" t="s">
        <v>374</v>
      </c>
      <c r="BBB37" s="120"/>
      <c r="BBC37" s="459" t="s">
        <v>564</v>
      </c>
      <c r="BBD37" s="469"/>
      <c r="BBE37" s="440" t="s">
        <v>569</v>
      </c>
      <c r="BCA37" s="436" t="s">
        <v>374</v>
      </c>
      <c r="BCB37" s="120"/>
      <c r="BCC37" s="459" t="s">
        <v>564</v>
      </c>
      <c r="BCD37" s="469"/>
      <c r="BCE37" s="440" t="s">
        <v>569</v>
      </c>
      <c r="BDA37" s="436" t="s">
        <v>374</v>
      </c>
      <c r="BDB37" s="120"/>
      <c r="BDC37" s="459" t="s">
        <v>564</v>
      </c>
      <c r="BDD37" s="469"/>
      <c r="BDE37" s="440" t="s">
        <v>569</v>
      </c>
      <c r="BEA37" s="436" t="s">
        <v>374</v>
      </c>
      <c r="BEB37" s="120"/>
      <c r="BEC37" s="459" t="s">
        <v>564</v>
      </c>
      <c r="BED37" s="469"/>
      <c r="BEE37" s="440" t="s">
        <v>569</v>
      </c>
      <c r="BFA37" s="436" t="s">
        <v>374</v>
      </c>
      <c r="BFB37" s="120"/>
      <c r="BFC37" s="459" t="s">
        <v>564</v>
      </c>
      <c r="BFD37" s="469"/>
      <c r="BFE37" s="440" t="s">
        <v>569</v>
      </c>
      <c r="BGA37" s="436" t="s">
        <v>374</v>
      </c>
      <c r="BGB37" s="120"/>
      <c r="BGC37" s="459" t="s">
        <v>564</v>
      </c>
      <c r="BGD37" s="469"/>
      <c r="BGE37" s="440" t="s">
        <v>569</v>
      </c>
      <c r="BHA37" s="436" t="s">
        <v>374</v>
      </c>
      <c r="BHB37" s="120"/>
      <c r="BHC37" s="459" t="s">
        <v>564</v>
      </c>
      <c r="BHD37" s="469"/>
      <c r="BHE37" s="440" t="s">
        <v>569</v>
      </c>
      <c r="BIA37" s="436" t="s">
        <v>374</v>
      </c>
      <c r="BIB37" s="120"/>
      <c r="BIC37" s="459" t="s">
        <v>564</v>
      </c>
      <c r="BID37" s="469"/>
      <c r="BIE37" s="440" t="s">
        <v>569</v>
      </c>
      <c r="BJA37" s="436" t="s">
        <v>374</v>
      </c>
      <c r="BJB37" s="120"/>
      <c r="BJC37" s="459" t="s">
        <v>564</v>
      </c>
      <c r="BJD37" s="469"/>
      <c r="BJE37" s="440" t="s">
        <v>569</v>
      </c>
      <c r="BKA37" s="436" t="s">
        <v>374</v>
      </c>
      <c r="BKB37" s="120"/>
      <c r="BKC37" s="459" t="s">
        <v>564</v>
      </c>
      <c r="BKD37" s="469"/>
      <c r="BKE37" s="440" t="s">
        <v>569</v>
      </c>
      <c r="BLA37" s="436" t="s">
        <v>374</v>
      </c>
      <c r="BLB37" s="120"/>
      <c r="BLC37" s="459" t="s">
        <v>564</v>
      </c>
      <c r="BLD37" s="469"/>
      <c r="BLE37" s="440" t="s">
        <v>569</v>
      </c>
      <c r="BMA37" s="436" t="s">
        <v>374</v>
      </c>
      <c r="BMB37" s="120"/>
      <c r="BMC37" s="459" t="s">
        <v>564</v>
      </c>
      <c r="BMD37" s="469"/>
      <c r="BME37" s="440" t="s">
        <v>569</v>
      </c>
      <c r="BNA37" s="436" t="s">
        <v>374</v>
      </c>
      <c r="BNB37" s="120"/>
      <c r="BNC37" s="459" t="s">
        <v>564</v>
      </c>
      <c r="BND37" s="469"/>
      <c r="BNE37" s="440" t="s">
        <v>569</v>
      </c>
      <c r="BOA37" s="436" t="s">
        <v>374</v>
      </c>
      <c r="BOB37" s="120"/>
      <c r="BOC37" s="459" t="s">
        <v>564</v>
      </c>
      <c r="BOD37" s="469"/>
      <c r="BOE37" s="440" t="s">
        <v>569</v>
      </c>
      <c r="BPA37" s="436" t="s">
        <v>374</v>
      </c>
      <c r="BPB37" s="120"/>
      <c r="BPC37" s="459" t="s">
        <v>564</v>
      </c>
      <c r="BPD37" s="469"/>
      <c r="BPE37" s="440" t="s">
        <v>569</v>
      </c>
      <c r="BQA37" s="436" t="s">
        <v>374</v>
      </c>
      <c r="BQB37" s="120"/>
      <c r="BQC37" s="459" t="s">
        <v>564</v>
      </c>
      <c r="BQD37" s="469"/>
      <c r="BQE37" s="440" t="s">
        <v>569</v>
      </c>
      <c r="BRA37" s="436" t="s">
        <v>374</v>
      </c>
      <c r="BRB37" s="120"/>
      <c r="BRC37" s="459" t="s">
        <v>564</v>
      </c>
      <c r="BRD37" s="469"/>
      <c r="BRE37" s="440" t="s">
        <v>569</v>
      </c>
    </row>
    <row r="38" spans="1:1019 1041:1825">
      <c r="A38" s="1036"/>
      <c r="B38" s="114" t="s">
        <v>1510</v>
      </c>
      <c r="AA38" s="436"/>
      <c r="AB38" s="120"/>
      <c r="AC38" s="472"/>
      <c r="AD38" s="473"/>
      <c r="AE38" s="440"/>
      <c r="BA38" s="436"/>
      <c r="BB38" s="120"/>
      <c r="BC38" s="472"/>
      <c r="BD38" s="473"/>
      <c r="BE38" s="440"/>
      <c r="CA38" s="436"/>
      <c r="CB38" s="120"/>
      <c r="CC38" s="472"/>
      <c r="CD38" s="473"/>
      <c r="CE38" s="440"/>
      <c r="DA38" s="436"/>
      <c r="DB38" s="120"/>
      <c r="DC38" s="472"/>
      <c r="DD38" s="473"/>
      <c r="DE38" s="440"/>
      <c r="EA38" s="436"/>
      <c r="EB38" s="120"/>
      <c r="EC38" s="472"/>
      <c r="ED38" s="473"/>
      <c r="EE38" s="440"/>
      <c r="FA38" s="436"/>
      <c r="FB38" s="120"/>
      <c r="FC38" s="472"/>
      <c r="FD38" s="473"/>
      <c r="FE38" s="440"/>
      <c r="GA38" s="436"/>
      <c r="GB38" s="120"/>
      <c r="GC38" s="472"/>
      <c r="GD38" s="473"/>
      <c r="GE38" s="440"/>
      <c r="HA38" s="436"/>
      <c r="HB38" s="120"/>
      <c r="HC38" s="472"/>
      <c r="HD38" s="473"/>
      <c r="HE38" s="440"/>
      <c r="IA38" s="436"/>
      <c r="IB38" s="120"/>
      <c r="IC38" s="472"/>
      <c r="ID38" s="473"/>
      <c r="IE38" s="440"/>
      <c r="JA38" s="436"/>
      <c r="JB38" s="120"/>
      <c r="JC38" s="472"/>
      <c r="JD38" s="473"/>
      <c r="JE38" s="440"/>
      <c r="KA38" s="436"/>
      <c r="KB38" s="120"/>
      <c r="KC38" s="472"/>
      <c r="KD38" s="473"/>
      <c r="KE38" s="440"/>
      <c r="LA38" s="436"/>
      <c r="LB38" s="120"/>
      <c r="LC38" s="472"/>
      <c r="LD38" s="473"/>
      <c r="LE38" s="440"/>
      <c r="MA38" s="436"/>
      <c r="MB38" s="120"/>
      <c r="MC38" s="472"/>
      <c r="MD38" s="473"/>
      <c r="ME38" s="440"/>
      <c r="NA38" s="436"/>
      <c r="NB38" s="120"/>
      <c r="NC38" s="472"/>
      <c r="ND38" s="473"/>
      <c r="NE38" s="440"/>
      <c r="OA38" s="436"/>
      <c r="OB38" s="120"/>
      <c r="OC38" s="472"/>
      <c r="OD38" s="473"/>
      <c r="OE38" s="440"/>
      <c r="PA38" s="436"/>
      <c r="PB38" s="120"/>
      <c r="PC38" s="472"/>
      <c r="PD38" s="473"/>
      <c r="PE38" s="440"/>
      <c r="QA38" s="436"/>
      <c r="QB38" s="120"/>
      <c r="QC38" s="472"/>
      <c r="QD38" s="473"/>
      <c r="QE38" s="440"/>
      <c r="RA38" s="436"/>
      <c r="RB38" s="120"/>
      <c r="RC38" s="472"/>
      <c r="RD38" s="473"/>
      <c r="RE38" s="440"/>
      <c r="SA38" s="436"/>
      <c r="SB38" s="120"/>
      <c r="SC38" s="472"/>
      <c r="SD38" s="473"/>
      <c r="SE38" s="440"/>
      <c r="TA38" s="436"/>
      <c r="TB38" s="120"/>
      <c r="TC38" s="472"/>
      <c r="TD38" s="473"/>
      <c r="TE38" s="440"/>
      <c r="UA38" s="436"/>
      <c r="UB38" s="120"/>
      <c r="UC38" s="472"/>
      <c r="UD38" s="473"/>
      <c r="UE38" s="440"/>
      <c r="VA38" s="436"/>
      <c r="VB38" s="120"/>
      <c r="VC38" s="472"/>
      <c r="VD38" s="473"/>
      <c r="VE38" s="440"/>
      <c r="WA38" s="436"/>
      <c r="WB38" s="120"/>
      <c r="WC38" s="472"/>
      <c r="WD38" s="473"/>
      <c r="WE38" s="440"/>
      <c r="XA38" s="436"/>
      <c r="XB38" s="120"/>
      <c r="XC38" s="472"/>
      <c r="XD38" s="473"/>
      <c r="XE38" s="440"/>
      <c r="YA38" s="436"/>
      <c r="YB38" s="120"/>
      <c r="YC38" s="472"/>
      <c r="YD38" s="473"/>
      <c r="YE38" s="440"/>
      <c r="ZA38" s="436"/>
      <c r="ZB38" s="120"/>
      <c r="ZC38" s="472"/>
      <c r="ZD38" s="473"/>
      <c r="ZE38" s="440"/>
      <c r="AAA38" s="436"/>
      <c r="AAB38" s="120"/>
      <c r="AAC38" s="472"/>
      <c r="AAD38" s="473"/>
      <c r="AAE38" s="440"/>
      <c r="ABA38" s="436"/>
      <c r="ABB38" s="120"/>
      <c r="ABC38" s="472"/>
      <c r="ABD38" s="473"/>
      <c r="ABE38" s="440"/>
      <c r="ACA38" s="436"/>
      <c r="ACB38" s="120"/>
      <c r="ACC38" s="472"/>
      <c r="ACD38" s="473"/>
      <c r="ACE38" s="440"/>
      <c r="ADA38" s="436"/>
      <c r="ADB38" s="120"/>
      <c r="ADC38" s="472"/>
      <c r="ADD38" s="473"/>
      <c r="ADE38" s="440"/>
      <c r="AEA38" s="436"/>
      <c r="AEB38" s="120"/>
      <c r="AEC38" s="472"/>
      <c r="AED38" s="473"/>
      <c r="AEE38" s="440"/>
      <c r="AFA38" s="436"/>
      <c r="AFB38" s="120"/>
      <c r="AFC38" s="472"/>
      <c r="AFD38" s="473"/>
      <c r="AFE38" s="440"/>
      <c r="AGA38" s="436"/>
      <c r="AGB38" s="120"/>
      <c r="AGC38" s="472"/>
      <c r="AGD38" s="473"/>
      <c r="AGE38" s="440"/>
      <c r="AHA38" s="436"/>
      <c r="AHB38" s="120"/>
      <c r="AHC38" s="472"/>
      <c r="AHD38" s="473"/>
      <c r="AHE38" s="440"/>
      <c r="AIA38" s="436"/>
      <c r="AIB38" s="120"/>
      <c r="AIC38" s="472"/>
      <c r="AID38" s="473"/>
      <c r="AIE38" s="440"/>
      <c r="AJA38" s="436"/>
      <c r="AJB38" s="120"/>
      <c r="AJC38" s="472"/>
      <c r="AJD38" s="473"/>
      <c r="AJE38" s="440"/>
      <c r="AKA38" s="436"/>
      <c r="AKB38" s="120"/>
      <c r="AKC38" s="472"/>
      <c r="AKD38" s="473"/>
      <c r="AKE38" s="440"/>
      <c r="ALA38" s="436"/>
      <c r="ALB38" s="120"/>
      <c r="ALC38" s="472"/>
      <c r="ALD38" s="473"/>
      <c r="ALE38" s="440"/>
      <c r="AMA38" s="436"/>
      <c r="AMB38" s="120"/>
      <c r="AMC38" s="472"/>
      <c r="AMD38" s="473"/>
      <c r="AME38" s="440"/>
      <c r="ANA38" s="436"/>
      <c r="ANB38" s="120"/>
      <c r="ANC38" s="472"/>
      <c r="AND38" s="473"/>
      <c r="ANE38" s="440"/>
      <c r="AOA38" s="436"/>
      <c r="AOB38" s="120"/>
      <c r="AOC38" s="472"/>
      <c r="AOD38" s="473"/>
      <c r="AOE38" s="440"/>
      <c r="APA38" s="436"/>
      <c r="APB38" s="120"/>
      <c r="APC38" s="472"/>
      <c r="APD38" s="473"/>
      <c r="APE38" s="440"/>
      <c r="AQA38" s="436"/>
      <c r="AQB38" s="120"/>
      <c r="AQC38" s="472"/>
      <c r="AQD38" s="473"/>
      <c r="AQE38" s="440"/>
      <c r="ARA38" s="436"/>
      <c r="ARB38" s="120"/>
      <c r="ARC38" s="472"/>
      <c r="ARD38" s="473"/>
      <c r="ARE38" s="440"/>
      <c r="ASA38" s="436"/>
      <c r="ASB38" s="120"/>
      <c r="ASC38" s="472"/>
      <c r="ASD38" s="473"/>
      <c r="ASE38" s="440"/>
      <c r="ATA38" s="436"/>
      <c r="ATB38" s="120"/>
      <c r="ATC38" s="472"/>
      <c r="ATD38" s="473"/>
      <c r="ATE38" s="440"/>
      <c r="AUA38" s="436"/>
      <c r="AUB38" s="120"/>
      <c r="AUC38" s="472"/>
      <c r="AUD38" s="473"/>
      <c r="AUE38" s="440"/>
      <c r="AVA38" s="436"/>
      <c r="AVB38" s="120"/>
      <c r="AVC38" s="472"/>
      <c r="AVD38" s="473"/>
      <c r="AVE38" s="440"/>
      <c r="AWA38" s="436"/>
      <c r="AWB38" s="120"/>
      <c r="AWC38" s="472"/>
      <c r="AWD38" s="473"/>
      <c r="AWE38" s="440"/>
      <c r="AXA38" s="436"/>
      <c r="AXB38" s="120"/>
      <c r="AXC38" s="472"/>
      <c r="AXD38" s="473"/>
      <c r="AXE38" s="440"/>
      <c r="AYA38" s="436"/>
      <c r="AYB38" s="120"/>
      <c r="AYC38" s="472"/>
      <c r="AYD38" s="473"/>
      <c r="AYE38" s="440"/>
      <c r="AZA38" s="436"/>
      <c r="AZB38" s="120"/>
      <c r="AZC38" s="472"/>
      <c r="AZD38" s="473"/>
      <c r="AZE38" s="440"/>
      <c r="BAA38" s="436"/>
      <c r="BAB38" s="120"/>
      <c r="BAC38" s="472"/>
      <c r="BAD38" s="473"/>
      <c r="BAE38" s="440"/>
      <c r="BBA38" s="436"/>
      <c r="BBB38" s="120"/>
      <c r="BBC38" s="472"/>
      <c r="BBD38" s="473"/>
      <c r="BBE38" s="440"/>
      <c r="BCA38" s="436"/>
      <c r="BCB38" s="120"/>
      <c r="BCC38" s="472"/>
      <c r="BCD38" s="473"/>
      <c r="BCE38" s="440"/>
      <c r="BDA38" s="436"/>
      <c r="BDB38" s="120"/>
      <c r="BDC38" s="472"/>
      <c r="BDD38" s="473"/>
      <c r="BDE38" s="440"/>
      <c r="BEA38" s="436"/>
      <c r="BEB38" s="120"/>
      <c r="BEC38" s="472"/>
      <c r="BED38" s="473"/>
      <c r="BEE38" s="440"/>
      <c r="BFA38" s="436"/>
      <c r="BFB38" s="120"/>
      <c r="BFC38" s="472"/>
      <c r="BFD38" s="473"/>
      <c r="BFE38" s="440"/>
      <c r="BGA38" s="436"/>
      <c r="BGB38" s="120"/>
      <c r="BGC38" s="472"/>
      <c r="BGD38" s="473"/>
      <c r="BGE38" s="440"/>
      <c r="BHA38" s="436"/>
      <c r="BHB38" s="120"/>
      <c r="BHC38" s="472"/>
      <c r="BHD38" s="473"/>
      <c r="BHE38" s="440"/>
      <c r="BIA38" s="436"/>
      <c r="BIB38" s="120"/>
      <c r="BIC38" s="472"/>
      <c r="BID38" s="473"/>
      <c r="BIE38" s="440"/>
      <c r="BJA38" s="436"/>
      <c r="BJB38" s="120"/>
      <c r="BJC38" s="472"/>
      <c r="BJD38" s="473"/>
      <c r="BJE38" s="440"/>
      <c r="BKA38" s="436"/>
      <c r="BKB38" s="120"/>
      <c r="BKC38" s="472"/>
      <c r="BKD38" s="473"/>
      <c r="BKE38" s="440"/>
      <c r="BLA38" s="436"/>
      <c r="BLB38" s="120"/>
      <c r="BLC38" s="472"/>
      <c r="BLD38" s="473"/>
      <c r="BLE38" s="440"/>
      <c r="BMA38" s="436"/>
      <c r="BMB38" s="120"/>
      <c r="BMC38" s="472"/>
      <c r="BMD38" s="473"/>
      <c r="BME38" s="440"/>
      <c r="BNA38" s="436"/>
      <c r="BNB38" s="120"/>
      <c r="BNC38" s="472"/>
      <c r="BND38" s="473"/>
      <c r="BNE38" s="440"/>
      <c r="BOA38" s="436"/>
      <c r="BOB38" s="120"/>
      <c r="BOC38" s="472"/>
      <c r="BOD38" s="473"/>
      <c r="BOE38" s="440"/>
      <c r="BPA38" s="436"/>
      <c r="BPB38" s="120"/>
      <c r="BPC38" s="472"/>
      <c r="BPD38" s="473"/>
      <c r="BPE38" s="440"/>
      <c r="BQA38" s="436"/>
      <c r="BQB38" s="120"/>
      <c r="BQC38" s="472"/>
      <c r="BQD38" s="473"/>
      <c r="BQE38" s="440"/>
      <c r="BRA38" s="436"/>
      <c r="BRB38" s="120"/>
      <c r="BRC38" s="472"/>
      <c r="BRD38" s="473"/>
      <c r="BRE38" s="440"/>
    </row>
    <row r="39" spans="1:1019 1041:1825">
      <c r="A39" s="1034"/>
      <c r="B39" s="114" t="s">
        <v>656</v>
      </c>
      <c r="AA39" s="436" t="s">
        <v>580</v>
      </c>
      <c r="AB39" s="120"/>
      <c r="AC39" s="459" t="s">
        <v>564</v>
      </c>
      <c r="AD39" s="473"/>
      <c r="AE39" s="440" t="s">
        <v>569</v>
      </c>
      <c r="BA39" s="436" t="s">
        <v>580</v>
      </c>
      <c r="BB39" s="120"/>
      <c r="BC39" s="459" t="s">
        <v>564</v>
      </c>
      <c r="BD39" s="473"/>
      <c r="BE39" s="440" t="s">
        <v>569</v>
      </c>
      <c r="CA39" s="436" t="s">
        <v>580</v>
      </c>
      <c r="CB39" s="120"/>
      <c r="CC39" s="459" t="s">
        <v>564</v>
      </c>
      <c r="CD39" s="473"/>
      <c r="CE39" s="440" t="s">
        <v>569</v>
      </c>
      <c r="DA39" s="436" t="s">
        <v>580</v>
      </c>
      <c r="DB39" s="120"/>
      <c r="DC39" s="459" t="s">
        <v>564</v>
      </c>
      <c r="DD39" s="473"/>
      <c r="DE39" s="440" t="s">
        <v>569</v>
      </c>
      <c r="EA39" s="436" t="s">
        <v>580</v>
      </c>
      <c r="EB39" s="120"/>
      <c r="EC39" s="459" t="s">
        <v>564</v>
      </c>
      <c r="ED39" s="473"/>
      <c r="EE39" s="440" t="s">
        <v>569</v>
      </c>
      <c r="FA39" s="436" t="s">
        <v>580</v>
      </c>
      <c r="FB39" s="120"/>
      <c r="FC39" s="459" t="s">
        <v>564</v>
      </c>
      <c r="FD39" s="473"/>
      <c r="FE39" s="440" t="s">
        <v>569</v>
      </c>
      <c r="GA39" s="436" t="s">
        <v>580</v>
      </c>
      <c r="GB39" s="120"/>
      <c r="GC39" s="459" t="s">
        <v>564</v>
      </c>
      <c r="GD39" s="473"/>
      <c r="GE39" s="440" t="s">
        <v>569</v>
      </c>
      <c r="HA39" s="436" t="s">
        <v>580</v>
      </c>
      <c r="HB39" s="120"/>
      <c r="HC39" s="459" t="s">
        <v>564</v>
      </c>
      <c r="HD39" s="473"/>
      <c r="HE39" s="440" t="s">
        <v>569</v>
      </c>
      <c r="IA39" s="436" t="s">
        <v>580</v>
      </c>
      <c r="IB39" s="120"/>
      <c r="IC39" s="459" t="s">
        <v>564</v>
      </c>
      <c r="ID39" s="473"/>
      <c r="IE39" s="440" t="s">
        <v>569</v>
      </c>
      <c r="JA39" s="436" t="s">
        <v>580</v>
      </c>
      <c r="JB39" s="120"/>
      <c r="JC39" s="459" t="s">
        <v>564</v>
      </c>
      <c r="JD39" s="473"/>
      <c r="JE39" s="440" t="s">
        <v>569</v>
      </c>
      <c r="KA39" s="436" t="s">
        <v>580</v>
      </c>
      <c r="KB39" s="120"/>
      <c r="KC39" s="459" t="s">
        <v>564</v>
      </c>
      <c r="KD39" s="473"/>
      <c r="KE39" s="440" t="s">
        <v>569</v>
      </c>
      <c r="LA39" s="436" t="s">
        <v>580</v>
      </c>
      <c r="LB39" s="120"/>
      <c r="LC39" s="459" t="s">
        <v>564</v>
      </c>
      <c r="LD39" s="473"/>
      <c r="LE39" s="440" t="s">
        <v>569</v>
      </c>
      <c r="MA39" s="436" t="s">
        <v>580</v>
      </c>
      <c r="MB39" s="120"/>
      <c r="MC39" s="459" t="s">
        <v>564</v>
      </c>
      <c r="MD39" s="473"/>
      <c r="ME39" s="440" t="s">
        <v>569</v>
      </c>
      <c r="NA39" s="436" t="s">
        <v>580</v>
      </c>
      <c r="NB39" s="120"/>
      <c r="NC39" s="459" t="s">
        <v>564</v>
      </c>
      <c r="ND39" s="473"/>
      <c r="NE39" s="440" t="s">
        <v>569</v>
      </c>
      <c r="OA39" s="436" t="s">
        <v>580</v>
      </c>
      <c r="OB39" s="120"/>
      <c r="OC39" s="459" t="s">
        <v>564</v>
      </c>
      <c r="OD39" s="473"/>
      <c r="OE39" s="440" t="s">
        <v>569</v>
      </c>
      <c r="PA39" s="436" t="s">
        <v>580</v>
      </c>
      <c r="PB39" s="120"/>
      <c r="PC39" s="459" t="s">
        <v>564</v>
      </c>
      <c r="PD39" s="473"/>
      <c r="PE39" s="440" t="s">
        <v>569</v>
      </c>
      <c r="QA39" s="436" t="s">
        <v>580</v>
      </c>
      <c r="QB39" s="120"/>
      <c r="QC39" s="459" t="s">
        <v>564</v>
      </c>
      <c r="QD39" s="473"/>
      <c r="QE39" s="440" t="s">
        <v>569</v>
      </c>
      <c r="RA39" s="436" t="s">
        <v>580</v>
      </c>
      <c r="RB39" s="120"/>
      <c r="RC39" s="459" t="s">
        <v>564</v>
      </c>
      <c r="RD39" s="473"/>
      <c r="RE39" s="440" t="s">
        <v>569</v>
      </c>
      <c r="SA39" s="436" t="s">
        <v>580</v>
      </c>
      <c r="SB39" s="120"/>
      <c r="SC39" s="459" t="s">
        <v>564</v>
      </c>
      <c r="SD39" s="473"/>
      <c r="SE39" s="440" t="s">
        <v>569</v>
      </c>
      <c r="TA39" s="436" t="s">
        <v>580</v>
      </c>
      <c r="TB39" s="120"/>
      <c r="TC39" s="459" t="s">
        <v>564</v>
      </c>
      <c r="TD39" s="473"/>
      <c r="TE39" s="440" t="s">
        <v>569</v>
      </c>
      <c r="UA39" s="436" t="s">
        <v>580</v>
      </c>
      <c r="UB39" s="120"/>
      <c r="UC39" s="459" t="s">
        <v>564</v>
      </c>
      <c r="UD39" s="473"/>
      <c r="UE39" s="440" t="s">
        <v>569</v>
      </c>
      <c r="VA39" s="436" t="s">
        <v>580</v>
      </c>
      <c r="VB39" s="120"/>
      <c r="VC39" s="459" t="s">
        <v>564</v>
      </c>
      <c r="VD39" s="473"/>
      <c r="VE39" s="440" t="s">
        <v>569</v>
      </c>
      <c r="WA39" s="436" t="s">
        <v>580</v>
      </c>
      <c r="WB39" s="120"/>
      <c r="WC39" s="459" t="s">
        <v>564</v>
      </c>
      <c r="WD39" s="473"/>
      <c r="WE39" s="440" t="s">
        <v>569</v>
      </c>
      <c r="XA39" s="436" t="s">
        <v>580</v>
      </c>
      <c r="XB39" s="120"/>
      <c r="XC39" s="459" t="s">
        <v>564</v>
      </c>
      <c r="XD39" s="473"/>
      <c r="XE39" s="440" t="s">
        <v>569</v>
      </c>
      <c r="YA39" s="436" t="s">
        <v>580</v>
      </c>
      <c r="YB39" s="120"/>
      <c r="YC39" s="459" t="s">
        <v>564</v>
      </c>
      <c r="YD39" s="473"/>
      <c r="YE39" s="440" t="s">
        <v>569</v>
      </c>
      <c r="ZA39" s="436" t="s">
        <v>580</v>
      </c>
      <c r="ZB39" s="120"/>
      <c r="ZC39" s="459" t="s">
        <v>564</v>
      </c>
      <c r="ZD39" s="473"/>
      <c r="ZE39" s="440" t="s">
        <v>569</v>
      </c>
      <c r="AAA39" s="436" t="s">
        <v>580</v>
      </c>
      <c r="AAB39" s="120"/>
      <c r="AAC39" s="459" t="s">
        <v>564</v>
      </c>
      <c r="AAD39" s="473"/>
      <c r="AAE39" s="440" t="s">
        <v>569</v>
      </c>
      <c r="ABA39" s="436" t="s">
        <v>580</v>
      </c>
      <c r="ABB39" s="120"/>
      <c r="ABC39" s="459" t="s">
        <v>564</v>
      </c>
      <c r="ABD39" s="473"/>
      <c r="ABE39" s="440" t="s">
        <v>569</v>
      </c>
      <c r="ACA39" s="436" t="s">
        <v>580</v>
      </c>
      <c r="ACB39" s="120"/>
      <c r="ACC39" s="459" t="s">
        <v>564</v>
      </c>
      <c r="ACD39" s="473"/>
      <c r="ACE39" s="440" t="s">
        <v>569</v>
      </c>
      <c r="ADA39" s="436" t="s">
        <v>580</v>
      </c>
      <c r="ADB39" s="120"/>
      <c r="ADC39" s="459" t="s">
        <v>564</v>
      </c>
      <c r="ADD39" s="473"/>
      <c r="ADE39" s="440" t="s">
        <v>569</v>
      </c>
      <c r="AEA39" s="436" t="s">
        <v>580</v>
      </c>
      <c r="AEB39" s="120"/>
      <c r="AEC39" s="459" t="s">
        <v>564</v>
      </c>
      <c r="AED39" s="473"/>
      <c r="AEE39" s="440" t="s">
        <v>569</v>
      </c>
      <c r="AFA39" s="436" t="s">
        <v>580</v>
      </c>
      <c r="AFB39" s="120"/>
      <c r="AFC39" s="459" t="s">
        <v>564</v>
      </c>
      <c r="AFD39" s="473"/>
      <c r="AFE39" s="440" t="s">
        <v>569</v>
      </c>
      <c r="AGA39" s="436" t="s">
        <v>580</v>
      </c>
      <c r="AGB39" s="120"/>
      <c r="AGC39" s="459" t="s">
        <v>564</v>
      </c>
      <c r="AGD39" s="473"/>
      <c r="AGE39" s="440" t="s">
        <v>569</v>
      </c>
      <c r="AHA39" s="436" t="s">
        <v>580</v>
      </c>
      <c r="AHB39" s="120"/>
      <c r="AHC39" s="459" t="s">
        <v>564</v>
      </c>
      <c r="AHD39" s="473"/>
      <c r="AHE39" s="440" t="s">
        <v>569</v>
      </c>
      <c r="AIA39" s="436" t="s">
        <v>580</v>
      </c>
      <c r="AIB39" s="120"/>
      <c r="AIC39" s="459" t="s">
        <v>564</v>
      </c>
      <c r="AID39" s="473"/>
      <c r="AIE39" s="440" t="s">
        <v>569</v>
      </c>
      <c r="AJA39" s="436" t="s">
        <v>580</v>
      </c>
      <c r="AJB39" s="120"/>
      <c r="AJC39" s="459" t="s">
        <v>564</v>
      </c>
      <c r="AJD39" s="473"/>
      <c r="AJE39" s="440" t="s">
        <v>569</v>
      </c>
      <c r="AKA39" s="436" t="s">
        <v>580</v>
      </c>
      <c r="AKB39" s="120"/>
      <c r="AKC39" s="459" t="s">
        <v>564</v>
      </c>
      <c r="AKD39" s="473"/>
      <c r="AKE39" s="440" t="s">
        <v>569</v>
      </c>
      <c r="ALA39" s="436" t="s">
        <v>580</v>
      </c>
      <c r="ALB39" s="120"/>
      <c r="ALC39" s="459" t="s">
        <v>564</v>
      </c>
      <c r="ALD39" s="473"/>
      <c r="ALE39" s="440" t="s">
        <v>569</v>
      </c>
      <c r="AMA39" s="436" t="s">
        <v>580</v>
      </c>
      <c r="AMB39" s="120"/>
      <c r="AMC39" s="459" t="s">
        <v>564</v>
      </c>
      <c r="AMD39" s="473"/>
      <c r="AME39" s="440" t="s">
        <v>569</v>
      </c>
      <c r="ANA39" s="436" t="s">
        <v>580</v>
      </c>
      <c r="ANB39" s="120"/>
      <c r="ANC39" s="459" t="s">
        <v>564</v>
      </c>
      <c r="AND39" s="473"/>
      <c r="ANE39" s="440" t="s">
        <v>569</v>
      </c>
      <c r="AOA39" s="436" t="s">
        <v>580</v>
      </c>
      <c r="AOB39" s="120"/>
      <c r="AOC39" s="459" t="s">
        <v>564</v>
      </c>
      <c r="AOD39" s="473"/>
      <c r="AOE39" s="440" t="s">
        <v>569</v>
      </c>
      <c r="APA39" s="436" t="s">
        <v>580</v>
      </c>
      <c r="APB39" s="120"/>
      <c r="APC39" s="459" t="s">
        <v>564</v>
      </c>
      <c r="APD39" s="473"/>
      <c r="APE39" s="440" t="s">
        <v>569</v>
      </c>
      <c r="AQA39" s="436" t="s">
        <v>580</v>
      </c>
      <c r="AQB39" s="120"/>
      <c r="AQC39" s="459" t="s">
        <v>564</v>
      </c>
      <c r="AQD39" s="473"/>
      <c r="AQE39" s="440" t="s">
        <v>569</v>
      </c>
      <c r="ARA39" s="436" t="s">
        <v>580</v>
      </c>
      <c r="ARB39" s="120"/>
      <c r="ARC39" s="459" t="s">
        <v>564</v>
      </c>
      <c r="ARD39" s="473"/>
      <c r="ARE39" s="440" t="s">
        <v>569</v>
      </c>
      <c r="ASA39" s="436" t="s">
        <v>580</v>
      </c>
      <c r="ASB39" s="120"/>
      <c r="ASC39" s="459" t="s">
        <v>564</v>
      </c>
      <c r="ASD39" s="473"/>
      <c r="ASE39" s="440" t="s">
        <v>569</v>
      </c>
      <c r="ATA39" s="436" t="s">
        <v>580</v>
      </c>
      <c r="ATB39" s="120"/>
      <c r="ATC39" s="459" t="s">
        <v>564</v>
      </c>
      <c r="ATD39" s="473"/>
      <c r="ATE39" s="440" t="s">
        <v>569</v>
      </c>
      <c r="AUA39" s="436" t="s">
        <v>580</v>
      </c>
      <c r="AUB39" s="120"/>
      <c r="AUC39" s="459" t="s">
        <v>564</v>
      </c>
      <c r="AUD39" s="473"/>
      <c r="AUE39" s="440" t="s">
        <v>569</v>
      </c>
      <c r="AVA39" s="436" t="s">
        <v>580</v>
      </c>
      <c r="AVB39" s="120"/>
      <c r="AVC39" s="459" t="s">
        <v>564</v>
      </c>
      <c r="AVD39" s="473"/>
      <c r="AVE39" s="440" t="s">
        <v>569</v>
      </c>
      <c r="AWA39" s="436" t="s">
        <v>580</v>
      </c>
      <c r="AWB39" s="120"/>
      <c r="AWC39" s="459" t="s">
        <v>564</v>
      </c>
      <c r="AWD39" s="473"/>
      <c r="AWE39" s="440" t="s">
        <v>569</v>
      </c>
      <c r="AXA39" s="436" t="s">
        <v>580</v>
      </c>
      <c r="AXB39" s="120"/>
      <c r="AXC39" s="459" t="s">
        <v>564</v>
      </c>
      <c r="AXD39" s="473"/>
      <c r="AXE39" s="440" t="s">
        <v>569</v>
      </c>
      <c r="AYA39" s="436" t="s">
        <v>580</v>
      </c>
      <c r="AYB39" s="120"/>
      <c r="AYC39" s="459" t="s">
        <v>564</v>
      </c>
      <c r="AYD39" s="473"/>
      <c r="AYE39" s="440" t="s">
        <v>569</v>
      </c>
      <c r="AZA39" s="436" t="s">
        <v>580</v>
      </c>
      <c r="AZB39" s="120"/>
      <c r="AZC39" s="459" t="s">
        <v>564</v>
      </c>
      <c r="AZD39" s="473"/>
      <c r="AZE39" s="440" t="s">
        <v>569</v>
      </c>
      <c r="BAA39" s="436" t="s">
        <v>580</v>
      </c>
      <c r="BAB39" s="120"/>
      <c r="BAC39" s="459" t="s">
        <v>564</v>
      </c>
      <c r="BAD39" s="473"/>
      <c r="BAE39" s="440" t="s">
        <v>569</v>
      </c>
      <c r="BBA39" s="436" t="s">
        <v>580</v>
      </c>
      <c r="BBB39" s="120"/>
      <c r="BBC39" s="459" t="s">
        <v>564</v>
      </c>
      <c r="BBD39" s="473"/>
      <c r="BBE39" s="440" t="s">
        <v>569</v>
      </c>
      <c r="BCA39" s="436" t="s">
        <v>580</v>
      </c>
      <c r="BCB39" s="120"/>
      <c r="BCC39" s="459" t="s">
        <v>564</v>
      </c>
      <c r="BCD39" s="473"/>
      <c r="BCE39" s="440" t="s">
        <v>569</v>
      </c>
      <c r="BDA39" s="436" t="s">
        <v>580</v>
      </c>
      <c r="BDB39" s="120"/>
      <c r="BDC39" s="459" t="s">
        <v>564</v>
      </c>
      <c r="BDD39" s="473"/>
      <c r="BDE39" s="440" t="s">
        <v>569</v>
      </c>
      <c r="BEA39" s="436" t="s">
        <v>580</v>
      </c>
      <c r="BEB39" s="120"/>
      <c r="BEC39" s="459" t="s">
        <v>564</v>
      </c>
      <c r="BED39" s="473"/>
      <c r="BEE39" s="440" t="s">
        <v>569</v>
      </c>
      <c r="BFA39" s="436" t="s">
        <v>580</v>
      </c>
      <c r="BFB39" s="120"/>
      <c r="BFC39" s="459" t="s">
        <v>564</v>
      </c>
      <c r="BFD39" s="473"/>
      <c r="BFE39" s="440" t="s">
        <v>569</v>
      </c>
      <c r="BGA39" s="436" t="s">
        <v>580</v>
      </c>
      <c r="BGB39" s="120"/>
      <c r="BGC39" s="459" t="s">
        <v>564</v>
      </c>
      <c r="BGD39" s="473"/>
      <c r="BGE39" s="440" t="s">
        <v>569</v>
      </c>
      <c r="BHA39" s="436" t="s">
        <v>580</v>
      </c>
      <c r="BHB39" s="120"/>
      <c r="BHC39" s="459" t="s">
        <v>564</v>
      </c>
      <c r="BHD39" s="473"/>
      <c r="BHE39" s="440" t="s">
        <v>569</v>
      </c>
      <c r="BIA39" s="436" t="s">
        <v>580</v>
      </c>
      <c r="BIB39" s="120"/>
      <c r="BIC39" s="459" t="s">
        <v>564</v>
      </c>
      <c r="BID39" s="473"/>
      <c r="BIE39" s="440" t="s">
        <v>569</v>
      </c>
      <c r="BJA39" s="436" t="s">
        <v>580</v>
      </c>
      <c r="BJB39" s="120"/>
      <c r="BJC39" s="459" t="s">
        <v>564</v>
      </c>
      <c r="BJD39" s="473"/>
      <c r="BJE39" s="440" t="s">
        <v>569</v>
      </c>
      <c r="BKA39" s="436" t="s">
        <v>580</v>
      </c>
      <c r="BKB39" s="120"/>
      <c r="BKC39" s="459" t="s">
        <v>564</v>
      </c>
      <c r="BKD39" s="473"/>
      <c r="BKE39" s="440" t="s">
        <v>569</v>
      </c>
      <c r="BLA39" s="436" t="s">
        <v>580</v>
      </c>
      <c r="BLB39" s="120"/>
      <c r="BLC39" s="459" t="s">
        <v>564</v>
      </c>
      <c r="BLD39" s="473"/>
      <c r="BLE39" s="440" t="s">
        <v>569</v>
      </c>
      <c r="BMA39" s="436" t="s">
        <v>580</v>
      </c>
      <c r="BMB39" s="120"/>
      <c r="BMC39" s="459" t="s">
        <v>564</v>
      </c>
      <c r="BMD39" s="473"/>
      <c r="BME39" s="440" t="s">
        <v>569</v>
      </c>
      <c r="BNA39" s="436" t="s">
        <v>580</v>
      </c>
      <c r="BNB39" s="120"/>
      <c r="BNC39" s="459" t="s">
        <v>564</v>
      </c>
      <c r="BND39" s="473"/>
      <c r="BNE39" s="440" t="s">
        <v>569</v>
      </c>
      <c r="BOA39" s="436" t="s">
        <v>580</v>
      </c>
      <c r="BOB39" s="120"/>
      <c r="BOC39" s="459" t="s">
        <v>564</v>
      </c>
      <c r="BOD39" s="473"/>
      <c r="BOE39" s="440" t="s">
        <v>569</v>
      </c>
      <c r="BPA39" s="436" t="s">
        <v>580</v>
      </c>
      <c r="BPB39" s="120"/>
      <c r="BPC39" s="459" t="s">
        <v>564</v>
      </c>
      <c r="BPD39" s="473"/>
      <c r="BPE39" s="440" t="s">
        <v>569</v>
      </c>
      <c r="BQA39" s="436" t="s">
        <v>580</v>
      </c>
      <c r="BQB39" s="120"/>
      <c r="BQC39" s="459" t="s">
        <v>564</v>
      </c>
      <c r="BQD39" s="473"/>
      <c r="BQE39" s="440" t="s">
        <v>569</v>
      </c>
      <c r="BRA39" s="436" t="s">
        <v>580</v>
      </c>
      <c r="BRB39" s="120"/>
      <c r="BRC39" s="459" t="s">
        <v>564</v>
      </c>
      <c r="BRD39" s="473"/>
      <c r="BRE39" s="440" t="s">
        <v>569</v>
      </c>
    </row>
    <row r="40" spans="1:1019 1041:1825">
      <c r="A40" s="1036"/>
      <c r="B40" s="114" t="s">
        <v>1493</v>
      </c>
      <c r="AA40" s="476"/>
      <c r="AB40" s="477"/>
      <c r="AC40" s="478"/>
      <c r="AD40" s="479"/>
      <c r="AE40" s="458"/>
      <c r="BA40" s="476"/>
      <c r="BB40" s="477"/>
      <c r="BC40" s="478"/>
      <c r="BD40" s="479"/>
      <c r="BE40" s="458"/>
      <c r="CA40" s="476"/>
      <c r="CB40" s="477"/>
      <c r="CC40" s="478"/>
      <c r="CD40" s="479"/>
      <c r="CE40" s="458"/>
      <c r="DA40" s="476"/>
      <c r="DB40" s="477"/>
      <c r="DC40" s="478"/>
      <c r="DD40" s="479"/>
      <c r="DE40" s="458"/>
      <c r="EA40" s="476"/>
      <c r="EB40" s="477"/>
      <c r="EC40" s="478"/>
      <c r="ED40" s="479"/>
      <c r="EE40" s="458"/>
      <c r="FA40" s="476"/>
      <c r="FB40" s="477"/>
      <c r="FC40" s="478"/>
      <c r="FD40" s="479"/>
      <c r="FE40" s="458"/>
      <c r="GA40" s="476"/>
      <c r="GB40" s="477"/>
      <c r="GC40" s="478"/>
      <c r="GD40" s="479"/>
      <c r="GE40" s="458"/>
      <c r="HA40" s="476"/>
      <c r="HB40" s="477"/>
      <c r="HC40" s="478"/>
      <c r="HD40" s="479"/>
      <c r="HE40" s="458"/>
      <c r="IA40" s="476"/>
      <c r="IB40" s="477"/>
      <c r="IC40" s="478"/>
      <c r="ID40" s="479"/>
      <c r="IE40" s="458"/>
      <c r="JA40" s="476"/>
      <c r="JB40" s="477"/>
      <c r="JC40" s="478"/>
      <c r="JD40" s="479"/>
      <c r="JE40" s="458"/>
      <c r="KA40" s="476"/>
      <c r="KB40" s="477"/>
      <c r="KC40" s="478"/>
      <c r="KD40" s="479"/>
      <c r="KE40" s="458"/>
      <c r="LA40" s="476"/>
      <c r="LB40" s="477"/>
      <c r="LC40" s="478"/>
      <c r="LD40" s="479"/>
      <c r="LE40" s="458"/>
      <c r="MA40" s="476"/>
      <c r="MB40" s="477"/>
      <c r="MC40" s="478"/>
      <c r="MD40" s="479"/>
      <c r="ME40" s="458"/>
      <c r="NA40" s="476"/>
      <c r="NB40" s="477"/>
      <c r="NC40" s="478"/>
      <c r="ND40" s="479"/>
      <c r="NE40" s="458"/>
      <c r="OA40" s="476"/>
      <c r="OB40" s="477"/>
      <c r="OC40" s="478"/>
      <c r="OD40" s="479"/>
      <c r="OE40" s="458"/>
      <c r="PA40" s="476"/>
      <c r="PB40" s="477"/>
      <c r="PC40" s="478"/>
      <c r="PD40" s="479"/>
      <c r="PE40" s="458"/>
      <c r="QA40" s="476"/>
      <c r="QB40" s="477"/>
      <c r="QC40" s="478"/>
      <c r="QD40" s="479"/>
      <c r="QE40" s="458"/>
      <c r="RA40" s="476"/>
      <c r="RB40" s="477"/>
      <c r="RC40" s="478"/>
      <c r="RD40" s="479"/>
      <c r="RE40" s="458"/>
      <c r="SA40" s="476"/>
      <c r="SB40" s="477"/>
      <c r="SC40" s="478"/>
      <c r="SD40" s="479"/>
      <c r="SE40" s="458"/>
      <c r="TA40" s="476"/>
      <c r="TB40" s="477"/>
      <c r="TC40" s="478"/>
      <c r="TD40" s="479"/>
      <c r="TE40" s="458"/>
      <c r="UA40" s="476"/>
      <c r="UB40" s="477"/>
      <c r="UC40" s="478"/>
      <c r="UD40" s="479"/>
      <c r="UE40" s="458"/>
      <c r="VA40" s="476"/>
      <c r="VB40" s="477"/>
      <c r="VC40" s="478"/>
      <c r="VD40" s="479"/>
      <c r="VE40" s="458"/>
      <c r="WA40" s="476"/>
      <c r="WB40" s="477"/>
      <c r="WC40" s="478"/>
      <c r="WD40" s="479"/>
      <c r="WE40" s="458"/>
      <c r="XA40" s="476"/>
      <c r="XB40" s="477"/>
      <c r="XC40" s="478"/>
      <c r="XD40" s="479"/>
      <c r="XE40" s="458"/>
      <c r="YA40" s="476"/>
      <c r="YB40" s="477"/>
      <c r="YC40" s="478"/>
      <c r="YD40" s="479"/>
      <c r="YE40" s="458"/>
      <c r="ZA40" s="476"/>
      <c r="ZB40" s="477"/>
      <c r="ZC40" s="478"/>
      <c r="ZD40" s="479"/>
      <c r="ZE40" s="458"/>
      <c r="AAA40" s="476"/>
      <c r="AAB40" s="477"/>
      <c r="AAC40" s="478"/>
      <c r="AAD40" s="479"/>
      <c r="AAE40" s="458"/>
      <c r="ABA40" s="476"/>
      <c r="ABB40" s="477"/>
      <c r="ABC40" s="478"/>
      <c r="ABD40" s="479"/>
      <c r="ABE40" s="458"/>
      <c r="ACA40" s="476"/>
      <c r="ACB40" s="477"/>
      <c r="ACC40" s="478"/>
      <c r="ACD40" s="479"/>
      <c r="ACE40" s="458"/>
      <c r="ADA40" s="476"/>
      <c r="ADB40" s="477"/>
      <c r="ADC40" s="478"/>
      <c r="ADD40" s="479"/>
      <c r="ADE40" s="458"/>
      <c r="AEA40" s="476"/>
      <c r="AEB40" s="477"/>
      <c r="AEC40" s="478"/>
      <c r="AED40" s="479"/>
      <c r="AEE40" s="458"/>
      <c r="AFA40" s="476"/>
      <c r="AFB40" s="477"/>
      <c r="AFC40" s="478"/>
      <c r="AFD40" s="479"/>
      <c r="AFE40" s="458"/>
      <c r="AGA40" s="476"/>
      <c r="AGB40" s="477"/>
      <c r="AGC40" s="478"/>
      <c r="AGD40" s="479"/>
      <c r="AGE40" s="458"/>
      <c r="AHA40" s="476"/>
      <c r="AHB40" s="477"/>
      <c r="AHC40" s="478"/>
      <c r="AHD40" s="479"/>
      <c r="AHE40" s="458"/>
      <c r="AIA40" s="476"/>
      <c r="AIB40" s="477"/>
      <c r="AIC40" s="478"/>
      <c r="AID40" s="479"/>
      <c r="AIE40" s="458"/>
      <c r="AJA40" s="476"/>
      <c r="AJB40" s="477"/>
      <c r="AJC40" s="478"/>
      <c r="AJD40" s="479"/>
      <c r="AJE40" s="458"/>
      <c r="AKA40" s="476"/>
      <c r="AKB40" s="477"/>
      <c r="AKC40" s="478"/>
      <c r="AKD40" s="479"/>
      <c r="AKE40" s="458"/>
      <c r="ALA40" s="476"/>
      <c r="ALB40" s="477"/>
      <c r="ALC40" s="478"/>
      <c r="ALD40" s="479"/>
      <c r="ALE40" s="458"/>
      <c r="AMA40" s="476"/>
      <c r="AMB40" s="477"/>
      <c r="AMC40" s="478"/>
      <c r="AMD40" s="479"/>
      <c r="AME40" s="458"/>
      <c r="ANA40" s="476"/>
      <c r="ANB40" s="477"/>
      <c r="ANC40" s="478"/>
      <c r="AND40" s="479"/>
      <c r="ANE40" s="458"/>
      <c r="AOA40" s="476"/>
      <c r="AOB40" s="477"/>
      <c r="AOC40" s="478"/>
      <c r="AOD40" s="479"/>
      <c r="AOE40" s="458"/>
      <c r="APA40" s="476"/>
      <c r="APB40" s="477"/>
      <c r="APC40" s="478"/>
      <c r="APD40" s="479"/>
      <c r="APE40" s="458"/>
      <c r="AQA40" s="476"/>
      <c r="AQB40" s="477"/>
      <c r="AQC40" s="478"/>
      <c r="AQD40" s="479"/>
      <c r="AQE40" s="458"/>
      <c r="ARA40" s="476"/>
      <c r="ARB40" s="477"/>
      <c r="ARC40" s="478"/>
      <c r="ARD40" s="479"/>
      <c r="ARE40" s="458"/>
      <c r="ASA40" s="476"/>
      <c r="ASB40" s="477"/>
      <c r="ASC40" s="478"/>
      <c r="ASD40" s="479"/>
      <c r="ASE40" s="458"/>
      <c r="ATA40" s="476"/>
      <c r="ATB40" s="477"/>
      <c r="ATC40" s="478"/>
      <c r="ATD40" s="479"/>
      <c r="ATE40" s="458"/>
      <c r="AUA40" s="476"/>
      <c r="AUB40" s="477"/>
      <c r="AUC40" s="478"/>
      <c r="AUD40" s="479"/>
      <c r="AUE40" s="458"/>
      <c r="AVA40" s="476"/>
      <c r="AVB40" s="477"/>
      <c r="AVC40" s="478"/>
      <c r="AVD40" s="479"/>
      <c r="AVE40" s="458"/>
      <c r="AWA40" s="476"/>
      <c r="AWB40" s="477"/>
      <c r="AWC40" s="478"/>
      <c r="AWD40" s="479"/>
      <c r="AWE40" s="458"/>
      <c r="AXA40" s="476"/>
      <c r="AXB40" s="477"/>
      <c r="AXC40" s="478"/>
      <c r="AXD40" s="479"/>
      <c r="AXE40" s="458"/>
      <c r="AYA40" s="476"/>
      <c r="AYB40" s="477"/>
      <c r="AYC40" s="478"/>
      <c r="AYD40" s="479"/>
      <c r="AYE40" s="458"/>
      <c r="AZA40" s="476"/>
      <c r="AZB40" s="477"/>
      <c r="AZC40" s="478"/>
      <c r="AZD40" s="479"/>
      <c r="AZE40" s="458"/>
      <c r="BAA40" s="476"/>
      <c r="BAB40" s="477"/>
      <c r="BAC40" s="478"/>
      <c r="BAD40" s="479"/>
      <c r="BAE40" s="458"/>
      <c r="BBA40" s="476"/>
      <c r="BBB40" s="477"/>
      <c r="BBC40" s="478"/>
      <c r="BBD40" s="479"/>
      <c r="BBE40" s="458"/>
      <c r="BCA40" s="476"/>
      <c r="BCB40" s="477"/>
      <c r="BCC40" s="478"/>
      <c r="BCD40" s="479"/>
      <c r="BCE40" s="458"/>
      <c r="BDA40" s="476"/>
      <c r="BDB40" s="477"/>
      <c r="BDC40" s="478"/>
      <c r="BDD40" s="479"/>
      <c r="BDE40" s="458"/>
      <c r="BEA40" s="476"/>
      <c r="BEB40" s="477"/>
      <c r="BEC40" s="478"/>
      <c r="BED40" s="479"/>
      <c r="BEE40" s="458"/>
      <c r="BFA40" s="476"/>
      <c r="BFB40" s="477"/>
      <c r="BFC40" s="478"/>
      <c r="BFD40" s="479"/>
      <c r="BFE40" s="458"/>
      <c r="BGA40" s="476"/>
      <c r="BGB40" s="477"/>
      <c r="BGC40" s="478"/>
      <c r="BGD40" s="479"/>
      <c r="BGE40" s="458"/>
      <c r="BHA40" s="476"/>
      <c r="BHB40" s="477"/>
      <c r="BHC40" s="478"/>
      <c r="BHD40" s="479"/>
      <c r="BHE40" s="458"/>
      <c r="BIA40" s="476"/>
      <c r="BIB40" s="477"/>
      <c r="BIC40" s="478"/>
      <c r="BID40" s="479"/>
      <c r="BIE40" s="458"/>
      <c r="BJA40" s="476"/>
      <c r="BJB40" s="477"/>
      <c r="BJC40" s="478"/>
      <c r="BJD40" s="479"/>
      <c r="BJE40" s="458"/>
      <c r="BKA40" s="476"/>
      <c r="BKB40" s="477"/>
      <c r="BKC40" s="478"/>
      <c r="BKD40" s="479"/>
      <c r="BKE40" s="458"/>
      <c r="BLA40" s="476"/>
      <c r="BLB40" s="477"/>
      <c r="BLC40" s="478"/>
      <c r="BLD40" s="479"/>
      <c r="BLE40" s="458"/>
      <c r="BMA40" s="476"/>
      <c r="BMB40" s="477"/>
      <c r="BMC40" s="478"/>
      <c r="BMD40" s="479"/>
      <c r="BME40" s="458"/>
      <c r="BNA40" s="476"/>
      <c r="BNB40" s="477"/>
      <c r="BNC40" s="478"/>
      <c r="BND40" s="479"/>
      <c r="BNE40" s="458"/>
      <c r="BOA40" s="476"/>
      <c r="BOB40" s="477"/>
      <c r="BOC40" s="478"/>
      <c r="BOD40" s="479"/>
      <c r="BOE40" s="458"/>
      <c r="BPA40" s="476"/>
      <c r="BPB40" s="477"/>
      <c r="BPC40" s="478"/>
      <c r="BPD40" s="479"/>
      <c r="BPE40" s="458"/>
      <c r="BQA40" s="476"/>
      <c r="BQB40" s="477"/>
      <c r="BQC40" s="478"/>
      <c r="BQD40" s="479"/>
      <c r="BQE40" s="458"/>
      <c r="BRA40" s="476"/>
      <c r="BRB40" s="477"/>
      <c r="BRC40" s="478"/>
      <c r="BRD40" s="479"/>
      <c r="BRE40" s="458"/>
    </row>
    <row r="41" spans="1:1019 1041:1825" ht="15.5">
      <c r="A41" s="1036"/>
      <c r="B41" s="114" t="s">
        <v>1494</v>
      </c>
      <c r="G41" s="570"/>
      <c r="H41" s="570"/>
      <c r="I41" s="570"/>
      <c r="J41" s="570"/>
      <c r="K41" s="570"/>
      <c r="L41" s="570"/>
      <c r="AA41" s="449" t="s">
        <v>473</v>
      </c>
      <c r="AB41" s="467" t="s">
        <v>1098</v>
      </c>
      <c r="AC41" s="480"/>
      <c r="AD41" s="481" t="s">
        <v>308</v>
      </c>
      <c r="AE41" s="440"/>
      <c r="BA41" s="449" t="s">
        <v>473</v>
      </c>
      <c r="BB41" s="467" t="s">
        <v>1098</v>
      </c>
      <c r="BC41" s="480"/>
      <c r="BD41" s="481" t="s">
        <v>308</v>
      </c>
      <c r="BE41" s="440"/>
      <c r="CA41" s="449" t="s">
        <v>473</v>
      </c>
      <c r="CB41" s="467" t="s">
        <v>1098</v>
      </c>
      <c r="CC41" s="480"/>
      <c r="CD41" s="481" t="s">
        <v>308</v>
      </c>
      <c r="CE41" s="440"/>
      <c r="DA41" s="449" t="s">
        <v>473</v>
      </c>
      <c r="DB41" s="467" t="s">
        <v>1098</v>
      </c>
      <c r="DC41" s="480"/>
      <c r="DD41" s="481" t="s">
        <v>308</v>
      </c>
      <c r="DE41" s="440"/>
      <c r="EA41" s="449" t="s">
        <v>473</v>
      </c>
      <c r="EB41" s="467" t="s">
        <v>1098</v>
      </c>
      <c r="EC41" s="480"/>
      <c r="ED41" s="481" t="s">
        <v>308</v>
      </c>
      <c r="EE41" s="440"/>
      <c r="FA41" s="449" t="s">
        <v>473</v>
      </c>
      <c r="FB41" s="467" t="s">
        <v>1098</v>
      </c>
      <c r="FC41" s="480"/>
      <c r="FD41" s="481" t="s">
        <v>308</v>
      </c>
      <c r="FE41" s="440"/>
      <c r="GA41" s="449" t="s">
        <v>473</v>
      </c>
      <c r="GB41" s="467" t="s">
        <v>1098</v>
      </c>
      <c r="GC41" s="480"/>
      <c r="GD41" s="481" t="s">
        <v>308</v>
      </c>
      <c r="GE41" s="440"/>
      <c r="HA41" s="449" t="s">
        <v>473</v>
      </c>
      <c r="HB41" s="467" t="s">
        <v>1098</v>
      </c>
      <c r="HC41" s="480"/>
      <c r="HD41" s="481" t="s">
        <v>308</v>
      </c>
      <c r="HE41" s="440"/>
      <c r="IA41" s="449" t="s">
        <v>473</v>
      </c>
      <c r="IB41" s="467" t="s">
        <v>1098</v>
      </c>
      <c r="IC41" s="480"/>
      <c r="ID41" s="481" t="s">
        <v>308</v>
      </c>
      <c r="IE41" s="440"/>
      <c r="JA41" s="449" t="s">
        <v>473</v>
      </c>
      <c r="JB41" s="467" t="s">
        <v>1098</v>
      </c>
      <c r="JC41" s="480"/>
      <c r="JD41" s="481" t="s">
        <v>308</v>
      </c>
      <c r="JE41" s="440"/>
      <c r="KA41" s="449" t="s">
        <v>473</v>
      </c>
      <c r="KB41" s="467" t="s">
        <v>1098</v>
      </c>
      <c r="KC41" s="480"/>
      <c r="KD41" s="481" t="s">
        <v>308</v>
      </c>
      <c r="KE41" s="440"/>
      <c r="LA41" s="449" t="s">
        <v>473</v>
      </c>
      <c r="LB41" s="467" t="s">
        <v>1098</v>
      </c>
      <c r="LC41" s="480"/>
      <c r="LD41" s="481" t="s">
        <v>308</v>
      </c>
      <c r="LE41" s="440"/>
      <c r="MA41" s="449" t="s">
        <v>473</v>
      </c>
      <c r="MB41" s="467" t="s">
        <v>1098</v>
      </c>
      <c r="MC41" s="480"/>
      <c r="MD41" s="481" t="s">
        <v>308</v>
      </c>
      <c r="ME41" s="440"/>
      <c r="NA41" s="449" t="s">
        <v>473</v>
      </c>
      <c r="NB41" s="467" t="s">
        <v>1098</v>
      </c>
      <c r="NC41" s="480"/>
      <c r="ND41" s="481" t="s">
        <v>308</v>
      </c>
      <c r="NE41" s="440"/>
      <c r="OA41" s="449" t="s">
        <v>473</v>
      </c>
      <c r="OB41" s="467" t="s">
        <v>1098</v>
      </c>
      <c r="OC41" s="480"/>
      <c r="OD41" s="481" t="s">
        <v>308</v>
      </c>
      <c r="OE41" s="440"/>
      <c r="PA41" s="449" t="s">
        <v>473</v>
      </c>
      <c r="PB41" s="467" t="s">
        <v>1098</v>
      </c>
      <c r="PC41" s="480"/>
      <c r="PD41" s="481" t="s">
        <v>308</v>
      </c>
      <c r="PE41" s="440"/>
      <c r="QA41" s="449" t="s">
        <v>473</v>
      </c>
      <c r="QB41" s="467" t="s">
        <v>1098</v>
      </c>
      <c r="QC41" s="480"/>
      <c r="QD41" s="481" t="s">
        <v>308</v>
      </c>
      <c r="QE41" s="440"/>
      <c r="RA41" s="449" t="s">
        <v>473</v>
      </c>
      <c r="RB41" s="467" t="s">
        <v>1098</v>
      </c>
      <c r="RC41" s="480"/>
      <c r="RD41" s="481" t="s">
        <v>308</v>
      </c>
      <c r="RE41" s="440"/>
      <c r="SA41" s="449" t="s">
        <v>473</v>
      </c>
      <c r="SB41" s="467" t="s">
        <v>1098</v>
      </c>
      <c r="SC41" s="480"/>
      <c r="SD41" s="481" t="s">
        <v>308</v>
      </c>
      <c r="SE41" s="440"/>
      <c r="TA41" s="449" t="s">
        <v>473</v>
      </c>
      <c r="TB41" s="467" t="s">
        <v>1098</v>
      </c>
      <c r="TC41" s="480"/>
      <c r="TD41" s="481" t="s">
        <v>308</v>
      </c>
      <c r="TE41" s="440"/>
      <c r="UA41" s="449" t="s">
        <v>473</v>
      </c>
      <c r="UB41" s="467" t="s">
        <v>1098</v>
      </c>
      <c r="UC41" s="480"/>
      <c r="UD41" s="481" t="s">
        <v>308</v>
      </c>
      <c r="UE41" s="440"/>
      <c r="VA41" s="449" t="s">
        <v>473</v>
      </c>
      <c r="VB41" s="467" t="s">
        <v>1098</v>
      </c>
      <c r="VC41" s="480"/>
      <c r="VD41" s="481" t="s">
        <v>308</v>
      </c>
      <c r="VE41" s="440"/>
      <c r="WA41" s="449" t="s">
        <v>473</v>
      </c>
      <c r="WB41" s="467" t="s">
        <v>1098</v>
      </c>
      <c r="WC41" s="480"/>
      <c r="WD41" s="481" t="s">
        <v>308</v>
      </c>
      <c r="WE41" s="440"/>
      <c r="XA41" s="449" t="s">
        <v>473</v>
      </c>
      <c r="XB41" s="467" t="s">
        <v>1098</v>
      </c>
      <c r="XC41" s="480"/>
      <c r="XD41" s="481" t="s">
        <v>308</v>
      </c>
      <c r="XE41" s="440"/>
      <c r="YA41" s="449" t="s">
        <v>473</v>
      </c>
      <c r="YB41" s="467" t="s">
        <v>1098</v>
      </c>
      <c r="YC41" s="480"/>
      <c r="YD41" s="481" t="s">
        <v>308</v>
      </c>
      <c r="YE41" s="440"/>
      <c r="ZA41" s="449" t="s">
        <v>473</v>
      </c>
      <c r="ZB41" s="467" t="s">
        <v>1098</v>
      </c>
      <c r="ZC41" s="480"/>
      <c r="ZD41" s="481" t="s">
        <v>308</v>
      </c>
      <c r="ZE41" s="440"/>
      <c r="AAA41" s="449" t="s">
        <v>473</v>
      </c>
      <c r="AAB41" s="467" t="s">
        <v>1098</v>
      </c>
      <c r="AAC41" s="480"/>
      <c r="AAD41" s="481" t="s">
        <v>308</v>
      </c>
      <c r="AAE41" s="440"/>
      <c r="ABA41" s="449" t="s">
        <v>473</v>
      </c>
      <c r="ABB41" s="467" t="s">
        <v>1098</v>
      </c>
      <c r="ABC41" s="480"/>
      <c r="ABD41" s="481" t="s">
        <v>308</v>
      </c>
      <c r="ABE41" s="440"/>
      <c r="ACA41" s="449" t="s">
        <v>473</v>
      </c>
      <c r="ACB41" s="467" t="s">
        <v>1098</v>
      </c>
      <c r="ACC41" s="480"/>
      <c r="ACD41" s="481" t="s">
        <v>308</v>
      </c>
      <c r="ACE41" s="440"/>
      <c r="ADA41" s="449" t="s">
        <v>473</v>
      </c>
      <c r="ADB41" s="467" t="s">
        <v>1098</v>
      </c>
      <c r="ADC41" s="480"/>
      <c r="ADD41" s="481" t="s">
        <v>308</v>
      </c>
      <c r="ADE41" s="440"/>
      <c r="AEA41" s="449" t="s">
        <v>473</v>
      </c>
      <c r="AEB41" s="467" t="s">
        <v>1098</v>
      </c>
      <c r="AEC41" s="480"/>
      <c r="AED41" s="481" t="s">
        <v>308</v>
      </c>
      <c r="AEE41" s="440"/>
      <c r="AFA41" s="449" t="s">
        <v>473</v>
      </c>
      <c r="AFB41" s="467" t="s">
        <v>1098</v>
      </c>
      <c r="AFC41" s="480"/>
      <c r="AFD41" s="481" t="s">
        <v>308</v>
      </c>
      <c r="AFE41" s="440"/>
      <c r="AGA41" s="449" t="s">
        <v>473</v>
      </c>
      <c r="AGB41" s="467" t="s">
        <v>1098</v>
      </c>
      <c r="AGC41" s="480"/>
      <c r="AGD41" s="481" t="s">
        <v>308</v>
      </c>
      <c r="AGE41" s="440"/>
      <c r="AHA41" s="449" t="s">
        <v>473</v>
      </c>
      <c r="AHB41" s="467" t="s">
        <v>1098</v>
      </c>
      <c r="AHC41" s="480"/>
      <c r="AHD41" s="481" t="s">
        <v>308</v>
      </c>
      <c r="AHE41" s="440"/>
      <c r="AIA41" s="449" t="s">
        <v>473</v>
      </c>
      <c r="AIB41" s="467" t="s">
        <v>1098</v>
      </c>
      <c r="AIC41" s="480"/>
      <c r="AID41" s="481" t="s">
        <v>308</v>
      </c>
      <c r="AIE41" s="440"/>
      <c r="AJA41" s="449" t="s">
        <v>473</v>
      </c>
      <c r="AJB41" s="467" t="s">
        <v>1098</v>
      </c>
      <c r="AJC41" s="480"/>
      <c r="AJD41" s="481" t="s">
        <v>308</v>
      </c>
      <c r="AJE41" s="440"/>
      <c r="AKA41" s="449" t="s">
        <v>473</v>
      </c>
      <c r="AKB41" s="467" t="s">
        <v>1098</v>
      </c>
      <c r="AKC41" s="480"/>
      <c r="AKD41" s="481" t="s">
        <v>308</v>
      </c>
      <c r="AKE41" s="440"/>
      <c r="ALA41" s="449" t="s">
        <v>473</v>
      </c>
      <c r="ALB41" s="467" t="s">
        <v>1098</v>
      </c>
      <c r="ALC41" s="480"/>
      <c r="ALD41" s="481" t="s">
        <v>308</v>
      </c>
      <c r="ALE41" s="440"/>
      <c r="AMA41" s="449" t="s">
        <v>473</v>
      </c>
      <c r="AMB41" s="467" t="s">
        <v>1098</v>
      </c>
      <c r="AMC41" s="480"/>
      <c r="AMD41" s="481" t="s">
        <v>308</v>
      </c>
      <c r="AME41" s="440"/>
      <c r="ANA41" s="449" t="s">
        <v>473</v>
      </c>
      <c r="ANB41" s="467" t="s">
        <v>1098</v>
      </c>
      <c r="ANC41" s="480"/>
      <c r="AND41" s="481" t="s">
        <v>308</v>
      </c>
      <c r="ANE41" s="440"/>
      <c r="AOA41" s="449" t="s">
        <v>473</v>
      </c>
      <c r="AOB41" s="467" t="s">
        <v>1098</v>
      </c>
      <c r="AOC41" s="480"/>
      <c r="AOD41" s="481" t="s">
        <v>308</v>
      </c>
      <c r="AOE41" s="440"/>
      <c r="APA41" s="449" t="s">
        <v>473</v>
      </c>
      <c r="APB41" s="467" t="s">
        <v>1098</v>
      </c>
      <c r="APC41" s="480"/>
      <c r="APD41" s="481" t="s">
        <v>308</v>
      </c>
      <c r="APE41" s="440"/>
      <c r="AQA41" s="449" t="s">
        <v>473</v>
      </c>
      <c r="AQB41" s="467" t="s">
        <v>1098</v>
      </c>
      <c r="AQC41" s="480"/>
      <c r="AQD41" s="481" t="s">
        <v>308</v>
      </c>
      <c r="AQE41" s="440"/>
      <c r="ARA41" s="449" t="s">
        <v>473</v>
      </c>
      <c r="ARB41" s="467" t="s">
        <v>1098</v>
      </c>
      <c r="ARC41" s="480"/>
      <c r="ARD41" s="481" t="s">
        <v>308</v>
      </c>
      <c r="ARE41" s="440"/>
      <c r="ASA41" s="449" t="s">
        <v>473</v>
      </c>
      <c r="ASB41" s="467" t="s">
        <v>1098</v>
      </c>
      <c r="ASC41" s="480"/>
      <c r="ASD41" s="481" t="s">
        <v>308</v>
      </c>
      <c r="ASE41" s="440"/>
      <c r="ATA41" s="449" t="s">
        <v>473</v>
      </c>
      <c r="ATB41" s="467" t="s">
        <v>1098</v>
      </c>
      <c r="ATC41" s="480"/>
      <c r="ATD41" s="481" t="s">
        <v>308</v>
      </c>
      <c r="ATE41" s="440"/>
      <c r="AUA41" s="449" t="s">
        <v>473</v>
      </c>
      <c r="AUB41" s="467" t="s">
        <v>1098</v>
      </c>
      <c r="AUC41" s="480"/>
      <c r="AUD41" s="481" t="s">
        <v>308</v>
      </c>
      <c r="AUE41" s="440"/>
      <c r="AVA41" s="449" t="s">
        <v>473</v>
      </c>
      <c r="AVB41" s="467" t="s">
        <v>1098</v>
      </c>
      <c r="AVC41" s="480"/>
      <c r="AVD41" s="481" t="s">
        <v>308</v>
      </c>
      <c r="AVE41" s="440"/>
      <c r="AWA41" s="449" t="s">
        <v>473</v>
      </c>
      <c r="AWB41" s="467" t="s">
        <v>1098</v>
      </c>
      <c r="AWC41" s="480"/>
      <c r="AWD41" s="481" t="s">
        <v>308</v>
      </c>
      <c r="AWE41" s="440"/>
      <c r="AXA41" s="449" t="s">
        <v>473</v>
      </c>
      <c r="AXB41" s="467" t="s">
        <v>1098</v>
      </c>
      <c r="AXC41" s="480"/>
      <c r="AXD41" s="481" t="s">
        <v>308</v>
      </c>
      <c r="AXE41" s="440"/>
      <c r="AYA41" s="449" t="s">
        <v>473</v>
      </c>
      <c r="AYB41" s="467" t="s">
        <v>1098</v>
      </c>
      <c r="AYC41" s="480"/>
      <c r="AYD41" s="481" t="s">
        <v>308</v>
      </c>
      <c r="AYE41" s="440"/>
      <c r="AZA41" s="449" t="s">
        <v>473</v>
      </c>
      <c r="AZB41" s="467" t="s">
        <v>1098</v>
      </c>
      <c r="AZC41" s="480"/>
      <c r="AZD41" s="481" t="s">
        <v>308</v>
      </c>
      <c r="AZE41" s="440"/>
      <c r="BAA41" s="449" t="s">
        <v>473</v>
      </c>
      <c r="BAB41" s="467" t="s">
        <v>1098</v>
      </c>
      <c r="BAC41" s="480"/>
      <c r="BAD41" s="481" t="s">
        <v>308</v>
      </c>
      <c r="BAE41" s="440"/>
      <c r="BBA41" s="449" t="s">
        <v>473</v>
      </c>
      <c r="BBB41" s="467" t="s">
        <v>1098</v>
      </c>
      <c r="BBC41" s="480"/>
      <c r="BBD41" s="481" t="s">
        <v>308</v>
      </c>
      <c r="BBE41" s="440"/>
      <c r="BCA41" s="449" t="s">
        <v>473</v>
      </c>
      <c r="BCB41" s="467" t="s">
        <v>1098</v>
      </c>
      <c r="BCC41" s="480"/>
      <c r="BCD41" s="481" t="s">
        <v>308</v>
      </c>
      <c r="BCE41" s="440"/>
      <c r="BDA41" s="449" t="s">
        <v>473</v>
      </c>
      <c r="BDB41" s="467" t="s">
        <v>1098</v>
      </c>
      <c r="BDC41" s="480"/>
      <c r="BDD41" s="481" t="s">
        <v>308</v>
      </c>
      <c r="BDE41" s="440"/>
      <c r="BEA41" s="449" t="s">
        <v>473</v>
      </c>
      <c r="BEB41" s="467" t="s">
        <v>1098</v>
      </c>
      <c r="BEC41" s="480"/>
      <c r="BED41" s="481" t="s">
        <v>308</v>
      </c>
      <c r="BEE41" s="440"/>
      <c r="BFA41" s="449" t="s">
        <v>473</v>
      </c>
      <c r="BFB41" s="467" t="s">
        <v>1098</v>
      </c>
      <c r="BFC41" s="480"/>
      <c r="BFD41" s="481" t="s">
        <v>308</v>
      </c>
      <c r="BFE41" s="440"/>
      <c r="BGA41" s="449" t="s">
        <v>473</v>
      </c>
      <c r="BGB41" s="467" t="s">
        <v>1098</v>
      </c>
      <c r="BGC41" s="480"/>
      <c r="BGD41" s="481" t="s">
        <v>308</v>
      </c>
      <c r="BGE41" s="440"/>
      <c r="BHA41" s="449" t="s">
        <v>473</v>
      </c>
      <c r="BHB41" s="467" t="s">
        <v>1098</v>
      </c>
      <c r="BHC41" s="480"/>
      <c r="BHD41" s="481" t="s">
        <v>308</v>
      </c>
      <c r="BHE41" s="440"/>
      <c r="BIA41" s="449" t="s">
        <v>473</v>
      </c>
      <c r="BIB41" s="467" t="s">
        <v>1098</v>
      </c>
      <c r="BIC41" s="480"/>
      <c r="BID41" s="481" t="s">
        <v>308</v>
      </c>
      <c r="BIE41" s="440"/>
      <c r="BJA41" s="449" t="s">
        <v>473</v>
      </c>
      <c r="BJB41" s="467" t="s">
        <v>1098</v>
      </c>
      <c r="BJC41" s="480"/>
      <c r="BJD41" s="481" t="s">
        <v>308</v>
      </c>
      <c r="BJE41" s="440"/>
      <c r="BKA41" s="449" t="s">
        <v>473</v>
      </c>
      <c r="BKB41" s="467" t="s">
        <v>1098</v>
      </c>
      <c r="BKC41" s="480"/>
      <c r="BKD41" s="481" t="s">
        <v>308</v>
      </c>
      <c r="BKE41" s="440"/>
      <c r="BLA41" s="449" t="s">
        <v>473</v>
      </c>
      <c r="BLB41" s="467" t="s">
        <v>1098</v>
      </c>
      <c r="BLC41" s="480"/>
      <c r="BLD41" s="481" t="s">
        <v>308</v>
      </c>
      <c r="BLE41" s="440"/>
      <c r="BMA41" s="449" t="s">
        <v>473</v>
      </c>
      <c r="BMB41" s="467" t="s">
        <v>1098</v>
      </c>
      <c r="BMC41" s="480"/>
      <c r="BMD41" s="481" t="s">
        <v>308</v>
      </c>
      <c r="BME41" s="440"/>
      <c r="BNA41" s="449" t="s">
        <v>473</v>
      </c>
      <c r="BNB41" s="467" t="s">
        <v>1098</v>
      </c>
      <c r="BNC41" s="480"/>
      <c r="BND41" s="481" t="s">
        <v>308</v>
      </c>
      <c r="BNE41" s="440"/>
      <c r="BOA41" s="449" t="s">
        <v>473</v>
      </c>
      <c r="BOB41" s="467" t="s">
        <v>1098</v>
      </c>
      <c r="BOC41" s="480"/>
      <c r="BOD41" s="481" t="s">
        <v>308</v>
      </c>
      <c r="BOE41" s="440"/>
      <c r="BPA41" s="449" t="s">
        <v>473</v>
      </c>
      <c r="BPB41" s="467" t="s">
        <v>1098</v>
      </c>
      <c r="BPC41" s="480"/>
      <c r="BPD41" s="481" t="s">
        <v>308</v>
      </c>
      <c r="BPE41" s="440"/>
      <c r="BQA41" s="449" t="s">
        <v>473</v>
      </c>
      <c r="BQB41" s="467" t="s">
        <v>1098</v>
      </c>
      <c r="BQC41" s="480"/>
      <c r="BQD41" s="481" t="s">
        <v>308</v>
      </c>
      <c r="BQE41" s="440"/>
      <c r="BRA41" s="449" t="s">
        <v>473</v>
      </c>
      <c r="BRB41" s="467" t="s">
        <v>1098</v>
      </c>
      <c r="BRC41" s="480"/>
      <c r="BRD41" s="481" t="s">
        <v>308</v>
      </c>
      <c r="BRE41" s="440"/>
    </row>
    <row r="42" spans="1:1019 1041:1825">
      <c r="A42" s="1036"/>
      <c r="B42" s="114" t="s">
        <v>1495</v>
      </c>
      <c r="AA42" s="436" t="s">
        <v>481</v>
      </c>
      <c r="AB42" s="483"/>
      <c r="AC42" s="480" t="s">
        <v>586</v>
      </c>
      <c r="AD42" s="484"/>
      <c r="AE42" s="440" t="s">
        <v>460</v>
      </c>
      <c r="BA42" s="436" t="s">
        <v>481</v>
      </c>
      <c r="BB42" s="483"/>
      <c r="BC42" s="480" t="s">
        <v>586</v>
      </c>
      <c r="BD42" s="484"/>
      <c r="BE42" s="440" t="s">
        <v>460</v>
      </c>
      <c r="CA42" s="436" t="s">
        <v>481</v>
      </c>
      <c r="CB42" s="483"/>
      <c r="CC42" s="480" t="s">
        <v>586</v>
      </c>
      <c r="CD42" s="484"/>
      <c r="CE42" s="440" t="s">
        <v>460</v>
      </c>
      <c r="DA42" s="436" t="s">
        <v>481</v>
      </c>
      <c r="DB42" s="483"/>
      <c r="DC42" s="480" t="s">
        <v>586</v>
      </c>
      <c r="DD42" s="484"/>
      <c r="DE42" s="440" t="s">
        <v>460</v>
      </c>
      <c r="EA42" s="436" t="s">
        <v>481</v>
      </c>
      <c r="EB42" s="483"/>
      <c r="EC42" s="480" t="s">
        <v>586</v>
      </c>
      <c r="ED42" s="484"/>
      <c r="EE42" s="440" t="s">
        <v>460</v>
      </c>
      <c r="FA42" s="436" t="s">
        <v>481</v>
      </c>
      <c r="FB42" s="483"/>
      <c r="FC42" s="480" t="s">
        <v>586</v>
      </c>
      <c r="FD42" s="484"/>
      <c r="FE42" s="440" t="s">
        <v>460</v>
      </c>
      <c r="GA42" s="436" t="s">
        <v>481</v>
      </c>
      <c r="GB42" s="483"/>
      <c r="GC42" s="480" t="s">
        <v>586</v>
      </c>
      <c r="GD42" s="484"/>
      <c r="GE42" s="440" t="s">
        <v>460</v>
      </c>
      <c r="HA42" s="436" t="s">
        <v>481</v>
      </c>
      <c r="HB42" s="483"/>
      <c r="HC42" s="480" t="s">
        <v>586</v>
      </c>
      <c r="HD42" s="484"/>
      <c r="HE42" s="440" t="s">
        <v>460</v>
      </c>
      <c r="IA42" s="436" t="s">
        <v>481</v>
      </c>
      <c r="IB42" s="483"/>
      <c r="IC42" s="480" t="s">
        <v>586</v>
      </c>
      <c r="ID42" s="484"/>
      <c r="IE42" s="440" t="s">
        <v>460</v>
      </c>
      <c r="JA42" s="436" t="s">
        <v>481</v>
      </c>
      <c r="JB42" s="483"/>
      <c r="JC42" s="480" t="s">
        <v>586</v>
      </c>
      <c r="JD42" s="484"/>
      <c r="JE42" s="440" t="s">
        <v>460</v>
      </c>
      <c r="KA42" s="436" t="s">
        <v>481</v>
      </c>
      <c r="KB42" s="483"/>
      <c r="KC42" s="480" t="s">
        <v>586</v>
      </c>
      <c r="KD42" s="484"/>
      <c r="KE42" s="440" t="s">
        <v>460</v>
      </c>
      <c r="LA42" s="436" t="s">
        <v>481</v>
      </c>
      <c r="LB42" s="483"/>
      <c r="LC42" s="480" t="s">
        <v>586</v>
      </c>
      <c r="LD42" s="484"/>
      <c r="LE42" s="440" t="s">
        <v>460</v>
      </c>
      <c r="MA42" s="436" t="s">
        <v>481</v>
      </c>
      <c r="MB42" s="483"/>
      <c r="MC42" s="480" t="s">
        <v>586</v>
      </c>
      <c r="MD42" s="484"/>
      <c r="ME42" s="440" t="s">
        <v>460</v>
      </c>
      <c r="NA42" s="436" t="s">
        <v>481</v>
      </c>
      <c r="NB42" s="483"/>
      <c r="NC42" s="480" t="s">
        <v>586</v>
      </c>
      <c r="ND42" s="484"/>
      <c r="NE42" s="440" t="s">
        <v>460</v>
      </c>
      <c r="OA42" s="436" t="s">
        <v>481</v>
      </c>
      <c r="OB42" s="483"/>
      <c r="OC42" s="480" t="s">
        <v>586</v>
      </c>
      <c r="OD42" s="484"/>
      <c r="OE42" s="440" t="s">
        <v>460</v>
      </c>
      <c r="PA42" s="436" t="s">
        <v>481</v>
      </c>
      <c r="PB42" s="483"/>
      <c r="PC42" s="480" t="s">
        <v>586</v>
      </c>
      <c r="PD42" s="484"/>
      <c r="PE42" s="440" t="s">
        <v>460</v>
      </c>
      <c r="QA42" s="436" t="s">
        <v>481</v>
      </c>
      <c r="QB42" s="483"/>
      <c r="QC42" s="480" t="s">
        <v>586</v>
      </c>
      <c r="QD42" s="484"/>
      <c r="QE42" s="440" t="s">
        <v>460</v>
      </c>
      <c r="RA42" s="436" t="s">
        <v>481</v>
      </c>
      <c r="RB42" s="483"/>
      <c r="RC42" s="480" t="s">
        <v>586</v>
      </c>
      <c r="RD42" s="484"/>
      <c r="RE42" s="440" t="s">
        <v>460</v>
      </c>
      <c r="SA42" s="436" t="s">
        <v>481</v>
      </c>
      <c r="SB42" s="483"/>
      <c r="SC42" s="480" t="s">
        <v>586</v>
      </c>
      <c r="SD42" s="484"/>
      <c r="SE42" s="440" t="s">
        <v>460</v>
      </c>
      <c r="TA42" s="436" t="s">
        <v>481</v>
      </c>
      <c r="TB42" s="483"/>
      <c r="TC42" s="480" t="s">
        <v>586</v>
      </c>
      <c r="TD42" s="484"/>
      <c r="TE42" s="440" t="s">
        <v>460</v>
      </c>
      <c r="UA42" s="436" t="s">
        <v>481</v>
      </c>
      <c r="UB42" s="483"/>
      <c r="UC42" s="480" t="s">
        <v>586</v>
      </c>
      <c r="UD42" s="484"/>
      <c r="UE42" s="440" t="s">
        <v>460</v>
      </c>
      <c r="VA42" s="436" t="s">
        <v>481</v>
      </c>
      <c r="VB42" s="483"/>
      <c r="VC42" s="480" t="s">
        <v>586</v>
      </c>
      <c r="VD42" s="484"/>
      <c r="VE42" s="440" t="s">
        <v>460</v>
      </c>
      <c r="WA42" s="436" t="s">
        <v>481</v>
      </c>
      <c r="WB42" s="483"/>
      <c r="WC42" s="480" t="s">
        <v>586</v>
      </c>
      <c r="WD42" s="484"/>
      <c r="WE42" s="440" t="s">
        <v>460</v>
      </c>
      <c r="XA42" s="436" t="s">
        <v>481</v>
      </c>
      <c r="XB42" s="483"/>
      <c r="XC42" s="480" t="s">
        <v>586</v>
      </c>
      <c r="XD42" s="484"/>
      <c r="XE42" s="440" t="s">
        <v>460</v>
      </c>
      <c r="YA42" s="436" t="s">
        <v>481</v>
      </c>
      <c r="YB42" s="483"/>
      <c r="YC42" s="480" t="s">
        <v>586</v>
      </c>
      <c r="YD42" s="484"/>
      <c r="YE42" s="440" t="s">
        <v>460</v>
      </c>
      <c r="ZA42" s="436" t="s">
        <v>481</v>
      </c>
      <c r="ZB42" s="483"/>
      <c r="ZC42" s="480" t="s">
        <v>586</v>
      </c>
      <c r="ZD42" s="484"/>
      <c r="ZE42" s="440" t="s">
        <v>460</v>
      </c>
      <c r="AAA42" s="436" t="s">
        <v>481</v>
      </c>
      <c r="AAB42" s="483"/>
      <c r="AAC42" s="480" t="s">
        <v>586</v>
      </c>
      <c r="AAD42" s="484"/>
      <c r="AAE42" s="440" t="s">
        <v>460</v>
      </c>
      <c r="ABA42" s="436" t="s">
        <v>481</v>
      </c>
      <c r="ABB42" s="483"/>
      <c r="ABC42" s="480" t="s">
        <v>586</v>
      </c>
      <c r="ABD42" s="484"/>
      <c r="ABE42" s="440" t="s">
        <v>460</v>
      </c>
      <c r="ACA42" s="436" t="s">
        <v>481</v>
      </c>
      <c r="ACB42" s="483"/>
      <c r="ACC42" s="480" t="s">
        <v>586</v>
      </c>
      <c r="ACD42" s="484"/>
      <c r="ACE42" s="440" t="s">
        <v>460</v>
      </c>
      <c r="ADA42" s="436" t="s">
        <v>481</v>
      </c>
      <c r="ADB42" s="483"/>
      <c r="ADC42" s="480" t="s">
        <v>586</v>
      </c>
      <c r="ADD42" s="484"/>
      <c r="ADE42" s="440" t="s">
        <v>460</v>
      </c>
      <c r="AEA42" s="436" t="s">
        <v>481</v>
      </c>
      <c r="AEB42" s="483"/>
      <c r="AEC42" s="480" t="s">
        <v>586</v>
      </c>
      <c r="AED42" s="484"/>
      <c r="AEE42" s="440" t="s">
        <v>460</v>
      </c>
      <c r="AFA42" s="436" t="s">
        <v>481</v>
      </c>
      <c r="AFB42" s="483"/>
      <c r="AFC42" s="480" t="s">
        <v>586</v>
      </c>
      <c r="AFD42" s="484"/>
      <c r="AFE42" s="440" t="s">
        <v>460</v>
      </c>
      <c r="AGA42" s="436" t="s">
        <v>481</v>
      </c>
      <c r="AGB42" s="483"/>
      <c r="AGC42" s="480" t="s">
        <v>586</v>
      </c>
      <c r="AGD42" s="484"/>
      <c r="AGE42" s="440" t="s">
        <v>460</v>
      </c>
      <c r="AHA42" s="436" t="s">
        <v>481</v>
      </c>
      <c r="AHB42" s="483"/>
      <c r="AHC42" s="480" t="s">
        <v>586</v>
      </c>
      <c r="AHD42" s="484"/>
      <c r="AHE42" s="440" t="s">
        <v>460</v>
      </c>
      <c r="AIA42" s="436" t="s">
        <v>481</v>
      </c>
      <c r="AIB42" s="483"/>
      <c r="AIC42" s="480" t="s">
        <v>586</v>
      </c>
      <c r="AID42" s="484"/>
      <c r="AIE42" s="440" t="s">
        <v>460</v>
      </c>
      <c r="AJA42" s="436" t="s">
        <v>481</v>
      </c>
      <c r="AJB42" s="483"/>
      <c r="AJC42" s="480" t="s">
        <v>586</v>
      </c>
      <c r="AJD42" s="484"/>
      <c r="AJE42" s="440" t="s">
        <v>460</v>
      </c>
      <c r="AKA42" s="436" t="s">
        <v>481</v>
      </c>
      <c r="AKB42" s="483"/>
      <c r="AKC42" s="480" t="s">
        <v>586</v>
      </c>
      <c r="AKD42" s="484"/>
      <c r="AKE42" s="440" t="s">
        <v>460</v>
      </c>
      <c r="ALA42" s="436" t="s">
        <v>481</v>
      </c>
      <c r="ALB42" s="483"/>
      <c r="ALC42" s="480" t="s">
        <v>586</v>
      </c>
      <c r="ALD42" s="484"/>
      <c r="ALE42" s="440" t="s">
        <v>460</v>
      </c>
      <c r="AMA42" s="436" t="s">
        <v>481</v>
      </c>
      <c r="AMB42" s="483"/>
      <c r="AMC42" s="480" t="s">
        <v>586</v>
      </c>
      <c r="AMD42" s="484"/>
      <c r="AME42" s="440" t="s">
        <v>460</v>
      </c>
      <c r="ANA42" s="436" t="s">
        <v>481</v>
      </c>
      <c r="ANB42" s="483"/>
      <c r="ANC42" s="480" t="s">
        <v>586</v>
      </c>
      <c r="AND42" s="484"/>
      <c r="ANE42" s="440" t="s">
        <v>460</v>
      </c>
      <c r="AOA42" s="436" t="s">
        <v>481</v>
      </c>
      <c r="AOB42" s="483"/>
      <c r="AOC42" s="480" t="s">
        <v>586</v>
      </c>
      <c r="AOD42" s="484"/>
      <c r="AOE42" s="440" t="s">
        <v>460</v>
      </c>
      <c r="APA42" s="436" t="s">
        <v>481</v>
      </c>
      <c r="APB42" s="483"/>
      <c r="APC42" s="480" t="s">
        <v>586</v>
      </c>
      <c r="APD42" s="484"/>
      <c r="APE42" s="440" t="s">
        <v>460</v>
      </c>
      <c r="AQA42" s="436" t="s">
        <v>481</v>
      </c>
      <c r="AQB42" s="483"/>
      <c r="AQC42" s="480" t="s">
        <v>586</v>
      </c>
      <c r="AQD42" s="484"/>
      <c r="AQE42" s="440" t="s">
        <v>460</v>
      </c>
      <c r="ARA42" s="436" t="s">
        <v>481</v>
      </c>
      <c r="ARB42" s="483"/>
      <c r="ARC42" s="480" t="s">
        <v>586</v>
      </c>
      <c r="ARD42" s="484"/>
      <c r="ARE42" s="440" t="s">
        <v>460</v>
      </c>
      <c r="ASA42" s="436" t="s">
        <v>481</v>
      </c>
      <c r="ASB42" s="483"/>
      <c r="ASC42" s="480" t="s">
        <v>586</v>
      </c>
      <c r="ASD42" s="484"/>
      <c r="ASE42" s="440" t="s">
        <v>460</v>
      </c>
      <c r="ATA42" s="436" t="s">
        <v>481</v>
      </c>
      <c r="ATB42" s="483"/>
      <c r="ATC42" s="480" t="s">
        <v>586</v>
      </c>
      <c r="ATD42" s="484"/>
      <c r="ATE42" s="440" t="s">
        <v>460</v>
      </c>
      <c r="AUA42" s="436" t="s">
        <v>481</v>
      </c>
      <c r="AUB42" s="483"/>
      <c r="AUC42" s="480" t="s">
        <v>586</v>
      </c>
      <c r="AUD42" s="484"/>
      <c r="AUE42" s="440" t="s">
        <v>460</v>
      </c>
      <c r="AVA42" s="436" t="s">
        <v>481</v>
      </c>
      <c r="AVB42" s="483"/>
      <c r="AVC42" s="480" t="s">
        <v>586</v>
      </c>
      <c r="AVD42" s="484"/>
      <c r="AVE42" s="440" t="s">
        <v>460</v>
      </c>
      <c r="AWA42" s="436" t="s">
        <v>481</v>
      </c>
      <c r="AWB42" s="483"/>
      <c r="AWC42" s="480" t="s">
        <v>586</v>
      </c>
      <c r="AWD42" s="484"/>
      <c r="AWE42" s="440" t="s">
        <v>460</v>
      </c>
      <c r="AXA42" s="436" t="s">
        <v>481</v>
      </c>
      <c r="AXB42" s="483"/>
      <c r="AXC42" s="480" t="s">
        <v>586</v>
      </c>
      <c r="AXD42" s="484"/>
      <c r="AXE42" s="440" t="s">
        <v>460</v>
      </c>
      <c r="AYA42" s="436" t="s">
        <v>481</v>
      </c>
      <c r="AYB42" s="483"/>
      <c r="AYC42" s="480" t="s">
        <v>586</v>
      </c>
      <c r="AYD42" s="484"/>
      <c r="AYE42" s="440" t="s">
        <v>460</v>
      </c>
      <c r="AZA42" s="436" t="s">
        <v>481</v>
      </c>
      <c r="AZB42" s="483"/>
      <c r="AZC42" s="480" t="s">
        <v>586</v>
      </c>
      <c r="AZD42" s="484"/>
      <c r="AZE42" s="440" t="s">
        <v>460</v>
      </c>
      <c r="BAA42" s="436" t="s">
        <v>481</v>
      </c>
      <c r="BAB42" s="483"/>
      <c r="BAC42" s="480" t="s">
        <v>586</v>
      </c>
      <c r="BAD42" s="484"/>
      <c r="BAE42" s="440" t="s">
        <v>460</v>
      </c>
      <c r="BBA42" s="436" t="s">
        <v>481</v>
      </c>
      <c r="BBB42" s="483"/>
      <c r="BBC42" s="480" t="s">
        <v>586</v>
      </c>
      <c r="BBD42" s="484"/>
      <c r="BBE42" s="440" t="s">
        <v>460</v>
      </c>
      <c r="BCA42" s="436" t="s">
        <v>481</v>
      </c>
      <c r="BCB42" s="483"/>
      <c r="BCC42" s="480" t="s">
        <v>586</v>
      </c>
      <c r="BCD42" s="484"/>
      <c r="BCE42" s="440" t="s">
        <v>460</v>
      </c>
      <c r="BDA42" s="436" t="s">
        <v>481</v>
      </c>
      <c r="BDB42" s="483"/>
      <c r="BDC42" s="480" t="s">
        <v>586</v>
      </c>
      <c r="BDD42" s="484"/>
      <c r="BDE42" s="440" t="s">
        <v>460</v>
      </c>
      <c r="BEA42" s="436" t="s">
        <v>481</v>
      </c>
      <c r="BEB42" s="483"/>
      <c r="BEC42" s="480" t="s">
        <v>586</v>
      </c>
      <c r="BED42" s="484"/>
      <c r="BEE42" s="440" t="s">
        <v>460</v>
      </c>
      <c r="BFA42" s="436" t="s">
        <v>481</v>
      </c>
      <c r="BFB42" s="483"/>
      <c r="BFC42" s="480" t="s">
        <v>586</v>
      </c>
      <c r="BFD42" s="484"/>
      <c r="BFE42" s="440" t="s">
        <v>460</v>
      </c>
      <c r="BGA42" s="436" t="s">
        <v>481</v>
      </c>
      <c r="BGB42" s="483"/>
      <c r="BGC42" s="480" t="s">
        <v>586</v>
      </c>
      <c r="BGD42" s="484"/>
      <c r="BGE42" s="440" t="s">
        <v>460</v>
      </c>
      <c r="BHA42" s="436" t="s">
        <v>481</v>
      </c>
      <c r="BHB42" s="483"/>
      <c r="BHC42" s="480" t="s">
        <v>586</v>
      </c>
      <c r="BHD42" s="484"/>
      <c r="BHE42" s="440" t="s">
        <v>460</v>
      </c>
      <c r="BIA42" s="436" t="s">
        <v>481</v>
      </c>
      <c r="BIB42" s="483"/>
      <c r="BIC42" s="480" t="s">
        <v>586</v>
      </c>
      <c r="BID42" s="484"/>
      <c r="BIE42" s="440" t="s">
        <v>460</v>
      </c>
      <c r="BJA42" s="436" t="s">
        <v>481</v>
      </c>
      <c r="BJB42" s="483"/>
      <c r="BJC42" s="480" t="s">
        <v>586</v>
      </c>
      <c r="BJD42" s="484"/>
      <c r="BJE42" s="440" t="s">
        <v>460</v>
      </c>
      <c r="BKA42" s="436" t="s">
        <v>481</v>
      </c>
      <c r="BKB42" s="483"/>
      <c r="BKC42" s="480" t="s">
        <v>586</v>
      </c>
      <c r="BKD42" s="484"/>
      <c r="BKE42" s="440" t="s">
        <v>460</v>
      </c>
      <c r="BLA42" s="436" t="s">
        <v>481</v>
      </c>
      <c r="BLB42" s="483"/>
      <c r="BLC42" s="480" t="s">
        <v>586</v>
      </c>
      <c r="BLD42" s="484"/>
      <c r="BLE42" s="440" t="s">
        <v>460</v>
      </c>
      <c r="BMA42" s="436" t="s">
        <v>481</v>
      </c>
      <c r="BMB42" s="483"/>
      <c r="BMC42" s="480" t="s">
        <v>586</v>
      </c>
      <c r="BMD42" s="484"/>
      <c r="BME42" s="440" t="s">
        <v>460</v>
      </c>
      <c r="BNA42" s="436" t="s">
        <v>481</v>
      </c>
      <c r="BNB42" s="483"/>
      <c r="BNC42" s="480" t="s">
        <v>586</v>
      </c>
      <c r="BND42" s="484"/>
      <c r="BNE42" s="440" t="s">
        <v>460</v>
      </c>
      <c r="BOA42" s="436" t="s">
        <v>481</v>
      </c>
      <c r="BOB42" s="483"/>
      <c r="BOC42" s="480" t="s">
        <v>586</v>
      </c>
      <c r="BOD42" s="484"/>
      <c r="BOE42" s="440" t="s">
        <v>460</v>
      </c>
      <c r="BPA42" s="436" t="s">
        <v>481</v>
      </c>
      <c r="BPB42" s="483"/>
      <c r="BPC42" s="480" t="s">
        <v>586</v>
      </c>
      <c r="BPD42" s="484"/>
      <c r="BPE42" s="440" t="s">
        <v>460</v>
      </c>
      <c r="BQA42" s="436" t="s">
        <v>481</v>
      </c>
      <c r="BQB42" s="483"/>
      <c r="BQC42" s="480" t="s">
        <v>586</v>
      </c>
      <c r="BQD42" s="484"/>
      <c r="BQE42" s="440" t="s">
        <v>460</v>
      </c>
      <c r="BRA42" s="436" t="s">
        <v>481</v>
      </c>
      <c r="BRB42" s="483"/>
      <c r="BRC42" s="480" t="s">
        <v>586</v>
      </c>
      <c r="BRD42" s="484"/>
      <c r="BRE42" s="440" t="s">
        <v>460</v>
      </c>
    </row>
    <row r="43" spans="1:1019 1041:1825">
      <c r="A43" s="1036"/>
      <c r="B43" s="1015" t="s">
        <v>1496</v>
      </c>
      <c r="AA43" s="436"/>
      <c r="AB43" s="120"/>
      <c r="AC43" s="223"/>
      <c r="AD43" s="467"/>
      <c r="AE43" s="440"/>
      <c r="BA43" s="436"/>
      <c r="BB43" s="120"/>
      <c r="BC43" s="223"/>
      <c r="BD43" s="467"/>
      <c r="BE43" s="440"/>
      <c r="CA43" s="436"/>
      <c r="CB43" s="120"/>
      <c r="CC43" s="223"/>
      <c r="CD43" s="467"/>
      <c r="CE43" s="440"/>
      <c r="DA43" s="436"/>
      <c r="DB43" s="120"/>
      <c r="DC43" s="223"/>
      <c r="DD43" s="467"/>
      <c r="DE43" s="440"/>
      <c r="EA43" s="436"/>
      <c r="EB43" s="120"/>
      <c r="EC43" s="223"/>
      <c r="ED43" s="467"/>
      <c r="EE43" s="440"/>
      <c r="FA43" s="436"/>
      <c r="FB43" s="120"/>
      <c r="FC43" s="223"/>
      <c r="FD43" s="467"/>
      <c r="FE43" s="440"/>
      <c r="GA43" s="436"/>
      <c r="GB43" s="120"/>
      <c r="GC43" s="223"/>
      <c r="GD43" s="467"/>
      <c r="GE43" s="440"/>
      <c r="HA43" s="436"/>
      <c r="HB43" s="120"/>
      <c r="HC43" s="223"/>
      <c r="HD43" s="467"/>
      <c r="HE43" s="440"/>
      <c r="IA43" s="436"/>
      <c r="IB43" s="120"/>
      <c r="IC43" s="223"/>
      <c r="ID43" s="467"/>
      <c r="IE43" s="440"/>
      <c r="JA43" s="436"/>
      <c r="JB43" s="120"/>
      <c r="JC43" s="223"/>
      <c r="JD43" s="467"/>
      <c r="JE43" s="440"/>
      <c r="KA43" s="436"/>
      <c r="KB43" s="120"/>
      <c r="KC43" s="223"/>
      <c r="KD43" s="467"/>
      <c r="KE43" s="440"/>
      <c r="LA43" s="436"/>
      <c r="LB43" s="120"/>
      <c r="LC43" s="223"/>
      <c r="LD43" s="467"/>
      <c r="LE43" s="440"/>
      <c r="MA43" s="436"/>
      <c r="MB43" s="120"/>
      <c r="MC43" s="223"/>
      <c r="MD43" s="467"/>
      <c r="ME43" s="440"/>
      <c r="NA43" s="436"/>
      <c r="NB43" s="120"/>
      <c r="NC43" s="223"/>
      <c r="ND43" s="467"/>
      <c r="NE43" s="440"/>
      <c r="OA43" s="436"/>
      <c r="OB43" s="120"/>
      <c r="OC43" s="223"/>
      <c r="OD43" s="467"/>
      <c r="OE43" s="440"/>
      <c r="PA43" s="436"/>
      <c r="PB43" s="120"/>
      <c r="PC43" s="223"/>
      <c r="PD43" s="467"/>
      <c r="PE43" s="440"/>
      <c r="QA43" s="436"/>
      <c r="QB43" s="120"/>
      <c r="QC43" s="223"/>
      <c r="QD43" s="467"/>
      <c r="QE43" s="440"/>
      <c r="RA43" s="436"/>
      <c r="RB43" s="120"/>
      <c r="RC43" s="223"/>
      <c r="RD43" s="467"/>
      <c r="RE43" s="440"/>
      <c r="SA43" s="436"/>
      <c r="SB43" s="120"/>
      <c r="SC43" s="223"/>
      <c r="SD43" s="467"/>
      <c r="SE43" s="440"/>
      <c r="TA43" s="436"/>
      <c r="TB43" s="120"/>
      <c r="TC43" s="223"/>
      <c r="TD43" s="467"/>
      <c r="TE43" s="440"/>
      <c r="UA43" s="436"/>
      <c r="UB43" s="120"/>
      <c r="UC43" s="223"/>
      <c r="UD43" s="467"/>
      <c r="UE43" s="440"/>
      <c r="VA43" s="436"/>
      <c r="VB43" s="120"/>
      <c r="VC43" s="223"/>
      <c r="VD43" s="467"/>
      <c r="VE43" s="440"/>
      <c r="WA43" s="436"/>
      <c r="WB43" s="120"/>
      <c r="WC43" s="223"/>
      <c r="WD43" s="467"/>
      <c r="WE43" s="440"/>
      <c r="XA43" s="436"/>
      <c r="XB43" s="120"/>
      <c r="XC43" s="223"/>
      <c r="XD43" s="467"/>
      <c r="XE43" s="440"/>
      <c r="YA43" s="436"/>
      <c r="YB43" s="120"/>
      <c r="YC43" s="223"/>
      <c r="YD43" s="467"/>
      <c r="YE43" s="440"/>
      <c r="ZA43" s="436"/>
      <c r="ZB43" s="120"/>
      <c r="ZC43" s="223"/>
      <c r="ZD43" s="467"/>
      <c r="ZE43" s="440"/>
      <c r="AAA43" s="436"/>
      <c r="AAB43" s="120"/>
      <c r="AAC43" s="223"/>
      <c r="AAD43" s="467"/>
      <c r="AAE43" s="440"/>
      <c r="ABA43" s="436"/>
      <c r="ABB43" s="120"/>
      <c r="ABC43" s="223"/>
      <c r="ABD43" s="467"/>
      <c r="ABE43" s="440"/>
      <c r="ACA43" s="436"/>
      <c r="ACB43" s="120"/>
      <c r="ACC43" s="223"/>
      <c r="ACD43" s="467"/>
      <c r="ACE43" s="440"/>
      <c r="ADA43" s="436"/>
      <c r="ADB43" s="120"/>
      <c r="ADC43" s="223"/>
      <c r="ADD43" s="467"/>
      <c r="ADE43" s="440"/>
      <c r="AEA43" s="436"/>
      <c r="AEB43" s="120"/>
      <c r="AEC43" s="223"/>
      <c r="AED43" s="467"/>
      <c r="AEE43" s="440"/>
      <c r="AFA43" s="436"/>
      <c r="AFB43" s="120"/>
      <c r="AFC43" s="223"/>
      <c r="AFD43" s="467"/>
      <c r="AFE43" s="440"/>
      <c r="AGA43" s="436"/>
      <c r="AGB43" s="120"/>
      <c r="AGC43" s="223"/>
      <c r="AGD43" s="467"/>
      <c r="AGE43" s="440"/>
      <c r="AHA43" s="436"/>
      <c r="AHB43" s="120"/>
      <c r="AHC43" s="223"/>
      <c r="AHD43" s="467"/>
      <c r="AHE43" s="440"/>
      <c r="AIA43" s="436"/>
      <c r="AIB43" s="120"/>
      <c r="AIC43" s="223"/>
      <c r="AID43" s="467"/>
      <c r="AIE43" s="440"/>
      <c r="AJA43" s="436"/>
      <c r="AJB43" s="120"/>
      <c r="AJC43" s="223"/>
      <c r="AJD43" s="467"/>
      <c r="AJE43" s="440"/>
      <c r="AKA43" s="436"/>
      <c r="AKB43" s="120"/>
      <c r="AKC43" s="223"/>
      <c r="AKD43" s="467"/>
      <c r="AKE43" s="440"/>
      <c r="ALA43" s="436"/>
      <c r="ALB43" s="120"/>
      <c r="ALC43" s="223"/>
      <c r="ALD43" s="467"/>
      <c r="ALE43" s="440"/>
      <c r="AMA43" s="436"/>
      <c r="AMB43" s="120"/>
      <c r="AMC43" s="223"/>
      <c r="AMD43" s="467"/>
      <c r="AME43" s="440"/>
      <c r="ANA43" s="436"/>
      <c r="ANB43" s="120"/>
      <c r="ANC43" s="223"/>
      <c r="AND43" s="467"/>
      <c r="ANE43" s="440"/>
      <c r="AOA43" s="436"/>
      <c r="AOB43" s="120"/>
      <c r="AOC43" s="223"/>
      <c r="AOD43" s="467"/>
      <c r="AOE43" s="440"/>
      <c r="APA43" s="436"/>
      <c r="APB43" s="120"/>
      <c r="APC43" s="223"/>
      <c r="APD43" s="467"/>
      <c r="APE43" s="440"/>
      <c r="AQA43" s="436"/>
      <c r="AQB43" s="120"/>
      <c r="AQC43" s="223"/>
      <c r="AQD43" s="467"/>
      <c r="AQE43" s="440"/>
      <c r="ARA43" s="436"/>
      <c r="ARB43" s="120"/>
      <c r="ARC43" s="223"/>
      <c r="ARD43" s="467"/>
      <c r="ARE43" s="440"/>
      <c r="ASA43" s="436"/>
      <c r="ASB43" s="120"/>
      <c r="ASC43" s="223"/>
      <c r="ASD43" s="467"/>
      <c r="ASE43" s="440"/>
      <c r="ATA43" s="436"/>
      <c r="ATB43" s="120"/>
      <c r="ATC43" s="223"/>
      <c r="ATD43" s="467"/>
      <c r="ATE43" s="440"/>
      <c r="AUA43" s="436"/>
      <c r="AUB43" s="120"/>
      <c r="AUC43" s="223"/>
      <c r="AUD43" s="467"/>
      <c r="AUE43" s="440"/>
      <c r="AVA43" s="436"/>
      <c r="AVB43" s="120"/>
      <c r="AVC43" s="223"/>
      <c r="AVD43" s="467"/>
      <c r="AVE43" s="440"/>
      <c r="AWA43" s="436"/>
      <c r="AWB43" s="120"/>
      <c r="AWC43" s="223"/>
      <c r="AWD43" s="467"/>
      <c r="AWE43" s="440"/>
      <c r="AXA43" s="436"/>
      <c r="AXB43" s="120"/>
      <c r="AXC43" s="223"/>
      <c r="AXD43" s="467"/>
      <c r="AXE43" s="440"/>
      <c r="AYA43" s="436"/>
      <c r="AYB43" s="120"/>
      <c r="AYC43" s="223"/>
      <c r="AYD43" s="467"/>
      <c r="AYE43" s="440"/>
      <c r="AZA43" s="436"/>
      <c r="AZB43" s="120"/>
      <c r="AZC43" s="223"/>
      <c r="AZD43" s="467"/>
      <c r="AZE43" s="440"/>
      <c r="BAA43" s="436"/>
      <c r="BAB43" s="120"/>
      <c r="BAC43" s="223"/>
      <c r="BAD43" s="467"/>
      <c r="BAE43" s="440"/>
      <c r="BBA43" s="436"/>
      <c r="BBB43" s="120"/>
      <c r="BBC43" s="223"/>
      <c r="BBD43" s="467"/>
      <c r="BBE43" s="440"/>
      <c r="BCA43" s="436"/>
      <c r="BCB43" s="120"/>
      <c r="BCC43" s="223"/>
      <c r="BCD43" s="467"/>
      <c r="BCE43" s="440"/>
      <c r="BDA43" s="436"/>
      <c r="BDB43" s="120"/>
      <c r="BDC43" s="223"/>
      <c r="BDD43" s="467"/>
      <c r="BDE43" s="440"/>
      <c r="BEA43" s="436"/>
      <c r="BEB43" s="120"/>
      <c r="BEC43" s="223"/>
      <c r="BED43" s="467"/>
      <c r="BEE43" s="440"/>
      <c r="BFA43" s="436"/>
      <c r="BFB43" s="120"/>
      <c r="BFC43" s="223"/>
      <c r="BFD43" s="467"/>
      <c r="BFE43" s="440"/>
      <c r="BGA43" s="436"/>
      <c r="BGB43" s="120"/>
      <c r="BGC43" s="223"/>
      <c r="BGD43" s="467"/>
      <c r="BGE43" s="440"/>
      <c r="BHA43" s="436"/>
      <c r="BHB43" s="120"/>
      <c r="BHC43" s="223"/>
      <c r="BHD43" s="467"/>
      <c r="BHE43" s="440"/>
      <c r="BIA43" s="436"/>
      <c r="BIB43" s="120"/>
      <c r="BIC43" s="223"/>
      <c r="BID43" s="467"/>
      <c r="BIE43" s="440"/>
      <c r="BJA43" s="436"/>
      <c r="BJB43" s="120"/>
      <c r="BJC43" s="223"/>
      <c r="BJD43" s="467"/>
      <c r="BJE43" s="440"/>
      <c r="BKA43" s="436"/>
      <c r="BKB43" s="120"/>
      <c r="BKC43" s="223"/>
      <c r="BKD43" s="467"/>
      <c r="BKE43" s="440"/>
      <c r="BLA43" s="436"/>
      <c r="BLB43" s="120"/>
      <c r="BLC43" s="223"/>
      <c r="BLD43" s="467"/>
      <c r="BLE43" s="440"/>
      <c r="BMA43" s="436"/>
      <c r="BMB43" s="120"/>
      <c r="BMC43" s="223"/>
      <c r="BMD43" s="467"/>
      <c r="BME43" s="440"/>
      <c r="BNA43" s="436"/>
      <c r="BNB43" s="120"/>
      <c r="BNC43" s="223"/>
      <c r="BND43" s="467"/>
      <c r="BNE43" s="440"/>
      <c r="BOA43" s="436"/>
      <c r="BOB43" s="120"/>
      <c r="BOC43" s="223"/>
      <c r="BOD43" s="467"/>
      <c r="BOE43" s="440"/>
      <c r="BPA43" s="436"/>
      <c r="BPB43" s="120"/>
      <c r="BPC43" s="223"/>
      <c r="BPD43" s="467"/>
      <c r="BPE43" s="440"/>
      <c r="BQA43" s="436"/>
      <c r="BQB43" s="120"/>
      <c r="BQC43" s="223"/>
      <c r="BQD43" s="467"/>
      <c r="BQE43" s="440"/>
      <c r="BRA43" s="436"/>
      <c r="BRB43" s="120"/>
      <c r="BRC43" s="223"/>
      <c r="BRD43" s="467"/>
      <c r="BRE43" s="440"/>
    </row>
    <row r="44" spans="1:1019 1041:1825">
      <c r="A44" s="1036"/>
      <c r="B44" s="1015" t="s">
        <v>1497</v>
      </c>
      <c r="AA44" s="436"/>
      <c r="AB44" s="120"/>
      <c r="AC44" s="466"/>
      <c r="AD44" s="467"/>
      <c r="AE44" s="440"/>
      <c r="BA44" s="436"/>
      <c r="BB44" s="120"/>
      <c r="BC44" s="466"/>
      <c r="BD44" s="467"/>
      <c r="BE44" s="440"/>
      <c r="CA44" s="436"/>
      <c r="CB44" s="120"/>
      <c r="CC44" s="466"/>
      <c r="CD44" s="467"/>
      <c r="CE44" s="440"/>
      <c r="DA44" s="436"/>
      <c r="DB44" s="120"/>
      <c r="DC44" s="466"/>
      <c r="DD44" s="467"/>
      <c r="DE44" s="440"/>
      <c r="EA44" s="436"/>
      <c r="EB44" s="120"/>
      <c r="EC44" s="466"/>
      <c r="ED44" s="467"/>
      <c r="EE44" s="440"/>
      <c r="FA44" s="436"/>
      <c r="FB44" s="120"/>
      <c r="FC44" s="466"/>
      <c r="FD44" s="467"/>
      <c r="FE44" s="440"/>
      <c r="GA44" s="436"/>
      <c r="GB44" s="120"/>
      <c r="GC44" s="466"/>
      <c r="GD44" s="467"/>
      <c r="GE44" s="440"/>
      <c r="HA44" s="436"/>
      <c r="HB44" s="120"/>
      <c r="HC44" s="466"/>
      <c r="HD44" s="467"/>
      <c r="HE44" s="440"/>
      <c r="IA44" s="436"/>
      <c r="IB44" s="120"/>
      <c r="IC44" s="466"/>
      <c r="ID44" s="467"/>
      <c r="IE44" s="440"/>
      <c r="JA44" s="436"/>
      <c r="JB44" s="120"/>
      <c r="JC44" s="466"/>
      <c r="JD44" s="467"/>
      <c r="JE44" s="440"/>
      <c r="KA44" s="436"/>
      <c r="KB44" s="120"/>
      <c r="KC44" s="466"/>
      <c r="KD44" s="467"/>
      <c r="KE44" s="440"/>
      <c r="LA44" s="436"/>
      <c r="LB44" s="120"/>
      <c r="LC44" s="466"/>
      <c r="LD44" s="467"/>
      <c r="LE44" s="440"/>
      <c r="MA44" s="436"/>
      <c r="MB44" s="120"/>
      <c r="MC44" s="466"/>
      <c r="MD44" s="467"/>
      <c r="ME44" s="440"/>
      <c r="NA44" s="436"/>
      <c r="NB44" s="120"/>
      <c r="NC44" s="466"/>
      <c r="ND44" s="467"/>
      <c r="NE44" s="440"/>
      <c r="OA44" s="436"/>
      <c r="OB44" s="120"/>
      <c r="OC44" s="466"/>
      <c r="OD44" s="467"/>
      <c r="OE44" s="440"/>
      <c r="PA44" s="436"/>
      <c r="PB44" s="120"/>
      <c r="PC44" s="466"/>
      <c r="PD44" s="467"/>
      <c r="PE44" s="440"/>
      <c r="QA44" s="436"/>
      <c r="QB44" s="120"/>
      <c r="QC44" s="466"/>
      <c r="QD44" s="467"/>
      <c r="QE44" s="440"/>
      <c r="RA44" s="436"/>
      <c r="RB44" s="120"/>
      <c r="RC44" s="466"/>
      <c r="RD44" s="467"/>
      <c r="RE44" s="440"/>
      <c r="SA44" s="436"/>
      <c r="SB44" s="120"/>
      <c r="SC44" s="466"/>
      <c r="SD44" s="467"/>
      <c r="SE44" s="440"/>
      <c r="TA44" s="436"/>
      <c r="TB44" s="120"/>
      <c r="TC44" s="466"/>
      <c r="TD44" s="467"/>
      <c r="TE44" s="440"/>
      <c r="UA44" s="436"/>
      <c r="UB44" s="120"/>
      <c r="UC44" s="466"/>
      <c r="UD44" s="467"/>
      <c r="UE44" s="440"/>
      <c r="VA44" s="436"/>
      <c r="VB44" s="120"/>
      <c r="VC44" s="466"/>
      <c r="VD44" s="467"/>
      <c r="VE44" s="440"/>
      <c r="WA44" s="436"/>
      <c r="WB44" s="120"/>
      <c r="WC44" s="466"/>
      <c r="WD44" s="467"/>
      <c r="WE44" s="440"/>
      <c r="XA44" s="436"/>
      <c r="XB44" s="120"/>
      <c r="XC44" s="466"/>
      <c r="XD44" s="467"/>
      <c r="XE44" s="440"/>
      <c r="YA44" s="436"/>
      <c r="YB44" s="120"/>
      <c r="YC44" s="466"/>
      <c r="YD44" s="467"/>
      <c r="YE44" s="440"/>
      <c r="ZA44" s="436"/>
      <c r="ZB44" s="120"/>
      <c r="ZC44" s="466"/>
      <c r="ZD44" s="467"/>
      <c r="ZE44" s="440"/>
      <c r="AAA44" s="436"/>
      <c r="AAB44" s="120"/>
      <c r="AAC44" s="466"/>
      <c r="AAD44" s="467"/>
      <c r="AAE44" s="440"/>
      <c r="ABA44" s="436"/>
      <c r="ABB44" s="120"/>
      <c r="ABC44" s="466"/>
      <c r="ABD44" s="467"/>
      <c r="ABE44" s="440"/>
      <c r="ACA44" s="436"/>
      <c r="ACB44" s="120"/>
      <c r="ACC44" s="466"/>
      <c r="ACD44" s="467"/>
      <c r="ACE44" s="440"/>
      <c r="ADA44" s="436"/>
      <c r="ADB44" s="120"/>
      <c r="ADC44" s="466"/>
      <c r="ADD44" s="467"/>
      <c r="ADE44" s="440"/>
      <c r="AEA44" s="436"/>
      <c r="AEB44" s="120"/>
      <c r="AEC44" s="466"/>
      <c r="AED44" s="467"/>
      <c r="AEE44" s="440"/>
      <c r="AFA44" s="436"/>
      <c r="AFB44" s="120"/>
      <c r="AFC44" s="466"/>
      <c r="AFD44" s="467"/>
      <c r="AFE44" s="440"/>
      <c r="AGA44" s="436"/>
      <c r="AGB44" s="120"/>
      <c r="AGC44" s="466"/>
      <c r="AGD44" s="467"/>
      <c r="AGE44" s="440"/>
      <c r="AHA44" s="436"/>
      <c r="AHB44" s="120"/>
      <c r="AHC44" s="466"/>
      <c r="AHD44" s="467"/>
      <c r="AHE44" s="440"/>
      <c r="AIA44" s="436"/>
      <c r="AIB44" s="120"/>
      <c r="AIC44" s="466"/>
      <c r="AID44" s="467"/>
      <c r="AIE44" s="440"/>
      <c r="AJA44" s="436"/>
      <c r="AJB44" s="120"/>
      <c r="AJC44" s="466"/>
      <c r="AJD44" s="467"/>
      <c r="AJE44" s="440"/>
      <c r="AKA44" s="436"/>
      <c r="AKB44" s="120"/>
      <c r="AKC44" s="466"/>
      <c r="AKD44" s="467"/>
      <c r="AKE44" s="440"/>
      <c r="ALA44" s="436"/>
      <c r="ALB44" s="120"/>
      <c r="ALC44" s="466"/>
      <c r="ALD44" s="467"/>
      <c r="ALE44" s="440"/>
      <c r="AMA44" s="436"/>
      <c r="AMB44" s="120"/>
      <c r="AMC44" s="466"/>
      <c r="AMD44" s="467"/>
      <c r="AME44" s="440"/>
      <c r="ANA44" s="436"/>
      <c r="ANB44" s="120"/>
      <c r="ANC44" s="466"/>
      <c r="AND44" s="467"/>
      <c r="ANE44" s="440"/>
      <c r="AOA44" s="436"/>
      <c r="AOB44" s="120"/>
      <c r="AOC44" s="466"/>
      <c r="AOD44" s="467"/>
      <c r="AOE44" s="440"/>
      <c r="APA44" s="436"/>
      <c r="APB44" s="120"/>
      <c r="APC44" s="466"/>
      <c r="APD44" s="467"/>
      <c r="APE44" s="440"/>
      <c r="AQA44" s="436"/>
      <c r="AQB44" s="120"/>
      <c r="AQC44" s="466"/>
      <c r="AQD44" s="467"/>
      <c r="AQE44" s="440"/>
      <c r="ARA44" s="436"/>
      <c r="ARB44" s="120"/>
      <c r="ARC44" s="466"/>
      <c r="ARD44" s="467"/>
      <c r="ARE44" s="440"/>
      <c r="ASA44" s="436"/>
      <c r="ASB44" s="120"/>
      <c r="ASC44" s="466"/>
      <c r="ASD44" s="467"/>
      <c r="ASE44" s="440"/>
      <c r="ATA44" s="436"/>
      <c r="ATB44" s="120"/>
      <c r="ATC44" s="466"/>
      <c r="ATD44" s="467"/>
      <c r="ATE44" s="440"/>
      <c r="AUA44" s="436"/>
      <c r="AUB44" s="120"/>
      <c r="AUC44" s="466"/>
      <c r="AUD44" s="467"/>
      <c r="AUE44" s="440"/>
      <c r="AVA44" s="436"/>
      <c r="AVB44" s="120"/>
      <c r="AVC44" s="466"/>
      <c r="AVD44" s="467"/>
      <c r="AVE44" s="440"/>
      <c r="AWA44" s="436"/>
      <c r="AWB44" s="120"/>
      <c r="AWC44" s="466"/>
      <c r="AWD44" s="467"/>
      <c r="AWE44" s="440"/>
      <c r="AXA44" s="436"/>
      <c r="AXB44" s="120"/>
      <c r="AXC44" s="466"/>
      <c r="AXD44" s="467"/>
      <c r="AXE44" s="440"/>
      <c r="AYA44" s="436"/>
      <c r="AYB44" s="120"/>
      <c r="AYC44" s="466"/>
      <c r="AYD44" s="467"/>
      <c r="AYE44" s="440"/>
      <c r="AZA44" s="436"/>
      <c r="AZB44" s="120"/>
      <c r="AZC44" s="466"/>
      <c r="AZD44" s="467"/>
      <c r="AZE44" s="440"/>
      <c r="BAA44" s="436"/>
      <c r="BAB44" s="120"/>
      <c r="BAC44" s="466"/>
      <c r="BAD44" s="467"/>
      <c r="BAE44" s="440"/>
      <c r="BBA44" s="436"/>
      <c r="BBB44" s="120"/>
      <c r="BBC44" s="466"/>
      <c r="BBD44" s="467"/>
      <c r="BBE44" s="440"/>
      <c r="BCA44" s="436"/>
      <c r="BCB44" s="120"/>
      <c r="BCC44" s="466"/>
      <c r="BCD44" s="467"/>
      <c r="BCE44" s="440"/>
      <c r="BDA44" s="436"/>
      <c r="BDB44" s="120"/>
      <c r="BDC44" s="466"/>
      <c r="BDD44" s="467"/>
      <c r="BDE44" s="440"/>
      <c r="BEA44" s="436"/>
      <c r="BEB44" s="120"/>
      <c r="BEC44" s="466"/>
      <c r="BED44" s="467"/>
      <c r="BEE44" s="440"/>
      <c r="BFA44" s="436"/>
      <c r="BFB44" s="120"/>
      <c r="BFC44" s="466"/>
      <c r="BFD44" s="467"/>
      <c r="BFE44" s="440"/>
      <c r="BGA44" s="436"/>
      <c r="BGB44" s="120"/>
      <c r="BGC44" s="466"/>
      <c r="BGD44" s="467"/>
      <c r="BGE44" s="440"/>
      <c r="BHA44" s="436"/>
      <c r="BHB44" s="120"/>
      <c r="BHC44" s="466"/>
      <c r="BHD44" s="467"/>
      <c r="BHE44" s="440"/>
      <c r="BIA44" s="436"/>
      <c r="BIB44" s="120"/>
      <c r="BIC44" s="466"/>
      <c r="BID44" s="467"/>
      <c r="BIE44" s="440"/>
      <c r="BJA44" s="436"/>
      <c r="BJB44" s="120"/>
      <c r="BJC44" s="466"/>
      <c r="BJD44" s="467"/>
      <c r="BJE44" s="440"/>
      <c r="BKA44" s="436"/>
      <c r="BKB44" s="120"/>
      <c r="BKC44" s="466"/>
      <c r="BKD44" s="467"/>
      <c r="BKE44" s="440"/>
      <c r="BLA44" s="436"/>
      <c r="BLB44" s="120"/>
      <c r="BLC44" s="466"/>
      <c r="BLD44" s="467"/>
      <c r="BLE44" s="440"/>
      <c r="BMA44" s="436"/>
      <c r="BMB44" s="120"/>
      <c r="BMC44" s="466"/>
      <c r="BMD44" s="467"/>
      <c r="BME44" s="440"/>
      <c r="BNA44" s="436"/>
      <c r="BNB44" s="120"/>
      <c r="BNC44" s="466"/>
      <c r="BND44" s="467"/>
      <c r="BNE44" s="440"/>
      <c r="BOA44" s="436"/>
      <c r="BOB44" s="120"/>
      <c r="BOC44" s="466"/>
      <c r="BOD44" s="467"/>
      <c r="BOE44" s="440"/>
      <c r="BPA44" s="436"/>
      <c r="BPB44" s="120"/>
      <c r="BPC44" s="466"/>
      <c r="BPD44" s="467"/>
      <c r="BPE44" s="440"/>
      <c r="BQA44" s="436"/>
      <c r="BQB44" s="120"/>
      <c r="BQC44" s="466"/>
      <c r="BQD44" s="467"/>
      <c r="BQE44" s="440"/>
      <c r="BRA44" s="436"/>
      <c r="BRB44" s="120"/>
      <c r="BRC44" s="466"/>
      <c r="BRD44" s="467"/>
      <c r="BRE44" s="440"/>
    </row>
    <row r="45" spans="1:1019 1041:1825">
      <c r="A45" s="1036"/>
      <c r="B45" s="1015" t="s">
        <v>1498</v>
      </c>
      <c r="AA45" s="436"/>
      <c r="AB45" s="120"/>
      <c r="AC45" s="223"/>
      <c r="AD45" s="467"/>
      <c r="AE45" s="440"/>
      <c r="BA45" s="436"/>
      <c r="BB45" s="120"/>
      <c r="BC45" s="223"/>
      <c r="BD45" s="467"/>
      <c r="BE45" s="440"/>
      <c r="CA45" s="436"/>
      <c r="CB45" s="120"/>
      <c r="CC45" s="223"/>
      <c r="CD45" s="467"/>
      <c r="CE45" s="440"/>
      <c r="DA45" s="436"/>
      <c r="DB45" s="120"/>
      <c r="DC45" s="223"/>
      <c r="DD45" s="467"/>
      <c r="DE45" s="440"/>
      <c r="EA45" s="436"/>
      <c r="EB45" s="120"/>
      <c r="EC45" s="223"/>
      <c r="ED45" s="467"/>
      <c r="EE45" s="440"/>
      <c r="FA45" s="436"/>
      <c r="FB45" s="120"/>
      <c r="FC45" s="223"/>
      <c r="FD45" s="467"/>
      <c r="FE45" s="440"/>
      <c r="GA45" s="436"/>
      <c r="GB45" s="120"/>
      <c r="GC45" s="223"/>
      <c r="GD45" s="467"/>
      <c r="GE45" s="440"/>
      <c r="HA45" s="436"/>
      <c r="HB45" s="120"/>
      <c r="HC45" s="223"/>
      <c r="HD45" s="467"/>
      <c r="HE45" s="440"/>
      <c r="IA45" s="436"/>
      <c r="IB45" s="120"/>
      <c r="IC45" s="223"/>
      <c r="ID45" s="467"/>
      <c r="IE45" s="440"/>
      <c r="JA45" s="436"/>
      <c r="JB45" s="120"/>
      <c r="JC45" s="223"/>
      <c r="JD45" s="467"/>
      <c r="JE45" s="440"/>
      <c r="KA45" s="436"/>
      <c r="KB45" s="120"/>
      <c r="KC45" s="223"/>
      <c r="KD45" s="467"/>
      <c r="KE45" s="440"/>
      <c r="LA45" s="436"/>
      <c r="LB45" s="120"/>
      <c r="LC45" s="223"/>
      <c r="LD45" s="467"/>
      <c r="LE45" s="440"/>
      <c r="MA45" s="436"/>
      <c r="MB45" s="120"/>
      <c r="MC45" s="223"/>
      <c r="MD45" s="467"/>
      <c r="ME45" s="440"/>
      <c r="NA45" s="436"/>
      <c r="NB45" s="120"/>
      <c r="NC45" s="223"/>
      <c r="ND45" s="467"/>
      <c r="NE45" s="440"/>
      <c r="OA45" s="436"/>
      <c r="OB45" s="120"/>
      <c r="OC45" s="223"/>
      <c r="OD45" s="467"/>
      <c r="OE45" s="440"/>
      <c r="PA45" s="436"/>
      <c r="PB45" s="120"/>
      <c r="PC45" s="223"/>
      <c r="PD45" s="467"/>
      <c r="PE45" s="440"/>
      <c r="QA45" s="436"/>
      <c r="QB45" s="120"/>
      <c r="QC45" s="223"/>
      <c r="QD45" s="467"/>
      <c r="QE45" s="440"/>
      <c r="RA45" s="436"/>
      <c r="RB45" s="120"/>
      <c r="RC45" s="223"/>
      <c r="RD45" s="467"/>
      <c r="RE45" s="440"/>
      <c r="SA45" s="436"/>
      <c r="SB45" s="120"/>
      <c r="SC45" s="223"/>
      <c r="SD45" s="467"/>
      <c r="SE45" s="440"/>
      <c r="TA45" s="436"/>
      <c r="TB45" s="120"/>
      <c r="TC45" s="223"/>
      <c r="TD45" s="467"/>
      <c r="TE45" s="440"/>
      <c r="UA45" s="436"/>
      <c r="UB45" s="120"/>
      <c r="UC45" s="223"/>
      <c r="UD45" s="467"/>
      <c r="UE45" s="440"/>
      <c r="VA45" s="436"/>
      <c r="VB45" s="120"/>
      <c r="VC45" s="223"/>
      <c r="VD45" s="467"/>
      <c r="VE45" s="440"/>
      <c r="WA45" s="436"/>
      <c r="WB45" s="120"/>
      <c r="WC45" s="223"/>
      <c r="WD45" s="467"/>
      <c r="WE45" s="440"/>
      <c r="XA45" s="436"/>
      <c r="XB45" s="120"/>
      <c r="XC45" s="223"/>
      <c r="XD45" s="467"/>
      <c r="XE45" s="440"/>
      <c r="YA45" s="436"/>
      <c r="YB45" s="120"/>
      <c r="YC45" s="223"/>
      <c r="YD45" s="467"/>
      <c r="YE45" s="440"/>
      <c r="ZA45" s="436"/>
      <c r="ZB45" s="120"/>
      <c r="ZC45" s="223"/>
      <c r="ZD45" s="467"/>
      <c r="ZE45" s="440"/>
      <c r="AAA45" s="436"/>
      <c r="AAB45" s="120"/>
      <c r="AAC45" s="223"/>
      <c r="AAD45" s="467"/>
      <c r="AAE45" s="440"/>
      <c r="ABA45" s="436"/>
      <c r="ABB45" s="120"/>
      <c r="ABC45" s="223"/>
      <c r="ABD45" s="467"/>
      <c r="ABE45" s="440"/>
      <c r="ACA45" s="436"/>
      <c r="ACB45" s="120"/>
      <c r="ACC45" s="223"/>
      <c r="ACD45" s="467"/>
      <c r="ACE45" s="440"/>
      <c r="ADA45" s="436"/>
      <c r="ADB45" s="120"/>
      <c r="ADC45" s="223"/>
      <c r="ADD45" s="467"/>
      <c r="ADE45" s="440"/>
      <c r="AEA45" s="436"/>
      <c r="AEB45" s="120"/>
      <c r="AEC45" s="223"/>
      <c r="AED45" s="467"/>
      <c r="AEE45" s="440"/>
      <c r="AFA45" s="436"/>
      <c r="AFB45" s="120"/>
      <c r="AFC45" s="223"/>
      <c r="AFD45" s="467"/>
      <c r="AFE45" s="440"/>
      <c r="AGA45" s="436"/>
      <c r="AGB45" s="120"/>
      <c r="AGC45" s="223"/>
      <c r="AGD45" s="467"/>
      <c r="AGE45" s="440"/>
      <c r="AHA45" s="436"/>
      <c r="AHB45" s="120"/>
      <c r="AHC45" s="223"/>
      <c r="AHD45" s="467"/>
      <c r="AHE45" s="440"/>
      <c r="AIA45" s="436"/>
      <c r="AIB45" s="120"/>
      <c r="AIC45" s="223"/>
      <c r="AID45" s="467"/>
      <c r="AIE45" s="440"/>
      <c r="AJA45" s="436"/>
      <c r="AJB45" s="120"/>
      <c r="AJC45" s="223"/>
      <c r="AJD45" s="467"/>
      <c r="AJE45" s="440"/>
      <c r="AKA45" s="436"/>
      <c r="AKB45" s="120"/>
      <c r="AKC45" s="223"/>
      <c r="AKD45" s="467"/>
      <c r="AKE45" s="440"/>
      <c r="ALA45" s="436"/>
      <c r="ALB45" s="120"/>
      <c r="ALC45" s="223"/>
      <c r="ALD45" s="467"/>
      <c r="ALE45" s="440"/>
      <c r="AMA45" s="436"/>
      <c r="AMB45" s="120"/>
      <c r="AMC45" s="223"/>
      <c r="AMD45" s="467"/>
      <c r="AME45" s="440"/>
      <c r="ANA45" s="436"/>
      <c r="ANB45" s="120"/>
      <c r="ANC45" s="223"/>
      <c r="AND45" s="467"/>
      <c r="ANE45" s="440"/>
      <c r="AOA45" s="436"/>
      <c r="AOB45" s="120"/>
      <c r="AOC45" s="223"/>
      <c r="AOD45" s="467"/>
      <c r="AOE45" s="440"/>
      <c r="APA45" s="436"/>
      <c r="APB45" s="120"/>
      <c r="APC45" s="223"/>
      <c r="APD45" s="467"/>
      <c r="APE45" s="440"/>
      <c r="AQA45" s="436"/>
      <c r="AQB45" s="120"/>
      <c r="AQC45" s="223"/>
      <c r="AQD45" s="467"/>
      <c r="AQE45" s="440"/>
      <c r="ARA45" s="436"/>
      <c r="ARB45" s="120"/>
      <c r="ARC45" s="223"/>
      <c r="ARD45" s="467"/>
      <c r="ARE45" s="440"/>
      <c r="ASA45" s="436"/>
      <c r="ASB45" s="120"/>
      <c r="ASC45" s="223"/>
      <c r="ASD45" s="467"/>
      <c r="ASE45" s="440"/>
      <c r="ATA45" s="436"/>
      <c r="ATB45" s="120"/>
      <c r="ATC45" s="223"/>
      <c r="ATD45" s="467"/>
      <c r="ATE45" s="440"/>
      <c r="AUA45" s="436"/>
      <c r="AUB45" s="120"/>
      <c r="AUC45" s="223"/>
      <c r="AUD45" s="467"/>
      <c r="AUE45" s="440"/>
      <c r="AVA45" s="436"/>
      <c r="AVB45" s="120"/>
      <c r="AVC45" s="223"/>
      <c r="AVD45" s="467"/>
      <c r="AVE45" s="440"/>
      <c r="AWA45" s="436"/>
      <c r="AWB45" s="120"/>
      <c r="AWC45" s="223"/>
      <c r="AWD45" s="467"/>
      <c r="AWE45" s="440"/>
      <c r="AXA45" s="436"/>
      <c r="AXB45" s="120"/>
      <c r="AXC45" s="223"/>
      <c r="AXD45" s="467"/>
      <c r="AXE45" s="440"/>
      <c r="AYA45" s="436"/>
      <c r="AYB45" s="120"/>
      <c r="AYC45" s="223"/>
      <c r="AYD45" s="467"/>
      <c r="AYE45" s="440"/>
      <c r="AZA45" s="436"/>
      <c r="AZB45" s="120"/>
      <c r="AZC45" s="223"/>
      <c r="AZD45" s="467"/>
      <c r="AZE45" s="440"/>
      <c r="BAA45" s="436"/>
      <c r="BAB45" s="120"/>
      <c r="BAC45" s="223"/>
      <c r="BAD45" s="467"/>
      <c r="BAE45" s="440"/>
      <c r="BBA45" s="436"/>
      <c r="BBB45" s="120"/>
      <c r="BBC45" s="223"/>
      <c r="BBD45" s="467"/>
      <c r="BBE45" s="440"/>
      <c r="BCA45" s="436"/>
      <c r="BCB45" s="120"/>
      <c r="BCC45" s="223"/>
      <c r="BCD45" s="467"/>
      <c r="BCE45" s="440"/>
      <c r="BDA45" s="436"/>
      <c r="BDB45" s="120"/>
      <c r="BDC45" s="223"/>
      <c r="BDD45" s="467"/>
      <c r="BDE45" s="440"/>
      <c r="BEA45" s="436"/>
      <c r="BEB45" s="120"/>
      <c r="BEC45" s="223"/>
      <c r="BED45" s="467"/>
      <c r="BEE45" s="440"/>
      <c r="BFA45" s="436"/>
      <c r="BFB45" s="120"/>
      <c r="BFC45" s="223"/>
      <c r="BFD45" s="467"/>
      <c r="BFE45" s="440"/>
      <c r="BGA45" s="436"/>
      <c r="BGB45" s="120"/>
      <c r="BGC45" s="223"/>
      <c r="BGD45" s="467"/>
      <c r="BGE45" s="440"/>
      <c r="BHA45" s="436"/>
      <c r="BHB45" s="120"/>
      <c r="BHC45" s="223"/>
      <c r="BHD45" s="467"/>
      <c r="BHE45" s="440"/>
      <c r="BIA45" s="436"/>
      <c r="BIB45" s="120"/>
      <c r="BIC45" s="223"/>
      <c r="BID45" s="467"/>
      <c r="BIE45" s="440"/>
      <c r="BJA45" s="436"/>
      <c r="BJB45" s="120"/>
      <c r="BJC45" s="223"/>
      <c r="BJD45" s="467"/>
      <c r="BJE45" s="440"/>
      <c r="BKA45" s="436"/>
      <c r="BKB45" s="120"/>
      <c r="BKC45" s="223"/>
      <c r="BKD45" s="467"/>
      <c r="BKE45" s="440"/>
      <c r="BLA45" s="436"/>
      <c r="BLB45" s="120"/>
      <c r="BLC45" s="223"/>
      <c r="BLD45" s="467"/>
      <c r="BLE45" s="440"/>
      <c r="BMA45" s="436"/>
      <c r="BMB45" s="120"/>
      <c r="BMC45" s="223"/>
      <c r="BMD45" s="467"/>
      <c r="BME45" s="440"/>
      <c r="BNA45" s="436"/>
      <c r="BNB45" s="120"/>
      <c r="BNC45" s="223"/>
      <c r="BND45" s="467"/>
      <c r="BNE45" s="440"/>
      <c r="BOA45" s="436"/>
      <c r="BOB45" s="120"/>
      <c r="BOC45" s="223"/>
      <c r="BOD45" s="467"/>
      <c r="BOE45" s="440"/>
      <c r="BPA45" s="436"/>
      <c r="BPB45" s="120"/>
      <c r="BPC45" s="223"/>
      <c r="BPD45" s="467"/>
      <c r="BPE45" s="440"/>
      <c r="BQA45" s="436"/>
      <c r="BQB45" s="120"/>
      <c r="BQC45" s="223"/>
      <c r="BQD45" s="467"/>
      <c r="BQE45" s="440"/>
      <c r="BRA45" s="436"/>
      <c r="BRB45" s="120"/>
      <c r="BRC45" s="223"/>
      <c r="BRD45" s="467"/>
      <c r="BRE45" s="440"/>
    </row>
    <row r="46" spans="1:1019 1041:1825">
      <c r="A46" s="1034"/>
      <c r="B46" s="1015" t="s">
        <v>1536</v>
      </c>
      <c r="AA46" s="436"/>
      <c r="AB46" s="120"/>
      <c r="AC46" s="223"/>
      <c r="AD46" s="467"/>
      <c r="AE46" s="440"/>
      <c r="BA46" s="436"/>
      <c r="BB46" s="120"/>
      <c r="BC46" s="223"/>
      <c r="BD46" s="467"/>
      <c r="BE46" s="440"/>
      <c r="CA46" s="436"/>
      <c r="CB46" s="120"/>
      <c r="CC46" s="223"/>
      <c r="CD46" s="467"/>
      <c r="CE46" s="440"/>
      <c r="DA46" s="436"/>
      <c r="DB46" s="120"/>
      <c r="DC46" s="223"/>
      <c r="DD46" s="467"/>
      <c r="DE46" s="440"/>
      <c r="EA46" s="436"/>
      <c r="EB46" s="120"/>
      <c r="EC46" s="223"/>
      <c r="ED46" s="467"/>
      <c r="EE46" s="440"/>
      <c r="FA46" s="436"/>
      <c r="FB46" s="120"/>
      <c r="FC46" s="223"/>
      <c r="FD46" s="467"/>
      <c r="FE46" s="440"/>
      <c r="GA46" s="436"/>
      <c r="GB46" s="120"/>
      <c r="GC46" s="223"/>
      <c r="GD46" s="467"/>
      <c r="GE46" s="440"/>
      <c r="HA46" s="436"/>
      <c r="HB46" s="120"/>
      <c r="HC46" s="223"/>
      <c r="HD46" s="467"/>
      <c r="HE46" s="440"/>
      <c r="IA46" s="436"/>
      <c r="IB46" s="120"/>
      <c r="IC46" s="223"/>
      <c r="ID46" s="467"/>
      <c r="IE46" s="440"/>
      <c r="JA46" s="436"/>
      <c r="JB46" s="120"/>
      <c r="JC46" s="223"/>
      <c r="JD46" s="467"/>
      <c r="JE46" s="440"/>
      <c r="KA46" s="436"/>
      <c r="KB46" s="120"/>
      <c r="KC46" s="223"/>
      <c r="KD46" s="467"/>
      <c r="KE46" s="440"/>
      <c r="LA46" s="436"/>
      <c r="LB46" s="120"/>
      <c r="LC46" s="223"/>
      <c r="LD46" s="467"/>
      <c r="LE46" s="440"/>
      <c r="MA46" s="436"/>
      <c r="MB46" s="120"/>
      <c r="MC46" s="223"/>
      <c r="MD46" s="467"/>
      <c r="ME46" s="440"/>
      <c r="NA46" s="436"/>
      <c r="NB46" s="120"/>
      <c r="NC46" s="223"/>
      <c r="ND46" s="467"/>
      <c r="NE46" s="440"/>
      <c r="OA46" s="436"/>
      <c r="OB46" s="120"/>
      <c r="OC46" s="223"/>
      <c r="OD46" s="467"/>
      <c r="OE46" s="440"/>
      <c r="PA46" s="436"/>
      <c r="PB46" s="120"/>
      <c r="PC46" s="223"/>
      <c r="PD46" s="467"/>
      <c r="PE46" s="440"/>
      <c r="QA46" s="436"/>
      <c r="QB46" s="120"/>
      <c r="QC46" s="223"/>
      <c r="QD46" s="467"/>
      <c r="QE46" s="440"/>
      <c r="RA46" s="436"/>
      <c r="RB46" s="120"/>
      <c r="RC46" s="223"/>
      <c r="RD46" s="467"/>
      <c r="RE46" s="440"/>
      <c r="SA46" s="436"/>
      <c r="SB46" s="120"/>
      <c r="SC46" s="223"/>
      <c r="SD46" s="467"/>
      <c r="SE46" s="440"/>
      <c r="TA46" s="436"/>
      <c r="TB46" s="120"/>
      <c r="TC46" s="223"/>
      <c r="TD46" s="467"/>
      <c r="TE46" s="440"/>
      <c r="UA46" s="436"/>
      <c r="UB46" s="120"/>
      <c r="UC46" s="223"/>
      <c r="UD46" s="467"/>
      <c r="UE46" s="440"/>
      <c r="VA46" s="436"/>
      <c r="VB46" s="120"/>
      <c r="VC46" s="223"/>
      <c r="VD46" s="467"/>
      <c r="VE46" s="440"/>
      <c r="WA46" s="436"/>
      <c r="WB46" s="120"/>
      <c r="WC46" s="223"/>
      <c r="WD46" s="467"/>
      <c r="WE46" s="440"/>
      <c r="XA46" s="436"/>
      <c r="XB46" s="120"/>
      <c r="XC46" s="223"/>
      <c r="XD46" s="467"/>
      <c r="XE46" s="440"/>
      <c r="YA46" s="436"/>
      <c r="YB46" s="120"/>
      <c r="YC46" s="223"/>
      <c r="YD46" s="467"/>
      <c r="YE46" s="440"/>
      <c r="ZA46" s="436"/>
      <c r="ZB46" s="120"/>
      <c r="ZC46" s="223"/>
      <c r="ZD46" s="467"/>
      <c r="ZE46" s="440"/>
      <c r="AAA46" s="436"/>
      <c r="AAB46" s="120"/>
      <c r="AAC46" s="223"/>
      <c r="AAD46" s="467"/>
      <c r="AAE46" s="440"/>
      <c r="ABA46" s="436"/>
      <c r="ABB46" s="120"/>
      <c r="ABC46" s="223"/>
      <c r="ABD46" s="467"/>
      <c r="ABE46" s="440"/>
      <c r="ACA46" s="436"/>
      <c r="ACB46" s="120"/>
      <c r="ACC46" s="223"/>
      <c r="ACD46" s="467"/>
      <c r="ACE46" s="440"/>
      <c r="ADA46" s="436"/>
      <c r="ADB46" s="120"/>
      <c r="ADC46" s="223"/>
      <c r="ADD46" s="467"/>
      <c r="ADE46" s="440"/>
      <c r="AEA46" s="436"/>
      <c r="AEB46" s="120"/>
      <c r="AEC46" s="223"/>
      <c r="AED46" s="467"/>
      <c r="AEE46" s="440"/>
      <c r="AFA46" s="436"/>
      <c r="AFB46" s="120"/>
      <c r="AFC46" s="223"/>
      <c r="AFD46" s="467"/>
      <c r="AFE46" s="440"/>
      <c r="AGA46" s="436"/>
      <c r="AGB46" s="120"/>
      <c r="AGC46" s="223"/>
      <c r="AGD46" s="467"/>
      <c r="AGE46" s="440"/>
      <c r="AHA46" s="436"/>
      <c r="AHB46" s="120"/>
      <c r="AHC46" s="223"/>
      <c r="AHD46" s="467"/>
      <c r="AHE46" s="440"/>
      <c r="AIA46" s="436"/>
      <c r="AIB46" s="120"/>
      <c r="AIC46" s="223"/>
      <c r="AID46" s="467"/>
      <c r="AIE46" s="440"/>
      <c r="AJA46" s="436"/>
      <c r="AJB46" s="120"/>
      <c r="AJC46" s="223"/>
      <c r="AJD46" s="467"/>
      <c r="AJE46" s="440"/>
      <c r="AKA46" s="436"/>
      <c r="AKB46" s="120"/>
      <c r="AKC46" s="223"/>
      <c r="AKD46" s="467"/>
      <c r="AKE46" s="440"/>
      <c r="ALA46" s="436"/>
      <c r="ALB46" s="120"/>
      <c r="ALC46" s="223"/>
      <c r="ALD46" s="467"/>
      <c r="ALE46" s="440"/>
      <c r="AMA46" s="436"/>
      <c r="AMB46" s="120"/>
      <c r="AMC46" s="223"/>
      <c r="AMD46" s="467"/>
      <c r="AME46" s="440"/>
      <c r="ANA46" s="436"/>
      <c r="ANB46" s="120"/>
      <c r="ANC46" s="223"/>
      <c r="AND46" s="467"/>
      <c r="ANE46" s="440"/>
      <c r="AOA46" s="436"/>
      <c r="AOB46" s="120"/>
      <c r="AOC46" s="223"/>
      <c r="AOD46" s="467"/>
      <c r="AOE46" s="440"/>
      <c r="APA46" s="436"/>
      <c r="APB46" s="120"/>
      <c r="APC46" s="223"/>
      <c r="APD46" s="467"/>
      <c r="APE46" s="440"/>
      <c r="AQA46" s="436"/>
      <c r="AQB46" s="120"/>
      <c r="AQC46" s="223"/>
      <c r="AQD46" s="467"/>
      <c r="AQE46" s="440"/>
      <c r="ARA46" s="436"/>
      <c r="ARB46" s="120"/>
      <c r="ARC46" s="223"/>
      <c r="ARD46" s="467"/>
      <c r="ARE46" s="440"/>
      <c r="ASA46" s="436"/>
      <c r="ASB46" s="120"/>
      <c r="ASC46" s="223"/>
      <c r="ASD46" s="467"/>
      <c r="ASE46" s="440"/>
      <c r="ATA46" s="436"/>
      <c r="ATB46" s="120"/>
      <c r="ATC46" s="223"/>
      <c r="ATD46" s="467"/>
      <c r="ATE46" s="440"/>
      <c r="AUA46" s="436"/>
      <c r="AUB46" s="120"/>
      <c r="AUC46" s="223"/>
      <c r="AUD46" s="467"/>
      <c r="AUE46" s="440"/>
      <c r="AVA46" s="436"/>
      <c r="AVB46" s="120"/>
      <c r="AVC46" s="223"/>
      <c r="AVD46" s="467"/>
      <c r="AVE46" s="440"/>
      <c r="AWA46" s="436"/>
      <c r="AWB46" s="120"/>
      <c r="AWC46" s="223"/>
      <c r="AWD46" s="467"/>
      <c r="AWE46" s="440"/>
      <c r="AXA46" s="436"/>
      <c r="AXB46" s="120"/>
      <c r="AXC46" s="223"/>
      <c r="AXD46" s="467"/>
      <c r="AXE46" s="440"/>
      <c r="AYA46" s="436"/>
      <c r="AYB46" s="120"/>
      <c r="AYC46" s="223"/>
      <c r="AYD46" s="467"/>
      <c r="AYE46" s="440"/>
      <c r="AZA46" s="436"/>
      <c r="AZB46" s="120"/>
      <c r="AZC46" s="223"/>
      <c r="AZD46" s="467"/>
      <c r="AZE46" s="440"/>
      <c r="BAA46" s="436"/>
      <c r="BAB46" s="120"/>
      <c r="BAC46" s="223"/>
      <c r="BAD46" s="467"/>
      <c r="BAE46" s="440"/>
      <c r="BBA46" s="436"/>
      <c r="BBB46" s="120"/>
      <c r="BBC46" s="223"/>
      <c r="BBD46" s="467"/>
      <c r="BBE46" s="440"/>
      <c r="BCA46" s="436"/>
      <c r="BCB46" s="120"/>
      <c r="BCC46" s="223"/>
      <c r="BCD46" s="467"/>
      <c r="BCE46" s="440"/>
      <c r="BDA46" s="436"/>
      <c r="BDB46" s="120"/>
      <c r="BDC46" s="223"/>
      <c r="BDD46" s="467"/>
      <c r="BDE46" s="440"/>
      <c r="BEA46" s="436"/>
      <c r="BEB46" s="120"/>
      <c r="BEC46" s="223"/>
      <c r="BED46" s="467"/>
      <c r="BEE46" s="440"/>
      <c r="BFA46" s="436"/>
      <c r="BFB46" s="120"/>
      <c r="BFC46" s="223"/>
      <c r="BFD46" s="467"/>
      <c r="BFE46" s="440"/>
      <c r="BGA46" s="436"/>
      <c r="BGB46" s="120"/>
      <c r="BGC46" s="223"/>
      <c r="BGD46" s="467"/>
      <c r="BGE46" s="440"/>
      <c r="BHA46" s="436"/>
      <c r="BHB46" s="120"/>
      <c r="BHC46" s="223"/>
      <c r="BHD46" s="467"/>
      <c r="BHE46" s="440"/>
      <c r="BIA46" s="436"/>
      <c r="BIB46" s="120"/>
      <c r="BIC46" s="223"/>
      <c r="BID46" s="467"/>
      <c r="BIE46" s="440"/>
      <c r="BJA46" s="436"/>
      <c r="BJB46" s="120"/>
      <c r="BJC46" s="223"/>
      <c r="BJD46" s="467"/>
      <c r="BJE46" s="440"/>
      <c r="BKA46" s="436"/>
      <c r="BKB46" s="120"/>
      <c r="BKC46" s="223"/>
      <c r="BKD46" s="467"/>
      <c r="BKE46" s="440"/>
      <c r="BLA46" s="436"/>
      <c r="BLB46" s="120"/>
      <c r="BLC46" s="223"/>
      <c r="BLD46" s="467"/>
      <c r="BLE46" s="440"/>
      <c r="BMA46" s="436"/>
      <c r="BMB46" s="120"/>
      <c r="BMC46" s="223"/>
      <c r="BMD46" s="467"/>
      <c r="BME46" s="440"/>
      <c r="BNA46" s="436"/>
      <c r="BNB46" s="120"/>
      <c r="BNC46" s="223"/>
      <c r="BND46" s="467"/>
      <c r="BNE46" s="440"/>
      <c r="BOA46" s="436"/>
      <c r="BOB46" s="120"/>
      <c r="BOC46" s="223"/>
      <c r="BOD46" s="467"/>
      <c r="BOE46" s="440"/>
      <c r="BPA46" s="436"/>
      <c r="BPB46" s="120"/>
      <c r="BPC46" s="223"/>
      <c r="BPD46" s="467"/>
      <c r="BPE46" s="440"/>
      <c r="BQA46" s="436"/>
      <c r="BQB46" s="120"/>
      <c r="BQC46" s="223"/>
      <c r="BQD46" s="467"/>
      <c r="BQE46" s="440"/>
      <c r="BRA46" s="436"/>
      <c r="BRB46" s="120"/>
      <c r="BRC46" s="223"/>
      <c r="BRD46" s="467"/>
      <c r="BRE46" s="440"/>
    </row>
    <row r="47" spans="1:1019 1041:1825">
      <c r="A47" s="1034"/>
      <c r="B47" s="1015" t="s">
        <v>397</v>
      </c>
      <c r="AA47" s="436"/>
      <c r="AB47" s="120"/>
      <c r="AC47" s="471"/>
      <c r="AD47" s="467"/>
      <c r="AE47" s="440"/>
      <c r="BA47" s="436"/>
      <c r="BB47" s="120"/>
      <c r="BC47" s="471"/>
      <c r="BD47" s="467"/>
      <c r="BE47" s="440"/>
      <c r="CA47" s="436"/>
      <c r="CB47" s="120"/>
      <c r="CC47" s="471"/>
      <c r="CD47" s="467"/>
      <c r="CE47" s="440"/>
      <c r="DA47" s="436"/>
      <c r="DB47" s="120"/>
      <c r="DC47" s="471"/>
      <c r="DD47" s="467"/>
      <c r="DE47" s="440"/>
      <c r="EA47" s="436"/>
      <c r="EB47" s="120"/>
      <c r="EC47" s="471"/>
      <c r="ED47" s="467"/>
      <c r="EE47" s="440"/>
      <c r="FA47" s="436"/>
      <c r="FB47" s="120"/>
      <c r="FC47" s="471"/>
      <c r="FD47" s="467"/>
      <c r="FE47" s="440"/>
      <c r="GA47" s="436"/>
      <c r="GB47" s="120"/>
      <c r="GC47" s="471"/>
      <c r="GD47" s="467"/>
      <c r="GE47" s="440"/>
      <c r="HA47" s="436"/>
      <c r="HB47" s="120"/>
      <c r="HC47" s="471"/>
      <c r="HD47" s="467"/>
      <c r="HE47" s="440"/>
      <c r="IA47" s="436"/>
      <c r="IB47" s="120"/>
      <c r="IC47" s="471"/>
      <c r="ID47" s="467"/>
      <c r="IE47" s="440"/>
      <c r="JA47" s="436"/>
      <c r="JB47" s="120"/>
      <c r="JC47" s="471"/>
      <c r="JD47" s="467"/>
      <c r="JE47" s="440"/>
      <c r="KA47" s="436"/>
      <c r="KB47" s="120"/>
      <c r="KC47" s="471"/>
      <c r="KD47" s="467"/>
      <c r="KE47" s="440"/>
      <c r="LA47" s="436"/>
      <c r="LB47" s="120"/>
      <c r="LC47" s="471"/>
      <c r="LD47" s="467"/>
      <c r="LE47" s="440"/>
      <c r="MA47" s="436"/>
      <c r="MB47" s="120"/>
      <c r="MC47" s="471"/>
      <c r="MD47" s="467"/>
      <c r="ME47" s="440"/>
      <c r="NA47" s="436"/>
      <c r="NB47" s="120"/>
      <c r="NC47" s="471"/>
      <c r="ND47" s="467"/>
      <c r="NE47" s="440"/>
      <c r="OA47" s="436"/>
      <c r="OB47" s="120"/>
      <c r="OC47" s="471"/>
      <c r="OD47" s="467"/>
      <c r="OE47" s="440"/>
      <c r="PA47" s="436"/>
      <c r="PB47" s="120"/>
      <c r="PC47" s="471"/>
      <c r="PD47" s="467"/>
      <c r="PE47" s="440"/>
      <c r="QA47" s="436"/>
      <c r="QB47" s="120"/>
      <c r="QC47" s="471"/>
      <c r="QD47" s="467"/>
      <c r="QE47" s="440"/>
      <c r="RA47" s="436"/>
      <c r="RB47" s="120"/>
      <c r="RC47" s="471"/>
      <c r="RD47" s="467"/>
      <c r="RE47" s="440"/>
      <c r="SA47" s="436"/>
      <c r="SB47" s="120"/>
      <c r="SC47" s="471"/>
      <c r="SD47" s="467"/>
      <c r="SE47" s="440"/>
      <c r="TA47" s="436"/>
      <c r="TB47" s="120"/>
      <c r="TC47" s="471"/>
      <c r="TD47" s="467"/>
      <c r="TE47" s="440"/>
      <c r="UA47" s="436"/>
      <c r="UB47" s="120"/>
      <c r="UC47" s="471"/>
      <c r="UD47" s="467"/>
      <c r="UE47" s="440"/>
      <c r="VA47" s="436"/>
      <c r="VB47" s="120"/>
      <c r="VC47" s="471"/>
      <c r="VD47" s="467"/>
      <c r="VE47" s="440"/>
      <c r="WA47" s="436"/>
      <c r="WB47" s="120"/>
      <c r="WC47" s="471"/>
      <c r="WD47" s="467"/>
      <c r="WE47" s="440"/>
      <c r="XA47" s="436"/>
      <c r="XB47" s="120"/>
      <c r="XC47" s="471"/>
      <c r="XD47" s="467"/>
      <c r="XE47" s="440"/>
      <c r="YA47" s="436"/>
      <c r="YB47" s="120"/>
      <c r="YC47" s="471"/>
      <c r="YD47" s="467"/>
      <c r="YE47" s="440"/>
      <c r="ZA47" s="436"/>
      <c r="ZB47" s="120"/>
      <c r="ZC47" s="471"/>
      <c r="ZD47" s="467"/>
      <c r="ZE47" s="440"/>
      <c r="AAA47" s="436"/>
      <c r="AAB47" s="120"/>
      <c r="AAC47" s="471"/>
      <c r="AAD47" s="467"/>
      <c r="AAE47" s="440"/>
      <c r="ABA47" s="436"/>
      <c r="ABB47" s="120"/>
      <c r="ABC47" s="471"/>
      <c r="ABD47" s="467"/>
      <c r="ABE47" s="440"/>
      <c r="ACA47" s="436"/>
      <c r="ACB47" s="120"/>
      <c r="ACC47" s="471"/>
      <c r="ACD47" s="467"/>
      <c r="ACE47" s="440"/>
      <c r="ADA47" s="436"/>
      <c r="ADB47" s="120"/>
      <c r="ADC47" s="471"/>
      <c r="ADD47" s="467"/>
      <c r="ADE47" s="440"/>
      <c r="AEA47" s="436"/>
      <c r="AEB47" s="120"/>
      <c r="AEC47" s="471"/>
      <c r="AED47" s="467"/>
      <c r="AEE47" s="440"/>
      <c r="AFA47" s="436"/>
      <c r="AFB47" s="120"/>
      <c r="AFC47" s="471"/>
      <c r="AFD47" s="467"/>
      <c r="AFE47" s="440"/>
      <c r="AGA47" s="436"/>
      <c r="AGB47" s="120"/>
      <c r="AGC47" s="471"/>
      <c r="AGD47" s="467"/>
      <c r="AGE47" s="440"/>
      <c r="AHA47" s="436"/>
      <c r="AHB47" s="120"/>
      <c r="AHC47" s="471"/>
      <c r="AHD47" s="467"/>
      <c r="AHE47" s="440"/>
      <c r="AIA47" s="436"/>
      <c r="AIB47" s="120"/>
      <c r="AIC47" s="471"/>
      <c r="AID47" s="467"/>
      <c r="AIE47" s="440"/>
      <c r="AJA47" s="436"/>
      <c r="AJB47" s="120"/>
      <c r="AJC47" s="471"/>
      <c r="AJD47" s="467"/>
      <c r="AJE47" s="440"/>
      <c r="AKA47" s="436"/>
      <c r="AKB47" s="120"/>
      <c r="AKC47" s="471"/>
      <c r="AKD47" s="467"/>
      <c r="AKE47" s="440"/>
      <c r="ALA47" s="436"/>
      <c r="ALB47" s="120"/>
      <c r="ALC47" s="471"/>
      <c r="ALD47" s="467"/>
      <c r="ALE47" s="440"/>
      <c r="AMA47" s="436"/>
      <c r="AMB47" s="120"/>
      <c r="AMC47" s="471"/>
      <c r="AMD47" s="467"/>
      <c r="AME47" s="440"/>
      <c r="ANA47" s="436"/>
      <c r="ANB47" s="120"/>
      <c r="ANC47" s="471"/>
      <c r="AND47" s="467"/>
      <c r="ANE47" s="440"/>
      <c r="AOA47" s="436"/>
      <c r="AOB47" s="120"/>
      <c r="AOC47" s="471"/>
      <c r="AOD47" s="467"/>
      <c r="AOE47" s="440"/>
      <c r="APA47" s="436"/>
      <c r="APB47" s="120"/>
      <c r="APC47" s="471"/>
      <c r="APD47" s="467"/>
      <c r="APE47" s="440"/>
      <c r="AQA47" s="436"/>
      <c r="AQB47" s="120"/>
      <c r="AQC47" s="471"/>
      <c r="AQD47" s="467"/>
      <c r="AQE47" s="440"/>
      <c r="ARA47" s="436"/>
      <c r="ARB47" s="120"/>
      <c r="ARC47" s="471"/>
      <c r="ARD47" s="467"/>
      <c r="ARE47" s="440"/>
      <c r="ASA47" s="436"/>
      <c r="ASB47" s="120"/>
      <c r="ASC47" s="471"/>
      <c r="ASD47" s="467"/>
      <c r="ASE47" s="440"/>
      <c r="ATA47" s="436"/>
      <c r="ATB47" s="120"/>
      <c r="ATC47" s="471"/>
      <c r="ATD47" s="467"/>
      <c r="ATE47" s="440"/>
      <c r="AUA47" s="436"/>
      <c r="AUB47" s="120"/>
      <c r="AUC47" s="471"/>
      <c r="AUD47" s="467"/>
      <c r="AUE47" s="440"/>
      <c r="AVA47" s="436"/>
      <c r="AVB47" s="120"/>
      <c r="AVC47" s="471"/>
      <c r="AVD47" s="467"/>
      <c r="AVE47" s="440"/>
      <c r="AWA47" s="436"/>
      <c r="AWB47" s="120"/>
      <c r="AWC47" s="471"/>
      <c r="AWD47" s="467"/>
      <c r="AWE47" s="440"/>
      <c r="AXA47" s="436"/>
      <c r="AXB47" s="120"/>
      <c r="AXC47" s="471"/>
      <c r="AXD47" s="467"/>
      <c r="AXE47" s="440"/>
      <c r="AYA47" s="436"/>
      <c r="AYB47" s="120"/>
      <c r="AYC47" s="471"/>
      <c r="AYD47" s="467"/>
      <c r="AYE47" s="440"/>
      <c r="AZA47" s="436"/>
      <c r="AZB47" s="120"/>
      <c r="AZC47" s="471"/>
      <c r="AZD47" s="467"/>
      <c r="AZE47" s="440"/>
      <c r="BAA47" s="436"/>
      <c r="BAB47" s="120"/>
      <c r="BAC47" s="471"/>
      <c r="BAD47" s="467"/>
      <c r="BAE47" s="440"/>
      <c r="BBA47" s="436"/>
      <c r="BBB47" s="120"/>
      <c r="BBC47" s="471"/>
      <c r="BBD47" s="467"/>
      <c r="BBE47" s="440"/>
      <c r="BCA47" s="436"/>
      <c r="BCB47" s="120"/>
      <c r="BCC47" s="471"/>
      <c r="BCD47" s="467"/>
      <c r="BCE47" s="440"/>
      <c r="BDA47" s="436"/>
      <c r="BDB47" s="120"/>
      <c r="BDC47" s="471"/>
      <c r="BDD47" s="467"/>
      <c r="BDE47" s="440"/>
      <c r="BEA47" s="436"/>
      <c r="BEB47" s="120"/>
      <c r="BEC47" s="471"/>
      <c r="BED47" s="467"/>
      <c r="BEE47" s="440"/>
      <c r="BFA47" s="436"/>
      <c r="BFB47" s="120"/>
      <c r="BFC47" s="471"/>
      <c r="BFD47" s="467"/>
      <c r="BFE47" s="440"/>
      <c r="BGA47" s="436"/>
      <c r="BGB47" s="120"/>
      <c r="BGC47" s="471"/>
      <c r="BGD47" s="467"/>
      <c r="BGE47" s="440"/>
      <c r="BHA47" s="436"/>
      <c r="BHB47" s="120"/>
      <c r="BHC47" s="471"/>
      <c r="BHD47" s="467"/>
      <c r="BHE47" s="440"/>
      <c r="BIA47" s="436"/>
      <c r="BIB47" s="120"/>
      <c r="BIC47" s="471"/>
      <c r="BID47" s="467"/>
      <c r="BIE47" s="440"/>
      <c r="BJA47" s="436"/>
      <c r="BJB47" s="120"/>
      <c r="BJC47" s="471"/>
      <c r="BJD47" s="467"/>
      <c r="BJE47" s="440"/>
      <c r="BKA47" s="436"/>
      <c r="BKB47" s="120"/>
      <c r="BKC47" s="471"/>
      <c r="BKD47" s="467"/>
      <c r="BKE47" s="440"/>
      <c r="BLA47" s="436"/>
      <c r="BLB47" s="120"/>
      <c r="BLC47" s="471"/>
      <c r="BLD47" s="467"/>
      <c r="BLE47" s="440"/>
      <c r="BMA47" s="436"/>
      <c r="BMB47" s="120"/>
      <c r="BMC47" s="471"/>
      <c r="BMD47" s="467"/>
      <c r="BME47" s="440"/>
      <c r="BNA47" s="436"/>
      <c r="BNB47" s="120"/>
      <c r="BNC47" s="471"/>
      <c r="BND47" s="467"/>
      <c r="BNE47" s="440"/>
      <c r="BOA47" s="436"/>
      <c r="BOB47" s="120"/>
      <c r="BOC47" s="471"/>
      <c r="BOD47" s="467"/>
      <c r="BOE47" s="440"/>
      <c r="BPA47" s="436"/>
      <c r="BPB47" s="120"/>
      <c r="BPC47" s="471"/>
      <c r="BPD47" s="467"/>
      <c r="BPE47" s="440"/>
      <c r="BQA47" s="436"/>
      <c r="BQB47" s="120"/>
      <c r="BQC47" s="471"/>
      <c r="BQD47" s="467"/>
      <c r="BQE47" s="440"/>
      <c r="BRA47" s="436"/>
      <c r="BRB47" s="120"/>
      <c r="BRC47" s="471"/>
      <c r="BRD47" s="467"/>
      <c r="BRE47" s="440"/>
    </row>
    <row r="48" spans="1:1019 1041:1825">
      <c r="B48" s="1015" t="s">
        <v>22</v>
      </c>
      <c r="AA48" s="436"/>
      <c r="AB48" s="120"/>
      <c r="AC48" s="223"/>
      <c r="AD48" s="467"/>
      <c r="AE48" s="440"/>
      <c r="BA48" s="436"/>
      <c r="BB48" s="120"/>
      <c r="BC48" s="223"/>
      <c r="BD48" s="467"/>
      <c r="BE48" s="440"/>
      <c r="CA48" s="436"/>
      <c r="CB48" s="120"/>
      <c r="CC48" s="223"/>
      <c r="CD48" s="467"/>
      <c r="CE48" s="440"/>
      <c r="DA48" s="436"/>
      <c r="DB48" s="120"/>
      <c r="DC48" s="223"/>
      <c r="DD48" s="467"/>
      <c r="DE48" s="440"/>
      <c r="EA48" s="436"/>
      <c r="EB48" s="120"/>
      <c r="EC48" s="223"/>
      <c r="ED48" s="467"/>
      <c r="EE48" s="440"/>
      <c r="FA48" s="436"/>
      <c r="FB48" s="120"/>
      <c r="FC48" s="223"/>
      <c r="FD48" s="467"/>
      <c r="FE48" s="440"/>
      <c r="GA48" s="436"/>
      <c r="GB48" s="120"/>
      <c r="GC48" s="223"/>
      <c r="GD48" s="467"/>
      <c r="GE48" s="440"/>
      <c r="HA48" s="436"/>
      <c r="HB48" s="120"/>
      <c r="HC48" s="223"/>
      <c r="HD48" s="467"/>
      <c r="HE48" s="440"/>
      <c r="IA48" s="436"/>
      <c r="IB48" s="120"/>
      <c r="IC48" s="223"/>
      <c r="ID48" s="467"/>
      <c r="IE48" s="440"/>
      <c r="JA48" s="436"/>
      <c r="JB48" s="120"/>
      <c r="JC48" s="223"/>
      <c r="JD48" s="467"/>
      <c r="JE48" s="440"/>
      <c r="KA48" s="436"/>
      <c r="KB48" s="120"/>
      <c r="KC48" s="223"/>
      <c r="KD48" s="467"/>
      <c r="KE48" s="440"/>
      <c r="LA48" s="436"/>
      <c r="LB48" s="120"/>
      <c r="LC48" s="223"/>
      <c r="LD48" s="467"/>
      <c r="LE48" s="440"/>
      <c r="MA48" s="436"/>
      <c r="MB48" s="120"/>
      <c r="MC48" s="223"/>
      <c r="MD48" s="467"/>
      <c r="ME48" s="440"/>
      <c r="NA48" s="436"/>
      <c r="NB48" s="120"/>
      <c r="NC48" s="223"/>
      <c r="ND48" s="467"/>
      <c r="NE48" s="440"/>
      <c r="OA48" s="436"/>
      <c r="OB48" s="120"/>
      <c r="OC48" s="223"/>
      <c r="OD48" s="467"/>
      <c r="OE48" s="440"/>
      <c r="PA48" s="436"/>
      <c r="PB48" s="120"/>
      <c r="PC48" s="223"/>
      <c r="PD48" s="467"/>
      <c r="PE48" s="440"/>
      <c r="QA48" s="436"/>
      <c r="QB48" s="120"/>
      <c r="QC48" s="223"/>
      <c r="QD48" s="467"/>
      <c r="QE48" s="440"/>
      <c r="RA48" s="436"/>
      <c r="RB48" s="120"/>
      <c r="RC48" s="223"/>
      <c r="RD48" s="467"/>
      <c r="RE48" s="440"/>
      <c r="SA48" s="436"/>
      <c r="SB48" s="120"/>
      <c r="SC48" s="223"/>
      <c r="SD48" s="467"/>
      <c r="SE48" s="440"/>
      <c r="TA48" s="436"/>
      <c r="TB48" s="120"/>
      <c r="TC48" s="223"/>
      <c r="TD48" s="467"/>
      <c r="TE48" s="440"/>
      <c r="UA48" s="436"/>
      <c r="UB48" s="120"/>
      <c r="UC48" s="223"/>
      <c r="UD48" s="467"/>
      <c r="UE48" s="440"/>
      <c r="VA48" s="436"/>
      <c r="VB48" s="120"/>
      <c r="VC48" s="223"/>
      <c r="VD48" s="467"/>
      <c r="VE48" s="440"/>
      <c r="WA48" s="436"/>
      <c r="WB48" s="120"/>
      <c r="WC48" s="223"/>
      <c r="WD48" s="467"/>
      <c r="WE48" s="440"/>
      <c r="XA48" s="436"/>
      <c r="XB48" s="120"/>
      <c r="XC48" s="223"/>
      <c r="XD48" s="467"/>
      <c r="XE48" s="440"/>
      <c r="YA48" s="436"/>
      <c r="YB48" s="120"/>
      <c r="YC48" s="223"/>
      <c r="YD48" s="467"/>
      <c r="YE48" s="440"/>
      <c r="ZA48" s="436"/>
      <c r="ZB48" s="120"/>
      <c r="ZC48" s="223"/>
      <c r="ZD48" s="467"/>
      <c r="ZE48" s="440"/>
      <c r="AAA48" s="436"/>
      <c r="AAB48" s="120"/>
      <c r="AAC48" s="223"/>
      <c r="AAD48" s="467"/>
      <c r="AAE48" s="440"/>
      <c r="ABA48" s="436"/>
      <c r="ABB48" s="120"/>
      <c r="ABC48" s="223"/>
      <c r="ABD48" s="467"/>
      <c r="ABE48" s="440"/>
      <c r="ACA48" s="436"/>
      <c r="ACB48" s="120"/>
      <c r="ACC48" s="223"/>
      <c r="ACD48" s="467"/>
      <c r="ACE48" s="440"/>
      <c r="ADA48" s="436"/>
      <c r="ADB48" s="120"/>
      <c r="ADC48" s="223"/>
      <c r="ADD48" s="467"/>
      <c r="ADE48" s="440"/>
      <c r="AEA48" s="436"/>
      <c r="AEB48" s="120"/>
      <c r="AEC48" s="223"/>
      <c r="AED48" s="467"/>
      <c r="AEE48" s="440"/>
      <c r="AFA48" s="436"/>
      <c r="AFB48" s="120"/>
      <c r="AFC48" s="223"/>
      <c r="AFD48" s="467"/>
      <c r="AFE48" s="440"/>
      <c r="AGA48" s="436"/>
      <c r="AGB48" s="120"/>
      <c r="AGC48" s="223"/>
      <c r="AGD48" s="467"/>
      <c r="AGE48" s="440"/>
      <c r="AHA48" s="436"/>
      <c r="AHB48" s="120"/>
      <c r="AHC48" s="223"/>
      <c r="AHD48" s="467"/>
      <c r="AHE48" s="440"/>
      <c r="AIA48" s="436"/>
      <c r="AIB48" s="120"/>
      <c r="AIC48" s="223"/>
      <c r="AID48" s="467"/>
      <c r="AIE48" s="440"/>
      <c r="AJA48" s="436"/>
      <c r="AJB48" s="120"/>
      <c r="AJC48" s="223"/>
      <c r="AJD48" s="467"/>
      <c r="AJE48" s="440"/>
      <c r="AKA48" s="436"/>
      <c r="AKB48" s="120"/>
      <c r="AKC48" s="223"/>
      <c r="AKD48" s="467"/>
      <c r="AKE48" s="440"/>
      <c r="ALA48" s="436"/>
      <c r="ALB48" s="120"/>
      <c r="ALC48" s="223"/>
      <c r="ALD48" s="467"/>
      <c r="ALE48" s="440"/>
      <c r="AMA48" s="436"/>
      <c r="AMB48" s="120"/>
      <c r="AMC48" s="223"/>
      <c r="AMD48" s="467"/>
      <c r="AME48" s="440"/>
      <c r="ANA48" s="436"/>
      <c r="ANB48" s="120"/>
      <c r="ANC48" s="223"/>
      <c r="AND48" s="467"/>
      <c r="ANE48" s="440"/>
      <c r="AOA48" s="436"/>
      <c r="AOB48" s="120"/>
      <c r="AOC48" s="223"/>
      <c r="AOD48" s="467"/>
      <c r="AOE48" s="440"/>
      <c r="APA48" s="436"/>
      <c r="APB48" s="120"/>
      <c r="APC48" s="223"/>
      <c r="APD48" s="467"/>
      <c r="APE48" s="440"/>
      <c r="AQA48" s="436"/>
      <c r="AQB48" s="120"/>
      <c r="AQC48" s="223"/>
      <c r="AQD48" s="467"/>
      <c r="AQE48" s="440"/>
      <c r="ARA48" s="436"/>
      <c r="ARB48" s="120"/>
      <c r="ARC48" s="223"/>
      <c r="ARD48" s="467"/>
      <c r="ARE48" s="440"/>
      <c r="ASA48" s="436"/>
      <c r="ASB48" s="120"/>
      <c r="ASC48" s="223"/>
      <c r="ASD48" s="467"/>
      <c r="ASE48" s="440"/>
      <c r="ATA48" s="436"/>
      <c r="ATB48" s="120"/>
      <c r="ATC48" s="223"/>
      <c r="ATD48" s="467"/>
      <c r="ATE48" s="440"/>
      <c r="AUA48" s="436"/>
      <c r="AUB48" s="120"/>
      <c r="AUC48" s="223"/>
      <c r="AUD48" s="467"/>
      <c r="AUE48" s="440"/>
      <c r="AVA48" s="436"/>
      <c r="AVB48" s="120"/>
      <c r="AVC48" s="223"/>
      <c r="AVD48" s="467"/>
      <c r="AVE48" s="440"/>
      <c r="AWA48" s="436"/>
      <c r="AWB48" s="120"/>
      <c r="AWC48" s="223"/>
      <c r="AWD48" s="467"/>
      <c r="AWE48" s="440"/>
      <c r="AXA48" s="436"/>
      <c r="AXB48" s="120"/>
      <c r="AXC48" s="223"/>
      <c r="AXD48" s="467"/>
      <c r="AXE48" s="440"/>
      <c r="AYA48" s="436"/>
      <c r="AYB48" s="120"/>
      <c r="AYC48" s="223"/>
      <c r="AYD48" s="467"/>
      <c r="AYE48" s="440"/>
      <c r="AZA48" s="436"/>
      <c r="AZB48" s="120"/>
      <c r="AZC48" s="223"/>
      <c r="AZD48" s="467"/>
      <c r="AZE48" s="440"/>
      <c r="BAA48" s="436"/>
      <c r="BAB48" s="120"/>
      <c r="BAC48" s="223"/>
      <c r="BAD48" s="467"/>
      <c r="BAE48" s="440"/>
      <c r="BBA48" s="436"/>
      <c r="BBB48" s="120"/>
      <c r="BBC48" s="223"/>
      <c r="BBD48" s="467"/>
      <c r="BBE48" s="440"/>
      <c r="BCA48" s="436"/>
      <c r="BCB48" s="120"/>
      <c r="BCC48" s="223"/>
      <c r="BCD48" s="467"/>
      <c r="BCE48" s="440"/>
      <c r="BDA48" s="436"/>
      <c r="BDB48" s="120"/>
      <c r="BDC48" s="223"/>
      <c r="BDD48" s="467"/>
      <c r="BDE48" s="440"/>
      <c r="BEA48" s="436"/>
      <c r="BEB48" s="120"/>
      <c r="BEC48" s="223"/>
      <c r="BED48" s="467"/>
      <c r="BEE48" s="440"/>
      <c r="BFA48" s="436"/>
      <c r="BFB48" s="120"/>
      <c r="BFC48" s="223"/>
      <c r="BFD48" s="467"/>
      <c r="BFE48" s="440"/>
      <c r="BGA48" s="436"/>
      <c r="BGB48" s="120"/>
      <c r="BGC48" s="223"/>
      <c r="BGD48" s="467"/>
      <c r="BGE48" s="440"/>
      <c r="BHA48" s="436"/>
      <c r="BHB48" s="120"/>
      <c r="BHC48" s="223"/>
      <c r="BHD48" s="467"/>
      <c r="BHE48" s="440"/>
      <c r="BIA48" s="436"/>
      <c r="BIB48" s="120"/>
      <c r="BIC48" s="223"/>
      <c r="BID48" s="467"/>
      <c r="BIE48" s="440"/>
      <c r="BJA48" s="436"/>
      <c r="BJB48" s="120"/>
      <c r="BJC48" s="223"/>
      <c r="BJD48" s="467"/>
      <c r="BJE48" s="440"/>
      <c r="BKA48" s="436"/>
      <c r="BKB48" s="120"/>
      <c r="BKC48" s="223"/>
      <c r="BKD48" s="467"/>
      <c r="BKE48" s="440"/>
      <c r="BLA48" s="436"/>
      <c r="BLB48" s="120"/>
      <c r="BLC48" s="223"/>
      <c r="BLD48" s="467"/>
      <c r="BLE48" s="440"/>
      <c r="BMA48" s="436"/>
      <c r="BMB48" s="120"/>
      <c r="BMC48" s="223"/>
      <c r="BMD48" s="467"/>
      <c r="BME48" s="440"/>
      <c r="BNA48" s="436"/>
      <c r="BNB48" s="120"/>
      <c r="BNC48" s="223"/>
      <c r="BND48" s="467"/>
      <c r="BNE48" s="440"/>
      <c r="BOA48" s="436"/>
      <c r="BOB48" s="120"/>
      <c r="BOC48" s="223"/>
      <c r="BOD48" s="467"/>
      <c r="BOE48" s="440"/>
      <c r="BPA48" s="436"/>
      <c r="BPB48" s="120"/>
      <c r="BPC48" s="223"/>
      <c r="BPD48" s="467"/>
      <c r="BPE48" s="440"/>
      <c r="BQA48" s="436"/>
      <c r="BQB48" s="120"/>
      <c r="BQC48" s="223"/>
      <c r="BQD48" s="467"/>
      <c r="BQE48" s="440"/>
      <c r="BRA48" s="436"/>
      <c r="BRB48" s="120"/>
      <c r="BRC48" s="223"/>
      <c r="BRD48" s="467"/>
      <c r="BRE48" s="440"/>
    </row>
    <row r="49" spans="1:1019 1041:1825">
      <c r="A49" s="1034"/>
      <c r="B49" s="1015" t="s">
        <v>1511</v>
      </c>
      <c r="AA49" s="436"/>
      <c r="AB49" s="120"/>
      <c r="AC49" s="475"/>
      <c r="AD49" s="467"/>
      <c r="AE49" s="440"/>
      <c r="BA49" s="436"/>
      <c r="BB49" s="120"/>
      <c r="BC49" s="475"/>
      <c r="BD49" s="467"/>
      <c r="BE49" s="440"/>
      <c r="CA49" s="436"/>
      <c r="CB49" s="120"/>
      <c r="CC49" s="475"/>
      <c r="CD49" s="467"/>
      <c r="CE49" s="440"/>
      <c r="DA49" s="436"/>
      <c r="DB49" s="120"/>
      <c r="DC49" s="475"/>
      <c r="DD49" s="467"/>
      <c r="DE49" s="440"/>
      <c r="EA49" s="436"/>
      <c r="EB49" s="120"/>
      <c r="EC49" s="475"/>
      <c r="ED49" s="467"/>
      <c r="EE49" s="440"/>
      <c r="FA49" s="436"/>
      <c r="FB49" s="120"/>
      <c r="FC49" s="475"/>
      <c r="FD49" s="467"/>
      <c r="FE49" s="440"/>
      <c r="GA49" s="436"/>
      <c r="GB49" s="120"/>
      <c r="GC49" s="475"/>
      <c r="GD49" s="467"/>
      <c r="GE49" s="440"/>
      <c r="HA49" s="436"/>
      <c r="HB49" s="120"/>
      <c r="HC49" s="475"/>
      <c r="HD49" s="467"/>
      <c r="HE49" s="440"/>
      <c r="IA49" s="436"/>
      <c r="IB49" s="120"/>
      <c r="IC49" s="475"/>
      <c r="ID49" s="467"/>
      <c r="IE49" s="440"/>
      <c r="JA49" s="436"/>
      <c r="JB49" s="120"/>
      <c r="JC49" s="475"/>
      <c r="JD49" s="467"/>
      <c r="JE49" s="440"/>
      <c r="KA49" s="436"/>
      <c r="KB49" s="120"/>
      <c r="KC49" s="475"/>
      <c r="KD49" s="467"/>
      <c r="KE49" s="440"/>
      <c r="LA49" s="436"/>
      <c r="LB49" s="120"/>
      <c r="LC49" s="475"/>
      <c r="LD49" s="467"/>
      <c r="LE49" s="440"/>
      <c r="MA49" s="436"/>
      <c r="MB49" s="120"/>
      <c r="MC49" s="475"/>
      <c r="MD49" s="467"/>
      <c r="ME49" s="440"/>
      <c r="NA49" s="436"/>
      <c r="NB49" s="120"/>
      <c r="NC49" s="475"/>
      <c r="ND49" s="467"/>
      <c r="NE49" s="440"/>
      <c r="OA49" s="436"/>
      <c r="OB49" s="120"/>
      <c r="OC49" s="475"/>
      <c r="OD49" s="467"/>
      <c r="OE49" s="440"/>
      <c r="PA49" s="436"/>
      <c r="PB49" s="120"/>
      <c r="PC49" s="475"/>
      <c r="PD49" s="467"/>
      <c r="PE49" s="440"/>
      <c r="QA49" s="436"/>
      <c r="QB49" s="120"/>
      <c r="QC49" s="475"/>
      <c r="QD49" s="467"/>
      <c r="QE49" s="440"/>
      <c r="RA49" s="436"/>
      <c r="RB49" s="120"/>
      <c r="RC49" s="475"/>
      <c r="RD49" s="467"/>
      <c r="RE49" s="440"/>
      <c r="SA49" s="436"/>
      <c r="SB49" s="120"/>
      <c r="SC49" s="475"/>
      <c r="SD49" s="467"/>
      <c r="SE49" s="440"/>
      <c r="TA49" s="436"/>
      <c r="TB49" s="120"/>
      <c r="TC49" s="475"/>
      <c r="TD49" s="467"/>
      <c r="TE49" s="440"/>
      <c r="UA49" s="436"/>
      <c r="UB49" s="120"/>
      <c r="UC49" s="475"/>
      <c r="UD49" s="467"/>
      <c r="UE49" s="440"/>
      <c r="VA49" s="436"/>
      <c r="VB49" s="120"/>
      <c r="VC49" s="475"/>
      <c r="VD49" s="467"/>
      <c r="VE49" s="440"/>
      <c r="WA49" s="436"/>
      <c r="WB49" s="120"/>
      <c r="WC49" s="475"/>
      <c r="WD49" s="467"/>
      <c r="WE49" s="440"/>
      <c r="XA49" s="436"/>
      <c r="XB49" s="120"/>
      <c r="XC49" s="475"/>
      <c r="XD49" s="467"/>
      <c r="XE49" s="440"/>
      <c r="YA49" s="436"/>
      <c r="YB49" s="120"/>
      <c r="YC49" s="475"/>
      <c r="YD49" s="467"/>
      <c r="YE49" s="440"/>
      <c r="ZA49" s="436"/>
      <c r="ZB49" s="120"/>
      <c r="ZC49" s="475"/>
      <c r="ZD49" s="467"/>
      <c r="ZE49" s="440"/>
      <c r="AAA49" s="436"/>
      <c r="AAB49" s="120"/>
      <c r="AAC49" s="475"/>
      <c r="AAD49" s="467"/>
      <c r="AAE49" s="440"/>
      <c r="ABA49" s="436"/>
      <c r="ABB49" s="120"/>
      <c r="ABC49" s="475"/>
      <c r="ABD49" s="467"/>
      <c r="ABE49" s="440"/>
      <c r="ACA49" s="436"/>
      <c r="ACB49" s="120"/>
      <c r="ACC49" s="475"/>
      <c r="ACD49" s="467"/>
      <c r="ACE49" s="440"/>
      <c r="ADA49" s="436"/>
      <c r="ADB49" s="120"/>
      <c r="ADC49" s="475"/>
      <c r="ADD49" s="467"/>
      <c r="ADE49" s="440"/>
      <c r="AEA49" s="436"/>
      <c r="AEB49" s="120"/>
      <c r="AEC49" s="475"/>
      <c r="AED49" s="467"/>
      <c r="AEE49" s="440"/>
      <c r="AFA49" s="436"/>
      <c r="AFB49" s="120"/>
      <c r="AFC49" s="475"/>
      <c r="AFD49" s="467"/>
      <c r="AFE49" s="440"/>
      <c r="AGA49" s="436"/>
      <c r="AGB49" s="120"/>
      <c r="AGC49" s="475"/>
      <c r="AGD49" s="467"/>
      <c r="AGE49" s="440"/>
      <c r="AHA49" s="436"/>
      <c r="AHB49" s="120"/>
      <c r="AHC49" s="475"/>
      <c r="AHD49" s="467"/>
      <c r="AHE49" s="440"/>
      <c r="AIA49" s="436"/>
      <c r="AIB49" s="120"/>
      <c r="AIC49" s="475"/>
      <c r="AID49" s="467"/>
      <c r="AIE49" s="440"/>
      <c r="AJA49" s="436"/>
      <c r="AJB49" s="120"/>
      <c r="AJC49" s="475"/>
      <c r="AJD49" s="467"/>
      <c r="AJE49" s="440"/>
      <c r="AKA49" s="436"/>
      <c r="AKB49" s="120"/>
      <c r="AKC49" s="475"/>
      <c r="AKD49" s="467"/>
      <c r="AKE49" s="440"/>
      <c r="ALA49" s="436"/>
      <c r="ALB49" s="120"/>
      <c r="ALC49" s="475"/>
      <c r="ALD49" s="467"/>
      <c r="ALE49" s="440"/>
      <c r="AMA49" s="436"/>
      <c r="AMB49" s="120"/>
      <c r="AMC49" s="475"/>
      <c r="AMD49" s="467"/>
      <c r="AME49" s="440"/>
      <c r="ANA49" s="436"/>
      <c r="ANB49" s="120"/>
      <c r="ANC49" s="475"/>
      <c r="AND49" s="467"/>
      <c r="ANE49" s="440"/>
      <c r="AOA49" s="436"/>
      <c r="AOB49" s="120"/>
      <c r="AOC49" s="475"/>
      <c r="AOD49" s="467"/>
      <c r="AOE49" s="440"/>
      <c r="APA49" s="436"/>
      <c r="APB49" s="120"/>
      <c r="APC49" s="475"/>
      <c r="APD49" s="467"/>
      <c r="APE49" s="440"/>
      <c r="AQA49" s="436"/>
      <c r="AQB49" s="120"/>
      <c r="AQC49" s="475"/>
      <c r="AQD49" s="467"/>
      <c r="AQE49" s="440"/>
      <c r="ARA49" s="436"/>
      <c r="ARB49" s="120"/>
      <c r="ARC49" s="475"/>
      <c r="ARD49" s="467"/>
      <c r="ARE49" s="440"/>
      <c r="ASA49" s="436"/>
      <c r="ASB49" s="120"/>
      <c r="ASC49" s="475"/>
      <c r="ASD49" s="467"/>
      <c r="ASE49" s="440"/>
      <c r="ATA49" s="436"/>
      <c r="ATB49" s="120"/>
      <c r="ATC49" s="475"/>
      <c r="ATD49" s="467"/>
      <c r="ATE49" s="440"/>
      <c r="AUA49" s="436"/>
      <c r="AUB49" s="120"/>
      <c r="AUC49" s="475"/>
      <c r="AUD49" s="467"/>
      <c r="AUE49" s="440"/>
      <c r="AVA49" s="436"/>
      <c r="AVB49" s="120"/>
      <c r="AVC49" s="475"/>
      <c r="AVD49" s="467"/>
      <c r="AVE49" s="440"/>
      <c r="AWA49" s="436"/>
      <c r="AWB49" s="120"/>
      <c r="AWC49" s="475"/>
      <c r="AWD49" s="467"/>
      <c r="AWE49" s="440"/>
      <c r="AXA49" s="436"/>
      <c r="AXB49" s="120"/>
      <c r="AXC49" s="475"/>
      <c r="AXD49" s="467"/>
      <c r="AXE49" s="440"/>
      <c r="AYA49" s="436"/>
      <c r="AYB49" s="120"/>
      <c r="AYC49" s="475"/>
      <c r="AYD49" s="467"/>
      <c r="AYE49" s="440"/>
      <c r="AZA49" s="436"/>
      <c r="AZB49" s="120"/>
      <c r="AZC49" s="475"/>
      <c r="AZD49" s="467"/>
      <c r="AZE49" s="440"/>
      <c r="BAA49" s="436"/>
      <c r="BAB49" s="120"/>
      <c r="BAC49" s="475"/>
      <c r="BAD49" s="467"/>
      <c r="BAE49" s="440"/>
      <c r="BBA49" s="436"/>
      <c r="BBB49" s="120"/>
      <c r="BBC49" s="475"/>
      <c r="BBD49" s="467"/>
      <c r="BBE49" s="440"/>
      <c r="BCA49" s="436"/>
      <c r="BCB49" s="120"/>
      <c r="BCC49" s="475"/>
      <c r="BCD49" s="467"/>
      <c r="BCE49" s="440"/>
      <c r="BDA49" s="436"/>
      <c r="BDB49" s="120"/>
      <c r="BDC49" s="475"/>
      <c r="BDD49" s="467"/>
      <c r="BDE49" s="440"/>
      <c r="BEA49" s="436"/>
      <c r="BEB49" s="120"/>
      <c r="BEC49" s="475"/>
      <c r="BED49" s="467"/>
      <c r="BEE49" s="440"/>
      <c r="BFA49" s="436"/>
      <c r="BFB49" s="120"/>
      <c r="BFC49" s="475"/>
      <c r="BFD49" s="467"/>
      <c r="BFE49" s="440"/>
      <c r="BGA49" s="436"/>
      <c r="BGB49" s="120"/>
      <c r="BGC49" s="475"/>
      <c r="BGD49" s="467"/>
      <c r="BGE49" s="440"/>
      <c r="BHA49" s="436"/>
      <c r="BHB49" s="120"/>
      <c r="BHC49" s="475"/>
      <c r="BHD49" s="467"/>
      <c r="BHE49" s="440"/>
      <c r="BIA49" s="436"/>
      <c r="BIB49" s="120"/>
      <c r="BIC49" s="475"/>
      <c r="BID49" s="467"/>
      <c r="BIE49" s="440"/>
      <c r="BJA49" s="436"/>
      <c r="BJB49" s="120"/>
      <c r="BJC49" s="475"/>
      <c r="BJD49" s="467"/>
      <c r="BJE49" s="440"/>
      <c r="BKA49" s="436"/>
      <c r="BKB49" s="120"/>
      <c r="BKC49" s="475"/>
      <c r="BKD49" s="467"/>
      <c r="BKE49" s="440"/>
      <c r="BLA49" s="436"/>
      <c r="BLB49" s="120"/>
      <c r="BLC49" s="475"/>
      <c r="BLD49" s="467"/>
      <c r="BLE49" s="440"/>
      <c r="BMA49" s="436"/>
      <c r="BMB49" s="120"/>
      <c r="BMC49" s="475"/>
      <c r="BMD49" s="467"/>
      <c r="BME49" s="440"/>
      <c r="BNA49" s="436"/>
      <c r="BNB49" s="120"/>
      <c r="BNC49" s="475"/>
      <c r="BND49" s="467"/>
      <c r="BNE49" s="440"/>
      <c r="BOA49" s="436"/>
      <c r="BOB49" s="120"/>
      <c r="BOC49" s="475"/>
      <c r="BOD49" s="467"/>
      <c r="BOE49" s="440"/>
      <c r="BPA49" s="436"/>
      <c r="BPB49" s="120"/>
      <c r="BPC49" s="475"/>
      <c r="BPD49" s="467"/>
      <c r="BPE49" s="440"/>
      <c r="BQA49" s="436"/>
      <c r="BQB49" s="120"/>
      <c r="BQC49" s="475"/>
      <c r="BQD49" s="467"/>
      <c r="BQE49" s="440"/>
      <c r="BRA49" s="436"/>
      <c r="BRB49" s="120"/>
      <c r="BRC49" s="475"/>
      <c r="BRD49" s="467"/>
      <c r="BRE49" s="440"/>
    </row>
    <row r="50" spans="1:1019 1041:1825">
      <c r="B50" s="1015" t="s">
        <v>1512</v>
      </c>
      <c r="AA50" s="436"/>
      <c r="AB50" s="120"/>
      <c r="AC50" s="223"/>
      <c r="AD50" s="467"/>
      <c r="AE50" s="440"/>
      <c r="BA50" s="436"/>
      <c r="BB50" s="120"/>
      <c r="BC50" s="223"/>
      <c r="BD50" s="467"/>
      <c r="BE50" s="440"/>
      <c r="CA50" s="436"/>
      <c r="CB50" s="120"/>
      <c r="CC50" s="223"/>
      <c r="CD50" s="467"/>
      <c r="CE50" s="440"/>
      <c r="DA50" s="436"/>
      <c r="DB50" s="120"/>
      <c r="DC50" s="223"/>
      <c r="DD50" s="467"/>
      <c r="DE50" s="440"/>
      <c r="EA50" s="436"/>
      <c r="EB50" s="120"/>
      <c r="EC50" s="223"/>
      <c r="ED50" s="467"/>
      <c r="EE50" s="440"/>
      <c r="FA50" s="436"/>
      <c r="FB50" s="120"/>
      <c r="FC50" s="223"/>
      <c r="FD50" s="467"/>
      <c r="FE50" s="440"/>
      <c r="GA50" s="436"/>
      <c r="GB50" s="120"/>
      <c r="GC50" s="223"/>
      <c r="GD50" s="467"/>
      <c r="GE50" s="440"/>
      <c r="HA50" s="436"/>
      <c r="HB50" s="120"/>
      <c r="HC50" s="223"/>
      <c r="HD50" s="467"/>
      <c r="HE50" s="440"/>
      <c r="IA50" s="436"/>
      <c r="IB50" s="120"/>
      <c r="IC50" s="223"/>
      <c r="ID50" s="467"/>
      <c r="IE50" s="440"/>
      <c r="JA50" s="436"/>
      <c r="JB50" s="120"/>
      <c r="JC50" s="223"/>
      <c r="JD50" s="467"/>
      <c r="JE50" s="440"/>
      <c r="KA50" s="436"/>
      <c r="KB50" s="120"/>
      <c r="KC50" s="223"/>
      <c r="KD50" s="467"/>
      <c r="KE50" s="440"/>
      <c r="LA50" s="436"/>
      <c r="LB50" s="120"/>
      <c r="LC50" s="223"/>
      <c r="LD50" s="467"/>
      <c r="LE50" s="440"/>
      <c r="MA50" s="436"/>
      <c r="MB50" s="120"/>
      <c r="MC50" s="223"/>
      <c r="MD50" s="467"/>
      <c r="ME50" s="440"/>
      <c r="NA50" s="436"/>
      <c r="NB50" s="120"/>
      <c r="NC50" s="223"/>
      <c r="ND50" s="467"/>
      <c r="NE50" s="440"/>
      <c r="OA50" s="436"/>
      <c r="OB50" s="120"/>
      <c r="OC50" s="223"/>
      <c r="OD50" s="467"/>
      <c r="OE50" s="440"/>
      <c r="PA50" s="436"/>
      <c r="PB50" s="120"/>
      <c r="PC50" s="223"/>
      <c r="PD50" s="467"/>
      <c r="PE50" s="440"/>
      <c r="QA50" s="436"/>
      <c r="QB50" s="120"/>
      <c r="QC50" s="223"/>
      <c r="QD50" s="467"/>
      <c r="QE50" s="440"/>
      <c r="RA50" s="436"/>
      <c r="RB50" s="120"/>
      <c r="RC50" s="223"/>
      <c r="RD50" s="467"/>
      <c r="RE50" s="440"/>
      <c r="SA50" s="436"/>
      <c r="SB50" s="120"/>
      <c r="SC50" s="223"/>
      <c r="SD50" s="467"/>
      <c r="SE50" s="440"/>
      <c r="TA50" s="436"/>
      <c r="TB50" s="120"/>
      <c r="TC50" s="223"/>
      <c r="TD50" s="467"/>
      <c r="TE50" s="440"/>
      <c r="UA50" s="436"/>
      <c r="UB50" s="120"/>
      <c r="UC50" s="223"/>
      <c r="UD50" s="467"/>
      <c r="UE50" s="440"/>
      <c r="VA50" s="436"/>
      <c r="VB50" s="120"/>
      <c r="VC50" s="223"/>
      <c r="VD50" s="467"/>
      <c r="VE50" s="440"/>
      <c r="WA50" s="436"/>
      <c r="WB50" s="120"/>
      <c r="WC50" s="223"/>
      <c r="WD50" s="467"/>
      <c r="WE50" s="440"/>
      <c r="XA50" s="436"/>
      <c r="XB50" s="120"/>
      <c r="XC50" s="223"/>
      <c r="XD50" s="467"/>
      <c r="XE50" s="440"/>
      <c r="YA50" s="436"/>
      <c r="YB50" s="120"/>
      <c r="YC50" s="223"/>
      <c r="YD50" s="467"/>
      <c r="YE50" s="440"/>
      <c r="ZA50" s="436"/>
      <c r="ZB50" s="120"/>
      <c r="ZC50" s="223"/>
      <c r="ZD50" s="467"/>
      <c r="ZE50" s="440"/>
      <c r="AAA50" s="436"/>
      <c r="AAB50" s="120"/>
      <c r="AAC50" s="223"/>
      <c r="AAD50" s="467"/>
      <c r="AAE50" s="440"/>
      <c r="ABA50" s="436"/>
      <c r="ABB50" s="120"/>
      <c r="ABC50" s="223"/>
      <c r="ABD50" s="467"/>
      <c r="ABE50" s="440"/>
      <c r="ACA50" s="436"/>
      <c r="ACB50" s="120"/>
      <c r="ACC50" s="223"/>
      <c r="ACD50" s="467"/>
      <c r="ACE50" s="440"/>
      <c r="ADA50" s="436"/>
      <c r="ADB50" s="120"/>
      <c r="ADC50" s="223"/>
      <c r="ADD50" s="467"/>
      <c r="ADE50" s="440"/>
      <c r="AEA50" s="436"/>
      <c r="AEB50" s="120"/>
      <c r="AEC50" s="223"/>
      <c r="AED50" s="467"/>
      <c r="AEE50" s="440"/>
      <c r="AFA50" s="436"/>
      <c r="AFB50" s="120"/>
      <c r="AFC50" s="223"/>
      <c r="AFD50" s="467"/>
      <c r="AFE50" s="440"/>
      <c r="AGA50" s="436"/>
      <c r="AGB50" s="120"/>
      <c r="AGC50" s="223"/>
      <c r="AGD50" s="467"/>
      <c r="AGE50" s="440"/>
      <c r="AHA50" s="436"/>
      <c r="AHB50" s="120"/>
      <c r="AHC50" s="223"/>
      <c r="AHD50" s="467"/>
      <c r="AHE50" s="440"/>
      <c r="AIA50" s="436"/>
      <c r="AIB50" s="120"/>
      <c r="AIC50" s="223"/>
      <c r="AID50" s="467"/>
      <c r="AIE50" s="440"/>
      <c r="AJA50" s="436"/>
      <c r="AJB50" s="120"/>
      <c r="AJC50" s="223"/>
      <c r="AJD50" s="467"/>
      <c r="AJE50" s="440"/>
      <c r="AKA50" s="436"/>
      <c r="AKB50" s="120"/>
      <c r="AKC50" s="223"/>
      <c r="AKD50" s="467"/>
      <c r="AKE50" s="440"/>
      <c r="ALA50" s="436"/>
      <c r="ALB50" s="120"/>
      <c r="ALC50" s="223"/>
      <c r="ALD50" s="467"/>
      <c r="ALE50" s="440"/>
      <c r="AMA50" s="436"/>
      <c r="AMB50" s="120"/>
      <c r="AMC50" s="223"/>
      <c r="AMD50" s="467"/>
      <c r="AME50" s="440"/>
      <c r="ANA50" s="436"/>
      <c r="ANB50" s="120"/>
      <c r="ANC50" s="223"/>
      <c r="AND50" s="467"/>
      <c r="ANE50" s="440"/>
      <c r="AOA50" s="436"/>
      <c r="AOB50" s="120"/>
      <c r="AOC50" s="223"/>
      <c r="AOD50" s="467"/>
      <c r="AOE50" s="440"/>
      <c r="APA50" s="436"/>
      <c r="APB50" s="120"/>
      <c r="APC50" s="223"/>
      <c r="APD50" s="467"/>
      <c r="APE50" s="440"/>
      <c r="AQA50" s="436"/>
      <c r="AQB50" s="120"/>
      <c r="AQC50" s="223"/>
      <c r="AQD50" s="467"/>
      <c r="AQE50" s="440"/>
      <c r="ARA50" s="436"/>
      <c r="ARB50" s="120"/>
      <c r="ARC50" s="223"/>
      <c r="ARD50" s="467"/>
      <c r="ARE50" s="440"/>
      <c r="ASA50" s="436"/>
      <c r="ASB50" s="120"/>
      <c r="ASC50" s="223"/>
      <c r="ASD50" s="467"/>
      <c r="ASE50" s="440"/>
      <c r="ATA50" s="436"/>
      <c r="ATB50" s="120"/>
      <c r="ATC50" s="223"/>
      <c r="ATD50" s="467"/>
      <c r="ATE50" s="440"/>
      <c r="AUA50" s="436"/>
      <c r="AUB50" s="120"/>
      <c r="AUC50" s="223"/>
      <c r="AUD50" s="467"/>
      <c r="AUE50" s="440"/>
      <c r="AVA50" s="436"/>
      <c r="AVB50" s="120"/>
      <c r="AVC50" s="223"/>
      <c r="AVD50" s="467"/>
      <c r="AVE50" s="440"/>
      <c r="AWA50" s="436"/>
      <c r="AWB50" s="120"/>
      <c r="AWC50" s="223"/>
      <c r="AWD50" s="467"/>
      <c r="AWE50" s="440"/>
      <c r="AXA50" s="436"/>
      <c r="AXB50" s="120"/>
      <c r="AXC50" s="223"/>
      <c r="AXD50" s="467"/>
      <c r="AXE50" s="440"/>
      <c r="AYA50" s="436"/>
      <c r="AYB50" s="120"/>
      <c r="AYC50" s="223"/>
      <c r="AYD50" s="467"/>
      <c r="AYE50" s="440"/>
      <c r="AZA50" s="436"/>
      <c r="AZB50" s="120"/>
      <c r="AZC50" s="223"/>
      <c r="AZD50" s="467"/>
      <c r="AZE50" s="440"/>
      <c r="BAA50" s="436"/>
      <c r="BAB50" s="120"/>
      <c r="BAC50" s="223"/>
      <c r="BAD50" s="467"/>
      <c r="BAE50" s="440"/>
      <c r="BBA50" s="436"/>
      <c r="BBB50" s="120"/>
      <c r="BBC50" s="223"/>
      <c r="BBD50" s="467"/>
      <c r="BBE50" s="440"/>
      <c r="BCA50" s="436"/>
      <c r="BCB50" s="120"/>
      <c r="BCC50" s="223"/>
      <c r="BCD50" s="467"/>
      <c r="BCE50" s="440"/>
      <c r="BDA50" s="436"/>
      <c r="BDB50" s="120"/>
      <c r="BDC50" s="223"/>
      <c r="BDD50" s="467"/>
      <c r="BDE50" s="440"/>
      <c r="BEA50" s="436"/>
      <c r="BEB50" s="120"/>
      <c r="BEC50" s="223"/>
      <c r="BED50" s="467"/>
      <c r="BEE50" s="440"/>
      <c r="BFA50" s="436"/>
      <c r="BFB50" s="120"/>
      <c r="BFC50" s="223"/>
      <c r="BFD50" s="467"/>
      <c r="BFE50" s="440"/>
      <c r="BGA50" s="436"/>
      <c r="BGB50" s="120"/>
      <c r="BGC50" s="223"/>
      <c r="BGD50" s="467"/>
      <c r="BGE50" s="440"/>
      <c r="BHA50" s="436"/>
      <c r="BHB50" s="120"/>
      <c r="BHC50" s="223"/>
      <c r="BHD50" s="467"/>
      <c r="BHE50" s="440"/>
      <c r="BIA50" s="436"/>
      <c r="BIB50" s="120"/>
      <c r="BIC50" s="223"/>
      <c r="BID50" s="467"/>
      <c r="BIE50" s="440"/>
      <c r="BJA50" s="436"/>
      <c r="BJB50" s="120"/>
      <c r="BJC50" s="223"/>
      <c r="BJD50" s="467"/>
      <c r="BJE50" s="440"/>
      <c r="BKA50" s="436"/>
      <c r="BKB50" s="120"/>
      <c r="BKC50" s="223"/>
      <c r="BKD50" s="467"/>
      <c r="BKE50" s="440"/>
      <c r="BLA50" s="436"/>
      <c r="BLB50" s="120"/>
      <c r="BLC50" s="223"/>
      <c r="BLD50" s="467"/>
      <c r="BLE50" s="440"/>
      <c r="BMA50" s="436"/>
      <c r="BMB50" s="120"/>
      <c r="BMC50" s="223"/>
      <c r="BMD50" s="467"/>
      <c r="BME50" s="440"/>
      <c r="BNA50" s="436"/>
      <c r="BNB50" s="120"/>
      <c r="BNC50" s="223"/>
      <c r="BND50" s="467"/>
      <c r="BNE50" s="440"/>
      <c r="BOA50" s="436"/>
      <c r="BOB50" s="120"/>
      <c r="BOC50" s="223"/>
      <c r="BOD50" s="467"/>
      <c r="BOE50" s="440"/>
      <c r="BPA50" s="436"/>
      <c r="BPB50" s="120"/>
      <c r="BPC50" s="223"/>
      <c r="BPD50" s="467"/>
      <c r="BPE50" s="440"/>
      <c r="BQA50" s="436"/>
      <c r="BQB50" s="120"/>
      <c r="BQC50" s="223"/>
      <c r="BQD50" s="467"/>
      <c r="BQE50" s="440"/>
      <c r="BRA50" s="436"/>
      <c r="BRB50" s="120"/>
      <c r="BRC50" s="223"/>
      <c r="BRD50" s="467"/>
      <c r="BRE50" s="440"/>
    </row>
    <row r="51" spans="1:1019 1041:1825">
      <c r="B51" s="1015" t="s">
        <v>35</v>
      </c>
      <c r="AA51" s="436"/>
      <c r="AB51" s="120"/>
      <c r="AC51" s="223"/>
      <c r="AD51" s="467"/>
      <c r="AE51" s="440"/>
      <c r="BA51" s="436"/>
      <c r="BB51" s="120"/>
      <c r="BC51" s="223"/>
      <c r="BD51" s="467"/>
      <c r="BE51" s="440"/>
      <c r="CA51" s="436"/>
      <c r="CB51" s="120"/>
      <c r="CC51" s="223"/>
      <c r="CD51" s="467"/>
      <c r="CE51" s="440"/>
      <c r="DA51" s="436"/>
      <c r="DB51" s="120"/>
      <c r="DC51" s="223"/>
      <c r="DD51" s="467"/>
      <c r="DE51" s="440"/>
      <c r="EA51" s="436"/>
      <c r="EB51" s="120"/>
      <c r="EC51" s="223"/>
      <c r="ED51" s="467"/>
      <c r="EE51" s="440"/>
      <c r="FA51" s="436"/>
      <c r="FB51" s="120"/>
      <c r="FC51" s="223"/>
      <c r="FD51" s="467"/>
      <c r="FE51" s="440"/>
      <c r="GA51" s="436"/>
      <c r="GB51" s="120"/>
      <c r="GC51" s="223"/>
      <c r="GD51" s="467"/>
      <c r="GE51" s="440"/>
      <c r="HA51" s="436"/>
      <c r="HB51" s="120"/>
      <c r="HC51" s="223"/>
      <c r="HD51" s="467"/>
      <c r="HE51" s="440"/>
      <c r="IA51" s="436"/>
      <c r="IB51" s="120"/>
      <c r="IC51" s="223"/>
      <c r="ID51" s="467"/>
      <c r="IE51" s="440"/>
      <c r="JA51" s="436"/>
      <c r="JB51" s="120"/>
      <c r="JC51" s="223"/>
      <c r="JD51" s="467"/>
      <c r="JE51" s="440"/>
      <c r="KA51" s="436"/>
      <c r="KB51" s="120"/>
      <c r="KC51" s="223"/>
      <c r="KD51" s="467"/>
      <c r="KE51" s="440"/>
      <c r="LA51" s="436"/>
      <c r="LB51" s="120"/>
      <c r="LC51" s="223"/>
      <c r="LD51" s="467"/>
      <c r="LE51" s="440"/>
      <c r="MA51" s="436"/>
      <c r="MB51" s="120"/>
      <c r="MC51" s="223"/>
      <c r="MD51" s="467"/>
      <c r="ME51" s="440"/>
      <c r="NA51" s="436"/>
      <c r="NB51" s="120"/>
      <c r="NC51" s="223"/>
      <c r="ND51" s="467"/>
      <c r="NE51" s="440"/>
      <c r="OA51" s="436"/>
      <c r="OB51" s="120"/>
      <c r="OC51" s="223"/>
      <c r="OD51" s="467"/>
      <c r="OE51" s="440"/>
      <c r="PA51" s="436"/>
      <c r="PB51" s="120"/>
      <c r="PC51" s="223"/>
      <c r="PD51" s="467"/>
      <c r="PE51" s="440"/>
      <c r="QA51" s="436"/>
      <c r="QB51" s="120"/>
      <c r="QC51" s="223"/>
      <c r="QD51" s="467"/>
      <c r="QE51" s="440"/>
      <c r="RA51" s="436"/>
      <c r="RB51" s="120"/>
      <c r="RC51" s="223"/>
      <c r="RD51" s="467"/>
      <c r="RE51" s="440"/>
      <c r="SA51" s="436"/>
      <c r="SB51" s="120"/>
      <c r="SC51" s="223"/>
      <c r="SD51" s="467"/>
      <c r="SE51" s="440"/>
      <c r="TA51" s="436"/>
      <c r="TB51" s="120"/>
      <c r="TC51" s="223"/>
      <c r="TD51" s="467"/>
      <c r="TE51" s="440"/>
      <c r="UA51" s="436"/>
      <c r="UB51" s="120"/>
      <c r="UC51" s="223"/>
      <c r="UD51" s="467"/>
      <c r="UE51" s="440"/>
      <c r="VA51" s="436"/>
      <c r="VB51" s="120"/>
      <c r="VC51" s="223"/>
      <c r="VD51" s="467"/>
      <c r="VE51" s="440"/>
      <c r="WA51" s="436"/>
      <c r="WB51" s="120"/>
      <c r="WC51" s="223"/>
      <c r="WD51" s="467"/>
      <c r="WE51" s="440"/>
      <c r="XA51" s="436"/>
      <c r="XB51" s="120"/>
      <c r="XC51" s="223"/>
      <c r="XD51" s="467"/>
      <c r="XE51" s="440"/>
      <c r="YA51" s="436"/>
      <c r="YB51" s="120"/>
      <c r="YC51" s="223"/>
      <c r="YD51" s="467"/>
      <c r="YE51" s="440"/>
      <c r="ZA51" s="436"/>
      <c r="ZB51" s="120"/>
      <c r="ZC51" s="223"/>
      <c r="ZD51" s="467"/>
      <c r="ZE51" s="440"/>
      <c r="AAA51" s="436"/>
      <c r="AAB51" s="120"/>
      <c r="AAC51" s="223"/>
      <c r="AAD51" s="467"/>
      <c r="AAE51" s="440"/>
      <c r="ABA51" s="436"/>
      <c r="ABB51" s="120"/>
      <c r="ABC51" s="223"/>
      <c r="ABD51" s="467"/>
      <c r="ABE51" s="440"/>
      <c r="ACA51" s="436"/>
      <c r="ACB51" s="120"/>
      <c r="ACC51" s="223"/>
      <c r="ACD51" s="467"/>
      <c r="ACE51" s="440"/>
      <c r="ADA51" s="436"/>
      <c r="ADB51" s="120"/>
      <c r="ADC51" s="223"/>
      <c r="ADD51" s="467"/>
      <c r="ADE51" s="440"/>
      <c r="AEA51" s="436"/>
      <c r="AEB51" s="120"/>
      <c r="AEC51" s="223"/>
      <c r="AED51" s="467"/>
      <c r="AEE51" s="440"/>
      <c r="AFA51" s="436"/>
      <c r="AFB51" s="120"/>
      <c r="AFC51" s="223"/>
      <c r="AFD51" s="467"/>
      <c r="AFE51" s="440"/>
      <c r="AGA51" s="436"/>
      <c r="AGB51" s="120"/>
      <c r="AGC51" s="223"/>
      <c r="AGD51" s="467"/>
      <c r="AGE51" s="440"/>
      <c r="AHA51" s="436"/>
      <c r="AHB51" s="120"/>
      <c r="AHC51" s="223"/>
      <c r="AHD51" s="467"/>
      <c r="AHE51" s="440"/>
      <c r="AIA51" s="436"/>
      <c r="AIB51" s="120"/>
      <c r="AIC51" s="223"/>
      <c r="AID51" s="467"/>
      <c r="AIE51" s="440"/>
      <c r="AJA51" s="436"/>
      <c r="AJB51" s="120"/>
      <c r="AJC51" s="223"/>
      <c r="AJD51" s="467"/>
      <c r="AJE51" s="440"/>
      <c r="AKA51" s="436"/>
      <c r="AKB51" s="120"/>
      <c r="AKC51" s="223"/>
      <c r="AKD51" s="467"/>
      <c r="AKE51" s="440"/>
      <c r="ALA51" s="436"/>
      <c r="ALB51" s="120"/>
      <c r="ALC51" s="223"/>
      <c r="ALD51" s="467"/>
      <c r="ALE51" s="440"/>
      <c r="AMA51" s="436"/>
      <c r="AMB51" s="120"/>
      <c r="AMC51" s="223"/>
      <c r="AMD51" s="467"/>
      <c r="AME51" s="440"/>
      <c r="ANA51" s="436"/>
      <c r="ANB51" s="120"/>
      <c r="ANC51" s="223"/>
      <c r="AND51" s="467"/>
      <c r="ANE51" s="440"/>
      <c r="AOA51" s="436"/>
      <c r="AOB51" s="120"/>
      <c r="AOC51" s="223"/>
      <c r="AOD51" s="467"/>
      <c r="AOE51" s="440"/>
      <c r="APA51" s="436"/>
      <c r="APB51" s="120"/>
      <c r="APC51" s="223"/>
      <c r="APD51" s="467"/>
      <c r="APE51" s="440"/>
      <c r="AQA51" s="436"/>
      <c r="AQB51" s="120"/>
      <c r="AQC51" s="223"/>
      <c r="AQD51" s="467"/>
      <c r="AQE51" s="440"/>
      <c r="ARA51" s="436"/>
      <c r="ARB51" s="120"/>
      <c r="ARC51" s="223"/>
      <c r="ARD51" s="467"/>
      <c r="ARE51" s="440"/>
      <c r="ASA51" s="436"/>
      <c r="ASB51" s="120"/>
      <c r="ASC51" s="223"/>
      <c r="ASD51" s="467"/>
      <c r="ASE51" s="440"/>
      <c r="ATA51" s="436"/>
      <c r="ATB51" s="120"/>
      <c r="ATC51" s="223"/>
      <c r="ATD51" s="467"/>
      <c r="ATE51" s="440"/>
      <c r="AUA51" s="436"/>
      <c r="AUB51" s="120"/>
      <c r="AUC51" s="223"/>
      <c r="AUD51" s="467"/>
      <c r="AUE51" s="440"/>
      <c r="AVA51" s="436"/>
      <c r="AVB51" s="120"/>
      <c r="AVC51" s="223"/>
      <c r="AVD51" s="467"/>
      <c r="AVE51" s="440"/>
      <c r="AWA51" s="436"/>
      <c r="AWB51" s="120"/>
      <c r="AWC51" s="223"/>
      <c r="AWD51" s="467"/>
      <c r="AWE51" s="440"/>
      <c r="AXA51" s="436"/>
      <c r="AXB51" s="120"/>
      <c r="AXC51" s="223"/>
      <c r="AXD51" s="467"/>
      <c r="AXE51" s="440"/>
      <c r="AYA51" s="436"/>
      <c r="AYB51" s="120"/>
      <c r="AYC51" s="223"/>
      <c r="AYD51" s="467"/>
      <c r="AYE51" s="440"/>
      <c r="AZA51" s="436"/>
      <c r="AZB51" s="120"/>
      <c r="AZC51" s="223"/>
      <c r="AZD51" s="467"/>
      <c r="AZE51" s="440"/>
      <c r="BAA51" s="436"/>
      <c r="BAB51" s="120"/>
      <c r="BAC51" s="223"/>
      <c r="BAD51" s="467"/>
      <c r="BAE51" s="440"/>
      <c r="BBA51" s="436"/>
      <c r="BBB51" s="120"/>
      <c r="BBC51" s="223"/>
      <c r="BBD51" s="467"/>
      <c r="BBE51" s="440"/>
      <c r="BCA51" s="436"/>
      <c r="BCB51" s="120"/>
      <c r="BCC51" s="223"/>
      <c r="BCD51" s="467"/>
      <c r="BCE51" s="440"/>
      <c r="BDA51" s="436"/>
      <c r="BDB51" s="120"/>
      <c r="BDC51" s="223"/>
      <c r="BDD51" s="467"/>
      <c r="BDE51" s="440"/>
      <c r="BEA51" s="436"/>
      <c r="BEB51" s="120"/>
      <c r="BEC51" s="223"/>
      <c r="BED51" s="467"/>
      <c r="BEE51" s="440"/>
      <c r="BFA51" s="436"/>
      <c r="BFB51" s="120"/>
      <c r="BFC51" s="223"/>
      <c r="BFD51" s="467"/>
      <c r="BFE51" s="440"/>
      <c r="BGA51" s="436"/>
      <c r="BGB51" s="120"/>
      <c r="BGC51" s="223"/>
      <c r="BGD51" s="467"/>
      <c r="BGE51" s="440"/>
      <c r="BHA51" s="436"/>
      <c r="BHB51" s="120"/>
      <c r="BHC51" s="223"/>
      <c r="BHD51" s="467"/>
      <c r="BHE51" s="440"/>
      <c r="BIA51" s="436"/>
      <c r="BIB51" s="120"/>
      <c r="BIC51" s="223"/>
      <c r="BID51" s="467"/>
      <c r="BIE51" s="440"/>
      <c r="BJA51" s="436"/>
      <c r="BJB51" s="120"/>
      <c r="BJC51" s="223"/>
      <c r="BJD51" s="467"/>
      <c r="BJE51" s="440"/>
      <c r="BKA51" s="436"/>
      <c r="BKB51" s="120"/>
      <c r="BKC51" s="223"/>
      <c r="BKD51" s="467"/>
      <c r="BKE51" s="440"/>
      <c r="BLA51" s="436"/>
      <c r="BLB51" s="120"/>
      <c r="BLC51" s="223"/>
      <c r="BLD51" s="467"/>
      <c r="BLE51" s="440"/>
      <c r="BMA51" s="436"/>
      <c r="BMB51" s="120"/>
      <c r="BMC51" s="223"/>
      <c r="BMD51" s="467"/>
      <c r="BME51" s="440"/>
      <c r="BNA51" s="436"/>
      <c r="BNB51" s="120"/>
      <c r="BNC51" s="223"/>
      <c r="BND51" s="467"/>
      <c r="BNE51" s="440"/>
      <c r="BOA51" s="436"/>
      <c r="BOB51" s="120"/>
      <c r="BOC51" s="223"/>
      <c r="BOD51" s="467"/>
      <c r="BOE51" s="440"/>
      <c r="BPA51" s="436"/>
      <c r="BPB51" s="120"/>
      <c r="BPC51" s="223"/>
      <c r="BPD51" s="467"/>
      <c r="BPE51" s="440"/>
      <c r="BQA51" s="436"/>
      <c r="BQB51" s="120"/>
      <c r="BQC51" s="223"/>
      <c r="BQD51" s="467"/>
      <c r="BQE51" s="440"/>
      <c r="BRA51" s="436"/>
      <c r="BRB51" s="120"/>
      <c r="BRC51" s="223"/>
      <c r="BRD51" s="467"/>
      <c r="BRE51" s="440"/>
    </row>
    <row r="52" spans="1:1019 1041:1825">
      <c r="B52" s="1015" t="s">
        <v>1513</v>
      </c>
      <c r="AA52" s="436"/>
      <c r="AB52" s="120"/>
      <c r="AC52" s="223"/>
      <c r="AD52" s="467"/>
      <c r="AE52" s="440"/>
      <c r="BA52" s="436"/>
      <c r="BB52" s="120"/>
      <c r="BC52" s="223"/>
      <c r="BD52" s="467"/>
      <c r="BE52" s="440"/>
      <c r="CA52" s="436"/>
      <c r="CB52" s="120"/>
      <c r="CC52" s="223"/>
      <c r="CD52" s="467"/>
      <c r="CE52" s="440"/>
      <c r="DA52" s="436"/>
      <c r="DB52" s="120"/>
      <c r="DC52" s="223"/>
      <c r="DD52" s="467"/>
      <c r="DE52" s="440"/>
      <c r="EA52" s="436"/>
      <c r="EB52" s="120"/>
      <c r="EC52" s="223"/>
      <c r="ED52" s="467"/>
      <c r="EE52" s="440"/>
      <c r="FA52" s="436"/>
      <c r="FB52" s="120"/>
      <c r="FC52" s="223"/>
      <c r="FD52" s="467"/>
      <c r="FE52" s="440"/>
      <c r="GA52" s="436"/>
      <c r="GB52" s="120"/>
      <c r="GC52" s="223"/>
      <c r="GD52" s="467"/>
      <c r="GE52" s="440"/>
      <c r="HA52" s="436"/>
      <c r="HB52" s="120"/>
      <c r="HC52" s="223"/>
      <c r="HD52" s="467"/>
      <c r="HE52" s="440"/>
      <c r="IA52" s="436"/>
      <c r="IB52" s="120"/>
      <c r="IC52" s="223"/>
      <c r="ID52" s="467"/>
      <c r="IE52" s="440"/>
      <c r="JA52" s="436"/>
      <c r="JB52" s="120"/>
      <c r="JC52" s="223"/>
      <c r="JD52" s="467"/>
      <c r="JE52" s="440"/>
      <c r="KA52" s="436"/>
      <c r="KB52" s="120"/>
      <c r="KC52" s="223"/>
      <c r="KD52" s="467"/>
      <c r="KE52" s="440"/>
      <c r="LA52" s="436"/>
      <c r="LB52" s="120"/>
      <c r="LC52" s="223"/>
      <c r="LD52" s="467"/>
      <c r="LE52" s="440"/>
      <c r="MA52" s="436"/>
      <c r="MB52" s="120"/>
      <c r="MC52" s="223"/>
      <c r="MD52" s="467"/>
      <c r="ME52" s="440"/>
      <c r="NA52" s="436"/>
      <c r="NB52" s="120"/>
      <c r="NC52" s="223"/>
      <c r="ND52" s="467"/>
      <c r="NE52" s="440"/>
      <c r="OA52" s="436"/>
      <c r="OB52" s="120"/>
      <c r="OC52" s="223"/>
      <c r="OD52" s="467"/>
      <c r="OE52" s="440"/>
      <c r="PA52" s="436"/>
      <c r="PB52" s="120"/>
      <c r="PC52" s="223"/>
      <c r="PD52" s="467"/>
      <c r="PE52" s="440"/>
      <c r="QA52" s="436"/>
      <c r="QB52" s="120"/>
      <c r="QC52" s="223"/>
      <c r="QD52" s="467"/>
      <c r="QE52" s="440"/>
      <c r="RA52" s="436"/>
      <c r="RB52" s="120"/>
      <c r="RC52" s="223"/>
      <c r="RD52" s="467"/>
      <c r="RE52" s="440"/>
      <c r="SA52" s="436"/>
      <c r="SB52" s="120"/>
      <c r="SC52" s="223"/>
      <c r="SD52" s="467"/>
      <c r="SE52" s="440"/>
      <c r="TA52" s="436"/>
      <c r="TB52" s="120"/>
      <c r="TC52" s="223"/>
      <c r="TD52" s="467"/>
      <c r="TE52" s="440"/>
      <c r="UA52" s="436"/>
      <c r="UB52" s="120"/>
      <c r="UC52" s="223"/>
      <c r="UD52" s="467"/>
      <c r="UE52" s="440"/>
      <c r="VA52" s="436"/>
      <c r="VB52" s="120"/>
      <c r="VC52" s="223"/>
      <c r="VD52" s="467"/>
      <c r="VE52" s="440"/>
      <c r="WA52" s="436"/>
      <c r="WB52" s="120"/>
      <c r="WC52" s="223"/>
      <c r="WD52" s="467"/>
      <c r="WE52" s="440"/>
      <c r="XA52" s="436"/>
      <c r="XB52" s="120"/>
      <c r="XC52" s="223"/>
      <c r="XD52" s="467"/>
      <c r="XE52" s="440"/>
      <c r="YA52" s="436"/>
      <c r="YB52" s="120"/>
      <c r="YC52" s="223"/>
      <c r="YD52" s="467"/>
      <c r="YE52" s="440"/>
      <c r="ZA52" s="436"/>
      <c r="ZB52" s="120"/>
      <c r="ZC52" s="223"/>
      <c r="ZD52" s="467"/>
      <c r="ZE52" s="440"/>
      <c r="AAA52" s="436"/>
      <c r="AAB52" s="120"/>
      <c r="AAC52" s="223"/>
      <c r="AAD52" s="467"/>
      <c r="AAE52" s="440"/>
      <c r="ABA52" s="436"/>
      <c r="ABB52" s="120"/>
      <c r="ABC52" s="223"/>
      <c r="ABD52" s="467"/>
      <c r="ABE52" s="440"/>
      <c r="ACA52" s="436"/>
      <c r="ACB52" s="120"/>
      <c r="ACC52" s="223"/>
      <c r="ACD52" s="467"/>
      <c r="ACE52" s="440"/>
      <c r="ADA52" s="436"/>
      <c r="ADB52" s="120"/>
      <c r="ADC52" s="223"/>
      <c r="ADD52" s="467"/>
      <c r="ADE52" s="440"/>
      <c r="AEA52" s="436"/>
      <c r="AEB52" s="120"/>
      <c r="AEC52" s="223"/>
      <c r="AED52" s="467"/>
      <c r="AEE52" s="440"/>
      <c r="AFA52" s="436"/>
      <c r="AFB52" s="120"/>
      <c r="AFC52" s="223"/>
      <c r="AFD52" s="467"/>
      <c r="AFE52" s="440"/>
      <c r="AGA52" s="436"/>
      <c r="AGB52" s="120"/>
      <c r="AGC52" s="223"/>
      <c r="AGD52" s="467"/>
      <c r="AGE52" s="440"/>
      <c r="AHA52" s="436"/>
      <c r="AHB52" s="120"/>
      <c r="AHC52" s="223"/>
      <c r="AHD52" s="467"/>
      <c r="AHE52" s="440"/>
      <c r="AIA52" s="436"/>
      <c r="AIB52" s="120"/>
      <c r="AIC52" s="223"/>
      <c r="AID52" s="467"/>
      <c r="AIE52" s="440"/>
      <c r="AJA52" s="436"/>
      <c r="AJB52" s="120"/>
      <c r="AJC52" s="223"/>
      <c r="AJD52" s="467"/>
      <c r="AJE52" s="440"/>
      <c r="AKA52" s="436"/>
      <c r="AKB52" s="120"/>
      <c r="AKC52" s="223"/>
      <c r="AKD52" s="467"/>
      <c r="AKE52" s="440"/>
      <c r="ALA52" s="436"/>
      <c r="ALB52" s="120"/>
      <c r="ALC52" s="223"/>
      <c r="ALD52" s="467"/>
      <c r="ALE52" s="440"/>
      <c r="AMA52" s="436"/>
      <c r="AMB52" s="120"/>
      <c r="AMC52" s="223"/>
      <c r="AMD52" s="467"/>
      <c r="AME52" s="440"/>
      <c r="ANA52" s="436"/>
      <c r="ANB52" s="120"/>
      <c r="ANC52" s="223"/>
      <c r="AND52" s="467"/>
      <c r="ANE52" s="440"/>
      <c r="AOA52" s="436"/>
      <c r="AOB52" s="120"/>
      <c r="AOC52" s="223"/>
      <c r="AOD52" s="467"/>
      <c r="AOE52" s="440"/>
      <c r="APA52" s="436"/>
      <c r="APB52" s="120"/>
      <c r="APC52" s="223"/>
      <c r="APD52" s="467"/>
      <c r="APE52" s="440"/>
      <c r="AQA52" s="436"/>
      <c r="AQB52" s="120"/>
      <c r="AQC52" s="223"/>
      <c r="AQD52" s="467"/>
      <c r="AQE52" s="440"/>
      <c r="ARA52" s="436"/>
      <c r="ARB52" s="120"/>
      <c r="ARC52" s="223"/>
      <c r="ARD52" s="467"/>
      <c r="ARE52" s="440"/>
      <c r="ASA52" s="436"/>
      <c r="ASB52" s="120"/>
      <c r="ASC52" s="223"/>
      <c r="ASD52" s="467"/>
      <c r="ASE52" s="440"/>
      <c r="ATA52" s="436"/>
      <c r="ATB52" s="120"/>
      <c r="ATC52" s="223"/>
      <c r="ATD52" s="467"/>
      <c r="ATE52" s="440"/>
      <c r="AUA52" s="436"/>
      <c r="AUB52" s="120"/>
      <c r="AUC52" s="223"/>
      <c r="AUD52" s="467"/>
      <c r="AUE52" s="440"/>
      <c r="AVA52" s="436"/>
      <c r="AVB52" s="120"/>
      <c r="AVC52" s="223"/>
      <c r="AVD52" s="467"/>
      <c r="AVE52" s="440"/>
      <c r="AWA52" s="436"/>
      <c r="AWB52" s="120"/>
      <c r="AWC52" s="223"/>
      <c r="AWD52" s="467"/>
      <c r="AWE52" s="440"/>
      <c r="AXA52" s="436"/>
      <c r="AXB52" s="120"/>
      <c r="AXC52" s="223"/>
      <c r="AXD52" s="467"/>
      <c r="AXE52" s="440"/>
      <c r="AYA52" s="436"/>
      <c r="AYB52" s="120"/>
      <c r="AYC52" s="223"/>
      <c r="AYD52" s="467"/>
      <c r="AYE52" s="440"/>
      <c r="AZA52" s="436"/>
      <c r="AZB52" s="120"/>
      <c r="AZC52" s="223"/>
      <c r="AZD52" s="467"/>
      <c r="AZE52" s="440"/>
      <c r="BAA52" s="436"/>
      <c r="BAB52" s="120"/>
      <c r="BAC52" s="223"/>
      <c r="BAD52" s="467"/>
      <c r="BAE52" s="440"/>
      <c r="BBA52" s="436"/>
      <c r="BBB52" s="120"/>
      <c r="BBC52" s="223"/>
      <c r="BBD52" s="467"/>
      <c r="BBE52" s="440"/>
      <c r="BCA52" s="436"/>
      <c r="BCB52" s="120"/>
      <c r="BCC52" s="223"/>
      <c r="BCD52" s="467"/>
      <c r="BCE52" s="440"/>
      <c r="BDA52" s="436"/>
      <c r="BDB52" s="120"/>
      <c r="BDC52" s="223"/>
      <c r="BDD52" s="467"/>
      <c r="BDE52" s="440"/>
      <c r="BEA52" s="436"/>
      <c r="BEB52" s="120"/>
      <c r="BEC52" s="223"/>
      <c r="BED52" s="467"/>
      <c r="BEE52" s="440"/>
      <c r="BFA52" s="436"/>
      <c r="BFB52" s="120"/>
      <c r="BFC52" s="223"/>
      <c r="BFD52" s="467"/>
      <c r="BFE52" s="440"/>
      <c r="BGA52" s="436"/>
      <c r="BGB52" s="120"/>
      <c r="BGC52" s="223"/>
      <c r="BGD52" s="467"/>
      <c r="BGE52" s="440"/>
      <c r="BHA52" s="436"/>
      <c r="BHB52" s="120"/>
      <c r="BHC52" s="223"/>
      <c r="BHD52" s="467"/>
      <c r="BHE52" s="440"/>
      <c r="BIA52" s="436"/>
      <c r="BIB52" s="120"/>
      <c r="BIC52" s="223"/>
      <c r="BID52" s="467"/>
      <c r="BIE52" s="440"/>
      <c r="BJA52" s="436"/>
      <c r="BJB52" s="120"/>
      <c r="BJC52" s="223"/>
      <c r="BJD52" s="467"/>
      <c r="BJE52" s="440"/>
      <c r="BKA52" s="436"/>
      <c r="BKB52" s="120"/>
      <c r="BKC52" s="223"/>
      <c r="BKD52" s="467"/>
      <c r="BKE52" s="440"/>
      <c r="BLA52" s="436"/>
      <c r="BLB52" s="120"/>
      <c r="BLC52" s="223"/>
      <c r="BLD52" s="467"/>
      <c r="BLE52" s="440"/>
      <c r="BMA52" s="436"/>
      <c r="BMB52" s="120"/>
      <c r="BMC52" s="223"/>
      <c r="BMD52" s="467"/>
      <c r="BME52" s="440"/>
      <c r="BNA52" s="436"/>
      <c r="BNB52" s="120"/>
      <c r="BNC52" s="223"/>
      <c r="BND52" s="467"/>
      <c r="BNE52" s="440"/>
      <c r="BOA52" s="436"/>
      <c r="BOB52" s="120"/>
      <c r="BOC52" s="223"/>
      <c r="BOD52" s="467"/>
      <c r="BOE52" s="440"/>
      <c r="BPA52" s="436"/>
      <c r="BPB52" s="120"/>
      <c r="BPC52" s="223"/>
      <c r="BPD52" s="467"/>
      <c r="BPE52" s="440"/>
      <c r="BQA52" s="436"/>
      <c r="BQB52" s="120"/>
      <c r="BQC52" s="223"/>
      <c r="BQD52" s="467"/>
      <c r="BQE52" s="440"/>
      <c r="BRA52" s="436"/>
      <c r="BRB52" s="120"/>
      <c r="BRC52" s="223"/>
      <c r="BRD52" s="467"/>
      <c r="BRE52" s="440"/>
    </row>
    <row r="53" spans="1:1019 1041:1825">
      <c r="A53" s="1034"/>
      <c r="B53" s="1015" t="s">
        <v>37</v>
      </c>
      <c r="AA53" s="436"/>
      <c r="AB53" s="120"/>
      <c r="AC53" s="223"/>
      <c r="AD53" s="467"/>
      <c r="AE53" s="440"/>
      <c r="BA53" s="436"/>
      <c r="BB53" s="120"/>
      <c r="BC53" s="223"/>
      <c r="BD53" s="467"/>
      <c r="BE53" s="440"/>
      <c r="CA53" s="436"/>
      <c r="CB53" s="120"/>
      <c r="CC53" s="223"/>
      <c r="CD53" s="467"/>
      <c r="CE53" s="440"/>
      <c r="DA53" s="436"/>
      <c r="DB53" s="120"/>
      <c r="DC53" s="223"/>
      <c r="DD53" s="467"/>
      <c r="DE53" s="440"/>
      <c r="EA53" s="436"/>
      <c r="EB53" s="120"/>
      <c r="EC53" s="223"/>
      <c r="ED53" s="467"/>
      <c r="EE53" s="440"/>
      <c r="FA53" s="436"/>
      <c r="FB53" s="120"/>
      <c r="FC53" s="223"/>
      <c r="FD53" s="467"/>
      <c r="FE53" s="440"/>
      <c r="GA53" s="436"/>
      <c r="GB53" s="120"/>
      <c r="GC53" s="223"/>
      <c r="GD53" s="467"/>
      <c r="GE53" s="440"/>
      <c r="HA53" s="436"/>
      <c r="HB53" s="120"/>
      <c r="HC53" s="223"/>
      <c r="HD53" s="467"/>
      <c r="HE53" s="440"/>
      <c r="IA53" s="436"/>
      <c r="IB53" s="120"/>
      <c r="IC53" s="223"/>
      <c r="ID53" s="467"/>
      <c r="IE53" s="440"/>
      <c r="JA53" s="436"/>
      <c r="JB53" s="120"/>
      <c r="JC53" s="223"/>
      <c r="JD53" s="467"/>
      <c r="JE53" s="440"/>
      <c r="KA53" s="436"/>
      <c r="KB53" s="120"/>
      <c r="KC53" s="223"/>
      <c r="KD53" s="467"/>
      <c r="KE53" s="440"/>
      <c r="LA53" s="436"/>
      <c r="LB53" s="120"/>
      <c r="LC53" s="223"/>
      <c r="LD53" s="467"/>
      <c r="LE53" s="440"/>
      <c r="MA53" s="436"/>
      <c r="MB53" s="120"/>
      <c r="MC53" s="223"/>
      <c r="MD53" s="467"/>
      <c r="ME53" s="440"/>
      <c r="NA53" s="436"/>
      <c r="NB53" s="120"/>
      <c r="NC53" s="223"/>
      <c r="ND53" s="467"/>
      <c r="NE53" s="440"/>
      <c r="OA53" s="436"/>
      <c r="OB53" s="120"/>
      <c r="OC53" s="223"/>
      <c r="OD53" s="467"/>
      <c r="OE53" s="440"/>
      <c r="PA53" s="436"/>
      <c r="PB53" s="120"/>
      <c r="PC53" s="223"/>
      <c r="PD53" s="467"/>
      <c r="PE53" s="440"/>
      <c r="QA53" s="436"/>
      <c r="QB53" s="120"/>
      <c r="QC53" s="223"/>
      <c r="QD53" s="467"/>
      <c r="QE53" s="440"/>
      <c r="RA53" s="436"/>
      <c r="RB53" s="120"/>
      <c r="RC53" s="223"/>
      <c r="RD53" s="467"/>
      <c r="RE53" s="440"/>
      <c r="SA53" s="436"/>
      <c r="SB53" s="120"/>
      <c r="SC53" s="223"/>
      <c r="SD53" s="467"/>
      <c r="SE53" s="440"/>
      <c r="TA53" s="436"/>
      <c r="TB53" s="120"/>
      <c r="TC53" s="223"/>
      <c r="TD53" s="467"/>
      <c r="TE53" s="440"/>
      <c r="UA53" s="436"/>
      <c r="UB53" s="120"/>
      <c r="UC53" s="223"/>
      <c r="UD53" s="467"/>
      <c r="UE53" s="440"/>
      <c r="VA53" s="436"/>
      <c r="VB53" s="120"/>
      <c r="VC53" s="223"/>
      <c r="VD53" s="467"/>
      <c r="VE53" s="440"/>
      <c r="WA53" s="436"/>
      <c r="WB53" s="120"/>
      <c r="WC53" s="223"/>
      <c r="WD53" s="467"/>
      <c r="WE53" s="440"/>
      <c r="XA53" s="436"/>
      <c r="XB53" s="120"/>
      <c r="XC53" s="223"/>
      <c r="XD53" s="467"/>
      <c r="XE53" s="440"/>
      <c r="YA53" s="436"/>
      <c r="YB53" s="120"/>
      <c r="YC53" s="223"/>
      <c r="YD53" s="467"/>
      <c r="YE53" s="440"/>
      <c r="ZA53" s="436"/>
      <c r="ZB53" s="120"/>
      <c r="ZC53" s="223"/>
      <c r="ZD53" s="467"/>
      <c r="ZE53" s="440"/>
      <c r="AAA53" s="436"/>
      <c r="AAB53" s="120"/>
      <c r="AAC53" s="223"/>
      <c r="AAD53" s="467"/>
      <c r="AAE53" s="440"/>
      <c r="ABA53" s="436"/>
      <c r="ABB53" s="120"/>
      <c r="ABC53" s="223"/>
      <c r="ABD53" s="467"/>
      <c r="ABE53" s="440"/>
      <c r="ACA53" s="436"/>
      <c r="ACB53" s="120"/>
      <c r="ACC53" s="223"/>
      <c r="ACD53" s="467"/>
      <c r="ACE53" s="440"/>
      <c r="ADA53" s="436"/>
      <c r="ADB53" s="120"/>
      <c r="ADC53" s="223"/>
      <c r="ADD53" s="467"/>
      <c r="ADE53" s="440"/>
      <c r="AEA53" s="436"/>
      <c r="AEB53" s="120"/>
      <c r="AEC53" s="223"/>
      <c r="AED53" s="467"/>
      <c r="AEE53" s="440"/>
      <c r="AFA53" s="436"/>
      <c r="AFB53" s="120"/>
      <c r="AFC53" s="223"/>
      <c r="AFD53" s="467"/>
      <c r="AFE53" s="440"/>
      <c r="AGA53" s="436"/>
      <c r="AGB53" s="120"/>
      <c r="AGC53" s="223"/>
      <c r="AGD53" s="467"/>
      <c r="AGE53" s="440"/>
      <c r="AHA53" s="436"/>
      <c r="AHB53" s="120"/>
      <c r="AHC53" s="223"/>
      <c r="AHD53" s="467"/>
      <c r="AHE53" s="440"/>
      <c r="AIA53" s="436"/>
      <c r="AIB53" s="120"/>
      <c r="AIC53" s="223"/>
      <c r="AID53" s="467"/>
      <c r="AIE53" s="440"/>
      <c r="AJA53" s="436"/>
      <c r="AJB53" s="120"/>
      <c r="AJC53" s="223"/>
      <c r="AJD53" s="467"/>
      <c r="AJE53" s="440"/>
      <c r="AKA53" s="436"/>
      <c r="AKB53" s="120"/>
      <c r="AKC53" s="223"/>
      <c r="AKD53" s="467"/>
      <c r="AKE53" s="440"/>
      <c r="ALA53" s="436"/>
      <c r="ALB53" s="120"/>
      <c r="ALC53" s="223"/>
      <c r="ALD53" s="467"/>
      <c r="ALE53" s="440"/>
      <c r="AMA53" s="436"/>
      <c r="AMB53" s="120"/>
      <c r="AMC53" s="223"/>
      <c r="AMD53" s="467"/>
      <c r="AME53" s="440"/>
      <c r="ANA53" s="436"/>
      <c r="ANB53" s="120"/>
      <c r="ANC53" s="223"/>
      <c r="AND53" s="467"/>
      <c r="ANE53" s="440"/>
      <c r="AOA53" s="436"/>
      <c r="AOB53" s="120"/>
      <c r="AOC53" s="223"/>
      <c r="AOD53" s="467"/>
      <c r="AOE53" s="440"/>
      <c r="APA53" s="436"/>
      <c r="APB53" s="120"/>
      <c r="APC53" s="223"/>
      <c r="APD53" s="467"/>
      <c r="APE53" s="440"/>
      <c r="AQA53" s="436"/>
      <c r="AQB53" s="120"/>
      <c r="AQC53" s="223"/>
      <c r="AQD53" s="467"/>
      <c r="AQE53" s="440"/>
      <c r="ARA53" s="436"/>
      <c r="ARB53" s="120"/>
      <c r="ARC53" s="223"/>
      <c r="ARD53" s="467"/>
      <c r="ARE53" s="440"/>
      <c r="ASA53" s="436"/>
      <c r="ASB53" s="120"/>
      <c r="ASC53" s="223"/>
      <c r="ASD53" s="467"/>
      <c r="ASE53" s="440"/>
      <c r="ATA53" s="436"/>
      <c r="ATB53" s="120"/>
      <c r="ATC53" s="223"/>
      <c r="ATD53" s="467"/>
      <c r="ATE53" s="440"/>
      <c r="AUA53" s="436"/>
      <c r="AUB53" s="120"/>
      <c r="AUC53" s="223"/>
      <c r="AUD53" s="467"/>
      <c r="AUE53" s="440"/>
      <c r="AVA53" s="436"/>
      <c r="AVB53" s="120"/>
      <c r="AVC53" s="223"/>
      <c r="AVD53" s="467"/>
      <c r="AVE53" s="440"/>
      <c r="AWA53" s="436"/>
      <c r="AWB53" s="120"/>
      <c r="AWC53" s="223"/>
      <c r="AWD53" s="467"/>
      <c r="AWE53" s="440"/>
      <c r="AXA53" s="436"/>
      <c r="AXB53" s="120"/>
      <c r="AXC53" s="223"/>
      <c r="AXD53" s="467"/>
      <c r="AXE53" s="440"/>
      <c r="AYA53" s="436"/>
      <c r="AYB53" s="120"/>
      <c r="AYC53" s="223"/>
      <c r="AYD53" s="467"/>
      <c r="AYE53" s="440"/>
      <c r="AZA53" s="436"/>
      <c r="AZB53" s="120"/>
      <c r="AZC53" s="223"/>
      <c r="AZD53" s="467"/>
      <c r="AZE53" s="440"/>
      <c r="BAA53" s="436"/>
      <c r="BAB53" s="120"/>
      <c r="BAC53" s="223"/>
      <c r="BAD53" s="467"/>
      <c r="BAE53" s="440"/>
      <c r="BBA53" s="436"/>
      <c r="BBB53" s="120"/>
      <c r="BBC53" s="223"/>
      <c r="BBD53" s="467"/>
      <c r="BBE53" s="440"/>
      <c r="BCA53" s="436"/>
      <c r="BCB53" s="120"/>
      <c r="BCC53" s="223"/>
      <c r="BCD53" s="467"/>
      <c r="BCE53" s="440"/>
      <c r="BDA53" s="436"/>
      <c r="BDB53" s="120"/>
      <c r="BDC53" s="223"/>
      <c r="BDD53" s="467"/>
      <c r="BDE53" s="440"/>
      <c r="BEA53" s="436"/>
      <c r="BEB53" s="120"/>
      <c r="BEC53" s="223"/>
      <c r="BED53" s="467"/>
      <c r="BEE53" s="440"/>
      <c r="BFA53" s="436"/>
      <c r="BFB53" s="120"/>
      <c r="BFC53" s="223"/>
      <c r="BFD53" s="467"/>
      <c r="BFE53" s="440"/>
      <c r="BGA53" s="436"/>
      <c r="BGB53" s="120"/>
      <c r="BGC53" s="223"/>
      <c r="BGD53" s="467"/>
      <c r="BGE53" s="440"/>
      <c r="BHA53" s="436"/>
      <c r="BHB53" s="120"/>
      <c r="BHC53" s="223"/>
      <c r="BHD53" s="467"/>
      <c r="BHE53" s="440"/>
      <c r="BIA53" s="436"/>
      <c r="BIB53" s="120"/>
      <c r="BIC53" s="223"/>
      <c r="BID53" s="467"/>
      <c r="BIE53" s="440"/>
      <c r="BJA53" s="436"/>
      <c r="BJB53" s="120"/>
      <c r="BJC53" s="223"/>
      <c r="BJD53" s="467"/>
      <c r="BJE53" s="440"/>
      <c r="BKA53" s="436"/>
      <c r="BKB53" s="120"/>
      <c r="BKC53" s="223"/>
      <c r="BKD53" s="467"/>
      <c r="BKE53" s="440"/>
      <c r="BLA53" s="436"/>
      <c r="BLB53" s="120"/>
      <c r="BLC53" s="223"/>
      <c r="BLD53" s="467"/>
      <c r="BLE53" s="440"/>
      <c r="BMA53" s="436"/>
      <c r="BMB53" s="120"/>
      <c r="BMC53" s="223"/>
      <c r="BMD53" s="467"/>
      <c r="BME53" s="440"/>
      <c r="BNA53" s="436"/>
      <c r="BNB53" s="120"/>
      <c r="BNC53" s="223"/>
      <c r="BND53" s="467"/>
      <c r="BNE53" s="440"/>
      <c r="BOA53" s="436"/>
      <c r="BOB53" s="120"/>
      <c r="BOC53" s="223"/>
      <c r="BOD53" s="467"/>
      <c r="BOE53" s="440"/>
      <c r="BPA53" s="436"/>
      <c r="BPB53" s="120"/>
      <c r="BPC53" s="223"/>
      <c r="BPD53" s="467"/>
      <c r="BPE53" s="440"/>
      <c r="BQA53" s="436"/>
      <c r="BQB53" s="120"/>
      <c r="BQC53" s="223"/>
      <c r="BQD53" s="467"/>
      <c r="BQE53" s="440"/>
      <c r="BRA53" s="436"/>
      <c r="BRB53" s="120"/>
      <c r="BRC53" s="223"/>
      <c r="BRD53" s="467"/>
      <c r="BRE53" s="440"/>
    </row>
    <row r="54" spans="1:1019 1041:1825">
      <c r="B54" s="1015" t="s">
        <v>30</v>
      </c>
      <c r="AA54" s="436"/>
      <c r="AB54" s="120"/>
      <c r="AC54" s="120"/>
      <c r="AD54" s="467"/>
      <c r="AE54" s="440"/>
      <c r="BA54" s="436"/>
      <c r="BB54" s="120"/>
      <c r="BC54" s="120"/>
      <c r="BD54" s="467"/>
      <c r="BE54" s="440"/>
      <c r="CA54" s="436"/>
      <c r="CB54" s="120"/>
      <c r="CC54" s="120"/>
      <c r="CD54" s="467"/>
      <c r="CE54" s="440"/>
      <c r="DA54" s="436"/>
      <c r="DB54" s="120"/>
      <c r="DC54" s="120"/>
      <c r="DD54" s="467"/>
      <c r="DE54" s="440"/>
      <c r="EA54" s="436"/>
      <c r="EB54" s="120"/>
      <c r="EC54" s="120"/>
      <c r="ED54" s="467"/>
      <c r="EE54" s="440"/>
      <c r="FA54" s="436"/>
      <c r="FB54" s="120"/>
      <c r="FC54" s="120"/>
      <c r="FD54" s="467"/>
      <c r="FE54" s="440"/>
      <c r="GA54" s="436"/>
      <c r="GB54" s="120"/>
      <c r="GC54" s="120"/>
      <c r="GD54" s="467"/>
      <c r="GE54" s="440"/>
      <c r="HA54" s="436"/>
      <c r="HB54" s="120"/>
      <c r="HC54" s="120"/>
      <c r="HD54" s="467"/>
      <c r="HE54" s="440"/>
      <c r="IA54" s="436"/>
      <c r="IB54" s="120"/>
      <c r="IC54" s="120"/>
      <c r="ID54" s="467"/>
      <c r="IE54" s="440"/>
      <c r="JA54" s="436"/>
      <c r="JB54" s="120"/>
      <c r="JC54" s="120"/>
      <c r="JD54" s="467"/>
      <c r="JE54" s="440"/>
      <c r="KA54" s="436"/>
      <c r="KB54" s="120"/>
      <c r="KC54" s="120"/>
      <c r="KD54" s="467"/>
      <c r="KE54" s="440"/>
      <c r="LA54" s="436"/>
      <c r="LB54" s="120"/>
      <c r="LC54" s="120"/>
      <c r="LD54" s="467"/>
      <c r="LE54" s="440"/>
      <c r="MA54" s="436"/>
      <c r="MB54" s="120"/>
      <c r="MC54" s="120"/>
      <c r="MD54" s="467"/>
      <c r="ME54" s="440"/>
      <c r="NA54" s="436"/>
      <c r="NB54" s="120"/>
      <c r="NC54" s="120"/>
      <c r="ND54" s="467"/>
      <c r="NE54" s="440"/>
      <c r="OA54" s="436"/>
      <c r="OB54" s="120"/>
      <c r="OC54" s="120"/>
      <c r="OD54" s="467"/>
      <c r="OE54" s="440"/>
      <c r="PA54" s="436"/>
      <c r="PB54" s="120"/>
      <c r="PC54" s="120"/>
      <c r="PD54" s="467"/>
      <c r="PE54" s="440"/>
      <c r="QA54" s="436"/>
      <c r="QB54" s="120"/>
      <c r="QC54" s="120"/>
      <c r="QD54" s="467"/>
      <c r="QE54" s="440"/>
      <c r="RA54" s="436"/>
      <c r="RB54" s="120"/>
      <c r="RC54" s="120"/>
      <c r="RD54" s="467"/>
      <c r="RE54" s="440"/>
      <c r="SA54" s="436"/>
      <c r="SB54" s="120"/>
      <c r="SC54" s="120"/>
      <c r="SD54" s="467"/>
      <c r="SE54" s="440"/>
      <c r="TA54" s="436"/>
      <c r="TB54" s="120"/>
      <c r="TC54" s="120"/>
      <c r="TD54" s="467"/>
      <c r="TE54" s="440"/>
      <c r="UA54" s="436"/>
      <c r="UB54" s="120"/>
      <c r="UC54" s="120"/>
      <c r="UD54" s="467"/>
      <c r="UE54" s="440"/>
      <c r="VA54" s="436"/>
      <c r="VB54" s="120"/>
      <c r="VC54" s="120"/>
      <c r="VD54" s="467"/>
      <c r="VE54" s="440"/>
      <c r="WA54" s="436"/>
      <c r="WB54" s="120"/>
      <c r="WC54" s="120"/>
      <c r="WD54" s="467"/>
      <c r="WE54" s="440"/>
      <c r="XA54" s="436"/>
      <c r="XB54" s="120"/>
      <c r="XC54" s="120"/>
      <c r="XD54" s="467"/>
      <c r="XE54" s="440"/>
      <c r="YA54" s="436"/>
      <c r="YB54" s="120"/>
      <c r="YC54" s="120"/>
      <c r="YD54" s="467"/>
      <c r="YE54" s="440"/>
      <c r="ZA54" s="436"/>
      <c r="ZB54" s="120"/>
      <c r="ZC54" s="120"/>
      <c r="ZD54" s="467"/>
      <c r="ZE54" s="440"/>
      <c r="AAA54" s="436"/>
      <c r="AAB54" s="120"/>
      <c r="AAC54" s="120"/>
      <c r="AAD54" s="467"/>
      <c r="AAE54" s="440"/>
      <c r="ABA54" s="436"/>
      <c r="ABB54" s="120"/>
      <c r="ABC54" s="120"/>
      <c r="ABD54" s="467"/>
      <c r="ABE54" s="440"/>
      <c r="ACA54" s="436"/>
      <c r="ACB54" s="120"/>
      <c r="ACC54" s="120"/>
      <c r="ACD54" s="467"/>
      <c r="ACE54" s="440"/>
      <c r="ADA54" s="436"/>
      <c r="ADB54" s="120"/>
      <c r="ADC54" s="120"/>
      <c r="ADD54" s="467"/>
      <c r="ADE54" s="440"/>
      <c r="AEA54" s="436"/>
      <c r="AEB54" s="120"/>
      <c r="AEC54" s="120"/>
      <c r="AED54" s="467"/>
      <c r="AEE54" s="440"/>
      <c r="AFA54" s="436"/>
      <c r="AFB54" s="120"/>
      <c r="AFC54" s="120"/>
      <c r="AFD54" s="467"/>
      <c r="AFE54" s="440"/>
      <c r="AGA54" s="436"/>
      <c r="AGB54" s="120"/>
      <c r="AGC54" s="120"/>
      <c r="AGD54" s="467"/>
      <c r="AGE54" s="440"/>
      <c r="AHA54" s="436"/>
      <c r="AHB54" s="120"/>
      <c r="AHC54" s="120"/>
      <c r="AHD54" s="467"/>
      <c r="AHE54" s="440"/>
      <c r="AIA54" s="436"/>
      <c r="AIB54" s="120"/>
      <c r="AIC54" s="120"/>
      <c r="AID54" s="467"/>
      <c r="AIE54" s="440"/>
      <c r="AJA54" s="436"/>
      <c r="AJB54" s="120"/>
      <c r="AJC54" s="120"/>
      <c r="AJD54" s="467"/>
      <c r="AJE54" s="440"/>
      <c r="AKA54" s="436"/>
      <c r="AKB54" s="120"/>
      <c r="AKC54" s="120"/>
      <c r="AKD54" s="467"/>
      <c r="AKE54" s="440"/>
      <c r="ALA54" s="436"/>
      <c r="ALB54" s="120"/>
      <c r="ALC54" s="120"/>
      <c r="ALD54" s="467"/>
      <c r="ALE54" s="440"/>
      <c r="AMA54" s="436"/>
      <c r="AMB54" s="120"/>
      <c r="AMC54" s="120"/>
      <c r="AMD54" s="467"/>
      <c r="AME54" s="440"/>
      <c r="ANA54" s="436"/>
      <c r="ANB54" s="120"/>
      <c r="ANC54" s="120"/>
      <c r="AND54" s="467"/>
      <c r="ANE54" s="440"/>
      <c r="AOA54" s="436"/>
      <c r="AOB54" s="120"/>
      <c r="AOC54" s="120"/>
      <c r="AOD54" s="467"/>
      <c r="AOE54" s="440"/>
      <c r="APA54" s="436"/>
      <c r="APB54" s="120"/>
      <c r="APC54" s="120"/>
      <c r="APD54" s="467"/>
      <c r="APE54" s="440"/>
      <c r="AQA54" s="436"/>
      <c r="AQB54" s="120"/>
      <c r="AQC54" s="120"/>
      <c r="AQD54" s="467"/>
      <c r="AQE54" s="440"/>
      <c r="ARA54" s="436"/>
      <c r="ARB54" s="120"/>
      <c r="ARC54" s="120"/>
      <c r="ARD54" s="467"/>
      <c r="ARE54" s="440"/>
      <c r="ASA54" s="436"/>
      <c r="ASB54" s="120"/>
      <c r="ASC54" s="120"/>
      <c r="ASD54" s="467"/>
      <c r="ASE54" s="440"/>
      <c r="ATA54" s="436"/>
      <c r="ATB54" s="120"/>
      <c r="ATC54" s="120"/>
      <c r="ATD54" s="467"/>
      <c r="ATE54" s="440"/>
      <c r="AUA54" s="436"/>
      <c r="AUB54" s="120"/>
      <c r="AUC54" s="120"/>
      <c r="AUD54" s="467"/>
      <c r="AUE54" s="440"/>
      <c r="AVA54" s="436"/>
      <c r="AVB54" s="120"/>
      <c r="AVC54" s="120"/>
      <c r="AVD54" s="467"/>
      <c r="AVE54" s="440"/>
      <c r="AWA54" s="436"/>
      <c r="AWB54" s="120"/>
      <c r="AWC54" s="120"/>
      <c r="AWD54" s="467"/>
      <c r="AWE54" s="440"/>
      <c r="AXA54" s="436"/>
      <c r="AXB54" s="120"/>
      <c r="AXC54" s="120"/>
      <c r="AXD54" s="467"/>
      <c r="AXE54" s="440"/>
      <c r="AYA54" s="436"/>
      <c r="AYB54" s="120"/>
      <c r="AYC54" s="120"/>
      <c r="AYD54" s="467"/>
      <c r="AYE54" s="440"/>
      <c r="AZA54" s="436"/>
      <c r="AZB54" s="120"/>
      <c r="AZC54" s="120"/>
      <c r="AZD54" s="467"/>
      <c r="AZE54" s="440"/>
      <c r="BAA54" s="436"/>
      <c r="BAB54" s="120"/>
      <c r="BAC54" s="120"/>
      <c r="BAD54" s="467"/>
      <c r="BAE54" s="440"/>
      <c r="BBA54" s="436"/>
      <c r="BBB54" s="120"/>
      <c r="BBC54" s="120"/>
      <c r="BBD54" s="467"/>
      <c r="BBE54" s="440"/>
      <c r="BCA54" s="436"/>
      <c r="BCB54" s="120"/>
      <c r="BCC54" s="120"/>
      <c r="BCD54" s="467"/>
      <c r="BCE54" s="440"/>
      <c r="BDA54" s="436"/>
      <c r="BDB54" s="120"/>
      <c r="BDC54" s="120"/>
      <c r="BDD54" s="467"/>
      <c r="BDE54" s="440"/>
      <c r="BEA54" s="436"/>
      <c r="BEB54" s="120"/>
      <c r="BEC54" s="120"/>
      <c r="BED54" s="467"/>
      <c r="BEE54" s="440"/>
      <c r="BFA54" s="436"/>
      <c r="BFB54" s="120"/>
      <c r="BFC54" s="120"/>
      <c r="BFD54" s="467"/>
      <c r="BFE54" s="440"/>
      <c r="BGA54" s="436"/>
      <c r="BGB54" s="120"/>
      <c r="BGC54" s="120"/>
      <c r="BGD54" s="467"/>
      <c r="BGE54" s="440"/>
      <c r="BHA54" s="436"/>
      <c r="BHB54" s="120"/>
      <c r="BHC54" s="120"/>
      <c r="BHD54" s="467"/>
      <c r="BHE54" s="440"/>
      <c r="BIA54" s="436"/>
      <c r="BIB54" s="120"/>
      <c r="BIC54" s="120"/>
      <c r="BID54" s="467"/>
      <c r="BIE54" s="440"/>
      <c r="BJA54" s="436"/>
      <c r="BJB54" s="120"/>
      <c r="BJC54" s="120"/>
      <c r="BJD54" s="467"/>
      <c r="BJE54" s="440"/>
      <c r="BKA54" s="436"/>
      <c r="BKB54" s="120"/>
      <c r="BKC54" s="120"/>
      <c r="BKD54" s="467"/>
      <c r="BKE54" s="440"/>
      <c r="BLA54" s="436"/>
      <c r="BLB54" s="120"/>
      <c r="BLC54" s="120"/>
      <c r="BLD54" s="467"/>
      <c r="BLE54" s="440"/>
      <c r="BMA54" s="436"/>
      <c r="BMB54" s="120"/>
      <c r="BMC54" s="120"/>
      <c r="BMD54" s="467"/>
      <c r="BME54" s="440"/>
      <c r="BNA54" s="436"/>
      <c r="BNB54" s="120"/>
      <c r="BNC54" s="120"/>
      <c r="BND54" s="467"/>
      <c r="BNE54" s="440"/>
      <c r="BOA54" s="436"/>
      <c r="BOB54" s="120"/>
      <c r="BOC54" s="120"/>
      <c r="BOD54" s="467"/>
      <c r="BOE54" s="440"/>
      <c r="BPA54" s="436"/>
      <c r="BPB54" s="120"/>
      <c r="BPC54" s="120"/>
      <c r="BPD54" s="467"/>
      <c r="BPE54" s="440"/>
      <c r="BQA54" s="436"/>
      <c r="BQB54" s="120"/>
      <c r="BQC54" s="120"/>
      <c r="BQD54" s="467"/>
      <c r="BQE54" s="440"/>
      <c r="BRA54" s="436"/>
      <c r="BRB54" s="120"/>
      <c r="BRC54" s="120"/>
      <c r="BRD54" s="467"/>
      <c r="BRE54" s="440"/>
    </row>
    <row r="55" spans="1:1019 1041:1825">
      <c r="A55" s="1034"/>
      <c r="B55" s="1015" t="s">
        <v>1514</v>
      </c>
      <c r="AA55" s="456"/>
      <c r="AB55" s="457"/>
      <c r="AC55" s="457"/>
      <c r="AD55" s="477"/>
      <c r="AE55" s="458"/>
      <c r="BA55" s="456"/>
      <c r="BB55" s="457"/>
      <c r="BC55" s="457"/>
      <c r="BD55" s="477"/>
      <c r="BE55" s="458"/>
      <c r="CA55" s="456"/>
      <c r="CB55" s="457"/>
      <c r="CC55" s="457"/>
      <c r="CD55" s="477"/>
      <c r="CE55" s="458"/>
      <c r="DA55" s="456"/>
      <c r="DB55" s="457"/>
      <c r="DC55" s="457"/>
      <c r="DD55" s="477"/>
      <c r="DE55" s="458"/>
      <c r="EA55" s="456"/>
      <c r="EB55" s="457"/>
      <c r="EC55" s="457"/>
      <c r="ED55" s="477"/>
      <c r="EE55" s="458"/>
      <c r="FA55" s="456"/>
      <c r="FB55" s="457"/>
      <c r="FC55" s="457"/>
      <c r="FD55" s="477"/>
      <c r="FE55" s="458"/>
      <c r="GA55" s="456"/>
      <c r="GB55" s="457"/>
      <c r="GC55" s="457"/>
      <c r="GD55" s="477"/>
      <c r="GE55" s="458"/>
      <c r="HA55" s="456"/>
      <c r="HB55" s="457"/>
      <c r="HC55" s="457"/>
      <c r="HD55" s="477"/>
      <c r="HE55" s="458"/>
      <c r="IA55" s="456"/>
      <c r="IB55" s="457"/>
      <c r="IC55" s="457"/>
      <c r="ID55" s="477"/>
      <c r="IE55" s="458"/>
      <c r="JA55" s="456"/>
      <c r="JB55" s="457"/>
      <c r="JC55" s="457"/>
      <c r="JD55" s="477"/>
      <c r="JE55" s="458"/>
      <c r="KA55" s="456"/>
      <c r="KB55" s="457"/>
      <c r="KC55" s="457"/>
      <c r="KD55" s="477"/>
      <c r="KE55" s="458"/>
      <c r="LA55" s="456"/>
      <c r="LB55" s="457"/>
      <c r="LC55" s="457"/>
      <c r="LD55" s="477"/>
      <c r="LE55" s="458"/>
      <c r="MA55" s="456"/>
      <c r="MB55" s="457"/>
      <c r="MC55" s="457"/>
      <c r="MD55" s="477"/>
      <c r="ME55" s="458"/>
      <c r="NA55" s="456"/>
      <c r="NB55" s="457"/>
      <c r="NC55" s="457"/>
      <c r="ND55" s="477"/>
      <c r="NE55" s="458"/>
      <c r="OA55" s="456"/>
      <c r="OB55" s="457"/>
      <c r="OC55" s="457"/>
      <c r="OD55" s="477"/>
      <c r="OE55" s="458"/>
      <c r="PA55" s="456"/>
      <c r="PB55" s="457"/>
      <c r="PC55" s="457"/>
      <c r="PD55" s="477"/>
      <c r="PE55" s="458"/>
      <c r="QA55" s="456"/>
      <c r="QB55" s="457"/>
      <c r="QC55" s="457"/>
      <c r="QD55" s="477"/>
      <c r="QE55" s="458"/>
      <c r="RA55" s="456"/>
      <c r="RB55" s="457"/>
      <c r="RC55" s="457"/>
      <c r="RD55" s="477"/>
      <c r="RE55" s="458"/>
      <c r="SA55" s="456"/>
      <c r="SB55" s="457"/>
      <c r="SC55" s="457"/>
      <c r="SD55" s="477"/>
      <c r="SE55" s="458"/>
      <c r="TA55" s="456"/>
      <c r="TB55" s="457"/>
      <c r="TC55" s="457"/>
      <c r="TD55" s="477"/>
      <c r="TE55" s="458"/>
      <c r="UA55" s="456"/>
      <c r="UB55" s="457"/>
      <c r="UC55" s="457"/>
      <c r="UD55" s="477"/>
      <c r="UE55" s="458"/>
      <c r="VA55" s="456"/>
      <c r="VB55" s="457"/>
      <c r="VC55" s="457"/>
      <c r="VD55" s="477"/>
      <c r="VE55" s="458"/>
      <c r="WA55" s="456"/>
      <c r="WB55" s="457"/>
      <c r="WC55" s="457"/>
      <c r="WD55" s="477"/>
      <c r="WE55" s="458"/>
      <c r="XA55" s="456"/>
      <c r="XB55" s="457"/>
      <c r="XC55" s="457"/>
      <c r="XD55" s="477"/>
      <c r="XE55" s="458"/>
      <c r="YA55" s="456"/>
      <c r="YB55" s="457"/>
      <c r="YC55" s="457"/>
      <c r="YD55" s="477"/>
      <c r="YE55" s="458"/>
      <c r="ZA55" s="456"/>
      <c r="ZB55" s="457"/>
      <c r="ZC55" s="457"/>
      <c r="ZD55" s="477"/>
      <c r="ZE55" s="458"/>
      <c r="AAA55" s="456"/>
      <c r="AAB55" s="457"/>
      <c r="AAC55" s="457"/>
      <c r="AAD55" s="477"/>
      <c r="AAE55" s="458"/>
      <c r="ABA55" s="456"/>
      <c r="ABB55" s="457"/>
      <c r="ABC55" s="457"/>
      <c r="ABD55" s="477"/>
      <c r="ABE55" s="458"/>
      <c r="ACA55" s="456"/>
      <c r="ACB55" s="457"/>
      <c r="ACC55" s="457"/>
      <c r="ACD55" s="477"/>
      <c r="ACE55" s="458"/>
      <c r="ADA55" s="456"/>
      <c r="ADB55" s="457"/>
      <c r="ADC55" s="457"/>
      <c r="ADD55" s="477"/>
      <c r="ADE55" s="458"/>
      <c r="AEA55" s="456"/>
      <c r="AEB55" s="457"/>
      <c r="AEC55" s="457"/>
      <c r="AED55" s="477"/>
      <c r="AEE55" s="458"/>
      <c r="AFA55" s="456"/>
      <c r="AFB55" s="457"/>
      <c r="AFC55" s="457"/>
      <c r="AFD55" s="477"/>
      <c r="AFE55" s="458"/>
      <c r="AGA55" s="456"/>
      <c r="AGB55" s="457"/>
      <c r="AGC55" s="457"/>
      <c r="AGD55" s="477"/>
      <c r="AGE55" s="458"/>
      <c r="AHA55" s="456"/>
      <c r="AHB55" s="457"/>
      <c r="AHC55" s="457"/>
      <c r="AHD55" s="477"/>
      <c r="AHE55" s="458"/>
      <c r="AIA55" s="456"/>
      <c r="AIB55" s="457"/>
      <c r="AIC55" s="457"/>
      <c r="AID55" s="477"/>
      <c r="AIE55" s="458"/>
      <c r="AJA55" s="456"/>
      <c r="AJB55" s="457"/>
      <c r="AJC55" s="457"/>
      <c r="AJD55" s="477"/>
      <c r="AJE55" s="458"/>
      <c r="AKA55" s="456"/>
      <c r="AKB55" s="457"/>
      <c r="AKC55" s="457"/>
      <c r="AKD55" s="477"/>
      <c r="AKE55" s="458"/>
      <c r="ALA55" s="456"/>
      <c r="ALB55" s="457"/>
      <c r="ALC55" s="457"/>
      <c r="ALD55" s="477"/>
      <c r="ALE55" s="458"/>
      <c r="AMA55" s="456"/>
      <c r="AMB55" s="457"/>
      <c r="AMC55" s="457"/>
      <c r="AMD55" s="477"/>
      <c r="AME55" s="458"/>
      <c r="ANA55" s="456"/>
      <c r="ANB55" s="457"/>
      <c r="ANC55" s="457"/>
      <c r="AND55" s="477"/>
      <c r="ANE55" s="458"/>
      <c r="AOA55" s="456"/>
      <c r="AOB55" s="457"/>
      <c r="AOC55" s="457"/>
      <c r="AOD55" s="477"/>
      <c r="AOE55" s="458"/>
      <c r="APA55" s="456"/>
      <c r="APB55" s="457"/>
      <c r="APC55" s="457"/>
      <c r="APD55" s="477"/>
      <c r="APE55" s="458"/>
      <c r="AQA55" s="456"/>
      <c r="AQB55" s="457"/>
      <c r="AQC55" s="457"/>
      <c r="AQD55" s="477"/>
      <c r="AQE55" s="458"/>
      <c r="ARA55" s="456"/>
      <c r="ARB55" s="457"/>
      <c r="ARC55" s="457"/>
      <c r="ARD55" s="477"/>
      <c r="ARE55" s="458"/>
      <c r="ASA55" s="456"/>
      <c r="ASB55" s="457"/>
      <c r="ASC55" s="457"/>
      <c r="ASD55" s="477"/>
      <c r="ASE55" s="458"/>
      <c r="ATA55" s="456"/>
      <c r="ATB55" s="457"/>
      <c r="ATC55" s="457"/>
      <c r="ATD55" s="477"/>
      <c r="ATE55" s="458"/>
      <c r="AUA55" s="456"/>
      <c r="AUB55" s="457"/>
      <c r="AUC55" s="457"/>
      <c r="AUD55" s="477"/>
      <c r="AUE55" s="458"/>
      <c r="AVA55" s="456"/>
      <c r="AVB55" s="457"/>
      <c r="AVC55" s="457"/>
      <c r="AVD55" s="477"/>
      <c r="AVE55" s="458"/>
      <c r="AWA55" s="456"/>
      <c r="AWB55" s="457"/>
      <c r="AWC55" s="457"/>
      <c r="AWD55" s="477"/>
      <c r="AWE55" s="458"/>
      <c r="AXA55" s="456"/>
      <c r="AXB55" s="457"/>
      <c r="AXC55" s="457"/>
      <c r="AXD55" s="477"/>
      <c r="AXE55" s="458"/>
      <c r="AYA55" s="456"/>
      <c r="AYB55" s="457"/>
      <c r="AYC55" s="457"/>
      <c r="AYD55" s="477"/>
      <c r="AYE55" s="458"/>
      <c r="AZA55" s="456"/>
      <c r="AZB55" s="457"/>
      <c r="AZC55" s="457"/>
      <c r="AZD55" s="477"/>
      <c r="AZE55" s="458"/>
      <c r="BAA55" s="456"/>
      <c r="BAB55" s="457"/>
      <c r="BAC55" s="457"/>
      <c r="BAD55" s="477"/>
      <c r="BAE55" s="458"/>
      <c r="BBA55" s="456"/>
      <c r="BBB55" s="457"/>
      <c r="BBC55" s="457"/>
      <c r="BBD55" s="477"/>
      <c r="BBE55" s="458"/>
      <c r="BCA55" s="456"/>
      <c r="BCB55" s="457"/>
      <c r="BCC55" s="457"/>
      <c r="BCD55" s="477"/>
      <c r="BCE55" s="458"/>
      <c r="BDA55" s="456"/>
      <c r="BDB55" s="457"/>
      <c r="BDC55" s="457"/>
      <c r="BDD55" s="477"/>
      <c r="BDE55" s="458"/>
      <c r="BEA55" s="456"/>
      <c r="BEB55" s="457"/>
      <c r="BEC55" s="457"/>
      <c r="BED55" s="477"/>
      <c r="BEE55" s="458"/>
      <c r="BFA55" s="456"/>
      <c r="BFB55" s="457"/>
      <c r="BFC55" s="457"/>
      <c r="BFD55" s="477"/>
      <c r="BFE55" s="458"/>
      <c r="BGA55" s="456"/>
      <c r="BGB55" s="457"/>
      <c r="BGC55" s="457"/>
      <c r="BGD55" s="477"/>
      <c r="BGE55" s="458"/>
      <c r="BHA55" s="456"/>
      <c r="BHB55" s="457"/>
      <c r="BHC55" s="457"/>
      <c r="BHD55" s="477"/>
      <c r="BHE55" s="458"/>
      <c r="BIA55" s="456"/>
      <c r="BIB55" s="457"/>
      <c r="BIC55" s="457"/>
      <c r="BID55" s="477"/>
      <c r="BIE55" s="458"/>
      <c r="BJA55" s="456"/>
      <c r="BJB55" s="457"/>
      <c r="BJC55" s="457"/>
      <c r="BJD55" s="477"/>
      <c r="BJE55" s="458"/>
      <c r="BKA55" s="456"/>
      <c r="BKB55" s="457"/>
      <c r="BKC55" s="457"/>
      <c r="BKD55" s="477"/>
      <c r="BKE55" s="458"/>
      <c r="BLA55" s="456"/>
      <c r="BLB55" s="457"/>
      <c r="BLC55" s="457"/>
      <c r="BLD55" s="477"/>
      <c r="BLE55" s="458"/>
      <c r="BMA55" s="456"/>
      <c r="BMB55" s="457"/>
      <c r="BMC55" s="457"/>
      <c r="BMD55" s="477"/>
      <c r="BME55" s="458"/>
      <c r="BNA55" s="456"/>
      <c r="BNB55" s="457"/>
      <c r="BNC55" s="457"/>
      <c r="BND55" s="477"/>
      <c r="BNE55" s="458"/>
      <c r="BOA55" s="456"/>
      <c r="BOB55" s="457"/>
      <c r="BOC55" s="457"/>
      <c r="BOD55" s="477"/>
      <c r="BOE55" s="458"/>
      <c r="BPA55" s="456"/>
      <c r="BPB55" s="457"/>
      <c r="BPC55" s="457"/>
      <c r="BPD55" s="477"/>
      <c r="BPE55" s="458"/>
      <c r="BQA55" s="456"/>
      <c r="BQB55" s="457"/>
      <c r="BQC55" s="457"/>
      <c r="BQD55" s="477"/>
      <c r="BQE55" s="458"/>
      <c r="BRA55" s="456"/>
      <c r="BRB55" s="457"/>
      <c r="BRC55" s="457"/>
      <c r="BRD55" s="477"/>
      <c r="BRE55" s="458"/>
    </row>
    <row r="56" spans="1:1019 1041:1825">
      <c r="B56" s="1015" t="s">
        <v>387</v>
      </c>
      <c r="AA56" s="449" t="s">
        <v>474</v>
      </c>
      <c r="AB56" s="120"/>
      <c r="AC56" s="120" t="s">
        <v>1</v>
      </c>
      <c r="AD56" s="310" t="s">
        <v>307</v>
      </c>
      <c r="AE56" s="440"/>
      <c r="BA56" s="449" t="s">
        <v>474</v>
      </c>
      <c r="BB56" s="120"/>
      <c r="BC56" s="120" t="s">
        <v>1</v>
      </c>
      <c r="BD56" s="310" t="s">
        <v>307</v>
      </c>
      <c r="BE56" s="440"/>
      <c r="CA56" s="449" t="s">
        <v>474</v>
      </c>
      <c r="CB56" s="120"/>
      <c r="CC56" s="120" t="s">
        <v>1</v>
      </c>
      <c r="CD56" s="310" t="s">
        <v>307</v>
      </c>
      <c r="CE56" s="440"/>
      <c r="DA56" s="449" t="s">
        <v>474</v>
      </c>
      <c r="DB56" s="120"/>
      <c r="DC56" s="120" t="s">
        <v>1</v>
      </c>
      <c r="DD56" s="310" t="s">
        <v>307</v>
      </c>
      <c r="DE56" s="440"/>
      <c r="EA56" s="449" t="s">
        <v>474</v>
      </c>
      <c r="EB56" s="120"/>
      <c r="EC56" s="120" t="s">
        <v>1</v>
      </c>
      <c r="ED56" s="310" t="s">
        <v>307</v>
      </c>
      <c r="EE56" s="440"/>
      <c r="FA56" s="449" t="s">
        <v>474</v>
      </c>
      <c r="FB56" s="120"/>
      <c r="FC56" s="120" t="s">
        <v>1</v>
      </c>
      <c r="FD56" s="310" t="s">
        <v>307</v>
      </c>
      <c r="FE56" s="440"/>
      <c r="GA56" s="449" t="s">
        <v>474</v>
      </c>
      <c r="GB56" s="120"/>
      <c r="GC56" s="120" t="s">
        <v>1</v>
      </c>
      <c r="GD56" s="310" t="s">
        <v>307</v>
      </c>
      <c r="GE56" s="440"/>
      <c r="HA56" s="449" t="s">
        <v>474</v>
      </c>
      <c r="HB56" s="120"/>
      <c r="HC56" s="120" t="s">
        <v>1</v>
      </c>
      <c r="HD56" s="310" t="s">
        <v>307</v>
      </c>
      <c r="HE56" s="440"/>
      <c r="IA56" s="449" t="s">
        <v>474</v>
      </c>
      <c r="IB56" s="120"/>
      <c r="IC56" s="120" t="s">
        <v>1</v>
      </c>
      <c r="ID56" s="310" t="s">
        <v>307</v>
      </c>
      <c r="IE56" s="440"/>
      <c r="JA56" s="449" t="s">
        <v>474</v>
      </c>
      <c r="JB56" s="120"/>
      <c r="JC56" s="120" t="s">
        <v>1</v>
      </c>
      <c r="JD56" s="310" t="s">
        <v>307</v>
      </c>
      <c r="JE56" s="440"/>
      <c r="KA56" s="449" t="s">
        <v>474</v>
      </c>
      <c r="KB56" s="120"/>
      <c r="KC56" s="120" t="s">
        <v>1</v>
      </c>
      <c r="KD56" s="310" t="s">
        <v>307</v>
      </c>
      <c r="KE56" s="440"/>
      <c r="LA56" s="449" t="s">
        <v>474</v>
      </c>
      <c r="LB56" s="120"/>
      <c r="LC56" s="120" t="s">
        <v>1</v>
      </c>
      <c r="LD56" s="310" t="s">
        <v>307</v>
      </c>
      <c r="LE56" s="440"/>
      <c r="MA56" s="449" t="s">
        <v>474</v>
      </c>
      <c r="MB56" s="120"/>
      <c r="MC56" s="120" t="s">
        <v>1</v>
      </c>
      <c r="MD56" s="310" t="s">
        <v>307</v>
      </c>
      <c r="ME56" s="440"/>
      <c r="NA56" s="449" t="s">
        <v>474</v>
      </c>
      <c r="NB56" s="120"/>
      <c r="NC56" s="120" t="s">
        <v>1</v>
      </c>
      <c r="ND56" s="310" t="s">
        <v>307</v>
      </c>
      <c r="NE56" s="440"/>
      <c r="OA56" s="449" t="s">
        <v>474</v>
      </c>
      <c r="OB56" s="120"/>
      <c r="OC56" s="120" t="s">
        <v>1</v>
      </c>
      <c r="OD56" s="310" t="s">
        <v>307</v>
      </c>
      <c r="OE56" s="440"/>
      <c r="PA56" s="449" t="s">
        <v>474</v>
      </c>
      <c r="PB56" s="120"/>
      <c r="PC56" s="120" t="s">
        <v>1</v>
      </c>
      <c r="PD56" s="310" t="s">
        <v>307</v>
      </c>
      <c r="PE56" s="440"/>
      <c r="QA56" s="449" t="s">
        <v>474</v>
      </c>
      <c r="QB56" s="120"/>
      <c r="QC56" s="120" t="s">
        <v>1</v>
      </c>
      <c r="QD56" s="310" t="s">
        <v>307</v>
      </c>
      <c r="QE56" s="440"/>
      <c r="RA56" s="449" t="s">
        <v>474</v>
      </c>
      <c r="RB56" s="120"/>
      <c r="RC56" s="120" t="s">
        <v>1</v>
      </c>
      <c r="RD56" s="310" t="s">
        <v>307</v>
      </c>
      <c r="RE56" s="440"/>
      <c r="SA56" s="449" t="s">
        <v>474</v>
      </c>
      <c r="SB56" s="120"/>
      <c r="SC56" s="120" t="s">
        <v>1</v>
      </c>
      <c r="SD56" s="310" t="s">
        <v>307</v>
      </c>
      <c r="SE56" s="440"/>
      <c r="TA56" s="449" t="s">
        <v>474</v>
      </c>
      <c r="TB56" s="120"/>
      <c r="TC56" s="120" t="s">
        <v>1</v>
      </c>
      <c r="TD56" s="310" t="s">
        <v>307</v>
      </c>
      <c r="TE56" s="440"/>
      <c r="UA56" s="449" t="s">
        <v>474</v>
      </c>
      <c r="UB56" s="120"/>
      <c r="UC56" s="120" t="s">
        <v>1</v>
      </c>
      <c r="UD56" s="310" t="s">
        <v>307</v>
      </c>
      <c r="UE56" s="440"/>
      <c r="VA56" s="449" t="s">
        <v>474</v>
      </c>
      <c r="VB56" s="120"/>
      <c r="VC56" s="120" t="s">
        <v>1</v>
      </c>
      <c r="VD56" s="310" t="s">
        <v>307</v>
      </c>
      <c r="VE56" s="440"/>
      <c r="WA56" s="449" t="s">
        <v>474</v>
      </c>
      <c r="WB56" s="120"/>
      <c r="WC56" s="120" t="s">
        <v>1</v>
      </c>
      <c r="WD56" s="310" t="s">
        <v>307</v>
      </c>
      <c r="WE56" s="440"/>
      <c r="XA56" s="449" t="s">
        <v>474</v>
      </c>
      <c r="XB56" s="120"/>
      <c r="XC56" s="120" t="s">
        <v>1</v>
      </c>
      <c r="XD56" s="310" t="s">
        <v>307</v>
      </c>
      <c r="XE56" s="440"/>
      <c r="YA56" s="449" t="s">
        <v>474</v>
      </c>
      <c r="YB56" s="120"/>
      <c r="YC56" s="120" t="s">
        <v>1</v>
      </c>
      <c r="YD56" s="310" t="s">
        <v>307</v>
      </c>
      <c r="YE56" s="440"/>
      <c r="ZA56" s="449" t="s">
        <v>474</v>
      </c>
      <c r="ZB56" s="120"/>
      <c r="ZC56" s="120" t="s">
        <v>1</v>
      </c>
      <c r="ZD56" s="310" t="s">
        <v>307</v>
      </c>
      <c r="ZE56" s="440"/>
      <c r="AAA56" s="449" t="s">
        <v>474</v>
      </c>
      <c r="AAB56" s="120"/>
      <c r="AAC56" s="120" t="s">
        <v>1</v>
      </c>
      <c r="AAD56" s="310" t="s">
        <v>307</v>
      </c>
      <c r="AAE56" s="440"/>
      <c r="ABA56" s="449" t="s">
        <v>474</v>
      </c>
      <c r="ABB56" s="120"/>
      <c r="ABC56" s="120" t="s">
        <v>1</v>
      </c>
      <c r="ABD56" s="310" t="s">
        <v>307</v>
      </c>
      <c r="ABE56" s="440"/>
      <c r="ACA56" s="449" t="s">
        <v>474</v>
      </c>
      <c r="ACB56" s="120"/>
      <c r="ACC56" s="120" t="s">
        <v>1</v>
      </c>
      <c r="ACD56" s="310" t="s">
        <v>307</v>
      </c>
      <c r="ACE56" s="440"/>
      <c r="ADA56" s="449" t="s">
        <v>474</v>
      </c>
      <c r="ADB56" s="120"/>
      <c r="ADC56" s="120" t="s">
        <v>1</v>
      </c>
      <c r="ADD56" s="310" t="s">
        <v>307</v>
      </c>
      <c r="ADE56" s="440"/>
      <c r="AEA56" s="449" t="s">
        <v>474</v>
      </c>
      <c r="AEB56" s="120"/>
      <c r="AEC56" s="120" t="s">
        <v>1</v>
      </c>
      <c r="AED56" s="310" t="s">
        <v>307</v>
      </c>
      <c r="AEE56" s="440"/>
      <c r="AFA56" s="449" t="s">
        <v>474</v>
      </c>
      <c r="AFB56" s="120"/>
      <c r="AFC56" s="120" t="s">
        <v>1</v>
      </c>
      <c r="AFD56" s="310" t="s">
        <v>307</v>
      </c>
      <c r="AFE56" s="440"/>
      <c r="AGA56" s="449" t="s">
        <v>474</v>
      </c>
      <c r="AGB56" s="120"/>
      <c r="AGC56" s="120" t="s">
        <v>1</v>
      </c>
      <c r="AGD56" s="310" t="s">
        <v>307</v>
      </c>
      <c r="AGE56" s="440"/>
      <c r="AHA56" s="449" t="s">
        <v>474</v>
      </c>
      <c r="AHB56" s="120"/>
      <c r="AHC56" s="120" t="s">
        <v>1</v>
      </c>
      <c r="AHD56" s="310" t="s">
        <v>307</v>
      </c>
      <c r="AHE56" s="440"/>
      <c r="AIA56" s="449" t="s">
        <v>474</v>
      </c>
      <c r="AIB56" s="120"/>
      <c r="AIC56" s="120" t="s">
        <v>1</v>
      </c>
      <c r="AID56" s="310" t="s">
        <v>307</v>
      </c>
      <c r="AIE56" s="440"/>
      <c r="AJA56" s="449" t="s">
        <v>474</v>
      </c>
      <c r="AJB56" s="120"/>
      <c r="AJC56" s="120" t="s">
        <v>1</v>
      </c>
      <c r="AJD56" s="310" t="s">
        <v>307</v>
      </c>
      <c r="AJE56" s="440"/>
      <c r="AKA56" s="449" t="s">
        <v>474</v>
      </c>
      <c r="AKB56" s="120"/>
      <c r="AKC56" s="120" t="s">
        <v>1</v>
      </c>
      <c r="AKD56" s="310" t="s">
        <v>307</v>
      </c>
      <c r="AKE56" s="440"/>
      <c r="ALA56" s="449" t="s">
        <v>474</v>
      </c>
      <c r="ALB56" s="120"/>
      <c r="ALC56" s="120" t="s">
        <v>1</v>
      </c>
      <c r="ALD56" s="310" t="s">
        <v>307</v>
      </c>
      <c r="ALE56" s="440"/>
      <c r="AMA56" s="449" t="s">
        <v>474</v>
      </c>
      <c r="AMB56" s="120"/>
      <c r="AMC56" s="120" t="s">
        <v>1</v>
      </c>
      <c r="AMD56" s="310" t="s">
        <v>307</v>
      </c>
      <c r="AME56" s="440"/>
      <c r="ANA56" s="449" t="s">
        <v>474</v>
      </c>
      <c r="ANB56" s="120"/>
      <c r="ANC56" s="120" t="s">
        <v>1</v>
      </c>
      <c r="AND56" s="310" t="s">
        <v>307</v>
      </c>
      <c r="ANE56" s="440"/>
      <c r="AOA56" s="449" t="s">
        <v>474</v>
      </c>
      <c r="AOB56" s="120"/>
      <c r="AOC56" s="120" t="s">
        <v>1</v>
      </c>
      <c r="AOD56" s="310" t="s">
        <v>307</v>
      </c>
      <c r="AOE56" s="440"/>
      <c r="APA56" s="449" t="s">
        <v>474</v>
      </c>
      <c r="APB56" s="120"/>
      <c r="APC56" s="120" t="s">
        <v>1</v>
      </c>
      <c r="APD56" s="310" t="s">
        <v>307</v>
      </c>
      <c r="APE56" s="440"/>
      <c r="AQA56" s="449" t="s">
        <v>474</v>
      </c>
      <c r="AQB56" s="120"/>
      <c r="AQC56" s="120" t="s">
        <v>1</v>
      </c>
      <c r="AQD56" s="310" t="s">
        <v>307</v>
      </c>
      <c r="AQE56" s="440"/>
      <c r="ARA56" s="449" t="s">
        <v>474</v>
      </c>
      <c r="ARB56" s="120"/>
      <c r="ARC56" s="120" t="s">
        <v>1</v>
      </c>
      <c r="ARD56" s="310" t="s">
        <v>307</v>
      </c>
      <c r="ARE56" s="440"/>
      <c r="ASA56" s="449" t="s">
        <v>474</v>
      </c>
      <c r="ASB56" s="120"/>
      <c r="ASC56" s="120" t="s">
        <v>1</v>
      </c>
      <c r="ASD56" s="310" t="s">
        <v>307</v>
      </c>
      <c r="ASE56" s="440"/>
      <c r="ATA56" s="449" t="s">
        <v>474</v>
      </c>
      <c r="ATB56" s="120"/>
      <c r="ATC56" s="120" t="s">
        <v>1</v>
      </c>
      <c r="ATD56" s="310" t="s">
        <v>307</v>
      </c>
      <c r="ATE56" s="440"/>
      <c r="AUA56" s="449" t="s">
        <v>474</v>
      </c>
      <c r="AUB56" s="120"/>
      <c r="AUC56" s="120" t="s">
        <v>1</v>
      </c>
      <c r="AUD56" s="310" t="s">
        <v>307</v>
      </c>
      <c r="AUE56" s="440"/>
      <c r="AVA56" s="449" t="s">
        <v>474</v>
      </c>
      <c r="AVB56" s="120"/>
      <c r="AVC56" s="120" t="s">
        <v>1</v>
      </c>
      <c r="AVD56" s="310" t="s">
        <v>307</v>
      </c>
      <c r="AVE56" s="440"/>
      <c r="AWA56" s="449" t="s">
        <v>474</v>
      </c>
      <c r="AWB56" s="120"/>
      <c r="AWC56" s="120" t="s">
        <v>1</v>
      </c>
      <c r="AWD56" s="310" t="s">
        <v>307</v>
      </c>
      <c r="AWE56" s="440"/>
      <c r="AXA56" s="449" t="s">
        <v>474</v>
      </c>
      <c r="AXB56" s="120"/>
      <c r="AXC56" s="120" t="s">
        <v>1</v>
      </c>
      <c r="AXD56" s="310" t="s">
        <v>307</v>
      </c>
      <c r="AXE56" s="440"/>
      <c r="AYA56" s="449" t="s">
        <v>474</v>
      </c>
      <c r="AYB56" s="120"/>
      <c r="AYC56" s="120" t="s">
        <v>1</v>
      </c>
      <c r="AYD56" s="310" t="s">
        <v>307</v>
      </c>
      <c r="AYE56" s="440"/>
      <c r="AZA56" s="449" t="s">
        <v>474</v>
      </c>
      <c r="AZB56" s="120"/>
      <c r="AZC56" s="120" t="s">
        <v>1</v>
      </c>
      <c r="AZD56" s="310" t="s">
        <v>307</v>
      </c>
      <c r="AZE56" s="440"/>
      <c r="BAA56" s="449" t="s">
        <v>474</v>
      </c>
      <c r="BAB56" s="120"/>
      <c r="BAC56" s="120" t="s">
        <v>1</v>
      </c>
      <c r="BAD56" s="310" t="s">
        <v>307</v>
      </c>
      <c r="BAE56" s="440"/>
      <c r="BBA56" s="449" t="s">
        <v>474</v>
      </c>
      <c r="BBB56" s="120"/>
      <c r="BBC56" s="120" t="s">
        <v>1</v>
      </c>
      <c r="BBD56" s="310" t="s">
        <v>307</v>
      </c>
      <c r="BBE56" s="440"/>
      <c r="BCA56" s="449" t="s">
        <v>474</v>
      </c>
      <c r="BCB56" s="120"/>
      <c r="BCC56" s="120" t="s">
        <v>1</v>
      </c>
      <c r="BCD56" s="310" t="s">
        <v>307</v>
      </c>
      <c r="BCE56" s="440"/>
      <c r="BDA56" s="449" t="s">
        <v>474</v>
      </c>
      <c r="BDB56" s="120"/>
      <c r="BDC56" s="120" t="s">
        <v>1</v>
      </c>
      <c r="BDD56" s="310" t="s">
        <v>307</v>
      </c>
      <c r="BDE56" s="440"/>
      <c r="BEA56" s="449" t="s">
        <v>474</v>
      </c>
      <c r="BEB56" s="120"/>
      <c r="BEC56" s="120" t="s">
        <v>1</v>
      </c>
      <c r="BED56" s="310" t="s">
        <v>307</v>
      </c>
      <c r="BEE56" s="440"/>
      <c r="BFA56" s="449" t="s">
        <v>474</v>
      </c>
      <c r="BFB56" s="120"/>
      <c r="BFC56" s="120" t="s">
        <v>1</v>
      </c>
      <c r="BFD56" s="310" t="s">
        <v>307</v>
      </c>
      <c r="BFE56" s="440"/>
      <c r="BGA56" s="449" t="s">
        <v>474</v>
      </c>
      <c r="BGB56" s="120"/>
      <c r="BGC56" s="120" t="s">
        <v>1</v>
      </c>
      <c r="BGD56" s="310" t="s">
        <v>307</v>
      </c>
      <c r="BGE56" s="440"/>
      <c r="BHA56" s="449" t="s">
        <v>474</v>
      </c>
      <c r="BHB56" s="120"/>
      <c r="BHC56" s="120" t="s">
        <v>1</v>
      </c>
      <c r="BHD56" s="310" t="s">
        <v>307</v>
      </c>
      <c r="BHE56" s="440"/>
      <c r="BIA56" s="449" t="s">
        <v>474</v>
      </c>
      <c r="BIB56" s="120"/>
      <c r="BIC56" s="120" t="s">
        <v>1</v>
      </c>
      <c r="BID56" s="310" t="s">
        <v>307</v>
      </c>
      <c r="BIE56" s="440"/>
      <c r="BJA56" s="449" t="s">
        <v>474</v>
      </c>
      <c r="BJB56" s="120"/>
      <c r="BJC56" s="120" t="s">
        <v>1</v>
      </c>
      <c r="BJD56" s="310" t="s">
        <v>307</v>
      </c>
      <c r="BJE56" s="440"/>
      <c r="BKA56" s="449" t="s">
        <v>474</v>
      </c>
      <c r="BKB56" s="120"/>
      <c r="BKC56" s="120" t="s">
        <v>1</v>
      </c>
      <c r="BKD56" s="310" t="s">
        <v>307</v>
      </c>
      <c r="BKE56" s="440"/>
      <c r="BLA56" s="449" t="s">
        <v>474</v>
      </c>
      <c r="BLB56" s="120"/>
      <c r="BLC56" s="120" t="s">
        <v>1</v>
      </c>
      <c r="BLD56" s="310" t="s">
        <v>307</v>
      </c>
      <c r="BLE56" s="440"/>
      <c r="BMA56" s="449" t="s">
        <v>474</v>
      </c>
      <c r="BMB56" s="120"/>
      <c r="BMC56" s="120" t="s">
        <v>1</v>
      </c>
      <c r="BMD56" s="310" t="s">
        <v>307</v>
      </c>
      <c r="BME56" s="440"/>
      <c r="BNA56" s="449" t="s">
        <v>474</v>
      </c>
      <c r="BNB56" s="120"/>
      <c r="BNC56" s="120" t="s">
        <v>1</v>
      </c>
      <c r="BND56" s="310" t="s">
        <v>307</v>
      </c>
      <c r="BNE56" s="440"/>
      <c r="BOA56" s="449" t="s">
        <v>474</v>
      </c>
      <c r="BOB56" s="120"/>
      <c r="BOC56" s="120" t="s">
        <v>1</v>
      </c>
      <c r="BOD56" s="310" t="s">
        <v>307</v>
      </c>
      <c r="BOE56" s="440"/>
      <c r="BPA56" s="449" t="s">
        <v>474</v>
      </c>
      <c r="BPB56" s="120"/>
      <c r="BPC56" s="120" t="s">
        <v>1</v>
      </c>
      <c r="BPD56" s="310" t="s">
        <v>307</v>
      </c>
      <c r="BPE56" s="440"/>
      <c r="BQA56" s="449" t="s">
        <v>474</v>
      </c>
      <c r="BQB56" s="120"/>
      <c r="BQC56" s="120" t="s">
        <v>1</v>
      </c>
      <c r="BQD56" s="310" t="s">
        <v>307</v>
      </c>
      <c r="BQE56" s="440"/>
      <c r="BRA56" s="449" t="s">
        <v>474</v>
      </c>
      <c r="BRB56" s="120"/>
      <c r="BRC56" s="120" t="s">
        <v>1</v>
      </c>
      <c r="BRD56" s="310" t="s">
        <v>307</v>
      </c>
      <c r="BRE56" s="440"/>
    </row>
    <row r="57" spans="1:1019 1041:1825">
      <c r="B57" s="1015" t="s">
        <v>653</v>
      </c>
      <c r="AA57" s="436" t="s">
        <v>481</v>
      </c>
      <c r="AB57" s="223"/>
      <c r="AC57" s="480" t="s">
        <v>586</v>
      </c>
      <c r="AD57" s="484"/>
      <c r="AE57" s="440" t="s">
        <v>460</v>
      </c>
      <c r="BA57" s="436" t="s">
        <v>481</v>
      </c>
      <c r="BB57" s="223"/>
      <c r="BC57" s="480" t="s">
        <v>586</v>
      </c>
      <c r="BD57" s="484"/>
      <c r="BE57" s="440" t="s">
        <v>460</v>
      </c>
      <c r="CA57" s="436" t="s">
        <v>481</v>
      </c>
      <c r="CB57" s="223"/>
      <c r="CC57" s="480" t="s">
        <v>586</v>
      </c>
      <c r="CD57" s="484"/>
      <c r="CE57" s="440" t="s">
        <v>460</v>
      </c>
      <c r="DA57" s="436" t="s">
        <v>481</v>
      </c>
      <c r="DB57" s="223"/>
      <c r="DC57" s="480" t="s">
        <v>586</v>
      </c>
      <c r="DD57" s="484"/>
      <c r="DE57" s="440" t="s">
        <v>460</v>
      </c>
      <c r="EA57" s="436" t="s">
        <v>481</v>
      </c>
      <c r="EB57" s="223"/>
      <c r="EC57" s="480" t="s">
        <v>586</v>
      </c>
      <c r="ED57" s="484"/>
      <c r="EE57" s="440" t="s">
        <v>460</v>
      </c>
      <c r="FA57" s="436" t="s">
        <v>481</v>
      </c>
      <c r="FB57" s="223"/>
      <c r="FC57" s="480" t="s">
        <v>586</v>
      </c>
      <c r="FD57" s="484"/>
      <c r="FE57" s="440" t="s">
        <v>460</v>
      </c>
      <c r="GA57" s="436" t="s">
        <v>481</v>
      </c>
      <c r="GB57" s="223"/>
      <c r="GC57" s="480" t="s">
        <v>586</v>
      </c>
      <c r="GD57" s="484"/>
      <c r="GE57" s="440" t="s">
        <v>460</v>
      </c>
      <c r="HA57" s="436" t="s">
        <v>481</v>
      </c>
      <c r="HB57" s="223"/>
      <c r="HC57" s="480" t="s">
        <v>586</v>
      </c>
      <c r="HD57" s="484"/>
      <c r="HE57" s="440" t="s">
        <v>460</v>
      </c>
      <c r="IA57" s="436" t="s">
        <v>481</v>
      </c>
      <c r="IB57" s="223"/>
      <c r="IC57" s="480" t="s">
        <v>586</v>
      </c>
      <c r="ID57" s="484"/>
      <c r="IE57" s="440" t="s">
        <v>460</v>
      </c>
      <c r="JA57" s="436" t="s">
        <v>481</v>
      </c>
      <c r="JB57" s="223"/>
      <c r="JC57" s="480" t="s">
        <v>586</v>
      </c>
      <c r="JD57" s="484"/>
      <c r="JE57" s="440" t="s">
        <v>460</v>
      </c>
      <c r="KA57" s="436" t="s">
        <v>481</v>
      </c>
      <c r="KB57" s="223"/>
      <c r="KC57" s="480" t="s">
        <v>586</v>
      </c>
      <c r="KD57" s="484"/>
      <c r="KE57" s="440" t="s">
        <v>460</v>
      </c>
      <c r="LA57" s="436" t="s">
        <v>481</v>
      </c>
      <c r="LB57" s="223"/>
      <c r="LC57" s="480" t="s">
        <v>586</v>
      </c>
      <c r="LD57" s="484"/>
      <c r="LE57" s="440" t="s">
        <v>460</v>
      </c>
      <c r="MA57" s="436" t="s">
        <v>481</v>
      </c>
      <c r="MB57" s="223"/>
      <c r="MC57" s="480" t="s">
        <v>586</v>
      </c>
      <c r="MD57" s="484"/>
      <c r="ME57" s="440" t="s">
        <v>460</v>
      </c>
      <c r="NA57" s="436" t="s">
        <v>481</v>
      </c>
      <c r="NB57" s="223"/>
      <c r="NC57" s="480" t="s">
        <v>586</v>
      </c>
      <c r="ND57" s="484"/>
      <c r="NE57" s="440" t="s">
        <v>460</v>
      </c>
      <c r="OA57" s="436" t="s">
        <v>481</v>
      </c>
      <c r="OB57" s="223"/>
      <c r="OC57" s="480" t="s">
        <v>586</v>
      </c>
      <c r="OD57" s="484"/>
      <c r="OE57" s="440" t="s">
        <v>460</v>
      </c>
      <c r="PA57" s="436" t="s">
        <v>481</v>
      </c>
      <c r="PB57" s="223"/>
      <c r="PC57" s="480" t="s">
        <v>586</v>
      </c>
      <c r="PD57" s="484"/>
      <c r="PE57" s="440" t="s">
        <v>460</v>
      </c>
      <c r="QA57" s="436" t="s">
        <v>481</v>
      </c>
      <c r="QB57" s="223"/>
      <c r="QC57" s="480" t="s">
        <v>586</v>
      </c>
      <c r="QD57" s="484"/>
      <c r="QE57" s="440" t="s">
        <v>460</v>
      </c>
      <c r="RA57" s="436" t="s">
        <v>481</v>
      </c>
      <c r="RB57" s="223"/>
      <c r="RC57" s="480" t="s">
        <v>586</v>
      </c>
      <c r="RD57" s="484"/>
      <c r="RE57" s="440" t="s">
        <v>460</v>
      </c>
      <c r="SA57" s="436" t="s">
        <v>481</v>
      </c>
      <c r="SB57" s="223"/>
      <c r="SC57" s="480" t="s">
        <v>586</v>
      </c>
      <c r="SD57" s="484"/>
      <c r="SE57" s="440" t="s">
        <v>460</v>
      </c>
      <c r="TA57" s="436" t="s">
        <v>481</v>
      </c>
      <c r="TB57" s="223"/>
      <c r="TC57" s="480" t="s">
        <v>586</v>
      </c>
      <c r="TD57" s="484"/>
      <c r="TE57" s="440" t="s">
        <v>460</v>
      </c>
      <c r="UA57" s="436" t="s">
        <v>481</v>
      </c>
      <c r="UB57" s="223"/>
      <c r="UC57" s="480" t="s">
        <v>586</v>
      </c>
      <c r="UD57" s="484"/>
      <c r="UE57" s="440" t="s">
        <v>460</v>
      </c>
      <c r="VA57" s="436" t="s">
        <v>481</v>
      </c>
      <c r="VB57" s="223"/>
      <c r="VC57" s="480" t="s">
        <v>586</v>
      </c>
      <c r="VD57" s="484"/>
      <c r="VE57" s="440" t="s">
        <v>460</v>
      </c>
      <c r="WA57" s="436" t="s">
        <v>481</v>
      </c>
      <c r="WB57" s="223"/>
      <c r="WC57" s="480" t="s">
        <v>586</v>
      </c>
      <c r="WD57" s="484"/>
      <c r="WE57" s="440" t="s">
        <v>460</v>
      </c>
      <c r="XA57" s="436" t="s">
        <v>481</v>
      </c>
      <c r="XB57" s="223"/>
      <c r="XC57" s="480" t="s">
        <v>586</v>
      </c>
      <c r="XD57" s="484"/>
      <c r="XE57" s="440" t="s">
        <v>460</v>
      </c>
      <c r="YA57" s="436" t="s">
        <v>481</v>
      </c>
      <c r="YB57" s="223"/>
      <c r="YC57" s="480" t="s">
        <v>586</v>
      </c>
      <c r="YD57" s="484"/>
      <c r="YE57" s="440" t="s">
        <v>460</v>
      </c>
      <c r="ZA57" s="436" t="s">
        <v>481</v>
      </c>
      <c r="ZB57" s="223"/>
      <c r="ZC57" s="480" t="s">
        <v>586</v>
      </c>
      <c r="ZD57" s="484"/>
      <c r="ZE57" s="440" t="s">
        <v>460</v>
      </c>
      <c r="AAA57" s="436" t="s">
        <v>481</v>
      </c>
      <c r="AAB57" s="223"/>
      <c r="AAC57" s="480" t="s">
        <v>586</v>
      </c>
      <c r="AAD57" s="484"/>
      <c r="AAE57" s="440" t="s">
        <v>460</v>
      </c>
      <c r="ABA57" s="436"/>
      <c r="ABB57" s="223"/>
      <c r="ABC57" s="480" t="s">
        <v>586</v>
      </c>
      <c r="ABD57" s="484"/>
      <c r="ABE57" s="440" t="s">
        <v>460</v>
      </c>
      <c r="ACA57" s="436"/>
      <c r="ACB57" s="223"/>
      <c r="ACC57" s="480" t="s">
        <v>586</v>
      </c>
      <c r="ACD57" s="484"/>
      <c r="ACE57" s="440" t="s">
        <v>460</v>
      </c>
      <c r="ADA57" s="436"/>
      <c r="ADB57" s="223"/>
      <c r="ADC57" s="480" t="s">
        <v>586</v>
      </c>
      <c r="ADD57" s="484"/>
      <c r="ADE57" s="440" t="s">
        <v>460</v>
      </c>
      <c r="AEA57" s="436"/>
      <c r="AEB57" s="223"/>
      <c r="AEC57" s="480" t="s">
        <v>586</v>
      </c>
      <c r="AED57" s="484"/>
      <c r="AEE57" s="440" t="s">
        <v>460</v>
      </c>
      <c r="AFA57" s="436"/>
      <c r="AFB57" s="223"/>
      <c r="AFC57" s="480" t="s">
        <v>586</v>
      </c>
      <c r="AFD57" s="484"/>
      <c r="AFE57" s="440" t="s">
        <v>460</v>
      </c>
      <c r="AGA57" s="436"/>
      <c r="AGB57" s="223"/>
      <c r="AGC57" s="480" t="s">
        <v>586</v>
      </c>
      <c r="AGD57" s="484"/>
      <c r="AGE57" s="440" t="s">
        <v>460</v>
      </c>
      <c r="AHA57" s="436"/>
      <c r="AHB57" s="223"/>
      <c r="AHC57" s="480" t="s">
        <v>586</v>
      </c>
      <c r="AHD57" s="484"/>
      <c r="AHE57" s="440" t="s">
        <v>460</v>
      </c>
      <c r="AIA57" s="436"/>
      <c r="AIB57" s="223"/>
      <c r="AIC57" s="480" t="s">
        <v>586</v>
      </c>
      <c r="AID57" s="484"/>
      <c r="AIE57" s="440" t="s">
        <v>460</v>
      </c>
      <c r="AJA57" s="436"/>
      <c r="AJB57" s="223"/>
      <c r="AJC57" s="480" t="s">
        <v>586</v>
      </c>
      <c r="AJD57" s="484"/>
      <c r="AJE57" s="440" t="s">
        <v>460</v>
      </c>
      <c r="AKA57" s="436"/>
      <c r="AKB57" s="223"/>
      <c r="AKC57" s="480" t="s">
        <v>586</v>
      </c>
      <c r="AKD57" s="484"/>
      <c r="AKE57" s="440" t="s">
        <v>460</v>
      </c>
      <c r="ALA57" s="436"/>
      <c r="ALB57" s="223"/>
      <c r="ALC57" s="480" t="s">
        <v>586</v>
      </c>
      <c r="ALD57" s="484"/>
      <c r="ALE57" s="440" t="s">
        <v>460</v>
      </c>
      <c r="AMA57" s="436"/>
      <c r="AMB57" s="223"/>
      <c r="AMC57" s="480" t="s">
        <v>586</v>
      </c>
      <c r="AMD57" s="484"/>
      <c r="AME57" s="440" t="s">
        <v>460</v>
      </c>
      <c r="ANA57" s="436"/>
      <c r="ANB57" s="223"/>
      <c r="ANC57" s="480" t="s">
        <v>586</v>
      </c>
      <c r="AND57" s="484"/>
      <c r="ANE57" s="440" t="s">
        <v>460</v>
      </c>
      <c r="AOA57" s="436"/>
      <c r="AOB57" s="223"/>
      <c r="AOC57" s="480" t="s">
        <v>586</v>
      </c>
      <c r="AOD57" s="484"/>
      <c r="AOE57" s="440" t="s">
        <v>460</v>
      </c>
      <c r="APA57" s="436"/>
      <c r="APB57" s="223"/>
      <c r="APC57" s="480" t="s">
        <v>586</v>
      </c>
      <c r="APD57" s="484"/>
      <c r="APE57" s="440" t="s">
        <v>460</v>
      </c>
      <c r="AQA57" s="436"/>
      <c r="AQB57" s="223"/>
      <c r="AQC57" s="480" t="s">
        <v>586</v>
      </c>
      <c r="AQD57" s="484"/>
      <c r="AQE57" s="440" t="s">
        <v>460</v>
      </c>
      <c r="ARA57" s="436"/>
      <c r="ARB57" s="223"/>
      <c r="ARC57" s="480" t="s">
        <v>586</v>
      </c>
      <c r="ARD57" s="484"/>
      <c r="ARE57" s="440" t="s">
        <v>460</v>
      </c>
      <c r="ASA57" s="436"/>
      <c r="ASB57" s="223"/>
      <c r="ASC57" s="480" t="s">
        <v>586</v>
      </c>
      <c r="ASD57" s="484"/>
      <c r="ASE57" s="440" t="s">
        <v>460</v>
      </c>
      <c r="ATA57" s="436"/>
      <c r="ATB57" s="223"/>
      <c r="ATC57" s="480" t="s">
        <v>586</v>
      </c>
      <c r="ATD57" s="484"/>
      <c r="ATE57" s="440" t="s">
        <v>460</v>
      </c>
      <c r="AUA57" s="436"/>
      <c r="AUB57" s="223"/>
      <c r="AUC57" s="480" t="s">
        <v>586</v>
      </c>
      <c r="AUD57" s="484"/>
      <c r="AUE57" s="440" t="s">
        <v>460</v>
      </c>
      <c r="AVA57" s="436"/>
      <c r="AVB57" s="223"/>
      <c r="AVC57" s="480" t="s">
        <v>586</v>
      </c>
      <c r="AVD57" s="484"/>
      <c r="AVE57" s="440" t="s">
        <v>460</v>
      </c>
      <c r="AWA57" s="436"/>
      <c r="AWB57" s="223"/>
      <c r="AWC57" s="480" t="s">
        <v>586</v>
      </c>
      <c r="AWD57" s="484"/>
      <c r="AWE57" s="440" t="s">
        <v>460</v>
      </c>
      <c r="AXA57" s="436"/>
      <c r="AXB57" s="223"/>
      <c r="AXC57" s="480" t="s">
        <v>586</v>
      </c>
      <c r="AXD57" s="484"/>
      <c r="AXE57" s="440" t="s">
        <v>460</v>
      </c>
      <c r="AYA57" s="436"/>
      <c r="AYB57" s="223"/>
      <c r="AYC57" s="480" t="s">
        <v>586</v>
      </c>
      <c r="AYD57" s="484"/>
      <c r="AYE57" s="440" t="s">
        <v>460</v>
      </c>
      <c r="AZA57" s="436"/>
      <c r="AZB57" s="223"/>
      <c r="AZC57" s="480" t="s">
        <v>586</v>
      </c>
      <c r="AZD57" s="484"/>
      <c r="AZE57" s="440" t="s">
        <v>460</v>
      </c>
      <c r="BAA57" s="436"/>
      <c r="BAB57" s="223"/>
      <c r="BAC57" s="480" t="s">
        <v>586</v>
      </c>
      <c r="BAD57" s="484"/>
      <c r="BAE57" s="440" t="s">
        <v>460</v>
      </c>
      <c r="BBA57" s="436"/>
      <c r="BBB57" s="223"/>
      <c r="BBC57" s="480" t="s">
        <v>586</v>
      </c>
      <c r="BBD57" s="484"/>
      <c r="BBE57" s="440" t="s">
        <v>460</v>
      </c>
      <c r="BCA57" s="436"/>
      <c r="BCB57" s="223"/>
      <c r="BCC57" s="480" t="s">
        <v>586</v>
      </c>
      <c r="BCD57" s="484"/>
      <c r="BCE57" s="440" t="s">
        <v>460</v>
      </c>
      <c r="BDA57" s="436"/>
      <c r="BDB57" s="223"/>
      <c r="BDC57" s="480" t="s">
        <v>586</v>
      </c>
      <c r="BDD57" s="484"/>
      <c r="BDE57" s="440" t="s">
        <v>460</v>
      </c>
      <c r="BEA57" s="436"/>
      <c r="BEB57" s="223"/>
      <c r="BEC57" s="480" t="s">
        <v>586</v>
      </c>
      <c r="BED57" s="484"/>
      <c r="BEE57" s="440" t="s">
        <v>460</v>
      </c>
      <c r="BFA57" s="436"/>
      <c r="BFB57" s="223"/>
      <c r="BFC57" s="480" t="s">
        <v>586</v>
      </c>
      <c r="BFD57" s="484"/>
      <c r="BFE57" s="440" t="s">
        <v>460</v>
      </c>
      <c r="BGA57" s="436"/>
      <c r="BGB57" s="223"/>
      <c r="BGC57" s="480" t="s">
        <v>586</v>
      </c>
      <c r="BGD57" s="484"/>
      <c r="BGE57" s="440" t="s">
        <v>460</v>
      </c>
      <c r="BHA57" s="436"/>
      <c r="BHB57" s="223"/>
      <c r="BHC57" s="480" t="s">
        <v>586</v>
      </c>
      <c r="BHD57" s="484"/>
      <c r="BHE57" s="440" t="s">
        <v>460</v>
      </c>
      <c r="BIA57" s="436"/>
      <c r="BIB57" s="223"/>
      <c r="BIC57" s="480" t="s">
        <v>586</v>
      </c>
      <c r="BID57" s="484"/>
      <c r="BIE57" s="440" t="s">
        <v>460</v>
      </c>
      <c r="BJA57" s="436"/>
      <c r="BJB57" s="223"/>
      <c r="BJC57" s="480" t="s">
        <v>586</v>
      </c>
      <c r="BJD57" s="484"/>
      <c r="BJE57" s="440" t="s">
        <v>460</v>
      </c>
      <c r="BKA57" s="436"/>
      <c r="BKB57" s="223"/>
      <c r="BKC57" s="480" t="s">
        <v>586</v>
      </c>
      <c r="BKD57" s="484"/>
      <c r="BKE57" s="440" t="s">
        <v>460</v>
      </c>
      <c r="BLA57" s="436"/>
      <c r="BLB57" s="223"/>
      <c r="BLC57" s="480" t="s">
        <v>586</v>
      </c>
      <c r="BLD57" s="484"/>
      <c r="BLE57" s="440" t="s">
        <v>460</v>
      </c>
      <c r="BMA57" s="436"/>
      <c r="BMB57" s="223"/>
      <c r="BMC57" s="480" t="s">
        <v>586</v>
      </c>
      <c r="BMD57" s="484"/>
      <c r="BME57" s="440" t="s">
        <v>460</v>
      </c>
      <c r="BNA57" s="436"/>
      <c r="BNB57" s="223"/>
      <c r="BNC57" s="480" t="s">
        <v>586</v>
      </c>
      <c r="BND57" s="484"/>
      <c r="BNE57" s="440" t="s">
        <v>460</v>
      </c>
      <c r="BOA57" s="436"/>
      <c r="BOB57" s="223"/>
      <c r="BOC57" s="480" t="s">
        <v>586</v>
      </c>
      <c r="BOD57" s="484"/>
      <c r="BOE57" s="440" t="s">
        <v>460</v>
      </c>
      <c r="BPA57" s="436"/>
      <c r="BPB57" s="223"/>
      <c r="BPC57" s="480" t="s">
        <v>586</v>
      </c>
      <c r="BPD57" s="484"/>
      <c r="BPE57" s="440" t="s">
        <v>460</v>
      </c>
      <c r="BQA57" s="436"/>
      <c r="BQB57" s="223"/>
      <c r="BQC57" s="480" t="s">
        <v>586</v>
      </c>
      <c r="BQD57" s="484"/>
      <c r="BQE57" s="440" t="s">
        <v>460</v>
      </c>
      <c r="BRA57" s="436"/>
      <c r="BRB57" s="223"/>
      <c r="BRC57" s="480" t="s">
        <v>586</v>
      </c>
      <c r="BRD57" s="484"/>
      <c r="BRE57" s="440" t="s">
        <v>460</v>
      </c>
    </row>
    <row r="58" spans="1:1019 1041:1825">
      <c r="A58" s="1034"/>
      <c r="B58" s="114" t="s">
        <v>1759</v>
      </c>
      <c r="AA58" s="436"/>
      <c r="AB58" s="120"/>
      <c r="AC58" s="120"/>
      <c r="AD58" s="467"/>
      <c r="AE58" s="440"/>
      <c r="BA58" s="436"/>
      <c r="BB58" s="120"/>
      <c r="BC58" s="120"/>
      <c r="BD58" s="467"/>
      <c r="BE58" s="440"/>
      <c r="CA58" s="436"/>
      <c r="CB58" s="120"/>
      <c r="CC58" s="120"/>
      <c r="CD58" s="467"/>
      <c r="CE58" s="440"/>
      <c r="DA58" s="436"/>
      <c r="DB58" s="120"/>
      <c r="DC58" s="120"/>
      <c r="DD58" s="467"/>
      <c r="DE58" s="440"/>
      <c r="EA58" s="436"/>
      <c r="EB58" s="120"/>
      <c r="EC58" s="120"/>
      <c r="ED58" s="467"/>
      <c r="EE58" s="440"/>
      <c r="FA58" s="436"/>
      <c r="FB58" s="120"/>
      <c r="FC58" s="120"/>
      <c r="FD58" s="467"/>
      <c r="FE58" s="440"/>
      <c r="GA58" s="436"/>
      <c r="GB58" s="120"/>
      <c r="GC58" s="120"/>
      <c r="GD58" s="467"/>
      <c r="GE58" s="440"/>
      <c r="HA58" s="436"/>
      <c r="HB58" s="120"/>
      <c r="HC58" s="120"/>
      <c r="HD58" s="467"/>
      <c r="HE58" s="440"/>
      <c r="IA58" s="436"/>
      <c r="IB58" s="120"/>
      <c r="IC58" s="120"/>
      <c r="ID58" s="467"/>
      <c r="IE58" s="440"/>
      <c r="JA58" s="436"/>
      <c r="JB58" s="120"/>
      <c r="JC58" s="120"/>
      <c r="JD58" s="467"/>
      <c r="JE58" s="440"/>
      <c r="KA58" s="436"/>
      <c r="KB58" s="120"/>
      <c r="KC58" s="120"/>
      <c r="KD58" s="467"/>
      <c r="KE58" s="440"/>
      <c r="LA58" s="436"/>
      <c r="LB58" s="120"/>
      <c r="LC58" s="120"/>
      <c r="LD58" s="467"/>
      <c r="LE58" s="440"/>
      <c r="MA58" s="436"/>
      <c r="MB58" s="120"/>
      <c r="MC58" s="120"/>
      <c r="MD58" s="467"/>
      <c r="ME58" s="440"/>
      <c r="NA58" s="436"/>
      <c r="NB58" s="120"/>
      <c r="NC58" s="120"/>
      <c r="ND58" s="467"/>
      <c r="NE58" s="440"/>
      <c r="OA58" s="436"/>
      <c r="OB58" s="120"/>
      <c r="OC58" s="120"/>
      <c r="OD58" s="467"/>
      <c r="OE58" s="440"/>
      <c r="PA58" s="436"/>
      <c r="PB58" s="120"/>
      <c r="PC58" s="120"/>
      <c r="PD58" s="467"/>
      <c r="PE58" s="440"/>
      <c r="QA58" s="436"/>
      <c r="QB58" s="120"/>
      <c r="QC58" s="120"/>
      <c r="QD58" s="467"/>
      <c r="QE58" s="440"/>
      <c r="RA58" s="436"/>
      <c r="RB58" s="120"/>
      <c r="RC58" s="120"/>
      <c r="RD58" s="467"/>
      <c r="RE58" s="440"/>
      <c r="SA58" s="436"/>
      <c r="SB58" s="120"/>
      <c r="SC58" s="120"/>
      <c r="SD58" s="467"/>
      <c r="SE58" s="440"/>
      <c r="TA58" s="436"/>
      <c r="TB58" s="120"/>
      <c r="TC58" s="120"/>
      <c r="TD58" s="467"/>
      <c r="TE58" s="440"/>
      <c r="UA58" s="436"/>
      <c r="UB58" s="120"/>
      <c r="UC58" s="120"/>
      <c r="UD58" s="467"/>
      <c r="UE58" s="440"/>
      <c r="VA58" s="436"/>
      <c r="VB58" s="120"/>
      <c r="VC58" s="120"/>
      <c r="VD58" s="467"/>
      <c r="VE58" s="440"/>
      <c r="WA58" s="436"/>
      <c r="WB58" s="120"/>
      <c r="WC58" s="120"/>
      <c r="WD58" s="467"/>
      <c r="WE58" s="440"/>
      <c r="XA58" s="436"/>
      <c r="XB58" s="120"/>
      <c r="XC58" s="120"/>
      <c r="XD58" s="467"/>
      <c r="XE58" s="440"/>
      <c r="YA58" s="436"/>
      <c r="YB58" s="120"/>
      <c r="YC58" s="120"/>
      <c r="YD58" s="467"/>
      <c r="YE58" s="440"/>
      <c r="ZA58" s="436"/>
      <c r="ZB58" s="120"/>
      <c r="ZC58" s="120"/>
      <c r="ZD58" s="467"/>
      <c r="ZE58" s="440"/>
      <c r="AAA58" s="436"/>
      <c r="AAB58" s="120"/>
      <c r="AAC58" s="120"/>
      <c r="AAD58" s="467"/>
      <c r="AAE58" s="440"/>
      <c r="ABA58" s="436"/>
      <c r="ABB58" s="120"/>
      <c r="ABC58" s="120"/>
      <c r="ABD58" s="467"/>
      <c r="ABE58" s="440"/>
      <c r="ACA58" s="436"/>
      <c r="ACB58" s="120"/>
      <c r="ACC58" s="120"/>
      <c r="ACD58" s="467"/>
      <c r="ACE58" s="440"/>
      <c r="ADA58" s="436"/>
      <c r="ADB58" s="120"/>
      <c r="ADC58" s="120"/>
      <c r="ADD58" s="467"/>
      <c r="ADE58" s="440"/>
      <c r="AEA58" s="436"/>
      <c r="AEB58" s="120"/>
      <c r="AEC58" s="120"/>
      <c r="AED58" s="467"/>
      <c r="AEE58" s="440"/>
      <c r="AFA58" s="436"/>
      <c r="AFB58" s="120"/>
      <c r="AFC58" s="120"/>
      <c r="AFD58" s="467"/>
      <c r="AFE58" s="440"/>
      <c r="AGA58" s="436"/>
      <c r="AGB58" s="120"/>
      <c r="AGC58" s="120"/>
      <c r="AGD58" s="467"/>
      <c r="AGE58" s="440"/>
      <c r="AHA58" s="436"/>
      <c r="AHB58" s="120"/>
      <c r="AHC58" s="120"/>
      <c r="AHD58" s="467"/>
      <c r="AHE58" s="440"/>
      <c r="AIA58" s="436"/>
      <c r="AIB58" s="120"/>
      <c r="AIC58" s="120"/>
      <c r="AID58" s="467"/>
      <c r="AIE58" s="440"/>
      <c r="AJA58" s="436"/>
      <c r="AJB58" s="120"/>
      <c r="AJC58" s="120"/>
      <c r="AJD58" s="467"/>
      <c r="AJE58" s="440"/>
      <c r="AKA58" s="436"/>
      <c r="AKB58" s="120"/>
      <c r="AKC58" s="120"/>
      <c r="AKD58" s="467"/>
      <c r="AKE58" s="440"/>
      <c r="ALA58" s="436"/>
      <c r="ALB58" s="120"/>
      <c r="ALC58" s="120"/>
      <c r="ALD58" s="467"/>
      <c r="ALE58" s="440"/>
      <c r="AMA58" s="436"/>
      <c r="AMB58" s="120"/>
      <c r="AMC58" s="120"/>
      <c r="AMD58" s="467"/>
      <c r="AME58" s="440"/>
      <c r="ANA58" s="436"/>
      <c r="ANB58" s="120"/>
      <c r="ANC58" s="120"/>
      <c r="AND58" s="467"/>
      <c r="ANE58" s="440"/>
      <c r="AOA58" s="436"/>
      <c r="AOB58" s="120"/>
      <c r="AOC58" s="120"/>
      <c r="AOD58" s="467"/>
      <c r="AOE58" s="440"/>
      <c r="APA58" s="436"/>
      <c r="APB58" s="120"/>
      <c r="APC58" s="120"/>
      <c r="APD58" s="467"/>
      <c r="APE58" s="440"/>
      <c r="AQA58" s="436"/>
      <c r="AQB58" s="120"/>
      <c r="AQC58" s="120"/>
      <c r="AQD58" s="467"/>
      <c r="AQE58" s="440"/>
      <c r="ARA58" s="436"/>
      <c r="ARB58" s="120"/>
      <c r="ARC58" s="120"/>
      <c r="ARD58" s="467"/>
      <c r="ARE58" s="440"/>
      <c r="ASA58" s="436"/>
      <c r="ASB58" s="120"/>
      <c r="ASC58" s="120"/>
      <c r="ASD58" s="467"/>
      <c r="ASE58" s="440"/>
      <c r="ATA58" s="436"/>
      <c r="ATB58" s="120"/>
      <c r="ATC58" s="120"/>
      <c r="ATD58" s="467"/>
      <c r="ATE58" s="440"/>
      <c r="AUA58" s="436"/>
      <c r="AUB58" s="120"/>
      <c r="AUC58" s="120"/>
      <c r="AUD58" s="467"/>
      <c r="AUE58" s="440"/>
      <c r="AVA58" s="436"/>
      <c r="AVB58" s="120"/>
      <c r="AVC58" s="120"/>
      <c r="AVD58" s="467"/>
      <c r="AVE58" s="440"/>
      <c r="AWA58" s="436"/>
      <c r="AWB58" s="120"/>
      <c r="AWC58" s="120"/>
      <c r="AWD58" s="467"/>
      <c r="AWE58" s="440"/>
      <c r="AXA58" s="436"/>
      <c r="AXB58" s="120"/>
      <c r="AXC58" s="120"/>
      <c r="AXD58" s="467"/>
      <c r="AXE58" s="440"/>
      <c r="AYA58" s="436"/>
      <c r="AYB58" s="120"/>
      <c r="AYC58" s="120"/>
      <c r="AYD58" s="467"/>
      <c r="AYE58" s="440"/>
      <c r="AZA58" s="436"/>
      <c r="AZB58" s="120"/>
      <c r="AZC58" s="120"/>
      <c r="AZD58" s="467"/>
      <c r="AZE58" s="440"/>
      <c r="BAA58" s="436"/>
      <c r="BAB58" s="120"/>
      <c r="BAC58" s="120"/>
      <c r="BAD58" s="467"/>
      <c r="BAE58" s="440"/>
      <c r="BBA58" s="436"/>
      <c r="BBB58" s="120"/>
      <c r="BBC58" s="120"/>
      <c r="BBD58" s="467"/>
      <c r="BBE58" s="440"/>
      <c r="BCA58" s="436"/>
      <c r="BCB58" s="120"/>
      <c r="BCC58" s="120"/>
      <c r="BCD58" s="467"/>
      <c r="BCE58" s="440"/>
      <c r="BDA58" s="436"/>
      <c r="BDB58" s="120"/>
      <c r="BDC58" s="120"/>
      <c r="BDD58" s="467"/>
      <c r="BDE58" s="440"/>
      <c r="BEA58" s="436"/>
      <c r="BEB58" s="120"/>
      <c r="BEC58" s="120"/>
      <c r="BED58" s="467"/>
      <c r="BEE58" s="440"/>
      <c r="BFA58" s="436"/>
      <c r="BFB58" s="120"/>
      <c r="BFC58" s="120"/>
      <c r="BFD58" s="467"/>
      <c r="BFE58" s="440"/>
      <c r="BGA58" s="436"/>
      <c r="BGB58" s="120"/>
      <c r="BGC58" s="120"/>
      <c r="BGD58" s="467"/>
      <c r="BGE58" s="440"/>
      <c r="BHA58" s="436"/>
      <c r="BHB58" s="120"/>
      <c r="BHC58" s="120"/>
      <c r="BHD58" s="467"/>
      <c r="BHE58" s="440"/>
      <c r="BIA58" s="436"/>
      <c r="BIB58" s="120"/>
      <c r="BIC58" s="120"/>
      <c r="BID58" s="467"/>
      <c r="BIE58" s="440"/>
      <c r="BJA58" s="436"/>
      <c r="BJB58" s="120"/>
      <c r="BJC58" s="120"/>
      <c r="BJD58" s="467"/>
      <c r="BJE58" s="440"/>
      <c r="BKA58" s="436"/>
      <c r="BKB58" s="120"/>
      <c r="BKC58" s="120"/>
      <c r="BKD58" s="467"/>
      <c r="BKE58" s="440"/>
      <c r="BLA58" s="436"/>
      <c r="BLB58" s="120"/>
      <c r="BLC58" s="120"/>
      <c r="BLD58" s="467"/>
      <c r="BLE58" s="440"/>
      <c r="BMA58" s="436"/>
      <c r="BMB58" s="120"/>
      <c r="BMC58" s="120"/>
      <c r="BMD58" s="467"/>
      <c r="BME58" s="440"/>
      <c r="BNA58" s="436"/>
      <c r="BNB58" s="120"/>
      <c r="BNC58" s="120"/>
      <c r="BND58" s="467"/>
      <c r="BNE58" s="440"/>
      <c r="BOA58" s="436"/>
      <c r="BOB58" s="120"/>
      <c r="BOC58" s="120"/>
      <c r="BOD58" s="467"/>
      <c r="BOE58" s="440"/>
      <c r="BPA58" s="436"/>
      <c r="BPB58" s="120"/>
      <c r="BPC58" s="120"/>
      <c r="BPD58" s="467"/>
      <c r="BPE58" s="440"/>
      <c r="BQA58" s="436"/>
      <c r="BQB58" s="120"/>
      <c r="BQC58" s="120"/>
      <c r="BQD58" s="467"/>
      <c r="BQE58" s="440"/>
      <c r="BRA58" s="436"/>
      <c r="BRB58" s="120"/>
      <c r="BRC58" s="120"/>
      <c r="BRD58" s="467"/>
      <c r="BRE58" s="440"/>
    </row>
    <row r="59" spans="1:1019 1041:1825">
      <c r="B59" s="114" t="s">
        <v>1758</v>
      </c>
      <c r="AA59" s="436"/>
      <c r="AB59" s="120"/>
      <c r="AC59" s="120"/>
      <c r="AD59" s="467"/>
      <c r="AE59" s="440"/>
      <c r="BA59" s="436"/>
      <c r="BB59" s="120"/>
      <c r="BC59" s="120"/>
      <c r="BD59" s="467"/>
      <c r="BE59" s="440"/>
      <c r="CA59" s="436"/>
      <c r="CB59" s="120"/>
      <c r="CC59" s="120"/>
      <c r="CD59" s="467"/>
      <c r="CE59" s="440"/>
      <c r="DA59" s="436"/>
      <c r="DB59" s="120"/>
      <c r="DC59" s="120"/>
      <c r="DD59" s="467"/>
      <c r="DE59" s="440"/>
      <c r="EA59" s="436"/>
      <c r="EB59" s="120"/>
      <c r="EC59" s="120"/>
      <c r="ED59" s="467"/>
      <c r="EE59" s="440"/>
      <c r="FA59" s="436"/>
      <c r="FB59" s="120"/>
      <c r="FC59" s="120"/>
      <c r="FD59" s="467"/>
      <c r="FE59" s="440"/>
      <c r="GA59" s="436"/>
      <c r="GB59" s="120"/>
      <c r="GC59" s="120"/>
      <c r="GD59" s="467"/>
      <c r="GE59" s="440"/>
      <c r="HA59" s="436"/>
      <c r="HB59" s="120"/>
      <c r="HC59" s="120"/>
      <c r="HD59" s="467"/>
      <c r="HE59" s="440"/>
      <c r="IA59" s="436"/>
      <c r="IB59" s="120"/>
      <c r="IC59" s="120"/>
      <c r="ID59" s="467"/>
      <c r="IE59" s="440"/>
      <c r="JA59" s="436"/>
      <c r="JB59" s="120"/>
      <c r="JC59" s="120"/>
      <c r="JD59" s="467"/>
      <c r="JE59" s="440"/>
      <c r="KA59" s="436"/>
      <c r="KB59" s="120"/>
      <c r="KC59" s="120"/>
      <c r="KD59" s="467"/>
      <c r="KE59" s="440"/>
      <c r="LA59" s="436"/>
      <c r="LB59" s="120"/>
      <c r="LC59" s="120"/>
      <c r="LD59" s="467"/>
      <c r="LE59" s="440"/>
      <c r="MA59" s="436"/>
      <c r="MB59" s="120"/>
      <c r="MC59" s="120"/>
      <c r="MD59" s="467"/>
      <c r="ME59" s="440"/>
      <c r="NA59" s="436"/>
      <c r="NB59" s="120"/>
      <c r="NC59" s="120"/>
      <c r="ND59" s="467"/>
      <c r="NE59" s="440"/>
      <c r="OA59" s="436"/>
      <c r="OB59" s="120"/>
      <c r="OC59" s="120"/>
      <c r="OD59" s="467"/>
      <c r="OE59" s="440"/>
      <c r="PA59" s="436"/>
      <c r="PB59" s="120"/>
      <c r="PC59" s="120"/>
      <c r="PD59" s="467"/>
      <c r="PE59" s="440"/>
      <c r="QA59" s="436"/>
      <c r="QB59" s="120"/>
      <c r="QC59" s="120"/>
      <c r="QD59" s="467"/>
      <c r="QE59" s="440"/>
      <c r="RA59" s="436"/>
      <c r="RB59" s="120"/>
      <c r="RC59" s="120"/>
      <c r="RD59" s="467"/>
      <c r="RE59" s="440"/>
      <c r="SA59" s="436"/>
      <c r="SB59" s="120"/>
      <c r="SC59" s="120"/>
      <c r="SD59" s="467"/>
      <c r="SE59" s="440"/>
      <c r="TA59" s="436"/>
      <c r="TB59" s="120"/>
      <c r="TC59" s="120"/>
      <c r="TD59" s="467"/>
      <c r="TE59" s="440"/>
      <c r="UA59" s="436"/>
      <c r="UB59" s="120"/>
      <c r="UC59" s="120"/>
      <c r="UD59" s="467"/>
      <c r="UE59" s="440"/>
      <c r="VA59" s="436"/>
      <c r="VB59" s="120"/>
      <c r="VC59" s="120"/>
      <c r="VD59" s="467"/>
      <c r="VE59" s="440"/>
      <c r="WA59" s="436"/>
      <c r="WB59" s="120"/>
      <c r="WC59" s="120"/>
      <c r="WD59" s="467"/>
      <c r="WE59" s="440"/>
      <c r="XA59" s="436"/>
      <c r="XB59" s="120"/>
      <c r="XC59" s="120"/>
      <c r="XD59" s="467"/>
      <c r="XE59" s="440"/>
      <c r="YA59" s="436"/>
      <c r="YB59" s="120"/>
      <c r="YC59" s="120"/>
      <c r="YD59" s="467"/>
      <c r="YE59" s="440"/>
      <c r="ZA59" s="436"/>
      <c r="ZB59" s="120"/>
      <c r="ZC59" s="120"/>
      <c r="ZD59" s="467"/>
      <c r="ZE59" s="440"/>
      <c r="AAA59" s="436"/>
      <c r="AAB59" s="120"/>
      <c r="AAC59" s="120"/>
      <c r="AAD59" s="467"/>
      <c r="AAE59" s="440"/>
      <c r="ABA59" s="436"/>
      <c r="ABB59" s="120"/>
      <c r="ABC59" s="120"/>
      <c r="ABD59" s="467"/>
      <c r="ABE59" s="440"/>
      <c r="ACA59" s="436"/>
      <c r="ACB59" s="120"/>
      <c r="ACC59" s="120"/>
      <c r="ACD59" s="467"/>
      <c r="ACE59" s="440"/>
      <c r="ADA59" s="436"/>
      <c r="ADB59" s="120"/>
      <c r="ADC59" s="120"/>
      <c r="ADD59" s="467"/>
      <c r="ADE59" s="440"/>
      <c r="AEA59" s="436"/>
      <c r="AEB59" s="120"/>
      <c r="AEC59" s="120"/>
      <c r="AED59" s="467"/>
      <c r="AEE59" s="440"/>
      <c r="AFA59" s="436"/>
      <c r="AFB59" s="120"/>
      <c r="AFC59" s="120"/>
      <c r="AFD59" s="467"/>
      <c r="AFE59" s="440"/>
      <c r="AGA59" s="436"/>
      <c r="AGB59" s="120"/>
      <c r="AGC59" s="120"/>
      <c r="AGD59" s="467"/>
      <c r="AGE59" s="440"/>
      <c r="AHA59" s="436"/>
      <c r="AHB59" s="120"/>
      <c r="AHC59" s="120"/>
      <c r="AHD59" s="467"/>
      <c r="AHE59" s="440"/>
      <c r="AIA59" s="436"/>
      <c r="AIB59" s="120"/>
      <c r="AIC59" s="120"/>
      <c r="AID59" s="467"/>
      <c r="AIE59" s="440"/>
      <c r="AJA59" s="436"/>
      <c r="AJB59" s="120"/>
      <c r="AJC59" s="120"/>
      <c r="AJD59" s="467"/>
      <c r="AJE59" s="440"/>
      <c r="AKA59" s="436"/>
      <c r="AKB59" s="120"/>
      <c r="AKC59" s="120"/>
      <c r="AKD59" s="467"/>
      <c r="AKE59" s="440"/>
      <c r="ALA59" s="436"/>
      <c r="ALB59" s="120"/>
      <c r="ALC59" s="120"/>
      <c r="ALD59" s="467"/>
      <c r="ALE59" s="440"/>
      <c r="AMA59" s="436"/>
      <c r="AMB59" s="120"/>
      <c r="AMC59" s="120"/>
      <c r="AMD59" s="467"/>
      <c r="AME59" s="440"/>
      <c r="ANA59" s="436"/>
      <c r="ANB59" s="120"/>
      <c r="ANC59" s="120"/>
      <c r="AND59" s="467"/>
      <c r="ANE59" s="440"/>
      <c r="AOA59" s="436"/>
      <c r="AOB59" s="120"/>
      <c r="AOC59" s="120"/>
      <c r="AOD59" s="467"/>
      <c r="AOE59" s="440"/>
      <c r="APA59" s="436"/>
      <c r="APB59" s="120"/>
      <c r="APC59" s="120"/>
      <c r="APD59" s="467"/>
      <c r="APE59" s="440"/>
      <c r="AQA59" s="436"/>
      <c r="AQB59" s="120"/>
      <c r="AQC59" s="120"/>
      <c r="AQD59" s="467"/>
      <c r="AQE59" s="440"/>
      <c r="ARA59" s="436"/>
      <c r="ARB59" s="120"/>
      <c r="ARC59" s="120"/>
      <c r="ARD59" s="467"/>
      <c r="ARE59" s="440"/>
      <c r="ASA59" s="436"/>
      <c r="ASB59" s="120"/>
      <c r="ASC59" s="120"/>
      <c r="ASD59" s="467"/>
      <c r="ASE59" s="440"/>
      <c r="ATA59" s="436"/>
      <c r="ATB59" s="120"/>
      <c r="ATC59" s="120"/>
      <c r="ATD59" s="467"/>
      <c r="ATE59" s="440"/>
      <c r="AUA59" s="436"/>
      <c r="AUB59" s="120"/>
      <c r="AUC59" s="120"/>
      <c r="AUD59" s="467"/>
      <c r="AUE59" s="440"/>
      <c r="AVA59" s="436"/>
      <c r="AVB59" s="120"/>
      <c r="AVC59" s="120"/>
      <c r="AVD59" s="467"/>
      <c r="AVE59" s="440"/>
      <c r="AWA59" s="436"/>
      <c r="AWB59" s="120"/>
      <c r="AWC59" s="120"/>
      <c r="AWD59" s="467"/>
      <c r="AWE59" s="440"/>
      <c r="AXA59" s="436"/>
      <c r="AXB59" s="120"/>
      <c r="AXC59" s="120"/>
      <c r="AXD59" s="467"/>
      <c r="AXE59" s="440"/>
      <c r="AYA59" s="436"/>
      <c r="AYB59" s="120"/>
      <c r="AYC59" s="120"/>
      <c r="AYD59" s="467"/>
      <c r="AYE59" s="440"/>
      <c r="AZA59" s="436"/>
      <c r="AZB59" s="120"/>
      <c r="AZC59" s="120"/>
      <c r="AZD59" s="467"/>
      <c r="AZE59" s="440"/>
      <c r="BAA59" s="436"/>
      <c r="BAB59" s="120"/>
      <c r="BAC59" s="120"/>
      <c r="BAD59" s="467"/>
      <c r="BAE59" s="440"/>
      <c r="BBA59" s="436"/>
      <c r="BBB59" s="120"/>
      <c r="BBC59" s="120"/>
      <c r="BBD59" s="467"/>
      <c r="BBE59" s="440"/>
      <c r="BCA59" s="436"/>
      <c r="BCB59" s="120"/>
      <c r="BCC59" s="120"/>
      <c r="BCD59" s="467"/>
      <c r="BCE59" s="440"/>
      <c r="BDA59" s="436"/>
      <c r="BDB59" s="120"/>
      <c r="BDC59" s="120"/>
      <c r="BDD59" s="467"/>
      <c r="BDE59" s="440"/>
      <c r="BEA59" s="436"/>
      <c r="BEB59" s="120"/>
      <c r="BEC59" s="120"/>
      <c r="BED59" s="467"/>
      <c r="BEE59" s="440"/>
      <c r="BFA59" s="436"/>
      <c r="BFB59" s="120"/>
      <c r="BFC59" s="120"/>
      <c r="BFD59" s="467"/>
      <c r="BFE59" s="440"/>
      <c r="BGA59" s="436"/>
      <c r="BGB59" s="120"/>
      <c r="BGC59" s="120"/>
      <c r="BGD59" s="467"/>
      <c r="BGE59" s="440"/>
      <c r="BHA59" s="436"/>
      <c r="BHB59" s="120"/>
      <c r="BHC59" s="120"/>
      <c r="BHD59" s="467"/>
      <c r="BHE59" s="440"/>
      <c r="BIA59" s="436"/>
      <c r="BIB59" s="120"/>
      <c r="BIC59" s="120"/>
      <c r="BID59" s="467"/>
      <c r="BIE59" s="440"/>
      <c r="BJA59" s="436"/>
      <c r="BJB59" s="120"/>
      <c r="BJC59" s="120"/>
      <c r="BJD59" s="467"/>
      <c r="BJE59" s="440"/>
      <c r="BKA59" s="436"/>
      <c r="BKB59" s="120"/>
      <c r="BKC59" s="120"/>
      <c r="BKD59" s="467"/>
      <c r="BKE59" s="440"/>
      <c r="BLA59" s="436"/>
      <c r="BLB59" s="120"/>
      <c r="BLC59" s="120"/>
      <c r="BLD59" s="467"/>
      <c r="BLE59" s="440"/>
      <c r="BMA59" s="436"/>
      <c r="BMB59" s="120"/>
      <c r="BMC59" s="120"/>
      <c r="BMD59" s="467"/>
      <c r="BME59" s="440"/>
      <c r="BNA59" s="436"/>
      <c r="BNB59" s="120"/>
      <c r="BNC59" s="120"/>
      <c r="BND59" s="467"/>
      <c r="BNE59" s="440"/>
      <c r="BOA59" s="436"/>
      <c r="BOB59" s="120"/>
      <c r="BOC59" s="120"/>
      <c r="BOD59" s="467"/>
      <c r="BOE59" s="440"/>
      <c r="BPA59" s="436"/>
      <c r="BPB59" s="120"/>
      <c r="BPC59" s="120"/>
      <c r="BPD59" s="467"/>
      <c r="BPE59" s="440"/>
      <c r="BQA59" s="436"/>
      <c r="BQB59" s="120"/>
      <c r="BQC59" s="120"/>
      <c r="BQD59" s="467"/>
      <c r="BQE59" s="440"/>
      <c r="BRA59" s="436"/>
      <c r="BRB59" s="120"/>
      <c r="BRC59" s="120"/>
      <c r="BRD59" s="467"/>
      <c r="BRE59" s="440"/>
    </row>
    <row r="60" spans="1:1019 1041:1825">
      <c r="B60" s="114" t="s">
        <v>654</v>
      </c>
      <c r="AA60" s="436"/>
      <c r="AB60" s="120"/>
      <c r="AC60" s="120"/>
      <c r="AD60" s="467"/>
      <c r="AE60" s="440"/>
      <c r="BA60" s="436"/>
      <c r="BB60" s="120"/>
      <c r="BC60" s="120"/>
      <c r="BD60" s="467"/>
      <c r="BE60" s="440"/>
      <c r="CA60" s="436"/>
      <c r="CB60" s="120"/>
      <c r="CC60" s="120"/>
      <c r="CD60" s="467"/>
      <c r="CE60" s="440"/>
      <c r="DA60" s="436"/>
      <c r="DB60" s="120"/>
      <c r="DC60" s="120"/>
      <c r="DD60" s="467"/>
      <c r="DE60" s="440"/>
      <c r="EA60" s="436"/>
      <c r="EB60" s="120"/>
      <c r="EC60" s="120"/>
      <c r="ED60" s="467"/>
      <c r="EE60" s="440"/>
      <c r="FA60" s="436"/>
      <c r="FB60" s="120"/>
      <c r="FC60" s="120"/>
      <c r="FD60" s="467"/>
      <c r="FE60" s="440"/>
      <c r="GA60" s="436"/>
      <c r="GB60" s="120"/>
      <c r="GC60" s="120"/>
      <c r="GD60" s="467"/>
      <c r="GE60" s="440"/>
      <c r="HA60" s="436"/>
      <c r="HB60" s="120"/>
      <c r="HC60" s="120"/>
      <c r="HD60" s="467"/>
      <c r="HE60" s="440"/>
      <c r="IA60" s="436"/>
      <c r="IB60" s="120"/>
      <c r="IC60" s="120"/>
      <c r="ID60" s="467"/>
      <c r="IE60" s="440"/>
      <c r="JA60" s="436"/>
      <c r="JB60" s="120"/>
      <c r="JC60" s="120"/>
      <c r="JD60" s="467"/>
      <c r="JE60" s="440"/>
      <c r="KA60" s="436"/>
      <c r="KB60" s="120"/>
      <c r="KC60" s="120"/>
      <c r="KD60" s="467"/>
      <c r="KE60" s="440"/>
      <c r="LA60" s="436"/>
      <c r="LB60" s="120"/>
      <c r="LC60" s="120"/>
      <c r="LD60" s="467"/>
      <c r="LE60" s="440"/>
      <c r="MA60" s="436"/>
      <c r="MB60" s="120"/>
      <c r="MC60" s="120"/>
      <c r="MD60" s="467"/>
      <c r="ME60" s="440"/>
      <c r="NA60" s="436"/>
      <c r="NB60" s="120"/>
      <c r="NC60" s="120"/>
      <c r="ND60" s="467"/>
      <c r="NE60" s="440"/>
      <c r="OA60" s="436"/>
      <c r="OB60" s="120"/>
      <c r="OC60" s="120"/>
      <c r="OD60" s="467"/>
      <c r="OE60" s="440"/>
      <c r="PA60" s="436"/>
      <c r="PB60" s="120"/>
      <c r="PC60" s="120"/>
      <c r="PD60" s="467"/>
      <c r="PE60" s="440"/>
      <c r="QA60" s="436"/>
      <c r="QB60" s="120"/>
      <c r="QC60" s="120"/>
      <c r="QD60" s="467"/>
      <c r="QE60" s="440"/>
      <c r="RA60" s="436"/>
      <c r="RB60" s="120"/>
      <c r="RC60" s="120"/>
      <c r="RD60" s="467"/>
      <c r="RE60" s="440"/>
      <c r="SA60" s="436"/>
      <c r="SB60" s="120"/>
      <c r="SC60" s="120"/>
      <c r="SD60" s="467"/>
      <c r="SE60" s="440"/>
      <c r="TA60" s="436"/>
      <c r="TB60" s="120"/>
      <c r="TC60" s="120"/>
      <c r="TD60" s="467"/>
      <c r="TE60" s="440"/>
      <c r="UA60" s="436"/>
      <c r="UB60" s="120"/>
      <c r="UC60" s="120"/>
      <c r="UD60" s="467"/>
      <c r="UE60" s="440"/>
      <c r="VA60" s="436"/>
      <c r="VB60" s="120"/>
      <c r="VC60" s="120"/>
      <c r="VD60" s="467"/>
      <c r="VE60" s="440"/>
      <c r="WA60" s="436"/>
      <c r="WB60" s="120"/>
      <c r="WC60" s="120"/>
      <c r="WD60" s="467"/>
      <c r="WE60" s="440"/>
      <c r="XA60" s="436"/>
      <c r="XB60" s="120"/>
      <c r="XC60" s="120"/>
      <c r="XD60" s="467"/>
      <c r="XE60" s="440"/>
      <c r="YA60" s="436"/>
      <c r="YB60" s="120"/>
      <c r="YC60" s="120"/>
      <c r="YD60" s="467"/>
      <c r="YE60" s="440"/>
      <c r="ZA60" s="436"/>
      <c r="ZB60" s="120"/>
      <c r="ZC60" s="120"/>
      <c r="ZD60" s="467"/>
      <c r="ZE60" s="440"/>
      <c r="AAA60" s="436"/>
      <c r="AAB60" s="120"/>
      <c r="AAC60" s="120"/>
      <c r="AAD60" s="467"/>
      <c r="AAE60" s="440"/>
      <c r="ABA60" s="436"/>
      <c r="ABB60" s="120"/>
      <c r="ABC60" s="120"/>
      <c r="ABD60" s="467"/>
      <c r="ABE60" s="440"/>
      <c r="ACA60" s="436"/>
      <c r="ACB60" s="120"/>
      <c r="ACC60" s="120"/>
      <c r="ACD60" s="467"/>
      <c r="ACE60" s="440"/>
      <c r="ADA60" s="436"/>
      <c r="ADB60" s="120"/>
      <c r="ADC60" s="120"/>
      <c r="ADD60" s="467"/>
      <c r="ADE60" s="440"/>
      <c r="AEA60" s="436"/>
      <c r="AEB60" s="120"/>
      <c r="AEC60" s="120"/>
      <c r="AED60" s="467"/>
      <c r="AEE60" s="440"/>
      <c r="AFA60" s="436"/>
      <c r="AFB60" s="120"/>
      <c r="AFC60" s="120"/>
      <c r="AFD60" s="467"/>
      <c r="AFE60" s="440"/>
      <c r="AGA60" s="436"/>
      <c r="AGB60" s="120"/>
      <c r="AGC60" s="120"/>
      <c r="AGD60" s="467"/>
      <c r="AGE60" s="440"/>
      <c r="AHA60" s="436"/>
      <c r="AHB60" s="120"/>
      <c r="AHC60" s="120"/>
      <c r="AHD60" s="467"/>
      <c r="AHE60" s="440"/>
      <c r="AIA60" s="436"/>
      <c r="AIB60" s="120"/>
      <c r="AIC60" s="120"/>
      <c r="AID60" s="467"/>
      <c r="AIE60" s="440"/>
      <c r="AJA60" s="436"/>
      <c r="AJB60" s="120"/>
      <c r="AJC60" s="120"/>
      <c r="AJD60" s="467"/>
      <c r="AJE60" s="440"/>
      <c r="AKA60" s="436"/>
      <c r="AKB60" s="120"/>
      <c r="AKC60" s="120"/>
      <c r="AKD60" s="467"/>
      <c r="AKE60" s="440"/>
      <c r="ALA60" s="436"/>
      <c r="ALB60" s="120"/>
      <c r="ALC60" s="120"/>
      <c r="ALD60" s="467"/>
      <c r="ALE60" s="440"/>
      <c r="AMA60" s="436"/>
      <c r="AMB60" s="120"/>
      <c r="AMC60" s="120"/>
      <c r="AMD60" s="467"/>
      <c r="AME60" s="440"/>
      <c r="ANA60" s="436"/>
      <c r="ANB60" s="120"/>
      <c r="ANC60" s="120"/>
      <c r="AND60" s="467"/>
      <c r="ANE60" s="440"/>
      <c r="AOA60" s="436"/>
      <c r="AOB60" s="120"/>
      <c r="AOC60" s="120"/>
      <c r="AOD60" s="467"/>
      <c r="AOE60" s="440"/>
      <c r="APA60" s="436"/>
      <c r="APB60" s="120"/>
      <c r="APC60" s="120"/>
      <c r="APD60" s="467"/>
      <c r="APE60" s="440"/>
      <c r="AQA60" s="436"/>
      <c r="AQB60" s="120"/>
      <c r="AQC60" s="120"/>
      <c r="AQD60" s="467"/>
      <c r="AQE60" s="440"/>
      <c r="ARA60" s="436"/>
      <c r="ARB60" s="120"/>
      <c r="ARC60" s="120"/>
      <c r="ARD60" s="467"/>
      <c r="ARE60" s="440"/>
      <c r="ASA60" s="436"/>
      <c r="ASB60" s="120"/>
      <c r="ASC60" s="120"/>
      <c r="ASD60" s="467"/>
      <c r="ASE60" s="440"/>
      <c r="ATA60" s="436"/>
      <c r="ATB60" s="120"/>
      <c r="ATC60" s="120"/>
      <c r="ATD60" s="467"/>
      <c r="ATE60" s="440"/>
      <c r="AUA60" s="436"/>
      <c r="AUB60" s="120"/>
      <c r="AUC60" s="120"/>
      <c r="AUD60" s="467"/>
      <c r="AUE60" s="440"/>
      <c r="AVA60" s="436"/>
      <c r="AVB60" s="120"/>
      <c r="AVC60" s="120"/>
      <c r="AVD60" s="467"/>
      <c r="AVE60" s="440"/>
      <c r="AWA60" s="436"/>
      <c r="AWB60" s="120"/>
      <c r="AWC60" s="120"/>
      <c r="AWD60" s="467"/>
      <c r="AWE60" s="440"/>
      <c r="AXA60" s="436"/>
      <c r="AXB60" s="120"/>
      <c r="AXC60" s="120"/>
      <c r="AXD60" s="467"/>
      <c r="AXE60" s="440"/>
      <c r="AYA60" s="436"/>
      <c r="AYB60" s="120"/>
      <c r="AYC60" s="120"/>
      <c r="AYD60" s="467"/>
      <c r="AYE60" s="440"/>
      <c r="AZA60" s="436"/>
      <c r="AZB60" s="120"/>
      <c r="AZC60" s="120"/>
      <c r="AZD60" s="467"/>
      <c r="AZE60" s="440"/>
      <c r="BAA60" s="436"/>
      <c r="BAB60" s="120"/>
      <c r="BAC60" s="120"/>
      <c r="BAD60" s="467"/>
      <c r="BAE60" s="440"/>
      <c r="BBA60" s="436"/>
      <c r="BBB60" s="120"/>
      <c r="BBC60" s="120"/>
      <c r="BBD60" s="467"/>
      <c r="BBE60" s="440"/>
      <c r="BCA60" s="436"/>
      <c r="BCB60" s="120"/>
      <c r="BCC60" s="120"/>
      <c r="BCD60" s="467"/>
      <c r="BCE60" s="440"/>
      <c r="BDA60" s="436"/>
      <c r="BDB60" s="120"/>
      <c r="BDC60" s="120"/>
      <c r="BDD60" s="467"/>
      <c r="BDE60" s="440"/>
      <c r="BEA60" s="436"/>
      <c r="BEB60" s="120"/>
      <c r="BEC60" s="120"/>
      <c r="BED60" s="467"/>
      <c r="BEE60" s="440"/>
      <c r="BFA60" s="436"/>
      <c r="BFB60" s="120"/>
      <c r="BFC60" s="120"/>
      <c r="BFD60" s="467"/>
      <c r="BFE60" s="440"/>
      <c r="BGA60" s="436"/>
      <c r="BGB60" s="120"/>
      <c r="BGC60" s="120"/>
      <c r="BGD60" s="467"/>
      <c r="BGE60" s="440"/>
      <c r="BHA60" s="436"/>
      <c r="BHB60" s="120"/>
      <c r="BHC60" s="120"/>
      <c r="BHD60" s="467"/>
      <c r="BHE60" s="440"/>
      <c r="BIA60" s="436"/>
      <c r="BIB60" s="120"/>
      <c r="BIC60" s="120"/>
      <c r="BID60" s="467"/>
      <c r="BIE60" s="440"/>
      <c r="BJA60" s="436"/>
      <c r="BJB60" s="120"/>
      <c r="BJC60" s="120"/>
      <c r="BJD60" s="467"/>
      <c r="BJE60" s="440"/>
      <c r="BKA60" s="436"/>
      <c r="BKB60" s="120"/>
      <c r="BKC60" s="120"/>
      <c r="BKD60" s="467"/>
      <c r="BKE60" s="440"/>
      <c r="BLA60" s="436"/>
      <c r="BLB60" s="120"/>
      <c r="BLC60" s="120"/>
      <c r="BLD60" s="467"/>
      <c r="BLE60" s="440"/>
      <c r="BMA60" s="436"/>
      <c r="BMB60" s="120"/>
      <c r="BMC60" s="120"/>
      <c r="BMD60" s="467"/>
      <c r="BME60" s="440"/>
      <c r="BNA60" s="436"/>
      <c r="BNB60" s="120"/>
      <c r="BNC60" s="120"/>
      <c r="BND60" s="467"/>
      <c r="BNE60" s="440"/>
      <c r="BOA60" s="436"/>
      <c r="BOB60" s="120"/>
      <c r="BOC60" s="120"/>
      <c r="BOD60" s="467"/>
      <c r="BOE60" s="440"/>
      <c r="BPA60" s="436"/>
      <c r="BPB60" s="120"/>
      <c r="BPC60" s="120"/>
      <c r="BPD60" s="467"/>
      <c r="BPE60" s="440"/>
      <c r="BQA60" s="436"/>
      <c r="BQB60" s="120"/>
      <c r="BQC60" s="120"/>
      <c r="BQD60" s="467"/>
      <c r="BQE60" s="440"/>
      <c r="BRA60" s="436"/>
      <c r="BRB60" s="120"/>
      <c r="BRC60" s="120"/>
      <c r="BRD60" s="467"/>
      <c r="BRE60" s="440"/>
    </row>
    <row r="61" spans="1:1019 1041:1825">
      <c r="B61" s="114" t="s">
        <v>655</v>
      </c>
      <c r="AA61" s="436"/>
      <c r="AB61" s="120"/>
      <c r="AC61" s="120"/>
      <c r="AD61" s="467"/>
      <c r="AE61" s="440"/>
      <c r="BA61" s="436"/>
      <c r="BB61" s="120"/>
      <c r="BC61" s="120"/>
      <c r="BD61" s="467"/>
      <c r="BE61" s="440"/>
      <c r="CA61" s="436"/>
      <c r="CB61" s="120"/>
      <c r="CC61" s="120"/>
      <c r="CD61" s="467"/>
      <c r="CE61" s="440"/>
      <c r="DA61" s="436"/>
      <c r="DB61" s="120"/>
      <c r="DC61" s="120"/>
      <c r="DD61" s="467"/>
      <c r="DE61" s="440"/>
      <c r="EA61" s="436"/>
      <c r="EB61" s="120"/>
      <c r="EC61" s="120"/>
      <c r="ED61" s="467"/>
      <c r="EE61" s="440"/>
      <c r="FA61" s="436"/>
      <c r="FB61" s="120"/>
      <c r="FC61" s="120"/>
      <c r="FD61" s="467"/>
      <c r="FE61" s="440"/>
      <c r="GA61" s="436"/>
      <c r="GB61" s="120"/>
      <c r="GC61" s="120"/>
      <c r="GD61" s="467"/>
      <c r="GE61" s="440"/>
      <c r="HA61" s="436"/>
      <c r="HB61" s="120"/>
      <c r="HC61" s="120"/>
      <c r="HD61" s="467"/>
      <c r="HE61" s="440"/>
      <c r="IA61" s="436"/>
      <c r="IB61" s="120"/>
      <c r="IC61" s="120"/>
      <c r="ID61" s="467"/>
      <c r="IE61" s="440"/>
      <c r="JA61" s="436"/>
      <c r="JB61" s="120"/>
      <c r="JC61" s="120"/>
      <c r="JD61" s="467"/>
      <c r="JE61" s="440"/>
      <c r="KA61" s="436"/>
      <c r="KB61" s="120"/>
      <c r="KC61" s="120"/>
      <c r="KD61" s="467"/>
      <c r="KE61" s="440"/>
      <c r="LA61" s="436"/>
      <c r="LB61" s="120"/>
      <c r="LC61" s="120"/>
      <c r="LD61" s="467"/>
      <c r="LE61" s="440"/>
      <c r="MA61" s="436"/>
      <c r="MB61" s="120"/>
      <c r="MC61" s="120"/>
      <c r="MD61" s="467"/>
      <c r="ME61" s="440"/>
      <c r="NA61" s="436"/>
      <c r="NB61" s="120"/>
      <c r="NC61" s="120"/>
      <c r="ND61" s="467"/>
      <c r="NE61" s="440"/>
      <c r="OA61" s="436"/>
      <c r="OB61" s="120"/>
      <c r="OC61" s="120"/>
      <c r="OD61" s="467"/>
      <c r="OE61" s="440"/>
      <c r="PA61" s="436"/>
      <c r="PB61" s="120"/>
      <c r="PC61" s="120"/>
      <c r="PD61" s="467"/>
      <c r="PE61" s="440"/>
      <c r="QA61" s="436"/>
      <c r="QB61" s="120"/>
      <c r="QC61" s="120"/>
      <c r="QD61" s="467"/>
      <c r="QE61" s="440"/>
      <c r="RA61" s="436"/>
      <c r="RB61" s="120"/>
      <c r="RC61" s="120"/>
      <c r="RD61" s="467"/>
      <c r="RE61" s="440"/>
      <c r="SA61" s="436"/>
      <c r="SB61" s="120"/>
      <c r="SC61" s="120"/>
      <c r="SD61" s="467"/>
      <c r="SE61" s="440"/>
      <c r="TA61" s="436"/>
      <c r="TB61" s="120"/>
      <c r="TC61" s="120"/>
      <c r="TD61" s="467"/>
      <c r="TE61" s="440"/>
      <c r="UA61" s="436"/>
      <c r="UB61" s="120"/>
      <c r="UC61" s="120"/>
      <c r="UD61" s="467"/>
      <c r="UE61" s="440"/>
      <c r="VA61" s="436"/>
      <c r="VB61" s="120"/>
      <c r="VC61" s="120"/>
      <c r="VD61" s="467"/>
      <c r="VE61" s="440"/>
      <c r="WA61" s="436"/>
      <c r="WB61" s="120"/>
      <c r="WC61" s="120"/>
      <c r="WD61" s="467"/>
      <c r="WE61" s="440"/>
      <c r="XA61" s="436"/>
      <c r="XB61" s="120"/>
      <c r="XC61" s="120"/>
      <c r="XD61" s="467"/>
      <c r="XE61" s="440"/>
      <c r="YA61" s="436"/>
      <c r="YB61" s="120"/>
      <c r="YC61" s="120"/>
      <c r="YD61" s="467"/>
      <c r="YE61" s="440"/>
      <c r="ZA61" s="436"/>
      <c r="ZB61" s="120"/>
      <c r="ZC61" s="120"/>
      <c r="ZD61" s="467"/>
      <c r="ZE61" s="440"/>
      <c r="AAA61" s="436"/>
      <c r="AAB61" s="120"/>
      <c r="AAC61" s="120"/>
      <c r="AAD61" s="467"/>
      <c r="AAE61" s="440"/>
      <c r="ABA61" s="436"/>
      <c r="ABB61" s="120"/>
      <c r="ABC61" s="120"/>
      <c r="ABD61" s="467"/>
      <c r="ABE61" s="440"/>
      <c r="ACA61" s="436"/>
      <c r="ACB61" s="120"/>
      <c r="ACC61" s="120"/>
      <c r="ACD61" s="467"/>
      <c r="ACE61" s="440"/>
      <c r="ADA61" s="436"/>
      <c r="ADB61" s="120"/>
      <c r="ADC61" s="120"/>
      <c r="ADD61" s="467"/>
      <c r="ADE61" s="440"/>
      <c r="AEA61" s="436"/>
      <c r="AEB61" s="120"/>
      <c r="AEC61" s="120"/>
      <c r="AED61" s="467"/>
      <c r="AEE61" s="440"/>
      <c r="AFA61" s="436"/>
      <c r="AFB61" s="120"/>
      <c r="AFC61" s="120"/>
      <c r="AFD61" s="467"/>
      <c r="AFE61" s="440"/>
      <c r="AGA61" s="436"/>
      <c r="AGB61" s="120"/>
      <c r="AGC61" s="120"/>
      <c r="AGD61" s="467"/>
      <c r="AGE61" s="440"/>
      <c r="AHA61" s="436"/>
      <c r="AHB61" s="120"/>
      <c r="AHC61" s="120"/>
      <c r="AHD61" s="467"/>
      <c r="AHE61" s="440"/>
      <c r="AIA61" s="436"/>
      <c r="AIB61" s="120"/>
      <c r="AIC61" s="120"/>
      <c r="AID61" s="467"/>
      <c r="AIE61" s="440"/>
      <c r="AJA61" s="436"/>
      <c r="AJB61" s="120"/>
      <c r="AJC61" s="120"/>
      <c r="AJD61" s="467"/>
      <c r="AJE61" s="440"/>
      <c r="AKA61" s="436"/>
      <c r="AKB61" s="120"/>
      <c r="AKC61" s="120"/>
      <c r="AKD61" s="467"/>
      <c r="AKE61" s="440"/>
      <c r="ALA61" s="436"/>
      <c r="ALB61" s="120"/>
      <c r="ALC61" s="120"/>
      <c r="ALD61" s="467"/>
      <c r="ALE61" s="440"/>
      <c r="AMA61" s="436"/>
      <c r="AMB61" s="120"/>
      <c r="AMC61" s="120"/>
      <c r="AMD61" s="467"/>
      <c r="AME61" s="440"/>
      <c r="ANA61" s="436"/>
      <c r="ANB61" s="120"/>
      <c r="ANC61" s="120"/>
      <c r="AND61" s="467"/>
      <c r="ANE61" s="440"/>
      <c r="AOA61" s="436"/>
      <c r="AOB61" s="120"/>
      <c r="AOC61" s="120"/>
      <c r="AOD61" s="467"/>
      <c r="AOE61" s="440"/>
      <c r="APA61" s="436"/>
      <c r="APB61" s="120"/>
      <c r="APC61" s="120"/>
      <c r="APD61" s="467"/>
      <c r="APE61" s="440"/>
      <c r="AQA61" s="436"/>
      <c r="AQB61" s="120"/>
      <c r="AQC61" s="120"/>
      <c r="AQD61" s="467"/>
      <c r="AQE61" s="440"/>
      <c r="ARA61" s="436"/>
      <c r="ARB61" s="120"/>
      <c r="ARC61" s="120"/>
      <c r="ARD61" s="467"/>
      <c r="ARE61" s="440"/>
      <c r="ASA61" s="436"/>
      <c r="ASB61" s="120"/>
      <c r="ASC61" s="120"/>
      <c r="ASD61" s="467"/>
      <c r="ASE61" s="440"/>
      <c r="ATA61" s="436"/>
      <c r="ATB61" s="120"/>
      <c r="ATC61" s="120"/>
      <c r="ATD61" s="467"/>
      <c r="ATE61" s="440"/>
      <c r="AUA61" s="436"/>
      <c r="AUB61" s="120"/>
      <c r="AUC61" s="120"/>
      <c r="AUD61" s="467"/>
      <c r="AUE61" s="440"/>
      <c r="AVA61" s="436"/>
      <c r="AVB61" s="120"/>
      <c r="AVC61" s="120"/>
      <c r="AVD61" s="467"/>
      <c r="AVE61" s="440"/>
      <c r="AWA61" s="436"/>
      <c r="AWB61" s="120"/>
      <c r="AWC61" s="120"/>
      <c r="AWD61" s="467"/>
      <c r="AWE61" s="440"/>
      <c r="AXA61" s="436"/>
      <c r="AXB61" s="120"/>
      <c r="AXC61" s="120"/>
      <c r="AXD61" s="467"/>
      <c r="AXE61" s="440"/>
      <c r="AYA61" s="436"/>
      <c r="AYB61" s="120"/>
      <c r="AYC61" s="120"/>
      <c r="AYD61" s="467"/>
      <c r="AYE61" s="440"/>
      <c r="AZA61" s="436"/>
      <c r="AZB61" s="120"/>
      <c r="AZC61" s="120"/>
      <c r="AZD61" s="467"/>
      <c r="AZE61" s="440"/>
      <c r="BAA61" s="436"/>
      <c r="BAB61" s="120"/>
      <c r="BAC61" s="120"/>
      <c r="BAD61" s="467"/>
      <c r="BAE61" s="440"/>
      <c r="BBA61" s="436"/>
      <c r="BBB61" s="120"/>
      <c r="BBC61" s="120"/>
      <c r="BBD61" s="467"/>
      <c r="BBE61" s="440"/>
      <c r="BCA61" s="436"/>
      <c r="BCB61" s="120"/>
      <c r="BCC61" s="120"/>
      <c r="BCD61" s="467"/>
      <c r="BCE61" s="440"/>
      <c r="BDA61" s="436"/>
      <c r="BDB61" s="120"/>
      <c r="BDC61" s="120"/>
      <c r="BDD61" s="467"/>
      <c r="BDE61" s="440"/>
      <c r="BEA61" s="436"/>
      <c r="BEB61" s="120"/>
      <c r="BEC61" s="120"/>
      <c r="BED61" s="467"/>
      <c r="BEE61" s="440"/>
      <c r="BFA61" s="436"/>
      <c r="BFB61" s="120"/>
      <c r="BFC61" s="120"/>
      <c r="BFD61" s="467"/>
      <c r="BFE61" s="440"/>
      <c r="BGA61" s="436"/>
      <c r="BGB61" s="120"/>
      <c r="BGC61" s="120"/>
      <c r="BGD61" s="467"/>
      <c r="BGE61" s="440"/>
      <c r="BHA61" s="436"/>
      <c r="BHB61" s="120"/>
      <c r="BHC61" s="120"/>
      <c r="BHD61" s="467"/>
      <c r="BHE61" s="440"/>
      <c r="BIA61" s="436"/>
      <c r="BIB61" s="120"/>
      <c r="BIC61" s="120"/>
      <c r="BID61" s="467"/>
      <c r="BIE61" s="440"/>
      <c r="BJA61" s="436"/>
      <c r="BJB61" s="120"/>
      <c r="BJC61" s="120"/>
      <c r="BJD61" s="467"/>
      <c r="BJE61" s="440"/>
      <c r="BKA61" s="436"/>
      <c r="BKB61" s="120"/>
      <c r="BKC61" s="120"/>
      <c r="BKD61" s="467"/>
      <c r="BKE61" s="440"/>
      <c r="BLA61" s="436"/>
      <c r="BLB61" s="120"/>
      <c r="BLC61" s="120"/>
      <c r="BLD61" s="467"/>
      <c r="BLE61" s="440"/>
      <c r="BMA61" s="436"/>
      <c r="BMB61" s="120"/>
      <c r="BMC61" s="120"/>
      <c r="BMD61" s="467"/>
      <c r="BME61" s="440"/>
      <c r="BNA61" s="436"/>
      <c r="BNB61" s="120"/>
      <c r="BNC61" s="120"/>
      <c r="BND61" s="467"/>
      <c r="BNE61" s="440"/>
      <c r="BOA61" s="436"/>
      <c r="BOB61" s="120"/>
      <c r="BOC61" s="120"/>
      <c r="BOD61" s="467"/>
      <c r="BOE61" s="440"/>
      <c r="BPA61" s="436"/>
      <c r="BPB61" s="120"/>
      <c r="BPC61" s="120"/>
      <c r="BPD61" s="467"/>
      <c r="BPE61" s="440"/>
      <c r="BQA61" s="436"/>
      <c r="BQB61" s="120"/>
      <c r="BQC61" s="120"/>
      <c r="BQD61" s="467"/>
      <c r="BQE61" s="440"/>
      <c r="BRA61" s="436"/>
      <c r="BRB61" s="120"/>
      <c r="BRC61" s="120"/>
      <c r="BRD61" s="467"/>
      <c r="BRE61" s="440"/>
    </row>
    <row r="62" spans="1:1019 1041:1825">
      <c r="B62" s="114" t="s">
        <v>34</v>
      </c>
      <c r="AA62" s="436"/>
      <c r="AB62" s="120"/>
      <c r="AC62" s="120"/>
      <c r="AD62" s="467"/>
      <c r="AE62" s="440"/>
      <c r="BA62" s="436"/>
      <c r="BB62" s="120"/>
      <c r="BC62" s="120"/>
      <c r="BD62" s="467"/>
      <c r="BE62" s="440"/>
      <c r="CA62" s="436"/>
      <c r="CB62" s="120"/>
      <c r="CC62" s="120"/>
      <c r="CD62" s="467"/>
      <c r="CE62" s="440"/>
      <c r="DA62" s="436"/>
      <c r="DB62" s="120"/>
      <c r="DC62" s="120"/>
      <c r="DD62" s="467"/>
      <c r="DE62" s="440"/>
      <c r="EA62" s="436"/>
      <c r="EB62" s="120"/>
      <c r="EC62" s="120"/>
      <c r="ED62" s="467"/>
      <c r="EE62" s="440"/>
      <c r="FA62" s="436"/>
      <c r="FB62" s="120"/>
      <c r="FC62" s="120"/>
      <c r="FD62" s="467"/>
      <c r="FE62" s="440"/>
      <c r="GA62" s="436"/>
      <c r="GB62" s="120"/>
      <c r="GC62" s="120"/>
      <c r="GD62" s="467"/>
      <c r="GE62" s="440"/>
      <c r="HA62" s="436"/>
      <c r="HB62" s="120"/>
      <c r="HC62" s="120"/>
      <c r="HD62" s="467"/>
      <c r="HE62" s="440"/>
      <c r="IA62" s="436"/>
      <c r="IB62" s="120"/>
      <c r="IC62" s="120"/>
      <c r="ID62" s="467"/>
      <c r="IE62" s="440"/>
      <c r="JA62" s="436"/>
      <c r="JB62" s="120"/>
      <c r="JC62" s="120"/>
      <c r="JD62" s="467"/>
      <c r="JE62" s="440"/>
      <c r="KA62" s="436"/>
      <c r="KB62" s="120"/>
      <c r="KC62" s="120"/>
      <c r="KD62" s="467"/>
      <c r="KE62" s="440"/>
      <c r="LA62" s="436"/>
      <c r="LB62" s="120"/>
      <c r="LC62" s="120"/>
      <c r="LD62" s="467"/>
      <c r="LE62" s="440"/>
      <c r="MA62" s="436"/>
      <c r="MB62" s="120"/>
      <c r="MC62" s="120"/>
      <c r="MD62" s="467"/>
      <c r="ME62" s="440"/>
      <c r="NA62" s="436"/>
      <c r="NB62" s="120"/>
      <c r="NC62" s="120"/>
      <c r="ND62" s="467"/>
      <c r="NE62" s="440"/>
      <c r="OA62" s="436"/>
      <c r="OB62" s="120"/>
      <c r="OC62" s="120"/>
      <c r="OD62" s="467"/>
      <c r="OE62" s="440"/>
      <c r="PA62" s="436"/>
      <c r="PB62" s="120"/>
      <c r="PC62" s="120"/>
      <c r="PD62" s="467"/>
      <c r="PE62" s="440"/>
      <c r="QA62" s="436"/>
      <c r="QB62" s="120"/>
      <c r="QC62" s="120"/>
      <c r="QD62" s="467"/>
      <c r="QE62" s="440"/>
      <c r="RA62" s="436"/>
      <c r="RB62" s="120"/>
      <c r="RC62" s="120"/>
      <c r="RD62" s="467"/>
      <c r="RE62" s="440"/>
      <c r="SA62" s="436"/>
      <c r="SB62" s="120"/>
      <c r="SC62" s="120"/>
      <c r="SD62" s="467"/>
      <c r="SE62" s="440"/>
      <c r="TA62" s="436"/>
      <c r="TB62" s="120"/>
      <c r="TC62" s="120"/>
      <c r="TD62" s="467"/>
      <c r="TE62" s="440"/>
      <c r="UA62" s="436"/>
      <c r="UB62" s="120"/>
      <c r="UC62" s="120"/>
      <c r="UD62" s="467"/>
      <c r="UE62" s="440"/>
      <c r="VA62" s="436"/>
      <c r="VB62" s="120"/>
      <c r="VC62" s="120"/>
      <c r="VD62" s="467"/>
      <c r="VE62" s="440"/>
      <c r="WA62" s="436"/>
      <c r="WB62" s="120"/>
      <c r="WC62" s="120"/>
      <c r="WD62" s="467"/>
      <c r="WE62" s="440"/>
      <c r="XA62" s="436"/>
      <c r="XB62" s="120"/>
      <c r="XC62" s="120"/>
      <c r="XD62" s="467"/>
      <c r="XE62" s="440"/>
      <c r="YA62" s="436"/>
      <c r="YB62" s="120"/>
      <c r="YC62" s="120"/>
      <c r="YD62" s="467"/>
      <c r="YE62" s="440"/>
      <c r="ZA62" s="436"/>
      <c r="ZB62" s="120"/>
      <c r="ZC62" s="120"/>
      <c r="ZD62" s="467"/>
      <c r="ZE62" s="440"/>
      <c r="AAA62" s="436"/>
      <c r="AAB62" s="120"/>
      <c r="AAC62" s="120"/>
      <c r="AAD62" s="467"/>
      <c r="AAE62" s="440"/>
      <c r="ABA62" s="436"/>
      <c r="ABB62" s="120"/>
      <c r="ABC62" s="120"/>
      <c r="ABD62" s="467"/>
      <c r="ABE62" s="440"/>
      <c r="ACA62" s="436"/>
      <c r="ACB62" s="120"/>
      <c r="ACC62" s="120"/>
      <c r="ACD62" s="467"/>
      <c r="ACE62" s="440"/>
      <c r="ADA62" s="436"/>
      <c r="ADB62" s="120"/>
      <c r="ADC62" s="120"/>
      <c r="ADD62" s="467"/>
      <c r="ADE62" s="440"/>
      <c r="AEA62" s="436"/>
      <c r="AEB62" s="120"/>
      <c r="AEC62" s="120"/>
      <c r="AED62" s="467"/>
      <c r="AEE62" s="440"/>
      <c r="AFA62" s="436"/>
      <c r="AFB62" s="120"/>
      <c r="AFC62" s="120"/>
      <c r="AFD62" s="467"/>
      <c r="AFE62" s="440"/>
      <c r="AGA62" s="436"/>
      <c r="AGB62" s="120"/>
      <c r="AGC62" s="120"/>
      <c r="AGD62" s="467"/>
      <c r="AGE62" s="440"/>
      <c r="AHA62" s="436"/>
      <c r="AHB62" s="120"/>
      <c r="AHC62" s="120"/>
      <c r="AHD62" s="467"/>
      <c r="AHE62" s="440"/>
      <c r="AIA62" s="436"/>
      <c r="AIB62" s="120"/>
      <c r="AIC62" s="120"/>
      <c r="AID62" s="467"/>
      <c r="AIE62" s="440"/>
      <c r="AJA62" s="436"/>
      <c r="AJB62" s="120"/>
      <c r="AJC62" s="120"/>
      <c r="AJD62" s="467"/>
      <c r="AJE62" s="440"/>
      <c r="AKA62" s="436"/>
      <c r="AKB62" s="120"/>
      <c r="AKC62" s="120"/>
      <c r="AKD62" s="467"/>
      <c r="AKE62" s="440"/>
      <c r="ALA62" s="436"/>
      <c r="ALB62" s="120"/>
      <c r="ALC62" s="120"/>
      <c r="ALD62" s="467"/>
      <c r="ALE62" s="440"/>
      <c r="AMA62" s="436"/>
      <c r="AMB62" s="120"/>
      <c r="AMC62" s="120"/>
      <c r="AMD62" s="467"/>
      <c r="AME62" s="440"/>
      <c r="ANA62" s="436"/>
      <c r="ANB62" s="120"/>
      <c r="ANC62" s="120"/>
      <c r="AND62" s="467"/>
      <c r="ANE62" s="440"/>
      <c r="AOA62" s="436"/>
      <c r="AOB62" s="120"/>
      <c r="AOC62" s="120"/>
      <c r="AOD62" s="467"/>
      <c r="AOE62" s="440"/>
      <c r="APA62" s="436"/>
      <c r="APB62" s="120"/>
      <c r="APC62" s="120"/>
      <c r="APD62" s="467"/>
      <c r="APE62" s="440"/>
      <c r="AQA62" s="436"/>
      <c r="AQB62" s="120"/>
      <c r="AQC62" s="120"/>
      <c r="AQD62" s="467"/>
      <c r="AQE62" s="440"/>
      <c r="ARA62" s="436"/>
      <c r="ARB62" s="120"/>
      <c r="ARC62" s="120"/>
      <c r="ARD62" s="467"/>
      <c r="ARE62" s="440"/>
      <c r="ASA62" s="436"/>
      <c r="ASB62" s="120"/>
      <c r="ASC62" s="120"/>
      <c r="ASD62" s="467"/>
      <c r="ASE62" s="440"/>
      <c r="ATA62" s="436"/>
      <c r="ATB62" s="120"/>
      <c r="ATC62" s="120"/>
      <c r="ATD62" s="467"/>
      <c r="ATE62" s="440"/>
      <c r="AUA62" s="436"/>
      <c r="AUB62" s="120"/>
      <c r="AUC62" s="120"/>
      <c r="AUD62" s="467"/>
      <c r="AUE62" s="440"/>
      <c r="AVA62" s="436"/>
      <c r="AVB62" s="120"/>
      <c r="AVC62" s="120"/>
      <c r="AVD62" s="467"/>
      <c r="AVE62" s="440"/>
      <c r="AWA62" s="436"/>
      <c r="AWB62" s="120"/>
      <c r="AWC62" s="120"/>
      <c r="AWD62" s="467"/>
      <c r="AWE62" s="440"/>
      <c r="AXA62" s="436"/>
      <c r="AXB62" s="120"/>
      <c r="AXC62" s="120"/>
      <c r="AXD62" s="467"/>
      <c r="AXE62" s="440"/>
      <c r="AYA62" s="436"/>
      <c r="AYB62" s="120"/>
      <c r="AYC62" s="120"/>
      <c r="AYD62" s="467"/>
      <c r="AYE62" s="440"/>
      <c r="AZA62" s="436"/>
      <c r="AZB62" s="120"/>
      <c r="AZC62" s="120"/>
      <c r="AZD62" s="467"/>
      <c r="AZE62" s="440"/>
      <c r="BAA62" s="436"/>
      <c r="BAB62" s="120"/>
      <c r="BAC62" s="120"/>
      <c r="BAD62" s="467"/>
      <c r="BAE62" s="440"/>
      <c r="BBA62" s="436"/>
      <c r="BBB62" s="120"/>
      <c r="BBC62" s="120"/>
      <c r="BBD62" s="467"/>
      <c r="BBE62" s="440"/>
      <c r="BCA62" s="436"/>
      <c r="BCB62" s="120"/>
      <c r="BCC62" s="120"/>
      <c r="BCD62" s="467"/>
      <c r="BCE62" s="440"/>
      <c r="BDA62" s="436"/>
      <c r="BDB62" s="120"/>
      <c r="BDC62" s="120"/>
      <c r="BDD62" s="467"/>
      <c r="BDE62" s="440"/>
      <c r="BEA62" s="436"/>
      <c r="BEB62" s="120"/>
      <c r="BEC62" s="120"/>
      <c r="BED62" s="467"/>
      <c r="BEE62" s="440"/>
      <c r="BFA62" s="436"/>
      <c r="BFB62" s="120"/>
      <c r="BFC62" s="120"/>
      <c r="BFD62" s="467"/>
      <c r="BFE62" s="440"/>
      <c r="BGA62" s="436"/>
      <c r="BGB62" s="120"/>
      <c r="BGC62" s="120"/>
      <c r="BGD62" s="467"/>
      <c r="BGE62" s="440"/>
      <c r="BHA62" s="436"/>
      <c r="BHB62" s="120"/>
      <c r="BHC62" s="120"/>
      <c r="BHD62" s="467"/>
      <c r="BHE62" s="440"/>
      <c r="BIA62" s="436"/>
      <c r="BIB62" s="120"/>
      <c r="BIC62" s="120"/>
      <c r="BID62" s="467"/>
      <c r="BIE62" s="440"/>
      <c r="BJA62" s="436"/>
      <c r="BJB62" s="120"/>
      <c r="BJC62" s="120"/>
      <c r="BJD62" s="467"/>
      <c r="BJE62" s="440"/>
      <c r="BKA62" s="436"/>
      <c r="BKB62" s="120"/>
      <c r="BKC62" s="120"/>
      <c r="BKD62" s="467"/>
      <c r="BKE62" s="440"/>
      <c r="BLA62" s="436"/>
      <c r="BLB62" s="120"/>
      <c r="BLC62" s="120"/>
      <c r="BLD62" s="467"/>
      <c r="BLE62" s="440"/>
      <c r="BMA62" s="436"/>
      <c r="BMB62" s="120"/>
      <c r="BMC62" s="120"/>
      <c r="BMD62" s="467"/>
      <c r="BME62" s="440"/>
      <c r="BNA62" s="436"/>
      <c r="BNB62" s="120"/>
      <c r="BNC62" s="120"/>
      <c r="BND62" s="467"/>
      <c r="BNE62" s="440"/>
      <c r="BOA62" s="436"/>
      <c r="BOB62" s="120"/>
      <c r="BOC62" s="120"/>
      <c r="BOD62" s="467"/>
      <c r="BOE62" s="440"/>
      <c r="BPA62" s="436"/>
      <c r="BPB62" s="120"/>
      <c r="BPC62" s="120"/>
      <c r="BPD62" s="467"/>
      <c r="BPE62" s="440"/>
      <c r="BQA62" s="436"/>
      <c r="BQB62" s="120"/>
      <c r="BQC62" s="120"/>
      <c r="BQD62" s="467"/>
      <c r="BQE62" s="440"/>
      <c r="BRA62" s="436"/>
      <c r="BRB62" s="120"/>
      <c r="BRC62" s="120"/>
      <c r="BRD62" s="467"/>
      <c r="BRE62" s="440"/>
    </row>
    <row r="63" spans="1:1019 1041:1825">
      <c r="B63" s="114" t="s">
        <v>1515</v>
      </c>
      <c r="AA63" s="436"/>
      <c r="AB63" s="120"/>
      <c r="AC63" s="120"/>
      <c r="AD63" s="467"/>
      <c r="AE63" s="440"/>
      <c r="BA63" s="436"/>
      <c r="BB63" s="120"/>
      <c r="BC63" s="120"/>
      <c r="BD63" s="467"/>
      <c r="BE63" s="440"/>
      <c r="CA63" s="436"/>
      <c r="CB63" s="120"/>
      <c r="CC63" s="120"/>
      <c r="CD63" s="467"/>
      <c r="CE63" s="440"/>
      <c r="DA63" s="436"/>
      <c r="DB63" s="120"/>
      <c r="DC63" s="120"/>
      <c r="DD63" s="467"/>
      <c r="DE63" s="440"/>
      <c r="EA63" s="436"/>
      <c r="EB63" s="120"/>
      <c r="EC63" s="120"/>
      <c r="ED63" s="467"/>
      <c r="EE63" s="440"/>
      <c r="FA63" s="436"/>
      <c r="FB63" s="120"/>
      <c r="FC63" s="120"/>
      <c r="FD63" s="467"/>
      <c r="FE63" s="440"/>
      <c r="GA63" s="436"/>
      <c r="GB63" s="120"/>
      <c r="GC63" s="120"/>
      <c r="GD63" s="467"/>
      <c r="GE63" s="440"/>
      <c r="HA63" s="436"/>
      <c r="HB63" s="120"/>
      <c r="HC63" s="120"/>
      <c r="HD63" s="467"/>
      <c r="HE63" s="440"/>
      <c r="IA63" s="436"/>
      <c r="IB63" s="120"/>
      <c r="IC63" s="120"/>
      <c r="ID63" s="467"/>
      <c r="IE63" s="440"/>
      <c r="JA63" s="436"/>
      <c r="JB63" s="120"/>
      <c r="JC63" s="120"/>
      <c r="JD63" s="467"/>
      <c r="JE63" s="440"/>
      <c r="KA63" s="436"/>
      <c r="KB63" s="120"/>
      <c r="KC63" s="120"/>
      <c r="KD63" s="467"/>
      <c r="KE63" s="440"/>
      <c r="LA63" s="436"/>
      <c r="LB63" s="120"/>
      <c r="LC63" s="120"/>
      <c r="LD63" s="467"/>
      <c r="LE63" s="440"/>
      <c r="MA63" s="436"/>
      <c r="MB63" s="120"/>
      <c r="MC63" s="120"/>
      <c r="MD63" s="467"/>
      <c r="ME63" s="440"/>
      <c r="NA63" s="436"/>
      <c r="NB63" s="120"/>
      <c r="NC63" s="120"/>
      <c r="ND63" s="467"/>
      <c r="NE63" s="440"/>
      <c r="OA63" s="436"/>
      <c r="OB63" s="120"/>
      <c r="OC63" s="120"/>
      <c r="OD63" s="467"/>
      <c r="OE63" s="440"/>
      <c r="PA63" s="436"/>
      <c r="PB63" s="120"/>
      <c r="PC63" s="120"/>
      <c r="PD63" s="467"/>
      <c r="PE63" s="440"/>
      <c r="QA63" s="436"/>
      <c r="QB63" s="120"/>
      <c r="QC63" s="120"/>
      <c r="QD63" s="467"/>
      <c r="QE63" s="440"/>
      <c r="RA63" s="436"/>
      <c r="RB63" s="120"/>
      <c r="RC63" s="120"/>
      <c r="RD63" s="467"/>
      <c r="RE63" s="440"/>
      <c r="SA63" s="436"/>
      <c r="SB63" s="120"/>
      <c r="SC63" s="120"/>
      <c r="SD63" s="467"/>
      <c r="SE63" s="440"/>
      <c r="TA63" s="436"/>
      <c r="TB63" s="120"/>
      <c r="TC63" s="120"/>
      <c r="TD63" s="467"/>
      <c r="TE63" s="440"/>
      <c r="UA63" s="436"/>
      <c r="UB63" s="120"/>
      <c r="UC63" s="120"/>
      <c r="UD63" s="467"/>
      <c r="UE63" s="440"/>
      <c r="VA63" s="436"/>
      <c r="VB63" s="120"/>
      <c r="VC63" s="120"/>
      <c r="VD63" s="467"/>
      <c r="VE63" s="440"/>
      <c r="WA63" s="436"/>
      <c r="WB63" s="120"/>
      <c r="WC63" s="120"/>
      <c r="WD63" s="467"/>
      <c r="WE63" s="440"/>
      <c r="XA63" s="436"/>
      <c r="XB63" s="120"/>
      <c r="XC63" s="120"/>
      <c r="XD63" s="467"/>
      <c r="XE63" s="440"/>
      <c r="YA63" s="436"/>
      <c r="YB63" s="120"/>
      <c r="YC63" s="120"/>
      <c r="YD63" s="467"/>
      <c r="YE63" s="440"/>
      <c r="ZA63" s="436"/>
      <c r="ZB63" s="120"/>
      <c r="ZC63" s="120"/>
      <c r="ZD63" s="467"/>
      <c r="ZE63" s="440"/>
      <c r="AAA63" s="436"/>
      <c r="AAB63" s="120"/>
      <c r="AAC63" s="120"/>
      <c r="AAD63" s="467"/>
      <c r="AAE63" s="440"/>
      <c r="ABA63" s="436"/>
      <c r="ABB63" s="120"/>
      <c r="ABC63" s="120"/>
      <c r="ABD63" s="467"/>
      <c r="ABE63" s="440"/>
      <c r="ACA63" s="436"/>
      <c r="ACB63" s="120"/>
      <c r="ACC63" s="120"/>
      <c r="ACD63" s="467"/>
      <c r="ACE63" s="440"/>
      <c r="ADA63" s="436"/>
      <c r="ADB63" s="120"/>
      <c r="ADC63" s="120"/>
      <c r="ADD63" s="467"/>
      <c r="ADE63" s="440"/>
      <c r="AEA63" s="436"/>
      <c r="AEB63" s="120"/>
      <c r="AEC63" s="120"/>
      <c r="AED63" s="467"/>
      <c r="AEE63" s="440"/>
      <c r="AFA63" s="436"/>
      <c r="AFB63" s="120"/>
      <c r="AFC63" s="120"/>
      <c r="AFD63" s="467"/>
      <c r="AFE63" s="440"/>
      <c r="AGA63" s="436"/>
      <c r="AGB63" s="120"/>
      <c r="AGC63" s="120"/>
      <c r="AGD63" s="467"/>
      <c r="AGE63" s="440"/>
      <c r="AHA63" s="436"/>
      <c r="AHB63" s="120"/>
      <c r="AHC63" s="120"/>
      <c r="AHD63" s="467"/>
      <c r="AHE63" s="440"/>
      <c r="AIA63" s="436"/>
      <c r="AIB63" s="120"/>
      <c r="AIC63" s="120"/>
      <c r="AID63" s="467"/>
      <c r="AIE63" s="440"/>
      <c r="AJA63" s="436"/>
      <c r="AJB63" s="120"/>
      <c r="AJC63" s="120"/>
      <c r="AJD63" s="467"/>
      <c r="AJE63" s="440"/>
      <c r="AKA63" s="436"/>
      <c r="AKB63" s="120"/>
      <c r="AKC63" s="120"/>
      <c r="AKD63" s="467"/>
      <c r="AKE63" s="440"/>
      <c r="ALA63" s="436"/>
      <c r="ALB63" s="120"/>
      <c r="ALC63" s="120"/>
      <c r="ALD63" s="467"/>
      <c r="ALE63" s="440"/>
      <c r="AMA63" s="436"/>
      <c r="AMB63" s="120"/>
      <c r="AMC63" s="120"/>
      <c r="AMD63" s="467"/>
      <c r="AME63" s="440"/>
      <c r="ANA63" s="436"/>
      <c r="ANB63" s="120"/>
      <c r="ANC63" s="120"/>
      <c r="AND63" s="467"/>
      <c r="ANE63" s="440"/>
      <c r="AOA63" s="436"/>
      <c r="AOB63" s="120"/>
      <c r="AOC63" s="120"/>
      <c r="AOD63" s="467"/>
      <c r="AOE63" s="440"/>
      <c r="APA63" s="436"/>
      <c r="APB63" s="120"/>
      <c r="APC63" s="120"/>
      <c r="APD63" s="467"/>
      <c r="APE63" s="440"/>
      <c r="AQA63" s="436"/>
      <c r="AQB63" s="120"/>
      <c r="AQC63" s="120"/>
      <c r="AQD63" s="467"/>
      <c r="AQE63" s="440"/>
      <c r="ARA63" s="436"/>
      <c r="ARB63" s="120"/>
      <c r="ARC63" s="120"/>
      <c r="ARD63" s="467"/>
      <c r="ARE63" s="440"/>
      <c r="ASA63" s="436"/>
      <c r="ASB63" s="120"/>
      <c r="ASC63" s="120"/>
      <c r="ASD63" s="467"/>
      <c r="ASE63" s="440"/>
      <c r="ATA63" s="436"/>
      <c r="ATB63" s="120"/>
      <c r="ATC63" s="120"/>
      <c r="ATD63" s="467"/>
      <c r="ATE63" s="440"/>
      <c r="AUA63" s="436"/>
      <c r="AUB63" s="120"/>
      <c r="AUC63" s="120"/>
      <c r="AUD63" s="467"/>
      <c r="AUE63" s="440"/>
      <c r="AVA63" s="436"/>
      <c r="AVB63" s="120"/>
      <c r="AVC63" s="120"/>
      <c r="AVD63" s="467"/>
      <c r="AVE63" s="440"/>
      <c r="AWA63" s="436"/>
      <c r="AWB63" s="120"/>
      <c r="AWC63" s="120"/>
      <c r="AWD63" s="467"/>
      <c r="AWE63" s="440"/>
      <c r="AXA63" s="436"/>
      <c r="AXB63" s="120"/>
      <c r="AXC63" s="120"/>
      <c r="AXD63" s="467"/>
      <c r="AXE63" s="440"/>
      <c r="AYA63" s="436"/>
      <c r="AYB63" s="120"/>
      <c r="AYC63" s="120"/>
      <c r="AYD63" s="467"/>
      <c r="AYE63" s="440"/>
      <c r="AZA63" s="436"/>
      <c r="AZB63" s="120"/>
      <c r="AZC63" s="120"/>
      <c r="AZD63" s="467"/>
      <c r="AZE63" s="440"/>
      <c r="BAA63" s="436"/>
      <c r="BAB63" s="120"/>
      <c r="BAC63" s="120"/>
      <c r="BAD63" s="467"/>
      <c r="BAE63" s="440"/>
      <c r="BBA63" s="436"/>
      <c r="BBB63" s="120"/>
      <c r="BBC63" s="120"/>
      <c r="BBD63" s="467"/>
      <c r="BBE63" s="440"/>
      <c r="BCA63" s="436"/>
      <c r="BCB63" s="120"/>
      <c r="BCC63" s="120"/>
      <c r="BCD63" s="467"/>
      <c r="BCE63" s="440"/>
      <c r="BDA63" s="436"/>
      <c r="BDB63" s="120"/>
      <c r="BDC63" s="120"/>
      <c r="BDD63" s="467"/>
      <c r="BDE63" s="440"/>
      <c r="BEA63" s="436"/>
      <c r="BEB63" s="120"/>
      <c r="BEC63" s="120"/>
      <c r="BED63" s="467"/>
      <c r="BEE63" s="440"/>
      <c r="BFA63" s="436"/>
      <c r="BFB63" s="120"/>
      <c r="BFC63" s="120"/>
      <c r="BFD63" s="467"/>
      <c r="BFE63" s="440"/>
      <c r="BGA63" s="436"/>
      <c r="BGB63" s="120"/>
      <c r="BGC63" s="120"/>
      <c r="BGD63" s="467"/>
      <c r="BGE63" s="440"/>
      <c r="BHA63" s="436"/>
      <c r="BHB63" s="120"/>
      <c r="BHC63" s="120"/>
      <c r="BHD63" s="467"/>
      <c r="BHE63" s="440"/>
      <c r="BIA63" s="436"/>
      <c r="BIB63" s="120"/>
      <c r="BIC63" s="120"/>
      <c r="BID63" s="467"/>
      <c r="BIE63" s="440"/>
      <c r="BJA63" s="436"/>
      <c r="BJB63" s="120"/>
      <c r="BJC63" s="120"/>
      <c r="BJD63" s="467"/>
      <c r="BJE63" s="440"/>
      <c r="BKA63" s="436"/>
      <c r="BKB63" s="120"/>
      <c r="BKC63" s="120"/>
      <c r="BKD63" s="467"/>
      <c r="BKE63" s="440"/>
      <c r="BLA63" s="436"/>
      <c r="BLB63" s="120"/>
      <c r="BLC63" s="120"/>
      <c r="BLD63" s="467"/>
      <c r="BLE63" s="440"/>
      <c r="BMA63" s="436"/>
      <c r="BMB63" s="120"/>
      <c r="BMC63" s="120"/>
      <c r="BMD63" s="467"/>
      <c r="BME63" s="440"/>
      <c r="BNA63" s="436"/>
      <c r="BNB63" s="120"/>
      <c r="BNC63" s="120"/>
      <c r="BND63" s="467"/>
      <c r="BNE63" s="440"/>
      <c r="BOA63" s="436"/>
      <c r="BOB63" s="120"/>
      <c r="BOC63" s="120"/>
      <c r="BOD63" s="467"/>
      <c r="BOE63" s="440"/>
      <c r="BPA63" s="436"/>
      <c r="BPB63" s="120"/>
      <c r="BPC63" s="120"/>
      <c r="BPD63" s="467"/>
      <c r="BPE63" s="440"/>
      <c r="BQA63" s="436"/>
      <c r="BQB63" s="120"/>
      <c r="BQC63" s="120"/>
      <c r="BQD63" s="467"/>
      <c r="BQE63" s="440"/>
      <c r="BRA63" s="436"/>
      <c r="BRB63" s="120"/>
      <c r="BRC63" s="120"/>
      <c r="BRD63" s="467"/>
      <c r="BRE63" s="440"/>
    </row>
    <row r="64" spans="1:1019 1041:1825">
      <c r="A64" s="1034"/>
      <c r="B64" s="114" t="s">
        <v>24</v>
      </c>
      <c r="AA64" s="436"/>
      <c r="AB64" s="120"/>
      <c r="AC64" s="120"/>
      <c r="AD64" s="467"/>
      <c r="AE64" s="440"/>
      <c r="BA64" s="436"/>
      <c r="BB64" s="120"/>
      <c r="BC64" s="120"/>
      <c r="BD64" s="467"/>
      <c r="BE64" s="440"/>
      <c r="CA64" s="436"/>
      <c r="CB64" s="120"/>
      <c r="CC64" s="120"/>
      <c r="CD64" s="467"/>
      <c r="CE64" s="440"/>
      <c r="DA64" s="436"/>
      <c r="DB64" s="120"/>
      <c r="DC64" s="120"/>
      <c r="DD64" s="467"/>
      <c r="DE64" s="440"/>
      <c r="EA64" s="436"/>
      <c r="EB64" s="120"/>
      <c r="EC64" s="120"/>
      <c r="ED64" s="467"/>
      <c r="EE64" s="440"/>
      <c r="FA64" s="436"/>
      <c r="FB64" s="120"/>
      <c r="FC64" s="120"/>
      <c r="FD64" s="467"/>
      <c r="FE64" s="440"/>
      <c r="GA64" s="436"/>
      <c r="GB64" s="120"/>
      <c r="GC64" s="120"/>
      <c r="GD64" s="467"/>
      <c r="GE64" s="440"/>
      <c r="HA64" s="436"/>
      <c r="HB64" s="120"/>
      <c r="HC64" s="120"/>
      <c r="HD64" s="467"/>
      <c r="HE64" s="440"/>
      <c r="IA64" s="436"/>
      <c r="IB64" s="120"/>
      <c r="IC64" s="120"/>
      <c r="ID64" s="467"/>
      <c r="IE64" s="440"/>
      <c r="JA64" s="436"/>
      <c r="JB64" s="120"/>
      <c r="JC64" s="120"/>
      <c r="JD64" s="467"/>
      <c r="JE64" s="440"/>
      <c r="KA64" s="436"/>
      <c r="KB64" s="120"/>
      <c r="KC64" s="120"/>
      <c r="KD64" s="467"/>
      <c r="KE64" s="440"/>
      <c r="LA64" s="436"/>
      <c r="LB64" s="120"/>
      <c r="LC64" s="120"/>
      <c r="LD64" s="467"/>
      <c r="LE64" s="440"/>
      <c r="MA64" s="436"/>
      <c r="MB64" s="120"/>
      <c r="MC64" s="120"/>
      <c r="MD64" s="467"/>
      <c r="ME64" s="440"/>
      <c r="NA64" s="436"/>
      <c r="NB64" s="120"/>
      <c r="NC64" s="120"/>
      <c r="ND64" s="467"/>
      <c r="NE64" s="440"/>
      <c r="OA64" s="436"/>
      <c r="OB64" s="120"/>
      <c r="OC64" s="120"/>
      <c r="OD64" s="467"/>
      <c r="OE64" s="440"/>
      <c r="PA64" s="436"/>
      <c r="PB64" s="120"/>
      <c r="PC64" s="120"/>
      <c r="PD64" s="467"/>
      <c r="PE64" s="440"/>
      <c r="QA64" s="436"/>
      <c r="QB64" s="120"/>
      <c r="QC64" s="120"/>
      <c r="QD64" s="467"/>
      <c r="QE64" s="440"/>
      <c r="RA64" s="436"/>
      <c r="RB64" s="120"/>
      <c r="RC64" s="120"/>
      <c r="RD64" s="467"/>
      <c r="RE64" s="440"/>
      <c r="SA64" s="436"/>
      <c r="SB64" s="120"/>
      <c r="SC64" s="120"/>
      <c r="SD64" s="467"/>
      <c r="SE64" s="440"/>
      <c r="TA64" s="436"/>
      <c r="TB64" s="120"/>
      <c r="TC64" s="120"/>
      <c r="TD64" s="467"/>
      <c r="TE64" s="440"/>
      <c r="UA64" s="436"/>
      <c r="UB64" s="120"/>
      <c r="UC64" s="120"/>
      <c r="UD64" s="467"/>
      <c r="UE64" s="440"/>
      <c r="VA64" s="436"/>
      <c r="VB64" s="120"/>
      <c r="VC64" s="120"/>
      <c r="VD64" s="467"/>
      <c r="VE64" s="440"/>
      <c r="WA64" s="436"/>
      <c r="WB64" s="120"/>
      <c r="WC64" s="120"/>
      <c r="WD64" s="467"/>
      <c r="WE64" s="440"/>
      <c r="XA64" s="436"/>
      <c r="XB64" s="120"/>
      <c r="XC64" s="120"/>
      <c r="XD64" s="467"/>
      <c r="XE64" s="440"/>
      <c r="YA64" s="436"/>
      <c r="YB64" s="120"/>
      <c r="YC64" s="120"/>
      <c r="YD64" s="467"/>
      <c r="YE64" s="440"/>
      <c r="ZA64" s="436"/>
      <c r="ZB64" s="120"/>
      <c r="ZC64" s="120"/>
      <c r="ZD64" s="467"/>
      <c r="ZE64" s="440"/>
      <c r="AAA64" s="436"/>
      <c r="AAB64" s="120"/>
      <c r="AAC64" s="120"/>
      <c r="AAD64" s="467"/>
      <c r="AAE64" s="440"/>
      <c r="ABA64" s="436"/>
      <c r="ABB64" s="120"/>
      <c r="ABC64" s="120"/>
      <c r="ABD64" s="467"/>
      <c r="ABE64" s="440"/>
      <c r="ACA64" s="436"/>
      <c r="ACB64" s="120"/>
      <c r="ACC64" s="120"/>
      <c r="ACD64" s="467"/>
      <c r="ACE64" s="440"/>
      <c r="ADA64" s="436"/>
      <c r="ADB64" s="120"/>
      <c r="ADC64" s="120"/>
      <c r="ADD64" s="467"/>
      <c r="ADE64" s="440"/>
      <c r="AEA64" s="436"/>
      <c r="AEB64" s="120"/>
      <c r="AEC64" s="120"/>
      <c r="AED64" s="467"/>
      <c r="AEE64" s="440"/>
      <c r="AFA64" s="436"/>
      <c r="AFB64" s="120"/>
      <c r="AFC64" s="120"/>
      <c r="AFD64" s="467"/>
      <c r="AFE64" s="440"/>
      <c r="AGA64" s="436"/>
      <c r="AGB64" s="120"/>
      <c r="AGC64" s="120"/>
      <c r="AGD64" s="467"/>
      <c r="AGE64" s="440"/>
      <c r="AHA64" s="436"/>
      <c r="AHB64" s="120"/>
      <c r="AHC64" s="120"/>
      <c r="AHD64" s="467"/>
      <c r="AHE64" s="440"/>
      <c r="AIA64" s="436"/>
      <c r="AIB64" s="120"/>
      <c r="AIC64" s="120"/>
      <c r="AID64" s="467"/>
      <c r="AIE64" s="440"/>
      <c r="AJA64" s="436"/>
      <c r="AJB64" s="120"/>
      <c r="AJC64" s="120"/>
      <c r="AJD64" s="467"/>
      <c r="AJE64" s="440"/>
      <c r="AKA64" s="436"/>
      <c r="AKB64" s="120"/>
      <c r="AKC64" s="120"/>
      <c r="AKD64" s="467"/>
      <c r="AKE64" s="440"/>
      <c r="ALA64" s="436"/>
      <c r="ALB64" s="120"/>
      <c r="ALC64" s="120"/>
      <c r="ALD64" s="467"/>
      <c r="ALE64" s="440"/>
      <c r="AMA64" s="436"/>
      <c r="AMB64" s="120"/>
      <c r="AMC64" s="120"/>
      <c r="AMD64" s="467"/>
      <c r="AME64" s="440"/>
      <c r="ANA64" s="436"/>
      <c r="ANB64" s="120"/>
      <c r="ANC64" s="120"/>
      <c r="AND64" s="467"/>
      <c r="ANE64" s="440"/>
      <c r="AOA64" s="436"/>
      <c r="AOB64" s="120"/>
      <c r="AOC64" s="120"/>
      <c r="AOD64" s="467"/>
      <c r="AOE64" s="440"/>
      <c r="APA64" s="436"/>
      <c r="APB64" s="120"/>
      <c r="APC64" s="120"/>
      <c r="APD64" s="467"/>
      <c r="APE64" s="440"/>
      <c r="AQA64" s="436"/>
      <c r="AQB64" s="120"/>
      <c r="AQC64" s="120"/>
      <c r="AQD64" s="467"/>
      <c r="AQE64" s="440"/>
      <c r="ARA64" s="436"/>
      <c r="ARB64" s="120"/>
      <c r="ARC64" s="120"/>
      <c r="ARD64" s="467"/>
      <c r="ARE64" s="440"/>
      <c r="ASA64" s="436"/>
      <c r="ASB64" s="120"/>
      <c r="ASC64" s="120"/>
      <c r="ASD64" s="467"/>
      <c r="ASE64" s="440"/>
      <c r="ATA64" s="436"/>
      <c r="ATB64" s="120"/>
      <c r="ATC64" s="120"/>
      <c r="ATD64" s="467"/>
      <c r="ATE64" s="440"/>
      <c r="AUA64" s="436"/>
      <c r="AUB64" s="120"/>
      <c r="AUC64" s="120"/>
      <c r="AUD64" s="467"/>
      <c r="AUE64" s="440"/>
      <c r="AVA64" s="436"/>
      <c r="AVB64" s="120"/>
      <c r="AVC64" s="120"/>
      <c r="AVD64" s="467"/>
      <c r="AVE64" s="440"/>
      <c r="AWA64" s="436"/>
      <c r="AWB64" s="120"/>
      <c r="AWC64" s="120"/>
      <c r="AWD64" s="467"/>
      <c r="AWE64" s="440"/>
      <c r="AXA64" s="436"/>
      <c r="AXB64" s="120"/>
      <c r="AXC64" s="120"/>
      <c r="AXD64" s="467"/>
      <c r="AXE64" s="440"/>
      <c r="AYA64" s="436"/>
      <c r="AYB64" s="120"/>
      <c r="AYC64" s="120"/>
      <c r="AYD64" s="467"/>
      <c r="AYE64" s="440"/>
      <c r="AZA64" s="436"/>
      <c r="AZB64" s="120"/>
      <c r="AZC64" s="120"/>
      <c r="AZD64" s="467"/>
      <c r="AZE64" s="440"/>
      <c r="BAA64" s="436"/>
      <c r="BAB64" s="120"/>
      <c r="BAC64" s="120"/>
      <c r="BAD64" s="467"/>
      <c r="BAE64" s="440"/>
      <c r="BBA64" s="436"/>
      <c r="BBB64" s="120"/>
      <c r="BBC64" s="120"/>
      <c r="BBD64" s="467"/>
      <c r="BBE64" s="440"/>
      <c r="BCA64" s="436"/>
      <c r="BCB64" s="120"/>
      <c r="BCC64" s="120"/>
      <c r="BCD64" s="467"/>
      <c r="BCE64" s="440"/>
      <c r="BDA64" s="436"/>
      <c r="BDB64" s="120"/>
      <c r="BDC64" s="120"/>
      <c r="BDD64" s="467"/>
      <c r="BDE64" s="440"/>
      <c r="BEA64" s="436"/>
      <c r="BEB64" s="120"/>
      <c r="BEC64" s="120"/>
      <c r="BED64" s="467"/>
      <c r="BEE64" s="440"/>
      <c r="BFA64" s="436"/>
      <c r="BFB64" s="120"/>
      <c r="BFC64" s="120"/>
      <c r="BFD64" s="467"/>
      <c r="BFE64" s="440"/>
      <c r="BGA64" s="436"/>
      <c r="BGB64" s="120"/>
      <c r="BGC64" s="120"/>
      <c r="BGD64" s="467"/>
      <c r="BGE64" s="440"/>
      <c r="BHA64" s="436"/>
      <c r="BHB64" s="120"/>
      <c r="BHC64" s="120"/>
      <c r="BHD64" s="467"/>
      <c r="BHE64" s="440"/>
      <c r="BIA64" s="436"/>
      <c r="BIB64" s="120"/>
      <c r="BIC64" s="120"/>
      <c r="BID64" s="467"/>
      <c r="BIE64" s="440"/>
      <c r="BJA64" s="436"/>
      <c r="BJB64" s="120"/>
      <c r="BJC64" s="120"/>
      <c r="BJD64" s="467"/>
      <c r="BJE64" s="440"/>
      <c r="BKA64" s="436"/>
      <c r="BKB64" s="120"/>
      <c r="BKC64" s="120"/>
      <c r="BKD64" s="467"/>
      <c r="BKE64" s="440"/>
      <c r="BLA64" s="436"/>
      <c r="BLB64" s="120"/>
      <c r="BLC64" s="120"/>
      <c r="BLD64" s="467"/>
      <c r="BLE64" s="440"/>
      <c r="BMA64" s="436"/>
      <c r="BMB64" s="120"/>
      <c r="BMC64" s="120"/>
      <c r="BMD64" s="467"/>
      <c r="BME64" s="440"/>
      <c r="BNA64" s="436"/>
      <c r="BNB64" s="120"/>
      <c r="BNC64" s="120"/>
      <c r="BND64" s="467"/>
      <c r="BNE64" s="440"/>
      <c r="BOA64" s="436"/>
      <c r="BOB64" s="120"/>
      <c r="BOC64" s="120"/>
      <c r="BOD64" s="467"/>
      <c r="BOE64" s="440"/>
      <c r="BPA64" s="436"/>
      <c r="BPB64" s="120"/>
      <c r="BPC64" s="120"/>
      <c r="BPD64" s="467"/>
      <c r="BPE64" s="440"/>
      <c r="BQA64" s="436"/>
      <c r="BQB64" s="120"/>
      <c r="BQC64" s="120"/>
      <c r="BQD64" s="467"/>
      <c r="BQE64" s="440"/>
      <c r="BRA64" s="436"/>
      <c r="BRB64" s="120"/>
      <c r="BRC64" s="120"/>
      <c r="BRD64" s="467"/>
      <c r="BRE64" s="440"/>
    </row>
    <row r="65" spans="1:1019 1041:1825">
      <c r="A65" s="1034"/>
      <c r="B65" s="114" t="s">
        <v>1516</v>
      </c>
      <c r="AA65" s="436"/>
      <c r="AB65" s="120"/>
      <c r="AC65" s="120"/>
      <c r="AD65" s="467"/>
      <c r="AE65" s="440"/>
      <c r="BA65" s="436"/>
      <c r="BB65" s="120"/>
      <c r="BC65" s="120"/>
      <c r="BD65" s="467"/>
      <c r="BE65" s="440"/>
      <c r="CA65" s="436"/>
      <c r="CB65" s="120"/>
      <c r="CC65" s="120"/>
      <c r="CD65" s="467"/>
      <c r="CE65" s="440"/>
      <c r="DA65" s="436"/>
      <c r="DB65" s="120"/>
      <c r="DC65" s="120"/>
      <c r="DD65" s="467"/>
      <c r="DE65" s="440"/>
      <c r="EA65" s="436"/>
      <c r="EB65" s="120"/>
      <c r="EC65" s="120"/>
      <c r="ED65" s="467"/>
      <c r="EE65" s="440"/>
      <c r="FA65" s="436"/>
      <c r="FB65" s="120"/>
      <c r="FC65" s="120"/>
      <c r="FD65" s="467"/>
      <c r="FE65" s="440"/>
      <c r="GA65" s="436"/>
      <c r="GB65" s="120"/>
      <c r="GC65" s="120"/>
      <c r="GD65" s="467"/>
      <c r="GE65" s="440"/>
      <c r="HA65" s="436"/>
      <c r="HB65" s="120"/>
      <c r="HC65" s="120"/>
      <c r="HD65" s="467"/>
      <c r="HE65" s="440"/>
      <c r="IA65" s="436"/>
      <c r="IB65" s="120"/>
      <c r="IC65" s="120"/>
      <c r="ID65" s="467"/>
      <c r="IE65" s="440"/>
      <c r="JA65" s="436"/>
      <c r="JB65" s="120"/>
      <c r="JC65" s="120"/>
      <c r="JD65" s="467"/>
      <c r="JE65" s="440"/>
      <c r="KA65" s="436"/>
      <c r="KB65" s="120"/>
      <c r="KC65" s="120"/>
      <c r="KD65" s="467"/>
      <c r="KE65" s="440"/>
      <c r="LA65" s="436"/>
      <c r="LB65" s="120"/>
      <c r="LC65" s="120"/>
      <c r="LD65" s="467"/>
      <c r="LE65" s="440"/>
      <c r="MA65" s="436"/>
      <c r="MB65" s="120"/>
      <c r="MC65" s="120"/>
      <c r="MD65" s="467"/>
      <c r="ME65" s="440"/>
      <c r="NA65" s="436"/>
      <c r="NB65" s="120"/>
      <c r="NC65" s="120"/>
      <c r="ND65" s="467"/>
      <c r="NE65" s="440"/>
      <c r="OA65" s="436"/>
      <c r="OB65" s="120"/>
      <c r="OC65" s="120"/>
      <c r="OD65" s="467"/>
      <c r="OE65" s="440"/>
      <c r="PA65" s="436"/>
      <c r="PB65" s="120"/>
      <c r="PC65" s="120"/>
      <c r="PD65" s="467"/>
      <c r="PE65" s="440"/>
      <c r="QA65" s="436"/>
      <c r="QB65" s="120"/>
      <c r="QC65" s="120"/>
      <c r="QD65" s="467"/>
      <c r="QE65" s="440"/>
      <c r="RA65" s="436"/>
      <c r="RB65" s="120"/>
      <c r="RC65" s="120"/>
      <c r="RD65" s="467"/>
      <c r="RE65" s="440"/>
      <c r="SA65" s="436"/>
      <c r="SB65" s="120"/>
      <c r="SC65" s="120"/>
      <c r="SD65" s="467"/>
      <c r="SE65" s="440"/>
      <c r="TA65" s="436"/>
      <c r="TB65" s="120"/>
      <c r="TC65" s="120"/>
      <c r="TD65" s="467"/>
      <c r="TE65" s="440"/>
      <c r="UA65" s="436"/>
      <c r="UB65" s="120"/>
      <c r="UC65" s="120"/>
      <c r="UD65" s="467"/>
      <c r="UE65" s="440"/>
      <c r="VA65" s="436"/>
      <c r="VB65" s="120"/>
      <c r="VC65" s="120"/>
      <c r="VD65" s="467"/>
      <c r="VE65" s="440"/>
      <c r="WA65" s="436"/>
      <c r="WB65" s="120"/>
      <c r="WC65" s="120"/>
      <c r="WD65" s="467"/>
      <c r="WE65" s="440"/>
      <c r="XA65" s="436"/>
      <c r="XB65" s="120"/>
      <c r="XC65" s="120"/>
      <c r="XD65" s="467"/>
      <c r="XE65" s="440"/>
      <c r="YA65" s="436"/>
      <c r="YB65" s="120"/>
      <c r="YC65" s="120"/>
      <c r="YD65" s="467"/>
      <c r="YE65" s="440"/>
      <c r="ZA65" s="436"/>
      <c r="ZB65" s="120"/>
      <c r="ZC65" s="120"/>
      <c r="ZD65" s="467"/>
      <c r="ZE65" s="440"/>
      <c r="AAA65" s="436"/>
      <c r="AAB65" s="120"/>
      <c r="AAC65" s="120"/>
      <c r="AAD65" s="467"/>
      <c r="AAE65" s="440"/>
      <c r="ABA65" s="436"/>
      <c r="ABB65" s="120"/>
      <c r="ABC65" s="120"/>
      <c r="ABD65" s="467"/>
      <c r="ABE65" s="440"/>
      <c r="ACA65" s="436"/>
      <c r="ACB65" s="120"/>
      <c r="ACC65" s="120"/>
      <c r="ACD65" s="467"/>
      <c r="ACE65" s="440"/>
      <c r="ADA65" s="436"/>
      <c r="ADB65" s="120"/>
      <c r="ADC65" s="120"/>
      <c r="ADD65" s="467"/>
      <c r="ADE65" s="440"/>
      <c r="AEA65" s="436"/>
      <c r="AEB65" s="120"/>
      <c r="AEC65" s="120"/>
      <c r="AED65" s="467"/>
      <c r="AEE65" s="440"/>
      <c r="AFA65" s="436"/>
      <c r="AFB65" s="120"/>
      <c r="AFC65" s="120"/>
      <c r="AFD65" s="467"/>
      <c r="AFE65" s="440"/>
      <c r="AGA65" s="436"/>
      <c r="AGB65" s="120"/>
      <c r="AGC65" s="120"/>
      <c r="AGD65" s="467"/>
      <c r="AGE65" s="440"/>
      <c r="AHA65" s="436"/>
      <c r="AHB65" s="120"/>
      <c r="AHC65" s="120"/>
      <c r="AHD65" s="467"/>
      <c r="AHE65" s="440"/>
      <c r="AIA65" s="436"/>
      <c r="AIB65" s="120"/>
      <c r="AIC65" s="120"/>
      <c r="AID65" s="467"/>
      <c r="AIE65" s="440"/>
      <c r="AJA65" s="436"/>
      <c r="AJB65" s="120"/>
      <c r="AJC65" s="120"/>
      <c r="AJD65" s="467"/>
      <c r="AJE65" s="440"/>
      <c r="AKA65" s="436"/>
      <c r="AKB65" s="120"/>
      <c r="AKC65" s="120"/>
      <c r="AKD65" s="467"/>
      <c r="AKE65" s="440"/>
      <c r="ALA65" s="436"/>
      <c r="ALB65" s="120"/>
      <c r="ALC65" s="120"/>
      <c r="ALD65" s="467"/>
      <c r="ALE65" s="440"/>
      <c r="AMA65" s="436"/>
      <c r="AMB65" s="120"/>
      <c r="AMC65" s="120"/>
      <c r="AMD65" s="467"/>
      <c r="AME65" s="440"/>
      <c r="ANA65" s="436"/>
      <c r="ANB65" s="120"/>
      <c r="ANC65" s="120"/>
      <c r="AND65" s="467"/>
      <c r="ANE65" s="440"/>
      <c r="AOA65" s="436"/>
      <c r="AOB65" s="120"/>
      <c r="AOC65" s="120"/>
      <c r="AOD65" s="467"/>
      <c r="AOE65" s="440"/>
      <c r="APA65" s="436"/>
      <c r="APB65" s="120"/>
      <c r="APC65" s="120"/>
      <c r="APD65" s="467"/>
      <c r="APE65" s="440"/>
      <c r="AQA65" s="436"/>
      <c r="AQB65" s="120"/>
      <c r="AQC65" s="120"/>
      <c r="AQD65" s="467"/>
      <c r="AQE65" s="440"/>
      <c r="ARA65" s="436"/>
      <c r="ARB65" s="120"/>
      <c r="ARC65" s="120"/>
      <c r="ARD65" s="467"/>
      <c r="ARE65" s="440"/>
      <c r="ASA65" s="436"/>
      <c r="ASB65" s="120"/>
      <c r="ASC65" s="120"/>
      <c r="ASD65" s="467"/>
      <c r="ASE65" s="440"/>
      <c r="ATA65" s="436"/>
      <c r="ATB65" s="120"/>
      <c r="ATC65" s="120"/>
      <c r="ATD65" s="467"/>
      <c r="ATE65" s="440"/>
      <c r="AUA65" s="436"/>
      <c r="AUB65" s="120"/>
      <c r="AUC65" s="120"/>
      <c r="AUD65" s="467"/>
      <c r="AUE65" s="440"/>
      <c r="AVA65" s="436"/>
      <c r="AVB65" s="120"/>
      <c r="AVC65" s="120"/>
      <c r="AVD65" s="467"/>
      <c r="AVE65" s="440"/>
      <c r="AWA65" s="436"/>
      <c r="AWB65" s="120"/>
      <c r="AWC65" s="120"/>
      <c r="AWD65" s="467"/>
      <c r="AWE65" s="440"/>
      <c r="AXA65" s="436"/>
      <c r="AXB65" s="120"/>
      <c r="AXC65" s="120"/>
      <c r="AXD65" s="467"/>
      <c r="AXE65" s="440"/>
      <c r="AYA65" s="436"/>
      <c r="AYB65" s="120"/>
      <c r="AYC65" s="120"/>
      <c r="AYD65" s="467"/>
      <c r="AYE65" s="440"/>
      <c r="AZA65" s="436"/>
      <c r="AZB65" s="120"/>
      <c r="AZC65" s="120"/>
      <c r="AZD65" s="467"/>
      <c r="AZE65" s="440"/>
      <c r="BAA65" s="436"/>
      <c r="BAB65" s="120"/>
      <c r="BAC65" s="120"/>
      <c r="BAD65" s="467"/>
      <c r="BAE65" s="440"/>
      <c r="BBA65" s="436"/>
      <c r="BBB65" s="120"/>
      <c r="BBC65" s="120"/>
      <c r="BBD65" s="467"/>
      <c r="BBE65" s="440"/>
      <c r="BCA65" s="436"/>
      <c r="BCB65" s="120"/>
      <c r="BCC65" s="120"/>
      <c r="BCD65" s="467"/>
      <c r="BCE65" s="440"/>
      <c r="BDA65" s="436"/>
      <c r="BDB65" s="120"/>
      <c r="BDC65" s="120"/>
      <c r="BDD65" s="467"/>
      <c r="BDE65" s="440"/>
      <c r="BEA65" s="436"/>
      <c r="BEB65" s="120"/>
      <c r="BEC65" s="120"/>
      <c r="BED65" s="467"/>
      <c r="BEE65" s="440"/>
      <c r="BFA65" s="436"/>
      <c r="BFB65" s="120"/>
      <c r="BFC65" s="120"/>
      <c r="BFD65" s="467"/>
      <c r="BFE65" s="440"/>
      <c r="BGA65" s="436"/>
      <c r="BGB65" s="120"/>
      <c r="BGC65" s="120"/>
      <c r="BGD65" s="467"/>
      <c r="BGE65" s="440"/>
      <c r="BHA65" s="436"/>
      <c r="BHB65" s="120"/>
      <c r="BHC65" s="120"/>
      <c r="BHD65" s="467"/>
      <c r="BHE65" s="440"/>
      <c r="BIA65" s="436"/>
      <c r="BIB65" s="120"/>
      <c r="BIC65" s="120"/>
      <c r="BID65" s="467"/>
      <c r="BIE65" s="440"/>
      <c r="BJA65" s="436"/>
      <c r="BJB65" s="120"/>
      <c r="BJC65" s="120"/>
      <c r="BJD65" s="467"/>
      <c r="BJE65" s="440"/>
      <c r="BKA65" s="436"/>
      <c r="BKB65" s="120"/>
      <c r="BKC65" s="120"/>
      <c r="BKD65" s="467"/>
      <c r="BKE65" s="440"/>
      <c r="BLA65" s="436"/>
      <c r="BLB65" s="120"/>
      <c r="BLC65" s="120"/>
      <c r="BLD65" s="467"/>
      <c r="BLE65" s="440"/>
      <c r="BMA65" s="436"/>
      <c r="BMB65" s="120"/>
      <c r="BMC65" s="120"/>
      <c r="BMD65" s="467"/>
      <c r="BME65" s="440"/>
      <c r="BNA65" s="436"/>
      <c r="BNB65" s="120"/>
      <c r="BNC65" s="120"/>
      <c r="BND65" s="467"/>
      <c r="BNE65" s="440"/>
      <c r="BOA65" s="436"/>
      <c r="BOB65" s="120"/>
      <c r="BOC65" s="120"/>
      <c r="BOD65" s="467"/>
      <c r="BOE65" s="440"/>
      <c r="BPA65" s="436"/>
      <c r="BPB65" s="120"/>
      <c r="BPC65" s="120"/>
      <c r="BPD65" s="467"/>
      <c r="BPE65" s="440"/>
      <c r="BQA65" s="436"/>
      <c r="BQB65" s="120"/>
      <c r="BQC65" s="120"/>
      <c r="BQD65" s="467"/>
      <c r="BQE65" s="440"/>
      <c r="BRA65" s="436"/>
      <c r="BRB65" s="120"/>
      <c r="BRC65" s="120"/>
      <c r="BRD65" s="467"/>
      <c r="BRE65" s="440"/>
    </row>
    <row r="66" spans="1:1019 1041:1825">
      <c r="B66" s="114" t="s">
        <v>1517</v>
      </c>
      <c r="AA66" s="436"/>
      <c r="AB66" s="120"/>
      <c r="AC66" s="120"/>
      <c r="AD66" s="467"/>
      <c r="AE66" s="440"/>
      <c r="BA66" s="436"/>
      <c r="BB66" s="120"/>
      <c r="BC66" s="120"/>
      <c r="BD66" s="467"/>
      <c r="BE66" s="440"/>
      <c r="CA66" s="436"/>
      <c r="CB66" s="120"/>
      <c r="CC66" s="120"/>
      <c r="CD66" s="467"/>
      <c r="CE66" s="440"/>
      <c r="DA66" s="436"/>
      <c r="DB66" s="120"/>
      <c r="DC66" s="120"/>
      <c r="DD66" s="467"/>
      <c r="DE66" s="440"/>
      <c r="EA66" s="436"/>
      <c r="EB66" s="120"/>
      <c r="EC66" s="120"/>
      <c r="ED66" s="467"/>
      <c r="EE66" s="440"/>
      <c r="FA66" s="436"/>
      <c r="FB66" s="120"/>
      <c r="FC66" s="120"/>
      <c r="FD66" s="467"/>
      <c r="FE66" s="440"/>
      <c r="GA66" s="436"/>
      <c r="GB66" s="120"/>
      <c r="GC66" s="120"/>
      <c r="GD66" s="467"/>
      <c r="GE66" s="440"/>
      <c r="HA66" s="436"/>
      <c r="HB66" s="120"/>
      <c r="HC66" s="120"/>
      <c r="HD66" s="467"/>
      <c r="HE66" s="440"/>
      <c r="IA66" s="436"/>
      <c r="IB66" s="120"/>
      <c r="IC66" s="120"/>
      <c r="ID66" s="467"/>
      <c r="IE66" s="440"/>
      <c r="JA66" s="436"/>
      <c r="JB66" s="120"/>
      <c r="JC66" s="120"/>
      <c r="JD66" s="467"/>
      <c r="JE66" s="440"/>
      <c r="KA66" s="436"/>
      <c r="KB66" s="120"/>
      <c r="KC66" s="120"/>
      <c r="KD66" s="467"/>
      <c r="KE66" s="440"/>
      <c r="LA66" s="436"/>
      <c r="LB66" s="120"/>
      <c r="LC66" s="120"/>
      <c r="LD66" s="467"/>
      <c r="LE66" s="440"/>
      <c r="MA66" s="436"/>
      <c r="MB66" s="120"/>
      <c r="MC66" s="120"/>
      <c r="MD66" s="467"/>
      <c r="ME66" s="440"/>
      <c r="NA66" s="436"/>
      <c r="NB66" s="120"/>
      <c r="NC66" s="120"/>
      <c r="ND66" s="467"/>
      <c r="NE66" s="440"/>
      <c r="OA66" s="436"/>
      <c r="OB66" s="120"/>
      <c r="OC66" s="120"/>
      <c r="OD66" s="467"/>
      <c r="OE66" s="440"/>
      <c r="PA66" s="436"/>
      <c r="PB66" s="120"/>
      <c r="PC66" s="120"/>
      <c r="PD66" s="467"/>
      <c r="PE66" s="440"/>
      <c r="QA66" s="436"/>
      <c r="QB66" s="120"/>
      <c r="QC66" s="120"/>
      <c r="QD66" s="467"/>
      <c r="QE66" s="440"/>
      <c r="RA66" s="436"/>
      <c r="RB66" s="120"/>
      <c r="RC66" s="120"/>
      <c r="RD66" s="467"/>
      <c r="RE66" s="440"/>
      <c r="SA66" s="436"/>
      <c r="SB66" s="120"/>
      <c r="SC66" s="120"/>
      <c r="SD66" s="467"/>
      <c r="SE66" s="440"/>
      <c r="TA66" s="436"/>
      <c r="TB66" s="120"/>
      <c r="TC66" s="120"/>
      <c r="TD66" s="467"/>
      <c r="TE66" s="440"/>
      <c r="UA66" s="436"/>
      <c r="UB66" s="120"/>
      <c r="UC66" s="120"/>
      <c r="UD66" s="467"/>
      <c r="UE66" s="440"/>
      <c r="VA66" s="436"/>
      <c r="VB66" s="120"/>
      <c r="VC66" s="120"/>
      <c r="VD66" s="467"/>
      <c r="VE66" s="440"/>
      <c r="WA66" s="436"/>
      <c r="WB66" s="120"/>
      <c r="WC66" s="120"/>
      <c r="WD66" s="467"/>
      <c r="WE66" s="440"/>
      <c r="XA66" s="436"/>
      <c r="XB66" s="120"/>
      <c r="XC66" s="120"/>
      <c r="XD66" s="467"/>
      <c r="XE66" s="440"/>
      <c r="YA66" s="436"/>
      <c r="YB66" s="120"/>
      <c r="YC66" s="120"/>
      <c r="YD66" s="467"/>
      <c r="YE66" s="440"/>
      <c r="ZA66" s="436"/>
      <c r="ZB66" s="120"/>
      <c r="ZC66" s="120"/>
      <c r="ZD66" s="467"/>
      <c r="ZE66" s="440"/>
      <c r="AAA66" s="436"/>
      <c r="AAB66" s="120"/>
      <c r="AAC66" s="120"/>
      <c r="AAD66" s="467"/>
      <c r="AAE66" s="440"/>
      <c r="ABA66" s="436"/>
      <c r="ABB66" s="120"/>
      <c r="ABC66" s="120"/>
      <c r="ABD66" s="467"/>
      <c r="ABE66" s="440"/>
      <c r="ACA66" s="436"/>
      <c r="ACB66" s="120"/>
      <c r="ACC66" s="120"/>
      <c r="ACD66" s="467"/>
      <c r="ACE66" s="440"/>
      <c r="ADA66" s="436"/>
      <c r="ADB66" s="120"/>
      <c r="ADC66" s="120"/>
      <c r="ADD66" s="467"/>
      <c r="ADE66" s="440"/>
      <c r="AEA66" s="436"/>
      <c r="AEB66" s="120"/>
      <c r="AEC66" s="120"/>
      <c r="AED66" s="467"/>
      <c r="AEE66" s="440"/>
      <c r="AFA66" s="436"/>
      <c r="AFB66" s="120"/>
      <c r="AFC66" s="120"/>
      <c r="AFD66" s="467"/>
      <c r="AFE66" s="440"/>
      <c r="AGA66" s="436"/>
      <c r="AGB66" s="120"/>
      <c r="AGC66" s="120"/>
      <c r="AGD66" s="467"/>
      <c r="AGE66" s="440"/>
      <c r="AHA66" s="436"/>
      <c r="AHB66" s="120"/>
      <c r="AHC66" s="120"/>
      <c r="AHD66" s="467"/>
      <c r="AHE66" s="440"/>
      <c r="AIA66" s="436"/>
      <c r="AIB66" s="120"/>
      <c r="AIC66" s="120"/>
      <c r="AID66" s="467"/>
      <c r="AIE66" s="440"/>
      <c r="AJA66" s="436"/>
      <c r="AJB66" s="120"/>
      <c r="AJC66" s="120"/>
      <c r="AJD66" s="467"/>
      <c r="AJE66" s="440"/>
      <c r="AKA66" s="436"/>
      <c r="AKB66" s="120"/>
      <c r="AKC66" s="120"/>
      <c r="AKD66" s="467"/>
      <c r="AKE66" s="440"/>
      <c r="ALA66" s="436"/>
      <c r="ALB66" s="120"/>
      <c r="ALC66" s="120"/>
      <c r="ALD66" s="467"/>
      <c r="ALE66" s="440"/>
      <c r="AMA66" s="436"/>
      <c r="AMB66" s="120"/>
      <c r="AMC66" s="120"/>
      <c r="AMD66" s="467"/>
      <c r="AME66" s="440"/>
      <c r="ANA66" s="436"/>
      <c r="ANB66" s="120"/>
      <c r="ANC66" s="120"/>
      <c r="AND66" s="467"/>
      <c r="ANE66" s="440"/>
      <c r="AOA66" s="436"/>
      <c r="AOB66" s="120"/>
      <c r="AOC66" s="120"/>
      <c r="AOD66" s="467"/>
      <c r="AOE66" s="440"/>
      <c r="APA66" s="436"/>
      <c r="APB66" s="120"/>
      <c r="APC66" s="120"/>
      <c r="APD66" s="467"/>
      <c r="APE66" s="440"/>
      <c r="AQA66" s="436"/>
      <c r="AQB66" s="120"/>
      <c r="AQC66" s="120"/>
      <c r="AQD66" s="467"/>
      <c r="AQE66" s="440"/>
      <c r="ARA66" s="436"/>
      <c r="ARB66" s="120"/>
      <c r="ARC66" s="120"/>
      <c r="ARD66" s="467"/>
      <c r="ARE66" s="440"/>
      <c r="ASA66" s="436"/>
      <c r="ASB66" s="120"/>
      <c r="ASC66" s="120"/>
      <c r="ASD66" s="467"/>
      <c r="ASE66" s="440"/>
      <c r="ATA66" s="436"/>
      <c r="ATB66" s="120"/>
      <c r="ATC66" s="120"/>
      <c r="ATD66" s="467"/>
      <c r="ATE66" s="440"/>
      <c r="AUA66" s="436"/>
      <c r="AUB66" s="120"/>
      <c r="AUC66" s="120"/>
      <c r="AUD66" s="467"/>
      <c r="AUE66" s="440"/>
      <c r="AVA66" s="436"/>
      <c r="AVB66" s="120"/>
      <c r="AVC66" s="120"/>
      <c r="AVD66" s="467"/>
      <c r="AVE66" s="440"/>
      <c r="AWA66" s="436"/>
      <c r="AWB66" s="120"/>
      <c r="AWC66" s="120"/>
      <c r="AWD66" s="467"/>
      <c r="AWE66" s="440"/>
      <c r="AXA66" s="436"/>
      <c r="AXB66" s="120"/>
      <c r="AXC66" s="120"/>
      <c r="AXD66" s="467"/>
      <c r="AXE66" s="440"/>
      <c r="AYA66" s="436"/>
      <c r="AYB66" s="120"/>
      <c r="AYC66" s="120"/>
      <c r="AYD66" s="467"/>
      <c r="AYE66" s="440"/>
      <c r="AZA66" s="436"/>
      <c r="AZB66" s="120"/>
      <c r="AZC66" s="120"/>
      <c r="AZD66" s="467"/>
      <c r="AZE66" s="440"/>
      <c r="BAA66" s="436"/>
      <c r="BAB66" s="120"/>
      <c r="BAC66" s="120"/>
      <c r="BAD66" s="467"/>
      <c r="BAE66" s="440"/>
      <c r="BBA66" s="436"/>
      <c r="BBB66" s="120"/>
      <c r="BBC66" s="120"/>
      <c r="BBD66" s="467"/>
      <c r="BBE66" s="440"/>
      <c r="BCA66" s="436"/>
      <c r="BCB66" s="120"/>
      <c r="BCC66" s="120"/>
      <c r="BCD66" s="467"/>
      <c r="BCE66" s="440"/>
      <c r="BDA66" s="436"/>
      <c r="BDB66" s="120"/>
      <c r="BDC66" s="120"/>
      <c r="BDD66" s="467"/>
      <c r="BDE66" s="440"/>
      <c r="BEA66" s="436"/>
      <c r="BEB66" s="120"/>
      <c r="BEC66" s="120"/>
      <c r="BED66" s="467"/>
      <c r="BEE66" s="440"/>
      <c r="BFA66" s="436"/>
      <c r="BFB66" s="120"/>
      <c r="BFC66" s="120"/>
      <c r="BFD66" s="467"/>
      <c r="BFE66" s="440"/>
      <c r="BGA66" s="436"/>
      <c r="BGB66" s="120"/>
      <c r="BGC66" s="120"/>
      <c r="BGD66" s="467"/>
      <c r="BGE66" s="440"/>
      <c r="BHA66" s="436"/>
      <c r="BHB66" s="120"/>
      <c r="BHC66" s="120"/>
      <c r="BHD66" s="467"/>
      <c r="BHE66" s="440"/>
      <c r="BIA66" s="436"/>
      <c r="BIB66" s="120"/>
      <c r="BIC66" s="120"/>
      <c r="BID66" s="467"/>
      <c r="BIE66" s="440"/>
      <c r="BJA66" s="436"/>
      <c r="BJB66" s="120"/>
      <c r="BJC66" s="120"/>
      <c r="BJD66" s="467"/>
      <c r="BJE66" s="440"/>
      <c r="BKA66" s="436"/>
      <c r="BKB66" s="120"/>
      <c r="BKC66" s="120"/>
      <c r="BKD66" s="467"/>
      <c r="BKE66" s="440"/>
      <c r="BLA66" s="436"/>
      <c r="BLB66" s="120"/>
      <c r="BLC66" s="120"/>
      <c r="BLD66" s="467"/>
      <c r="BLE66" s="440"/>
      <c r="BMA66" s="436"/>
      <c r="BMB66" s="120"/>
      <c r="BMC66" s="120"/>
      <c r="BMD66" s="467"/>
      <c r="BME66" s="440"/>
      <c r="BNA66" s="436"/>
      <c r="BNB66" s="120"/>
      <c r="BNC66" s="120"/>
      <c r="BND66" s="467"/>
      <c r="BNE66" s="440"/>
      <c r="BOA66" s="436"/>
      <c r="BOB66" s="120"/>
      <c r="BOC66" s="120"/>
      <c r="BOD66" s="467"/>
      <c r="BOE66" s="440"/>
      <c r="BPA66" s="436"/>
      <c r="BPB66" s="120"/>
      <c r="BPC66" s="120"/>
      <c r="BPD66" s="467"/>
      <c r="BPE66" s="440"/>
      <c r="BQA66" s="436"/>
      <c r="BQB66" s="120"/>
      <c r="BQC66" s="120"/>
      <c r="BQD66" s="467"/>
      <c r="BQE66" s="440"/>
      <c r="BRA66" s="436"/>
      <c r="BRB66" s="120"/>
      <c r="BRC66" s="120"/>
      <c r="BRD66" s="467"/>
      <c r="BRE66" s="440"/>
    </row>
    <row r="67" spans="1:1019 1041:1825">
      <c r="A67" s="1036"/>
      <c r="B67" s="114" t="s">
        <v>1518</v>
      </c>
      <c r="AA67" s="436"/>
      <c r="AB67" s="120"/>
      <c r="AC67" s="120"/>
      <c r="AD67" s="467"/>
      <c r="AE67" s="440"/>
      <c r="BA67" s="436"/>
      <c r="BB67" s="120"/>
      <c r="BC67" s="120"/>
      <c r="BD67" s="467"/>
      <c r="BE67" s="440"/>
      <c r="CA67" s="436"/>
      <c r="CB67" s="120"/>
      <c r="CC67" s="120"/>
      <c r="CD67" s="467"/>
      <c r="CE67" s="440"/>
      <c r="DA67" s="436"/>
      <c r="DB67" s="120"/>
      <c r="DC67" s="120"/>
      <c r="DD67" s="467"/>
      <c r="DE67" s="440"/>
      <c r="EA67" s="436"/>
      <c r="EB67" s="120"/>
      <c r="EC67" s="120"/>
      <c r="ED67" s="467"/>
      <c r="EE67" s="440"/>
      <c r="FA67" s="436"/>
      <c r="FB67" s="120"/>
      <c r="FC67" s="120"/>
      <c r="FD67" s="467"/>
      <c r="FE67" s="440"/>
      <c r="GA67" s="436"/>
      <c r="GB67" s="120"/>
      <c r="GC67" s="120"/>
      <c r="GD67" s="467"/>
      <c r="GE67" s="440"/>
      <c r="HA67" s="436"/>
      <c r="HB67" s="120"/>
      <c r="HC67" s="120"/>
      <c r="HD67" s="467"/>
      <c r="HE67" s="440"/>
      <c r="IA67" s="436"/>
      <c r="IB67" s="120"/>
      <c r="IC67" s="120"/>
      <c r="ID67" s="467"/>
      <c r="IE67" s="440"/>
      <c r="JA67" s="436"/>
      <c r="JB67" s="120"/>
      <c r="JC67" s="120"/>
      <c r="JD67" s="467"/>
      <c r="JE67" s="440"/>
      <c r="KA67" s="436"/>
      <c r="KB67" s="120"/>
      <c r="KC67" s="120"/>
      <c r="KD67" s="467"/>
      <c r="KE67" s="440"/>
      <c r="LA67" s="436"/>
      <c r="LB67" s="120"/>
      <c r="LC67" s="120"/>
      <c r="LD67" s="467"/>
      <c r="LE67" s="440"/>
      <c r="MA67" s="436"/>
      <c r="MB67" s="120"/>
      <c r="MC67" s="120"/>
      <c r="MD67" s="467"/>
      <c r="ME67" s="440"/>
      <c r="NA67" s="436"/>
      <c r="NB67" s="120"/>
      <c r="NC67" s="120"/>
      <c r="ND67" s="467"/>
      <c r="NE67" s="440"/>
      <c r="OA67" s="436"/>
      <c r="OB67" s="120"/>
      <c r="OC67" s="120"/>
      <c r="OD67" s="467"/>
      <c r="OE67" s="440"/>
      <c r="PA67" s="436"/>
      <c r="PB67" s="120"/>
      <c r="PC67" s="120"/>
      <c r="PD67" s="467"/>
      <c r="PE67" s="440"/>
      <c r="QA67" s="436"/>
      <c r="QB67" s="120"/>
      <c r="QC67" s="120"/>
      <c r="QD67" s="467"/>
      <c r="QE67" s="440"/>
      <c r="RA67" s="436"/>
      <c r="RB67" s="120"/>
      <c r="RC67" s="120"/>
      <c r="RD67" s="467"/>
      <c r="RE67" s="440"/>
      <c r="SA67" s="436"/>
      <c r="SB67" s="120"/>
      <c r="SC67" s="120"/>
      <c r="SD67" s="467"/>
      <c r="SE67" s="440"/>
      <c r="TA67" s="436"/>
      <c r="TB67" s="120"/>
      <c r="TC67" s="120"/>
      <c r="TD67" s="467"/>
      <c r="TE67" s="440"/>
      <c r="UA67" s="436"/>
      <c r="UB67" s="120"/>
      <c r="UC67" s="120"/>
      <c r="UD67" s="467"/>
      <c r="UE67" s="440"/>
      <c r="VA67" s="436"/>
      <c r="VB67" s="120"/>
      <c r="VC67" s="120"/>
      <c r="VD67" s="467"/>
      <c r="VE67" s="440"/>
      <c r="WA67" s="436"/>
      <c r="WB67" s="120"/>
      <c r="WC67" s="120"/>
      <c r="WD67" s="467"/>
      <c r="WE67" s="440"/>
      <c r="XA67" s="436"/>
      <c r="XB67" s="120"/>
      <c r="XC67" s="120"/>
      <c r="XD67" s="467"/>
      <c r="XE67" s="440"/>
      <c r="YA67" s="436"/>
      <c r="YB67" s="120"/>
      <c r="YC67" s="120"/>
      <c r="YD67" s="467"/>
      <c r="YE67" s="440"/>
      <c r="ZA67" s="436"/>
      <c r="ZB67" s="120"/>
      <c r="ZC67" s="120"/>
      <c r="ZD67" s="467"/>
      <c r="ZE67" s="440"/>
      <c r="AAA67" s="436"/>
      <c r="AAB67" s="120"/>
      <c r="AAC67" s="120"/>
      <c r="AAD67" s="467"/>
      <c r="AAE67" s="440"/>
      <c r="ABA67" s="436"/>
      <c r="ABB67" s="120"/>
      <c r="ABC67" s="120"/>
      <c r="ABD67" s="467"/>
      <c r="ABE67" s="440"/>
      <c r="ACA67" s="436"/>
      <c r="ACB67" s="120"/>
      <c r="ACC67" s="120"/>
      <c r="ACD67" s="467"/>
      <c r="ACE67" s="440"/>
      <c r="ADA67" s="436"/>
      <c r="ADB67" s="120"/>
      <c r="ADC67" s="120"/>
      <c r="ADD67" s="467"/>
      <c r="ADE67" s="440"/>
      <c r="AEA67" s="436"/>
      <c r="AEB67" s="120"/>
      <c r="AEC67" s="120"/>
      <c r="AED67" s="467"/>
      <c r="AEE67" s="440"/>
      <c r="AFA67" s="436"/>
      <c r="AFB67" s="120"/>
      <c r="AFC67" s="120"/>
      <c r="AFD67" s="467"/>
      <c r="AFE67" s="440"/>
      <c r="AGA67" s="436"/>
      <c r="AGB67" s="120"/>
      <c r="AGC67" s="120"/>
      <c r="AGD67" s="467"/>
      <c r="AGE67" s="440"/>
      <c r="AHA67" s="436"/>
      <c r="AHB67" s="120"/>
      <c r="AHC67" s="120"/>
      <c r="AHD67" s="467"/>
      <c r="AHE67" s="440"/>
      <c r="AIA67" s="436"/>
      <c r="AIB67" s="120"/>
      <c r="AIC67" s="120"/>
      <c r="AID67" s="467"/>
      <c r="AIE67" s="440"/>
      <c r="AJA67" s="436"/>
      <c r="AJB67" s="120"/>
      <c r="AJC67" s="120"/>
      <c r="AJD67" s="467"/>
      <c r="AJE67" s="440"/>
      <c r="AKA67" s="436"/>
      <c r="AKB67" s="120"/>
      <c r="AKC67" s="120"/>
      <c r="AKD67" s="467"/>
      <c r="AKE67" s="440"/>
      <c r="ALA67" s="436"/>
      <c r="ALB67" s="120"/>
      <c r="ALC67" s="120"/>
      <c r="ALD67" s="467"/>
      <c r="ALE67" s="440"/>
      <c r="AMA67" s="436"/>
      <c r="AMB67" s="120"/>
      <c r="AMC67" s="120"/>
      <c r="AMD67" s="467"/>
      <c r="AME67" s="440"/>
      <c r="ANA67" s="436"/>
      <c r="ANB67" s="120"/>
      <c r="ANC67" s="120"/>
      <c r="AND67" s="467"/>
      <c r="ANE67" s="440"/>
      <c r="AOA67" s="436"/>
      <c r="AOB67" s="120"/>
      <c r="AOC67" s="120"/>
      <c r="AOD67" s="467"/>
      <c r="AOE67" s="440"/>
      <c r="APA67" s="436"/>
      <c r="APB67" s="120"/>
      <c r="APC67" s="120"/>
      <c r="APD67" s="467"/>
      <c r="APE67" s="440"/>
      <c r="AQA67" s="436"/>
      <c r="AQB67" s="120"/>
      <c r="AQC67" s="120"/>
      <c r="AQD67" s="467"/>
      <c r="AQE67" s="440"/>
      <c r="ARA67" s="436"/>
      <c r="ARB67" s="120"/>
      <c r="ARC67" s="120"/>
      <c r="ARD67" s="467"/>
      <c r="ARE67" s="440"/>
      <c r="ASA67" s="436"/>
      <c r="ASB67" s="120"/>
      <c r="ASC67" s="120"/>
      <c r="ASD67" s="467"/>
      <c r="ASE67" s="440"/>
      <c r="ATA67" s="436"/>
      <c r="ATB67" s="120"/>
      <c r="ATC67" s="120"/>
      <c r="ATD67" s="467"/>
      <c r="ATE67" s="440"/>
      <c r="AUA67" s="436"/>
      <c r="AUB67" s="120"/>
      <c r="AUC67" s="120"/>
      <c r="AUD67" s="467"/>
      <c r="AUE67" s="440"/>
      <c r="AVA67" s="436"/>
      <c r="AVB67" s="120"/>
      <c r="AVC67" s="120"/>
      <c r="AVD67" s="467"/>
      <c r="AVE67" s="440"/>
      <c r="AWA67" s="436"/>
      <c r="AWB67" s="120"/>
      <c r="AWC67" s="120"/>
      <c r="AWD67" s="467"/>
      <c r="AWE67" s="440"/>
      <c r="AXA67" s="436"/>
      <c r="AXB67" s="120"/>
      <c r="AXC67" s="120"/>
      <c r="AXD67" s="467"/>
      <c r="AXE67" s="440"/>
      <c r="AYA67" s="436"/>
      <c r="AYB67" s="120"/>
      <c r="AYC67" s="120"/>
      <c r="AYD67" s="467"/>
      <c r="AYE67" s="440"/>
      <c r="AZA67" s="436"/>
      <c r="AZB67" s="120"/>
      <c r="AZC67" s="120"/>
      <c r="AZD67" s="467"/>
      <c r="AZE67" s="440"/>
      <c r="BAA67" s="436"/>
      <c r="BAB67" s="120"/>
      <c r="BAC67" s="120"/>
      <c r="BAD67" s="467"/>
      <c r="BAE67" s="440"/>
      <c r="BBA67" s="436"/>
      <c r="BBB67" s="120"/>
      <c r="BBC67" s="120"/>
      <c r="BBD67" s="467"/>
      <c r="BBE67" s="440"/>
      <c r="BCA67" s="436"/>
      <c r="BCB67" s="120"/>
      <c r="BCC67" s="120"/>
      <c r="BCD67" s="467"/>
      <c r="BCE67" s="440"/>
      <c r="BDA67" s="436"/>
      <c r="BDB67" s="120"/>
      <c r="BDC67" s="120"/>
      <c r="BDD67" s="467"/>
      <c r="BDE67" s="440"/>
      <c r="BEA67" s="436"/>
      <c r="BEB67" s="120"/>
      <c r="BEC67" s="120"/>
      <c r="BED67" s="467"/>
      <c r="BEE67" s="440"/>
      <c r="BFA67" s="436"/>
      <c r="BFB67" s="120"/>
      <c r="BFC67" s="120"/>
      <c r="BFD67" s="467"/>
      <c r="BFE67" s="440"/>
      <c r="BGA67" s="436"/>
      <c r="BGB67" s="120"/>
      <c r="BGC67" s="120"/>
      <c r="BGD67" s="467"/>
      <c r="BGE67" s="440"/>
      <c r="BHA67" s="436"/>
      <c r="BHB67" s="120"/>
      <c r="BHC67" s="120"/>
      <c r="BHD67" s="467"/>
      <c r="BHE67" s="440"/>
      <c r="BIA67" s="436"/>
      <c r="BIB67" s="120"/>
      <c r="BIC67" s="120"/>
      <c r="BID67" s="467"/>
      <c r="BIE67" s="440"/>
      <c r="BJA67" s="436"/>
      <c r="BJB67" s="120"/>
      <c r="BJC67" s="120"/>
      <c r="BJD67" s="467"/>
      <c r="BJE67" s="440"/>
      <c r="BKA67" s="436"/>
      <c r="BKB67" s="120"/>
      <c r="BKC67" s="120"/>
      <c r="BKD67" s="467"/>
      <c r="BKE67" s="440"/>
      <c r="BLA67" s="436"/>
      <c r="BLB67" s="120"/>
      <c r="BLC67" s="120"/>
      <c r="BLD67" s="467"/>
      <c r="BLE67" s="440"/>
      <c r="BMA67" s="436"/>
      <c r="BMB67" s="120"/>
      <c r="BMC67" s="120"/>
      <c r="BMD67" s="467"/>
      <c r="BME67" s="440"/>
      <c r="BNA67" s="436"/>
      <c r="BNB67" s="120"/>
      <c r="BNC67" s="120"/>
      <c r="BND67" s="467"/>
      <c r="BNE67" s="440"/>
      <c r="BOA67" s="436"/>
      <c r="BOB67" s="120"/>
      <c r="BOC67" s="120"/>
      <c r="BOD67" s="467"/>
      <c r="BOE67" s="440"/>
      <c r="BPA67" s="436"/>
      <c r="BPB67" s="120"/>
      <c r="BPC67" s="120"/>
      <c r="BPD67" s="467"/>
      <c r="BPE67" s="440"/>
      <c r="BQA67" s="436"/>
      <c r="BQB67" s="120"/>
      <c r="BQC67" s="120"/>
      <c r="BQD67" s="467"/>
      <c r="BQE67" s="440"/>
      <c r="BRA67" s="436"/>
      <c r="BRB67" s="120"/>
      <c r="BRC67" s="120"/>
      <c r="BRD67" s="467"/>
      <c r="BRE67" s="440"/>
    </row>
    <row r="68" spans="1:1019 1041:1825">
      <c r="B68" s="114" t="s">
        <v>1519</v>
      </c>
      <c r="AA68" s="436"/>
      <c r="AB68" s="120"/>
      <c r="AC68" s="120"/>
      <c r="AD68" s="467"/>
      <c r="AE68" s="440"/>
      <c r="BA68" s="436"/>
      <c r="BB68" s="120"/>
      <c r="BC68" s="120"/>
      <c r="BD68" s="467"/>
      <c r="BE68" s="440"/>
      <c r="CA68" s="436"/>
      <c r="CB68" s="120"/>
      <c r="CC68" s="120"/>
      <c r="CD68" s="467"/>
      <c r="CE68" s="440"/>
      <c r="DA68" s="436"/>
      <c r="DB68" s="120"/>
      <c r="DC68" s="120"/>
      <c r="DD68" s="467"/>
      <c r="DE68" s="440"/>
      <c r="EA68" s="436"/>
      <c r="EB68" s="120"/>
      <c r="EC68" s="120"/>
      <c r="ED68" s="467"/>
      <c r="EE68" s="440"/>
      <c r="FA68" s="436"/>
      <c r="FB68" s="120"/>
      <c r="FC68" s="120"/>
      <c r="FD68" s="467"/>
      <c r="FE68" s="440"/>
      <c r="GA68" s="436"/>
      <c r="GB68" s="120"/>
      <c r="GC68" s="120"/>
      <c r="GD68" s="467"/>
      <c r="GE68" s="440"/>
      <c r="HA68" s="436"/>
      <c r="HB68" s="120"/>
      <c r="HC68" s="120"/>
      <c r="HD68" s="467"/>
      <c r="HE68" s="440"/>
      <c r="IA68" s="436"/>
      <c r="IB68" s="120"/>
      <c r="IC68" s="120"/>
      <c r="ID68" s="467"/>
      <c r="IE68" s="440"/>
      <c r="JA68" s="436"/>
      <c r="JB68" s="120"/>
      <c r="JC68" s="120"/>
      <c r="JD68" s="467"/>
      <c r="JE68" s="440"/>
      <c r="KA68" s="436"/>
      <c r="KB68" s="120"/>
      <c r="KC68" s="120"/>
      <c r="KD68" s="467"/>
      <c r="KE68" s="440"/>
      <c r="LA68" s="436"/>
      <c r="LB68" s="120"/>
      <c r="LC68" s="120"/>
      <c r="LD68" s="467"/>
      <c r="LE68" s="440"/>
      <c r="MA68" s="436"/>
      <c r="MB68" s="120"/>
      <c r="MC68" s="120"/>
      <c r="MD68" s="467"/>
      <c r="ME68" s="440"/>
      <c r="NA68" s="436"/>
      <c r="NB68" s="120"/>
      <c r="NC68" s="120"/>
      <c r="ND68" s="467"/>
      <c r="NE68" s="440"/>
      <c r="OA68" s="436"/>
      <c r="OB68" s="120"/>
      <c r="OC68" s="120"/>
      <c r="OD68" s="467"/>
      <c r="OE68" s="440"/>
      <c r="PA68" s="436"/>
      <c r="PB68" s="120"/>
      <c r="PC68" s="120"/>
      <c r="PD68" s="467"/>
      <c r="PE68" s="440"/>
      <c r="QA68" s="436"/>
      <c r="QB68" s="120"/>
      <c r="QC68" s="120"/>
      <c r="QD68" s="467"/>
      <c r="QE68" s="440"/>
      <c r="RA68" s="436"/>
      <c r="RB68" s="120"/>
      <c r="RC68" s="120"/>
      <c r="RD68" s="467"/>
      <c r="RE68" s="440"/>
      <c r="SA68" s="436"/>
      <c r="SB68" s="120"/>
      <c r="SC68" s="120"/>
      <c r="SD68" s="467"/>
      <c r="SE68" s="440"/>
      <c r="TA68" s="436"/>
      <c r="TB68" s="120"/>
      <c r="TC68" s="120"/>
      <c r="TD68" s="467"/>
      <c r="TE68" s="440"/>
      <c r="UA68" s="436"/>
      <c r="UB68" s="120"/>
      <c r="UC68" s="120"/>
      <c r="UD68" s="467"/>
      <c r="UE68" s="440"/>
      <c r="VA68" s="436"/>
      <c r="VB68" s="120"/>
      <c r="VC68" s="120"/>
      <c r="VD68" s="467"/>
      <c r="VE68" s="440"/>
      <c r="WA68" s="436"/>
      <c r="WB68" s="120"/>
      <c r="WC68" s="120"/>
      <c r="WD68" s="467"/>
      <c r="WE68" s="440"/>
      <c r="XA68" s="436"/>
      <c r="XB68" s="120"/>
      <c r="XC68" s="120"/>
      <c r="XD68" s="467"/>
      <c r="XE68" s="440"/>
      <c r="YA68" s="436"/>
      <c r="YB68" s="120"/>
      <c r="YC68" s="120"/>
      <c r="YD68" s="467"/>
      <c r="YE68" s="440"/>
      <c r="ZA68" s="436"/>
      <c r="ZB68" s="120"/>
      <c r="ZC68" s="120"/>
      <c r="ZD68" s="467"/>
      <c r="ZE68" s="440"/>
      <c r="AAA68" s="436"/>
      <c r="AAB68" s="120"/>
      <c r="AAC68" s="120"/>
      <c r="AAD68" s="467"/>
      <c r="AAE68" s="440"/>
      <c r="ABA68" s="436"/>
      <c r="ABB68" s="120"/>
      <c r="ABC68" s="120"/>
      <c r="ABD68" s="467"/>
      <c r="ABE68" s="440"/>
      <c r="ACA68" s="436"/>
      <c r="ACB68" s="120"/>
      <c r="ACC68" s="120"/>
      <c r="ACD68" s="467"/>
      <c r="ACE68" s="440"/>
      <c r="ADA68" s="436"/>
      <c r="ADB68" s="120"/>
      <c r="ADC68" s="120"/>
      <c r="ADD68" s="467"/>
      <c r="ADE68" s="440"/>
      <c r="AEA68" s="436"/>
      <c r="AEB68" s="120"/>
      <c r="AEC68" s="120"/>
      <c r="AED68" s="467"/>
      <c r="AEE68" s="440"/>
      <c r="AFA68" s="436"/>
      <c r="AFB68" s="120"/>
      <c r="AFC68" s="120"/>
      <c r="AFD68" s="467"/>
      <c r="AFE68" s="440"/>
      <c r="AGA68" s="436"/>
      <c r="AGB68" s="120"/>
      <c r="AGC68" s="120"/>
      <c r="AGD68" s="467"/>
      <c r="AGE68" s="440"/>
      <c r="AHA68" s="436"/>
      <c r="AHB68" s="120"/>
      <c r="AHC68" s="120"/>
      <c r="AHD68" s="467"/>
      <c r="AHE68" s="440"/>
      <c r="AIA68" s="436"/>
      <c r="AIB68" s="120"/>
      <c r="AIC68" s="120"/>
      <c r="AID68" s="467"/>
      <c r="AIE68" s="440"/>
      <c r="AJA68" s="436"/>
      <c r="AJB68" s="120"/>
      <c r="AJC68" s="120"/>
      <c r="AJD68" s="467"/>
      <c r="AJE68" s="440"/>
      <c r="AKA68" s="436"/>
      <c r="AKB68" s="120"/>
      <c r="AKC68" s="120"/>
      <c r="AKD68" s="467"/>
      <c r="AKE68" s="440"/>
      <c r="ALA68" s="436"/>
      <c r="ALB68" s="120"/>
      <c r="ALC68" s="120"/>
      <c r="ALD68" s="467"/>
      <c r="ALE68" s="440"/>
      <c r="AMA68" s="436"/>
      <c r="AMB68" s="120"/>
      <c r="AMC68" s="120"/>
      <c r="AMD68" s="467"/>
      <c r="AME68" s="440"/>
      <c r="ANA68" s="436"/>
      <c r="ANB68" s="120"/>
      <c r="ANC68" s="120"/>
      <c r="AND68" s="467"/>
      <c r="ANE68" s="440"/>
      <c r="AOA68" s="436"/>
      <c r="AOB68" s="120"/>
      <c r="AOC68" s="120"/>
      <c r="AOD68" s="467"/>
      <c r="AOE68" s="440"/>
      <c r="APA68" s="436"/>
      <c r="APB68" s="120"/>
      <c r="APC68" s="120"/>
      <c r="APD68" s="467"/>
      <c r="APE68" s="440"/>
      <c r="AQA68" s="436"/>
      <c r="AQB68" s="120"/>
      <c r="AQC68" s="120"/>
      <c r="AQD68" s="467"/>
      <c r="AQE68" s="440"/>
      <c r="ARA68" s="436"/>
      <c r="ARB68" s="120"/>
      <c r="ARC68" s="120"/>
      <c r="ARD68" s="467"/>
      <c r="ARE68" s="440"/>
      <c r="ASA68" s="436"/>
      <c r="ASB68" s="120"/>
      <c r="ASC68" s="120"/>
      <c r="ASD68" s="467"/>
      <c r="ASE68" s="440"/>
      <c r="ATA68" s="436"/>
      <c r="ATB68" s="120"/>
      <c r="ATC68" s="120"/>
      <c r="ATD68" s="467"/>
      <c r="ATE68" s="440"/>
      <c r="AUA68" s="436"/>
      <c r="AUB68" s="120"/>
      <c r="AUC68" s="120"/>
      <c r="AUD68" s="467"/>
      <c r="AUE68" s="440"/>
      <c r="AVA68" s="436"/>
      <c r="AVB68" s="120"/>
      <c r="AVC68" s="120"/>
      <c r="AVD68" s="467"/>
      <c r="AVE68" s="440"/>
      <c r="AWA68" s="436"/>
      <c r="AWB68" s="120"/>
      <c r="AWC68" s="120"/>
      <c r="AWD68" s="467"/>
      <c r="AWE68" s="440"/>
      <c r="AXA68" s="436"/>
      <c r="AXB68" s="120"/>
      <c r="AXC68" s="120"/>
      <c r="AXD68" s="467"/>
      <c r="AXE68" s="440"/>
      <c r="AYA68" s="436"/>
      <c r="AYB68" s="120"/>
      <c r="AYC68" s="120"/>
      <c r="AYD68" s="467"/>
      <c r="AYE68" s="440"/>
      <c r="AZA68" s="436"/>
      <c r="AZB68" s="120"/>
      <c r="AZC68" s="120"/>
      <c r="AZD68" s="467"/>
      <c r="AZE68" s="440"/>
      <c r="BAA68" s="436"/>
      <c r="BAB68" s="120"/>
      <c r="BAC68" s="120"/>
      <c r="BAD68" s="467"/>
      <c r="BAE68" s="440"/>
      <c r="BBA68" s="436"/>
      <c r="BBB68" s="120"/>
      <c r="BBC68" s="120"/>
      <c r="BBD68" s="467"/>
      <c r="BBE68" s="440"/>
      <c r="BCA68" s="436"/>
      <c r="BCB68" s="120"/>
      <c r="BCC68" s="120"/>
      <c r="BCD68" s="467"/>
      <c r="BCE68" s="440"/>
      <c r="BDA68" s="436"/>
      <c r="BDB68" s="120"/>
      <c r="BDC68" s="120"/>
      <c r="BDD68" s="467"/>
      <c r="BDE68" s="440"/>
      <c r="BEA68" s="436"/>
      <c r="BEB68" s="120"/>
      <c r="BEC68" s="120"/>
      <c r="BED68" s="467"/>
      <c r="BEE68" s="440"/>
      <c r="BFA68" s="436"/>
      <c r="BFB68" s="120"/>
      <c r="BFC68" s="120"/>
      <c r="BFD68" s="467"/>
      <c r="BFE68" s="440"/>
      <c r="BGA68" s="436"/>
      <c r="BGB68" s="120"/>
      <c r="BGC68" s="120"/>
      <c r="BGD68" s="467"/>
      <c r="BGE68" s="440"/>
      <c r="BHA68" s="436"/>
      <c r="BHB68" s="120"/>
      <c r="BHC68" s="120"/>
      <c r="BHD68" s="467"/>
      <c r="BHE68" s="440"/>
      <c r="BIA68" s="436"/>
      <c r="BIB68" s="120"/>
      <c r="BIC68" s="120"/>
      <c r="BID68" s="467"/>
      <c r="BIE68" s="440"/>
      <c r="BJA68" s="436"/>
      <c r="BJB68" s="120"/>
      <c r="BJC68" s="120"/>
      <c r="BJD68" s="467"/>
      <c r="BJE68" s="440"/>
      <c r="BKA68" s="436"/>
      <c r="BKB68" s="120"/>
      <c r="BKC68" s="120"/>
      <c r="BKD68" s="467"/>
      <c r="BKE68" s="440"/>
      <c r="BLA68" s="436"/>
      <c r="BLB68" s="120"/>
      <c r="BLC68" s="120"/>
      <c r="BLD68" s="467"/>
      <c r="BLE68" s="440"/>
      <c r="BMA68" s="436"/>
      <c r="BMB68" s="120"/>
      <c r="BMC68" s="120"/>
      <c r="BMD68" s="467"/>
      <c r="BME68" s="440"/>
      <c r="BNA68" s="436"/>
      <c r="BNB68" s="120"/>
      <c r="BNC68" s="120"/>
      <c r="BND68" s="467"/>
      <c r="BNE68" s="440"/>
      <c r="BOA68" s="436"/>
      <c r="BOB68" s="120"/>
      <c r="BOC68" s="120"/>
      <c r="BOD68" s="467"/>
      <c r="BOE68" s="440"/>
      <c r="BPA68" s="436"/>
      <c r="BPB68" s="120"/>
      <c r="BPC68" s="120"/>
      <c r="BPD68" s="467"/>
      <c r="BPE68" s="440"/>
      <c r="BQA68" s="436"/>
      <c r="BQB68" s="120"/>
      <c r="BQC68" s="120"/>
      <c r="BQD68" s="467"/>
      <c r="BQE68" s="440"/>
      <c r="BRA68" s="436"/>
      <c r="BRB68" s="120"/>
      <c r="BRC68" s="120"/>
      <c r="BRD68" s="467"/>
      <c r="BRE68" s="440"/>
    </row>
    <row r="69" spans="1:1019 1041:1825">
      <c r="B69" s="114" t="s">
        <v>1520</v>
      </c>
      <c r="AA69" s="436"/>
      <c r="AB69" s="120"/>
      <c r="AC69" s="120"/>
      <c r="AD69" s="467"/>
      <c r="AE69" s="440"/>
      <c r="BA69" s="436"/>
      <c r="BB69" s="120"/>
      <c r="BC69" s="120"/>
      <c r="BD69" s="467"/>
      <c r="BE69" s="440"/>
      <c r="CA69" s="436"/>
      <c r="CB69" s="120"/>
      <c r="CC69" s="120"/>
      <c r="CD69" s="467"/>
      <c r="CE69" s="440"/>
      <c r="DA69" s="436"/>
      <c r="DB69" s="120"/>
      <c r="DC69" s="120"/>
      <c r="DD69" s="467"/>
      <c r="DE69" s="440"/>
      <c r="EA69" s="436"/>
      <c r="EB69" s="120"/>
      <c r="EC69" s="120"/>
      <c r="ED69" s="467"/>
      <c r="EE69" s="440"/>
      <c r="FA69" s="436"/>
      <c r="FB69" s="120"/>
      <c r="FC69" s="120"/>
      <c r="FD69" s="467"/>
      <c r="FE69" s="440"/>
      <c r="GA69" s="436"/>
      <c r="GB69" s="120"/>
      <c r="GC69" s="120"/>
      <c r="GD69" s="467"/>
      <c r="GE69" s="440"/>
      <c r="HA69" s="436"/>
      <c r="HB69" s="120"/>
      <c r="HC69" s="120"/>
      <c r="HD69" s="467"/>
      <c r="HE69" s="440"/>
      <c r="IA69" s="436"/>
      <c r="IB69" s="120"/>
      <c r="IC69" s="120"/>
      <c r="ID69" s="467"/>
      <c r="IE69" s="440"/>
      <c r="JA69" s="436"/>
      <c r="JB69" s="120"/>
      <c r="JC69" s="120"/>
      <c r="JD69" s="467"/>
      <c r="JE69" s="440"/>
      <c r="KA69" s="436"/>
      <c r="KB69" s="120"/>
      <c r="KC69" s="120"/>
      <c r="KD69" s="467"/>
      <c r="KE69" s="440"/>
      <c r="LA69" s="436"/>
      <c r="LB69" s="120"/>
      <c r="LC69" s="120"/>
      <c r="LD69" s="467"/>
      <c r="LE69" s="440"/>
      <c r="MA69" s="436"/>
      <c r="MB69" s="120"/>
      <c r="MC69" s="120"/>
      <c r="MD69" s="467"/>
      <c r="ME69" s="440"/>
      <c r="NA69" s="436"/>
      <c r="NB69" s="120"/>
      <c r="NC69" s="120"/>
      <c r="ND69" s="467"/>
      <c r="NE69" s="440"/>
      <c r="OA69" s="436"/>
      <c r="OB69" s="120"/>
      <c r="OC69" s="120"/>
      <c r="OD69" s="467"/>
      <c r="OE69" s="440"/>
      <c r="PA69" s="436"/>
      <c r="PB69" s="120"/>
      <c r="PC69" s="120"/>
      <c r="PD69" s="467"/>
      <c r="PE69" s="440"/>
      <c r="QA69" s="436"/>
      <c r="QB69" s="120"/>
      <c r="QC69" s="120"/>
      <c r="QD69" s="467"/>
      <c r="QE69" s="440"/>
      <c r="RA69" s="436"/>
      <c r="RB69" s="120"/>
      <c r="RC69" s="120"/>
      <c r="RD69" s="467"/>
      <c r="RE69" s="440"/>
      <c r="SA69" s="436"/>
      <c r="SB69" s="120"/>
      <c r="SC69" s="120"/>
      <c r="SD69" s="467"/>
      <c r="SE69" s="440"/>
      <c r="TA69" s="436"/>
      <c r="TB69" s="120"/>
      <c r="TC69" s="120"/>
      <c r="TD69" s="467"/>
      <c r="TE69" s="440"/>
      <c r="UA69" s="436"/>
      <c r="UB69" s="120"/>
      <c r="UC69" s="120"/>
      <c r="UD69" s="467"/>
      <c r="UE69" s="440"/>
      <c r="VA69" s="436"/>
      <c r="VB69" s="120"/>
      <c r="VC69" s="120"/>
      <c r="VD69" s="467"/>
      <c r="VE69" s="440"/>
      <c r="WA69" s="436"/>
      <c r="WB69" s="120"/>
      <c r="WC69" s="120"/>
      <c r="WD69" s="467"/>
      <c r="WE69" s="440"/>
      <c r="XA69" s="436"/>
      <c r="XB69" s="120"/>
      <c r="XC69" s="120"/>
      <c r="XD69" s="467"/>
      <c r="XE69" s="440"/>
      <c r="YA69" s="436"/>
      <c r="YB69" s="120"/>
      <c r="YC69" s="120"/>
      <c r="YD69" s="467"/>
      <c r="YE69" s="440"/>
      <c r="ZA69" s="436"/>
      <c r="ZB69" s="120"/>
      <c r="ZC69" s="120"/>
      <c r="ZD69" s="467"/>
      <c r="ZE69" s="440"/>
      <c r="AAA69" s="436"/>
      <c r="AAB69" s="120"/>
      <c r="AAC69" s="120"/>
      <c r="AAD69" s="467"/>
      <c r="AAE69" s="440"/>
      <c r="ABA69" s="436"/>
      <c r="ABB69" s="120"/>
      <c r="ABC69" s="120"/>
      <c r="ABD69" s="467"/>
      <c r="ABE69" s="440"/>
      <c r="ACA69" s="436"/>
      <c r="ACB69" s="120"/>
      <c r="ACC69" s="120"/>
      <c r="ACD69" s="467"/>
      <c r="ACE69" s="440"/>
      <c r="ADA69" s="436"/>
      <c r="ADB69" s="120"/>
      <c r="ADC69" s="120"/>
      <c r="ADD69" s="467"/>
      <c r="ADE69" s="440"/>
      <c r="AEA69" s="436"/>
      <c r="AEB69" s="120"/>
      <c r="AEC69" s="120"/>
      <c r="AED69" s="467"/>
      <c r="AEE69" s="440"/>
      <c r="AFA69" s="436"/>
      <c r="AFB69" s="120"/>
      <c r="AFC69" s="120"/>
      <c r="AFD69" s="467"/>
      <c r="AFE69" s="440"/>
      <c r="AGA69" s="436"/>
      <c r="AGB69" s="120"/>
      <c r="AGC69" s="120"/>
      <c r="AGD69" s="467"/>
      <c r="AGE69" s="440"/>
      <c r="AHA69" s="436"/>
      <c r="AHB69" s="120"/>
      <c r="AHC69" s="120"/>
      <c r="AHD69" s="467"/>
      <c r="AHE69" s="440"/>
      <c r="AIA69" s="436"/>
      <c r="AIB69" s="120"/>
      <c r="AIC69" s="120"/>
      <c r="AID69" s="467"/>
      <c r="AIE69" s="440"/>
      <c r="AJA69" s="436"/>
      <c r="AJB69" s="120"/>
      <c r="AJC69" s="120"/>
      <c r="AJD69" s="467"/>
      <c r="AJE69" s="440"/>
      <c r="AKA69" s="436"/>
      <c r="AKB69" s="120"/>
      <c r="AKC69" s="120"/>
      <c r="AKD69" s="467"/>
      <c r="AKE69" s="440"/>
      <c r="ALA69" s="436"/>
      <c r="ALB69" s="120"/>
      <c r="ALC69" s="120"/>
      <c r="ALD69" s="467"/>
      <c r="ALE69" s="440"/>
      <c r="AMA69" s="436"/>
      <c r="AMB69" s="120"/>
      <c r="AMC69" s="120"/>
      <c r="AMD69" s="467"/>
      <c r="AME69" s="440"/>
      <c r="ANA69" s="436"/>
      <c r="ANB69" s="120"/>
      <c r="ANC69" s="120"/>
      <c r="AND69" s="467"/>
      <c r="ANE69" s="440"/>
      <c r="AOA69" s="436"/>
      <c r="AOB69" s="120"/>
      <c r="AOC69" s="120"/>
      <c r="AOD69" s="467"/>
      <c r="AOE69" s="440"/>
      <c r="APA69" s="436"/>
      <c r="APB69" s="120"/>
      <c r="APC69" s="120"/>
      <c r="APD69" s="467"/>
      <c r="APE69" s="440"/>
      <c r="AQA69" s="436"/>
      <c r="AQB69" s="120"/>
      <c r="AQC69" s="120"/>
      <c r="AQD69" s="467"/>
      <c r="AQE69" s="440"/>
      <c r="ARA69" s="436"/>
      <c r="ARB69" s="120"/>
      <c r="ARC69" s="120"/>
      <c r="ARD69" s="467"/>
      <c r="ARE69" s="440"/>
      <c r="ASA69" s="436"/>
      <c r="ASB69" s="120"/>
      <c r="ASC69" s="120"/>
      <c r="ASD69" s="467"/>
      <c r="ASE69" s="440"/>
      <c r="ATA69" s="436"/>
      <c r="ATB69" s="120"/>
      <c r="ATC69" s="120"/>
      <c r="ATD69" s="467"/>
      <c r="ATE69" s="440"/>
      <c r="AUA69" s="436"/>
      <c r="AUB69" s="120"/>
      <c r="AUC69" s="120"/>
      <c r="AUD69" s="467"/>
      <c r="AUE69" s="440"/>
      <c r="AVA69" s="436"/>
      <c r="AVB69" s="120"/>
      <c r="AVC69" s="120"/>
      <c r="AVD69" s="467"/>
      <c r="AVE69" s="440"/>
      <c r="AWA69" s="436"/>
      <c r="AWB69" s="120"/>
      <c r="AWC69" s="120"/>
      <c r="AWD69" s="467"/>
      <c r="AWE69" s="440"/>
      <c r="AXA69" s="436"/>
      <c r="AXB69" s="120"/>
      <c r="AXC69" s="120"/>
      <c r="AXD69" s="467"/>
      <c r="AXE69" s="440"/>
      <c r="AYA69" s="436"/>
      <c r="AYB69" s="120"/>
      <c r="AYC69" s="120"/>
      <c r="AYD69" s="467"/>
      <c r="AYE69" s="440"/>
      <c r="AZA69" s="436"/>
      <c r="AZB69" s="120"/>
      <c r="AZC69" s="120"/>
      <c r="AZD69" s="467"/>
      <c r="AZE69" s="440"/>
      <c r="BAA69" s="436"/>
      <c r="BAB69" s="120"/>
      <c r="BAC69" s="120"/>
      <c r="BAD69" s="467"/>
      <c r="BAE69" s="440"/>
      <c r="BBA69" s="436"/>
      <c r="BBB69" s="120"/>
      <c r="BBC69" s="120"/>
      <c r="BBD69" s="467"/>
      <c r="BBE69" s="440"/>
      <c r="BCA69" s="436"/>
      <c r="BCB69" s="120"/>
      <c r="BCC69" s="120"/>
      <c r="BCD69" s="467"/>
      <c r="BCE69" s="440"/>
      <c r="BDA69" s="436"/>
      <c r="BDB69" s="120"/>
      <c r="BDC69" s="120"/>
      <c r="BDD69" s="467"/>
      <c r="BDE69" s="440"/>
      <c r="BEA69" s="436"/>
      <c r="BEB69" s="120"/>
      <c r="BEC69" s="120"/>
      <c r="BED69" s="467"/>
      <c r="BEE69" s="440"/>
      <c r="BFA69" s="436"/>
      <c r="BFB69" s="120"/>
      <c r="BFC69" s="120"/>
      <c r="BFD69" s="467"/>
      <c r="BFE69" s="440"/>
      <c r="BGA69" s="436"/>
      <c r="BGB69" s="120"/>
      <c r="BGC69" s="120"/>
      <c r="BGD69" s="467"/>
      <c r="BGE69" s="440"/>
      <c r="BHA69" s="436"/>
      <c r="BHB69" s="120"/>
      <c r="BHC69" s="120"/>
      <c r="BHD69" s="467"/>
      <c r="BHE69" s="440"/>
      <c r="BIA69" s="436"/>
      <c r="BIB69" s="120"/>
      <c r="BIC69" s="120"/>
      <c r="BID69" s="467"/>
      <c r="BIE69" s="440"/>
      <c r="BJA69" s="436"/>
      <c r="BJB69" s="120"/>
      <c r="BJC69" s="120"/>
      <c r="BJD69" s="467"/>
      <c r="BJE69" s="440"/>
      <c r="BKA69" s="436"/>
      <c r="BKB69" s="120"/>
      <c r="BKC69" s="120"/>
      <c r="BKD69" s="467"/>
      <c r="BKE69" s="440"/>
      <c r="BLA69" s="436"/>
      <c r="BLB69" s="120"/>
      <c r="BLC69" s="120"/>
      <c r="BLD69" s="467"/>
      <c r="BLE69" s="440"/>
      <c r="BMA69" s="436"/>
      <c r="BMB69" s="120"/>
      <c r="BMC69" s="120"/>
      <c r="BMD69" s="467"/>
      <c r="BME69" s="440"/>
      <c r="BNA69" s="436"/>
      <c r="BNB69" s="120"/>
      <c r="BNC69" s="120"/>
      <c r="BND69" s="467"/>
      <c r="BNE69" s="440"/>
      <c r="BOA69" s="436"/>
      <c r="BOB69" s="120"/>
      <c r="BOC69" s="120"/>
      <c r="BOD69" s="467"/>
      <c r="BOE69" s="440"/>
      <c r="BPA69" s="436"/>
      <c r="BPB69" s="120"/>
      <c r="BPC69" s="120"/>
      <c r="BPD69" s="467"/>
      <c r="BPE69" s="440"/>
      <c r="BQA69" s="436"/>
      <c r="BQB69" s="120"/>
      <c r="BQC69" s="120"/>
      <c r="BQD69" s="467"/>
      <c r="BQE69" s="440"/>
      <c r="BRA69" s="436"/>
      <c r="BRB69" s="120"/>
      <c r="BRC69" s="120"/>
      <c r="BRD69" s="467"/>
      <c r="BRE69" s="440"/>
    </row>
    <row r="70" spans="1:1019 1041:1825">
      <c r="A70" s="1036"/>
      <c r="B70" s="114" t="s">
        <v>1521</v>
      </c>
      <c r="AA70" s="456"/>
      <c r="AB70" s="457"/>
      <c r="AC70" s="457"/>
      <c r="AD70" s="457"/>
      <c r="AE70" s="458"/>
      <c r="BA70" s="456"/>
      <c r="BB70" s="457"/>
      <c r="BC70" s="457"/>
      <c r="BD70" s="457"/>
      <c r="BE70" s="458"/>
      <c r="CA70" s="456"/>
      <c r="CB70" s="457"/>
      <c r="CC70" s="457"/>
      <c r="CD70" s="457"/>
      <c r="CE70" s="458"/>
      <c r="DA70" s="456"/>
      <c r="DB70" s="457"/>
      <c r="DC70" s="457"/>
      <c r="DD70" s="457"/>
      <c r="DE70" s="458"/>
      <c r="EA70" s="456"/>
      <c r="EB70" s="457"/>
      <c r="EC70" s="457"/>
      <c r="ED70" s="457"/>
      <c r="EE70" s="458"/>
      <c r="FA70" s="456"/>
      <c r="FB70" s="457"/>
      <c r="FC70" s="457"/>
      <c r="FD70" s="457"/>
      <c r="FE70" s="458"/>
      <c r="GA70" s="456"/>
      <c r="GB70" s="457"/>
      <c r="GC70" s="457"/>
      <c r="GD70" s="457"/>
      <c r="GE70" s="458"/>
      <c r="HA70" s="456"/>
      <c r="HB70" s="457"/>
      <c r="HC70" s="457"/>
      <c r="HD70" s="457"/>
      <c r="HE70" s="458"/>
      <c r="IA70" s="456"/>
      <c r="IB70" s="457"/>
      <c r="IC70" s="457"/>
      <c r="ID70" s="457"/>
      <c r="IE70" s="458"/>
      <c r="JA70" s="456"/>
      <c r="JB70" s="457"/>
      <c r="JC70" s="457"/>
      <c r="JD70" s="457"/>
      <c r="JE70" s="458"/>
      <c r="KA70" s="456"/>
      <c r="KB70" s="457"/>
      <c r="KC70" s="457"/>
      <c r="KD70" s="457"/>
      <c r="KE70" s="458"/>
      <c r="LA70" s="456"/>
      <c r="LB70" s="457"/>
      <c r="LC70" s="457"/>
      <c r="LD70" s="457"/>
      <c r="LE70" s="458"/>
      <c r="MA70" s="456"/>
      <c r="MB70" s="457"/>
      <c r="MC70" s="457"/>
      <c r="MD70" s="457"/>
      <c r="ME70" s="458"/>
      <c r="NA70" s="456"/>
      <c r="NB70" s="457"/>
      <c r="NC70" s="457"/>
      <c r="ND70" s="457"/>
      <c r="NE70" s="458"/>
      <c r="OA70" s="456"/>
      <c r="OB70" s="457"/>
      <c r="OC70" s="457"/>
      <c r="OD70" s="457"/>
      <c r="OE70" s="458"/>
      <c r="PA70" s="456"/>
      <c r="PB70" s="457"/>
      <c r="PC70" s="457"/>
      <c r="PD70" s="457"/>
      <c r="PE70" s="458"/>
      <c r="QA70" s="456"/>
      <c r="QB70" s="457"/>
      <c r="QC70" s="457"/>
      <c r="QD70" s="457"/>
      <c r="QE70" s="458"/>
      <c r="RA70" s="456"/>
      <c r="RB70" s="457"/>
      <c r="RC70" s="457"/>
      <c r="RD70" s="457"/>
      <c r="RE70" s="458"/>
      <c r="SA70" s="456"/>
      <c r="SB70" s="457"/>
      <c r="SC70" s="457"/>
      <c r="SD70" s="457"/>
      <c r="SE70" s="458"/>
      <c r="TA70" s="456"/>
      <c r="TB70" s="457"/>
      <c r="TC70" s="457"/>
      <c r="TD70" s="457"/>
      <c r="TE70" s="458"/>
      <c r="UA70" s="456"/>
      <c r="UB70" s="457"/>
      <c r="UC70" s="457"/>
      <c r="UD70" s="457"/>
      <c r="UE70" s="458"/>
      <c r="VA70" s="456"/>
      <c r="VB70" s="457"/>
      <c r="VC70" s="457"/>
      <c r="VD70" s="457"/>
      <c r="VE70" s="458"/>
      <c r="WA70" s="456"/>
      <c r="WB70" s="457"/>
      <c r="WC70" s="457"/>
      <c r="WD70" s="457"/>
      <c r="WE70" s="458"/>
      <c r="XA70" s="456"/>
      <c r="XB70" s="457"/>
      <c r="XC70" s="457"/>
      <c r="XD70" s="457"/>
      <c r="XE70" s="458"/>
      <c r="YA70" s="456"/>
      <c r="YB70" s="457"/>
      <c r="YC70" s="457"/>
      <c r="YD70" s="457"/>
      <c r="YE70" s="458"/>
      <c r="ZA70" s="456"/>
      <c r="ZB70" s="457"/>
      <c r="ZC70" s="457"/>
      <c r="ZD70" s="457"/>
      <c r="ZE70" s="458"/>
      <c r="AAA70" s="456"/>
      <c r="AAB70" s="457"/>
      <c r="AAC70" s="457"/>
      <c r="AAD70" s="457"/>
      <c r="AAE70" s="458"/>
      <c r="ABA70" s="456"/>
      <c r="ABB70" s="457"/>
      <c r="ABC70" s="457"/>
      <c r="ABD70" s="457"/>
      <c r="ABE70" s="458"/>
      <c r="ACA70" s="456"/>
      <c r="ACB70" s="457"/>
      <c r="ACC70" s="457"/>
      <c r="ACD70" s="457"/>
      <c r="ACE70" s="458"/>
      <c r="ADA70" s="456"/>
      <c r="ADB70" s="457"/>
      <c r="ADC70" s="457"/>
      <c r="ADD70" s="457"/>
      <c r="ADE70" s="458"/>
      <c r="AEA70" s="456"/>
      <c r="AEB70" s="457"/>
      <c r="AEC70" s="457"/>
      <c r="AED70" s="457"/>
      <c r="AEE70" s="458"/>
      <c r="AFA70" s="456"/>
      <c r="AFB70" s="457"/>
      <c r="AFC70" s="457"/>
      <c r="AFD70" s="457"/>
      <c r="AFE70" s="458"/>
      <c r="AGA70" s="456"/>
      <c r="AGB70" s="457"/>
      <c r="AGC70" s="457"/>
      <c r="AGD70" s="457"/>
      <c r="AGE70" s="458"/>
      <c r="AHA70" s="456"/>
      <c r="AHB70" s="457"/>
      <c r="AHC70" s="457"/>
      <c r="AHD70" s="457"/>
      <c r="AHE70" s="458"/>
      <c r="AIA70" s="456"/>
      <c r="AIB70" s="457"/>
      <c r="AIC70" s="457"/>
      <c r="AID70" s="457"/>
      <c r="AIE70" s="458"/>
      <c r="AJA70" s="456"/>
      <c r="AJB70" s="457"/>
      <c r="AJC70" s="457"/>
      <c r="AJD70" s="457"/>
      <c r="AJE70" s="458"/>
      <c r="AKA70" s="456"/>
      <c r="AKB70" s="457"/>
      <c r="AKC70" s="457"/>
      <c r="AKD70" s="457"/>
      <c r="AKE70" s="458"/>
      <c r="ALA70" s="456"/>
      <c r="ALB70" s="457"/>
      <c r="ALC70" s="457"/>
      <c r="ALD70" s="457"/>
      <c r="ALE70" s="458"/>
      <c r="AMA70" s="456"/>
      <c r="AMB70" s="457"/>
      <c r="AMC70" s="457"/>
      <c r="AMD70" s="457"/>
      <c r="AME70" s="458"/>
      <c r="ANA70" s="456"/>
      <c r="ANB70" s="457"/>
      <c r="ANC70" s="457"/>
      <c r="AND70" s="457"/>
      <c r="ANE70" s="458"/>
      <c r="AOA70" s="456"/>
      <c r="AOB70" s="457"/>
      <c r="AOC70" s="457"/>
      <c r="AOD70" s="457"/>
      <c r="AOE70" s="458"/>
      <c r="APA70" s="456"/>
      <c r="APB70" s="457"/>
      <c r="APC70" s="457"/>
      <c r="APD70" s="457"/>
      <c r="APE70" s="458"/>
      <c r="AQA70" s="456"/>
      <c r="AQB70" s="457"/>
      <c r="AQC70" s="457"/>
      <c r="AQD70" s="457"/>
      <c r="AQE70" s="458"/>
      <c r="ARA70" s="456"/>
      <c r="ARB70" s="457"/>
      <c r="ARC70" s="457"/>
      <c r="ARD70" s="457"/>
      <c r="ARE70" s="458"/>
      <c r="ASA70" s="456"/>
      <c r="ASB70" s="457"/>
      <c r="ASC70" s="457"/>
      <c r="ASD70" s="457"/>
      <c r="ASE70" s="458"/>
      <c r="ATA70" s="456"/>
      <c r="ATB70" s="457"/>
      <c r="ATC70" s="457"/>
      <c r="ATD70" s="457"/>
      <c r="ATE70" s="458"/>
      <c r="AUA70" s="456"/>
      <c r="AUB70" s="457"/>
      <c r="AUC70" s="457"/>
      <c r="AUD70" s="457"/>
      <c r="AUE70" s="458"/>
      <c r="AVA70" s="456"/>
      <c r="AVB70" s="457"/>
      <c r="AVC70" s="457"/>
      <c r="AVD70" s="457"/>
      <c r="AVE70" s="458"/>
      <c r="AWA70" s="456"/>
      <c r="AWB70" s="457"/>
      <c r="AWC70" s="457"/>
      <c r="AWD70" s="457"/>
      <c r="AWE70" s="458"/>
      <c r="AXA70" s="456"/>
      <c r="AXB70" s="457"/>
      <c r="AXC70" s="457"/>
      <c r="AXD70" s="457"/>
      <c r="AXE70" s="458"/>
      <c r="AYA70" s="456"/>
      <c r="AYB70" s="457"/>
      <c r="AYC70" s="457"/>
      <c r="AYD70" s="457"/>
      <c r="AYE70" s="458"/>
      <c r="AZA70" s="456"/>
      <c r="AZB70" s="457"/>
      <c r="AZC70" s="457"/>
      <c r="AZD70" s="457"/>
      <c r="AZE70" s="458"/>
      <c r="BAA70" s="456"/>
      <c r="BAB70" s="457"/>
      <c r="BAC70" s="457"/>
      <c r="BAD70" s="457"/>
      <c r="BAE70" s="458"/>
      <c r="BBA70" s="456"/>
      <c r="BBB70" s="457"/>
      <c r="BBC70" s="457"/>
      <c r="BBD70" s="457"/>
      <c r="BBE70" s="458"/>
      <c r="BCA70" s="456"/>
      <c r="BCB70" s="457"/>
      <c r="BCC70" s="457"/>
      <c r="BCD70" s="457"/>
      <c r="BCE70" s="458"/>
      <c r="BDA70" s="456"/>
      <c r="BDB70" s="457"/>
      <c r="BDC70" s="457"/>
      <c r="BDD70" s="457"/>
      <c r="BDE70" s="458"/>
      <c r="BEA70" s="456"/>
      <c r="BEB70" s="457"/>
      <c r="BEC70" s="457"/>
      <c r="BED70" s="457"/>
      <c r="BEE70" s="458"/>
      <c r="BFA70" s="456"/>
      <c r="BFB70" s="457"/>
      <c r="BFC70" s="457"/>
      <c r="BFD70" s="457"/>
      <c r="BFE70" s="458"/>
      <c r="BGA70" s="456"/>
      <c r="BGB70" s="457"/>
      <c r="BGC70" s="457"/>
      <c r="BGD70" s="457"/>
      <c r="BGE70" s="458"/>
      <c r="BHA70" s="456"/>
      <c r="BHB70" s="457"/>
      <c r="BHC70" s="457"/>
      <c r="BHD70" s="457"/>
      <c r="BHE70" s="458"/>
      <c r="BIA70" s="456"/>
      <c r="BIB70" s="457"/>
      <c r="BIC70" s="457"/>
      <c r="BID70" s="457"/>
      <c r="BIE70" s="458"/>
      <c r="BJA70" s="456"/>
      <c r="BJB70" s="457"/>
      <c r="BJC70" s="457"/>
      <c r="BJD70" s="457"/>
      <c r="BJE70" s="458"/>
      <c r="BKA70" s="456"/>
      <c r="BKB70" s="457"/>
      <c r="BKC70" s="457"/>
      <c r="BKD70" s="457"/>
      <c r="BKE70" s="458"/>
      <c r="BLA70" s="456"/>
      <c r="BLB70" s="457"/>
      <c r="BLC70" s="457"/>
      <c r="BLD70" s="457"/>
      <c r="BLE70" s="458"/>
      <c r="BMA70" s="456"/>
      <c r="BMB70" s="457"/>
      <c r="BMC70" s="457"/>
      <c r="BMD70" s="457"/>
      <c r="BME70" s="458"/>
      <c r="BNA70" s="456"/>
      <c r="BNB70" s="457"/>
      <c r="BNC70" s="457"/>
      <c r="BND70" s="457"/>
      <c r="BNE70" s="458"/>
      <c r="BOA70" s="456"/>
      <c r="BOB70" s="457"/>
      <c r="BOC70" s="457"/>
      <c r="BOD70" s="457"/>
      <c r="BOE70" s="458"/>
      <c r="BPA70" s="456"/>
      <c r="BPB70" s="457"/>
      <c r="BPC70" s="457"/>
      <c r="BPD70" s="457"/>
      <c r="BPE70" s="458"/>
      <c r="BQA70" s="456"/>
      <c r="BQB70" s="457"/>
      <c r="BQC70" s="457"/>
      <c r="BQD70" s="457"/>
      <c r="BQE70" s="458"/>
      <c r="BRA70" s="456"/>
      <c r="BRB70" s="457"/>
      <c r="BRC70" s="457"/>
      <c r="BRD70" s="457"/>
      <c r="BRE70" s="458"/>
    </row>
    <row r="71" spans="1:1019 1041:1825">
      <c r="A71" s="1034"/>
      <c r="B71" s="114" t="s">
        <v>1522</v>
      </c>
      <c r="AA71" s="449" t="s">
        <v>475</v>
      </c>
      <c r="AB71" s="120"/>
      <c r="AC71" s="120"/>
      <c r="AD71" s="120"/>
      <c r="AE71" s="440"/>
      <c r="BA71" s="449" t="s">
        <v>475</v>
      </c>
      <c r="BB71" s="120"/>
      <c r="BC71" s="120"/>
      <c r="BD71" s="120"/>
      <c r="BE71" s="440"/>
      <c r="CA71" s="449" t="s">
        <v>475</v>
      </c>
      <c r="CB71" s="120"/>
      <c r="CC71" s="120"/>
      <c r="CD71" s="120"/>
      <c r="CE71" s="440"/>
      <c r="DA71" s="449" t="s">
        <v>475</v>
      </c>
      <c r="DB71" s="120"/>
      <c r="DC71" s="120"/>
      <c r="DD71" s="120"/>
      <c r="DE71" s="440"/>
      <c r="EA71" s="449" t="s">
        <v>475</v>
      </c>
      <c r="EB71" s="120"/>
      <c r="EC71" s="120"/>
      <c r="ED71" s="120"/>
      <c r="EE71" s="440"/>
      <c r="FA71" s="449" t="s">
        <v>475</v>
      </c>
      <c r="FB71" s="120"/>
      <c r="FC71" s="120"/>
      <c r="FD71" s="120"/>
      <c r="FE71" s="440"/>
      <c r="GA71" s="449" t="s">
        <v>475</v>
      </c>
      <c r="GB71" s="120"/>
      <c r="GC71" s="120"/>
      <c r="GD71" s="120"/>
      <c r="GE71" s="440"/>
      <c r="HA71" s="449" t="s">
        <v>475</v>
      </c>
      <c r="HB71" s="120"/>
      <c r="HC71" s="120"/>
      <c r="HD71" s="120"/>
      <c r="HE71" s="440"/>
      <c r="IA71" s="449" t="s">
        <v>475</v>
      </c>
      <c r="IB71" s="120"/>
      <c r="IC71" s="120"/>
      <c r="ID71" s="120"/>
      <c r="IE71" s="440"/>
      <c r="JA71" s="449" t="s">
        <v>475</v>
      </c>
      <c r="JB71" s="120"/>
      <c r="JC71" s="120"/>
      <c r="JD71" s="120"/>
      <c r="JE71" s="440"/>
      <c r="KA71" s="449" t="s">
        <v>475</v>
      </c>
      <c r="KB71" s="120"/>
      <c r="KC71" s="120"/>
      <c r="KD71" s="120"/>
      <c r="KE71" s="440"/>
      <c r="LA71" s="449" t="s">
        <v>475</v>
      </c>
      <c r="LB71" s="120"/>
      <c r="LC71" s="120"/>
      <c r="LD71" s="120"/>
      <c r="LE71" s="440"/>
      <c r="MA71" s="449" t="s">
        <v>475</v>
      </c>
      <c r="MB71" s="120"/>
      <c r="MC71" s="120"/>
      <c r="MD71" s="120"/>
      <c r="ME71" s="440"/>
      <c r="NA71" s="449" t="s">
        <v>475</v>
      </c>
      <c r="NB71" s="120"/>
      <c r="NC71" s="120"/>
      <c r="ND71" s="120"/>
      <c r="NE71" s="440"/>
      <c r="OA71" s="449" t="s">
        <v>475</v>
      </c>
      <c r="OB71" s="120"/>
      <c r="OC71" s="120"/>
      <c r="OD71" s="120"/>
      <c r="OE71" s="440"/>
      <c r="PA71" s="449" t="s">
        <v>475</v>
      </c>
      <c r="PB71" s="120"/>
      <c r="PC71" s="120"/>
      <c r="PD71" s="120"/>
      <c r="PE71" s="440"/>
      <c r="QA71" s="449" t="s">
        <v>475</v>
      </c>
      <c r="QB71" s="120"/>
      <c r="QC71" s="120"/>
      <c r="QD71" s="120"/>
      <c r="QE71" s="440"/>
      <c r="RA71" s="449" t="s">
        <v>475</v>
      </c>
      <c r="RB71" s="120"/>
      <c r="RC71" s="120"/>
      <c r="RD71" s="120"/>
      <c r="RE71" s="440"/>
      <c r="SA71" s="449" t="s">
        <v>475</v>
      </c>
      <c r="SB71" s="120"/>
      <c r="SC71" s="120"/>
      <c r="SD71" s="120"/>
      <c r="SE71" s="440"/>
      <c r="TA71" s="449" t="s">
        <v>475</v>
      </c>
      <c r="TB71" s="120"/>
      <c r="TC71" s="120"/>
      <c r="TD71" s="120"/>
      <c r="TE71" s="440"/>
      <c r="UA71" s="449" t="s">
        <v>475</v>
      </c>
      <c r="UB71" s="120"/>
      <c r="UC71" s="120"/>
      <c r="UD71" s="120"/>
      <c r="UE71" s="440"/>
      <c r="VA71" s="449" t="s">
        <v>475</v>
      </c>
      <c r="VB71" s="120"/>
      <c r="VC71" s="120"/>
      <c r="VD71" s="120"/>
      <c r="VE71" s="440"/>
      <c r="WA71" s="449" t="s">
        <v>475</v>
      </c>
      <c r="WB71" s="120"/>
      <c r="WC71" s="120"/>
      <c r="WD71" s="120"/>
      <c r="WE71" s="440"/>
      <c r="XA71" s="449" t="s">
        <v>475</v>
      </c>
      <c r="XB71" s="120"/>
      <c r="XC71" s="120"/>
      <c r="XD71" s="120"/>
      <c r="XE71" s="440"/>
      <c r="YA71" s="449" t="s">
        <v>475</v>
      </c>
      <c r="YB71" s="120"/>
      <c r="YC71" s="120"/>
      <c r="YD71" s="120"/>
      <c r="YE71" s="440"/>
      <c r="ZA71" s="449" t="s">
        <v>475</v>
      </c>
      <c r="ZB71" s="120"/>
      <c r="ZC71" s="120"/>
      <c r="ZD71" s="120"/>
      <c r="ZE71" s="440"/>
      <c r="AAA71" s="449" t="s">
        <v>475</v>
      </c>
      <c r="AAB71" s="120"/>
      <c r="AAC71" s="120"/>
      <c r="AAD71" s="120"/>
      <c r="AAE71" s="440"/>
      <c r="ABA71" s="449" t="s">
        <v>475</v>
      </c>
      <c r="ABB71" s="120"/>
      <c r="ABC71" s="120"/>
      <c r="ABD71" s="120"/>
      <c r="ABE71" s="440"/>
      <c r="ACA71" s="449" t="s">
        <v>475</v>
      </c>
      <c r="ACB71" s="120"/>
      <c r="ACC71" s="120"/>
      <c r="ACD71" s="120"/>
      <c r="ACE71" s="440"/>
      <c r="ADA71" s="449" t="s">
        <v>475</v>
      </c>
      <c r="ADB71" s="120"/>
      <c r="ADC71" s="120"/>
      <c r="ADD71" s="120"/>
      <c r="ADE71" s="440"/>
      <c r="AEA71" s="449" t="s">
        <v>475</v>
      </c>
      <c r="AEB71" s="120"/>
      <c r="AEC71" s="120"/>
      <c r="AED71" s="120"/>
      <c r="AEE71" s="440"/>
      <c r="AFA71" s="449" t="s">
        <v>475</v>
      </c>
      <c r="AFB71" s="120"/>
      <c r="AFC71" s="120"/>
      <c r="AFD71" s="120"/>
      <c r="AFE71" s="440"/>
      <c r="AGA71" s="449" t="s">
        <v>475</v>
      </c>
      <c r="AGB71" s="120"/>
      <c r="AGC71" s="120"/>
      <c r="AGD71" s="120"/>
      <c r="AGE71" s="440"/>
      <c r="AHA71" s="449" t="s">
        <v>475</v>
      </c>
      <c r="AHB71" s="120"/>
      <c r="AHC71" s="120"/>
      <c r="AHD71" s="120"/>
      <c r="AHE71" s="440"/>
      <c r="AIA71" s="449" t="s">
        <v>475</v>
      </c>
      <c r="AIB71" s="120"/>
      <c r="AIC71" s="120"/>
      <c r="AID71" s="120"/>
      <c r="AIE71" s="440"/>
      <c r="AJA71" s="449" t="s">
        <v>475</v>
      </c>
      <c r="AJB71" s="120"/>
      <c r="AJC71" s="120"/>
      <c r="AJD71" s="120"/>
      <c r="AJE71" s="440"/>
      <c r="AKA71" s="449" t="s">
        <v>475</v>
      </c>
      <c r="AKB71" s="120"/>
      <c r="AKC71" s="120"/>
      <c r="AKD71" s="120"/>
      <c r="AKE71" s="440"/>
      <c r="ALA71" s="449" t="s">
        <v>475</v>
      </c>
      <c r="ALB71" s="120"/>
      <c r="ALC71" s="120"/>
      <c r="ALD71" s="120"/>
      <c r="ALE71" s="440"/>
      <c r="AMA71" s="449" t="s">
        <v>475</v>
      </c>
      <c r="AMB71" s="120"/>
      <c r="AMC71" s="120"/>
      <c r="AMD71" s="120"/>
      <c r="AME71" s="440"/>
      <c r="ANA71" s="449" t="s">
        <v>475</v>
      </c>
      <c r="ANB71" s="120"/>
      <c r="ANC71" s="120"/>
      <c r="AND71" s="120"/>
      <c r="ANE71" s="440"/>
      <c r="AOA71" s="449" t="s">
        <v>475</v>
      </c>
      <c r="AOB71" s="120"/>
      <c r="AOC71" s="120"/>
      <c r="AOD71" s="120"/>
      <c r="AOE71" s="440"/>
      <c r="APA71" s="449" t="s">
        <v>475</v>
      </c>
      <c r="APB71" s="120"/>
      <c r="APC71" s="120"/>
      <c r="APD71" s="120"/>
      <c r="APE71" s="440"/>
      <c r="AQA71" s="449" t="s">
        <v>475</v>
      </c>
      <c r="AQB71" s="120"/>
      <c r="AQC71" s="120"/>
      <c r="AQD71" s="120"/>
      <c r="AQE71" s="440"/>
      <c r="ARA71" s="449" t="s">
        <v>475</v>
      </c>
      <c r="ARB71" s="120"/>
      <c r="ARC71" s="120"/>
      <c r="ARD71" s="120"/>
      <c r="ARE71" s="440"/>
      <c r="ASA71" s="449" t="s">
        <v>475</v>
      </c>
      <c r="ASB71" s="120"/>
      <c r="ASC71" s="120"/>
      <c r="ASD71" s="120"/>
      <c r="ASE71" s="440"/>
      <c r="ATA71" s="449" t="s">
        <v>475</v>
      </c>
      <c r="ATB71" s="120"/>
      <c r="ATC71" s="120"/>
      <c r="ATD71" s="120"/>
      <c r="ATE71" s="440"/>
      <c r="AUA71" s="449" t="s">
        <v>475</v>
      </c>
      <c r="AUB71" s="120"/>
      <c r="AUC71" s="120"/>
      <c r="AUD71" s="120"/>
      <c r="AUE71" s="440"/>
      <c r="AVA71" s="449" t="s">
        <v>475</v>
      </c>
      <c r="AVB71" s="120"/>
      <c r="AVC71" s="120"/>
      <c r="AVD71" s="120"/>
      <c r="AVE71" s="440"/>
      <c r="AWA71" s="449" t="s">
        <v>475</v>
      </c>
      <c r="AWB71" s="120"/>
      <c r="AWC71" s="120"/>
      <c r="AWD71" s="120"/>
      <c r="AWE71" s="440"/>
      <c r="AXA71" s="449" t="s">
        <v>475</v>
      </c>
      <c r="AXB71" s="120"/>
      <c r="AXC71" s="120"/>
      <c r="AXD71" s="120"/>
      <c r="AXE71" s="440"/>
      <c r="AYA71" s="449" t="s">
        <v>475</v>
      </c>
      <c r="AYB71" s="120"/>
      <c r="AYC71" s="120"/>
      <c r="AYD71" s="120"/>
      <c r="AYE71" s="440"/>
      <c r="AZA71" s="449" t="s">
        <v>475</v>
      </c>
      <c r="AZB71" s="120"/>
      <c r="AZC71" s="120"/>
      <c r="AZD71" s="120"/>
      <c r="AZE71" s="440"/>
      <c r="BAA71" s="449" t="s">
        <v>475</v>
      </c>
      <c r="BAB71" s="120"/>
      <c r="BAC71" s="120"/>
      <c r="BAD71" s="120"/>
      <c r="BAE71" s="440"/>
      <c r="BBA71" s="449" t="s">
        <v>475</v>
      </c>
      <c r="BBB71" s="120"/>
      <c r="BBC71" s="120"/>
      <c r="BBD71" s="120"/>
      <c r="BBE71" s="440"/>
      <c r="BCA71" s="449" t="s">
        <v>475</v>
      </c>
      <c r="BCB71" s="120"/>
      <c r="BCC71" s="120"/>
      <c r="BCD71" s="120"/>
      <c r="BCE71" s="440"/>
      <c r="BDA71" s="449" t="s">
        <v>475</v>
      </c>
      <c r="BDB71" s="120"/>
      <c r="BDC71" s="120"/>
      <c r="BDD71" s="120"/>
      <c r="BDE71" s="440"/>
      <c r="BEA71" s="449" t="s">
        <v>475</v>
      </c>
      <c r="BEB71" s="120"/>
      <c r="BEC71" s="120"/>
      <c r="BED71" s="120"/>
      <c r="BEE71" s="440"/>
      <c r="BFA71" s="449" t="s">
        <v>475</v>
      </c>
      <c r="BFB71" s="120"/>
      <c r="BFC71" s="120"/>
      <c r="BFD71" s="120"/>
      <c r="BFE71" s="440"/>
      <c r="BGA71" s="449" t="s">
        <v>475</v>
      </c>
      <c r="BGB71" s="120"/>
      <c r="BGC71" s="120"/>
      <c r="BGD71" s="120"/>
      <c r="BGE71" s="440"/>
      <c r="BHA71" s="449" t="s">
        <v>475</v>
      </c>
      <c r="BHB71" s="120"/>
      <c r="BHC71" s="120"/>
      <c r="BHD71" s="120"/>
      <c r="BHE71" s="440"/>
      <c r="BIA71" s="449" t="s">
        <v>475</v>
      </c>
      <c r="BIB71" s="120"/>
      <c r="BIC71" s="120"/>
      <c r="BID71" s="120"/>
      <c r="BIE71" s="440"/>
      <c r="BJA71" s="449" t="s">
        <v>475</v>
      </c>
      <c r="BJB71" s="120"/>
      <c r="BJC71" s="120"/>
      <c r="BJD71" s="120"/>
      <c r="BJE71" s="440"/>
      <c r="BKA71" s="449" t="s">
        <v>475</v>
      </c>
      <c r="BKB71" s="120"/>
      <c r="BKC71" s="120"/>
      <c r="BKD71" s="120"/>
      <c r="BKE71" s="440"/>
      <c r="BLA71" s="449" t="s">
        <v>475</v>
      </c>
      <c r="BLB71" s="120"/>
      <c r="BLC71" s="120"/>
      <c r="BLD71" s="120"/>
      <c r="BLE71" s="440"/>
      <c r="BMA71" s="449" t="s">
        <v>475</v>
      </c>
      <c r="BMB71" s="120"/>
      <c r="BMC71" s="120"/>
      <c r="BMD71" s="120"/>
      <c r="BME71" s="440"/>
      <c r="BNA71" s="449" t="s">
        <v>475</v>
      </c>
      <c r="BNB71" s="120"/>
      <c r="BNC71" s="120"/>
      <c r="BND71" s="120"/>
      <c r="BNE71" s="440"/>
      <c r="BOA71" s="449" t="s">
        <v>475</v>
      </c>
      <c r="BOB71" s="120"/>
      <c r="BOC71" s="120"/>
      <c r="BOD71" s="120"/>
      <c r="BOE71" s="440"/>
      <c r="BPA71" s="449" t="s">
        <v>475</v>
      </c>
      <c r="BPB71" s="120"/>
      <c r="BPC71" s="120"/>
      <c r="BPD71" s="120"/>
      <c r="BPE71" s="440"/>
      <c r="BQA71" s="449" t="s">
        <v>475</v>
      </c>
      <c r="BQB71" s="120"/>
      <c r="BQC71" s="120"/>
      <c r="BQD71" s="120"/>
      <c r="BQE71" s="440"/>
      <c r="BRA71" s="449" t="s">
        <v>475</v>
      </c>
      <c r="BRB71" s="120"/>
      <c r="BRC71" s="120"/>
      <c r="BRD71" s="120"/>
      <c r="BRE71" s="440"/>
    </row>
    <row r="72" spans="1:1019 1041:1825">
      <c r="B72" s="114" t="s">
        <v>435</v>
      </c>
      <c r="AA72" s="436" t="s">
        <v>509</v>
      </c>
      <c r="AB72" s="120"/>
      <c r="AC72" s="120" t="s">
        <v>512</v>
      </c>
      <c r="AD72" s="120"/>
      <c r="AE72" s="440"/>
      <c r="BA72" s="436" t="s">
        <v>509</v>
      </c>
      <c r="BB72" s="120"/>
      <c r="BC72" s="120" t="s">
        <v>512</v>
      </c>
      <c r="BD72" s="120"/>
      <c r="BE72" s="440"/>
      <c r="CA72" s="436" t="s">
        <v>509</v>
      </c>
      <c r="CB72" s="120"/>
      <c r="CC72" s="120" t="s">
        <v>512</v>
      </c>
      <c r="CD72" s="120"/>
      <c r="CE72" s="440"/>
      <c r="DA72" s="436" t="s">
        <v>509</v>
      </c>
      <c r="DB72" s="120"/>
      <c r="DC72" s="120" t="s">
        <v>512</v>
      </c>
      <c r="DD72" s="120"/>
      <c r="DE72" s="440"/>
      <c r="EA72" s="436" t="s">
        <v>509</v>
      </c>
      <c r="EB72" s="120"/>
      <c r="EC72" s="120" t="s">
        <v>512</v>
      </c>
      <c r="ED72" s="120"/>
      <c r="EE72" s="440"/>
      <c r="FA72" s="436" t="s">
        <v>509</v>
      </c>
      <c r="FB72" s="120"/>
      <c r="FC72" s="120" t="s">
        <v>512</v>
      </c>
      <c r="FD72" s="120"/>
      <c r="FE72" s="440"/>
      <c r="GA72" s="436" t="s">
        <v>509</v>
      </c>
      <c r="GB72" s="120"/>
      <c r="GC72" s="120" t="s">
        <v>512</v>
      </c>
      <c r="GD72" s="120"/>
      <c r="GE72" s="440"/>
      <c r="HA72" s="436" t="s">
        <v>509</v>
      </c>
      <c r="HB72" s="120"/>
      <c r="HC72" s="120" t="s">
        <v>512</v>
      </c>
      <c r="HD72" s="120"/>
      <c r="HE72" s="440"/>
      <c r="IA72" s="436" t="s">
        <v>509</v>
      </c>
      <c r="IB72" s="120"/>
      <c r="IC72" s="120" t="s">
        <v>512</v>
      </c>
      <c r="ID72" s="120"/>
      <c r="IE72" s="440"/>
      <c r="JA72" s="436" t="s">
        <v>509</v>
      </c>
      <c r="JB72" s="120"/>
      <c r="JC72" s="120" t="s">
        <v>512</v>
      </c>
      <c r="JD72" s="120"/>
      <c r="JE72" s="440"/>
      <c r="KA72" s="436" t="s">
        <v>509</v>
      </c>
      <c r="KB72" s="120"/>
      <c r="KC72" s="120" t="s">
        <v>512</v>
      </c>
      <c r="KD72" s="120"/>
      <c r="KE72" s="440"/>
      <c r="LA72" s="436" t="s">
        <v>509</v>
      </c>
      <c r="LB72" s="120"/>
      <c r="LC72" s="120" t="s">
        <v>512</v>
      </c>
      <c r="LD72" s="120"/>
      <c r="LE72" s="440"/>
      <c r="MA72" s="436" t="s">
        <v>509</v>
      </c>
      <c r="MB72" s="120"/>
      <c r="MC72" s="120" t="s">
        <v>512</v>
      </c>
      <c r="MD72" s="120"/>
      <c r="ME72" s="440"/>
      <c r="NA72" s="436" t="s">
        <v>509</v>
      </c>
      <c r="NB72" s="120"/>
      <c r="NC72" s="120" t="s">
        <v>512</v>
      </c>
      <c r="ND72" s="120"/>
      <c r="NE72" s="440"/>
      <c r="OA72" s="436" t="s">
        <v>509</v>
      </c>
      <c r="OB72" s="120"/>
      <c r="OC72" s="120" t="s">
        <v>512</v>
      </c>
      <c r="OD72" s="120"/>
      <c r="OE72" s="440"/>
      <c r="PA72" s="436" t="s">
        <v>509</v>
      </c>
      <c r="PB72" s="120"/>
      <c r="PC72" s="120" t="s">
        <v>512</v>
      </c>
      <c r="PD72" s="120"/>
      <c r="PE72" s="440"/>
      <c r="QA72" s="436" t="s">
        <v>509</v>
      </c>
      <c r="QB72" s="120"/>
      <c r="QC72" s="120" t="s">
        <v>512</v>
      </c>
      <c r="QD72" s="120"/>
      <c r="QE72" s="440"/>
      <c r="RA72" s="436" t="s">
        <v>509</v>
      </c>
      <c r="RB72" s="120"/>
      <c r="RC72" s="120" t="s">
        <v>512</v>
      </c>
      <c r="RD72" s="120"/>
      <c r="RE72" s="440"/>
      <c r="SA72" s="436" t="s">
        <v>509</v>
      </c>
      <c r="SB72" s="120"/>
      <c r="SC72" s="120" t="s">
        <v>512</v>
      </c>
      <c r="SD72" s="120"/>
      <c r="SE72" s="440"/>
      <c r="TA72" s="436" t="s">
        <v>509</v>
      </c>
      <c r="TB72" s="120"/>
      <c r="TC72" s="120" t="s">
        <v>512</v>
      </c>
      <c r="TD72" s="120"/>
      <c r="TE72" s="440"/>
      <c r="UA72" s="436" t="s">
        <v>509</v>
      </c>
      <c r="UB72" s="120"/>
      <c r="UC72" s="120" t="s">
        <v>512</v>
      </c>
      <c r="UD72" s="120"/>
      <c r="UE72" s="440"/>
      <c r="VA72" s="436" t="s">
        <v>509</v>
      </c>
      <c r="VB72" s="120"/>
      <c r="VC72" s="120" t="s">
        <v>512</v>
      </c>
      <c r="VD72" s="120"/>
      <c r="VE72" s="440"/>
      <c r="WA72" s="436" t="s">
        <v>509</v>
      </c>
      <c r="WB72" s="120"/>
      <c r="WC72" s="120" t="s">
        <v>512</v>
      </c>
      <c r="WD72" s="120"/>
      <c r="WE72" s="440"/>
      <c r="XA72" s="436" t="s">
        <v>509</v>
      </c>
      <c r="XB72" s="120"/>
      <c r="XC72" s="120" t="s">
        <v>512</v>
      </c>
      <c r="XD72" s="120"/>
      <c r="XE72" s="440"/>
      <c r="YA72" s="436" t="s">
        <v>509</v>
      </c>
      <c r="YB72" s="120"/>
      <c r="YC72" s="120" t="s">
        <v>512</v>
      </c>
      <c r="YD72" s="120"/>
      <c r="YE72" s="440"/>
      <c r="ZA72" s="436" t="s">
        <v>509</v>
      </c>
      <c r="ZB72" s="120"/>
      <c r="ZC72" s="120" t="s">
        <v>512</v>
      </c>
      <c r="ZD72" s="120"/>
      <c r="ZE72" s="440"/>
      <c r="AAA72" s="436" t="s">
        <v>509</v>
      </c>
      <c r="AAB72" s="120"/>
      <c r="AAC72" s="120" t="s">
        <v>512</v>
      </c>
      <c r="AAD72" s="120"/>
      <c r="AAE72" s="440"/>
      <c r="ABA72" s="436" t="s">
        <v>509</v>
      </c>
      <c r="ABB72" s="120"/>
      <c r="ABC72" s="120" t="s">
        <v>512</v>
      </c>
      <c r="ABD72" s="120"/>
      <c r="ABE72" s="440"/>
      <c r="ACA72" s="436" t="s">
        <v>509</v>
      </c>
      <c r="ACB72" s="120"/>
      <c r="ACC72" s="120" t="s">
        <v>512</v>
      </c>
      <c r="ACD72" s="120"/>
      <c r="ACE72" s="440"/>
      <c r="ADA72" s="436" t="s">
        <v>509</v>
      </c>
      <c r="ADB72" s="120"/>
      <c r="ADC72" s="120" t="s">
        <v>512</v>
      </c>
      <c r="ADD72" s="120"/>
      <c r="ADE72" s="440"/>
      <c r="AEA72" s="436" t="s">
        <v>509</v>
      </c>
      <c r="AEB72" s="120"/>
      <c r="AEC72" s="120" t="s">
        <v>512</v>
      </c>
      <c r="AED72" s="120"/>
      <c r="AEE72" s="440"/>
      <c r="AFA72" s="436" t="s">
        <v>509</v>
      </c>
      <c r="AFB72" s="120"/>
      <c r="AFC72" s="120" t="s">
        <v>512</v>
      </c>
      <c r="AFD72" s="120"/>
      <c r="AFE72" s="440"/>
      <c r="AGA72" s="436" t="s">
        <v>509</v>
      </c>
      <c r="AGB72" s="120"/>
      <c r="AGC72" s="120" t="s">
        <v>512</v>
      </c>
      <c r="AGD72" s="120"/>
      <c r="AGE72" s="440"/>
      <c r="AHA72" s="436" t="s">
        <v>509</v>
      </c>
      <c r="AHB72" s="120"/>
      <c r="AHC72" s="120" t="s">
        <v>512</v>
      </c>
      <c r="AHD72" s="120"/>
      <c r="AHE72" s="440"/>
      <c r="AIA72" s="436" t="s">
        <v>509</v>
      </c>
      <c r="AIB72" s="120"/>
      <c r="AIC72" s="120" t="s">
        <v>512</v>
      </c>
      <c r="AID72" s="120"/>
      <c r="AIE72" s="440"/>
      <c r="AJA72" s="436" t="s">
        <v>509</v>
      </c>
      <c r="AJB72" s="120"/>
      <c r="AJC72" s="120" t="s">
        <v>512</v>
      </c>
      <c r="AJD72" s="120"/>
      <c r="AJE72" s="440"/>
      <c r="AKA72" s="436" t="s">
        <v>509</v>
      </c>
      <c r="AKB72" s="120"/>
      <c r="AKC72" s="120" t="s">
        <v>512</v>
      </c>
      <c r="AKD72" s="120"/>
      <c r="AKE72" s="440"/>
      <c r="ALA72" s="436" t="s">
        <v>509</v>
      </c>
      <c r="ALB72" s="120"/>
      <c r="ALC72" s="120" t="s">
        <v>512</v>
      </c>
      <c r="ALD72" s="120"/>
      <c r="ALE72" s="440"/>
      <c r="AMA72" s="436" t="s">
        <v>509</v>
      </c>
      <c r="AMB72" s="120"/>
      <c r="AMC72" s="120" t="s">
        <v>512</v>
      </c>
      <c r="AMD72" s="120"/>
      <c r="AME72" s="440"/>
      <c r="ANA72" s="436" t="s">
        <v>509</v>
      </c>
      <c r="ANB72" s="120"/>
      <c r="ANC72" s="120" t="s">
        <v>512</v>
      </c>
      <c r="AND72" s="120"/>
      <c r="ANE72" s="440"/>
      <c r="AOA72" s="436" t="s">
        <v>509</v>
      </c>
      <c r="AOB72" s="120"/>
      <c r="AOC72" s="120" t="s">
        <v>512</v>
      </c>
      <c r="AOD72" s="120"/>
      <c r="AOE72" s="440"/>
      <c r="APA72" s="436" t="s">
        <v>509</v>
      </c>
      <c r="APB72" s="120"/>
      <c r="APC72" s="120" t="s">
        <v>512</v>
      </c>
      <c r="APD72" s="120"/>
      <c r="APE72" s="440"/>
      <c r="AQA72" s="436" t="s">
        <v>509</v>
      </c>
      <c r="AQB72" s="120"/>
      <c r="AQC72" s="120" t="s">
        <v>512</v>
      </c>
      <c r="AQD72" s="120"/>
      <c r="AQE72" s="440"/>
      <c r="ARA72" s="436" t="s">
        <v>509</v>
      </c>
      <c r="ARB72" s="120"/>
      <c r="ARC72" s="120" t="s">
        <v>512</v>
      </c>
      <c r="ARD72" s="120"/>
      <c r="ARE72" s="440"/>
      <c r="ASA72" s="436" t="s">
        <v>509</v>
      </c>
      <c r="ASB72" s="120"/>
      <c r="ASC72" s="120" t="s">
        <v>512</v>
      </c>
      <c r="ASD72" s="120"/>
      <c r="ASE72" s="440"/>
      <c r="ATA72" s="436" t="s">
        <v>509</v>
      </c>
      <c r="ATB72" s="120"/>
      <c r="ATC72" s="120" t="s">
        <v>512</v>
      </c>
      <c r="ATD72" s="120"/>
      <c r="ATE72" s="440"/>
      <c r="AUA72" s="436" t="s">
        <v>509</v>
      </c>
      <c r="AUB72" s="120"/>
      <c r="AUC72" s="120" t="s">
        <v>512</v>
      </c>
      <c r="AUD72" s="120"/>
      <c r="AUE72" s="440"/>
      <c r="AVA72" s="436" t="s">
        <v>509</v>
      </c>
      <c r="AVB72" s="120"/>
      <c r="AVC72" s="120" t="s">
        <v>512</v>
      </c>
      <c r="AVD72" s="120"/>
      <c r="AVE72" s="440"/>
      <c r="AWA72" s="436" t="s">
        <v>509</v>
      </c>
      <c r="AWB72" s="120"/>
      <c r="AWC72" s="120" t="s">
        <v>512</v>
      </c>
      <c r="AWD72" s="120"/>
      <c r="AWE72" s="440"/>
      <c r="AXA72" s="436" t="s">
        <v>509</v>
      </c>
      <c r="AXB72" s="120"/>
      <c r="AXC72" s="120" t="s">
        <v>512</v>
      </c>
      <c r="AXD72" s="120"/>
      <c r="AXE72" s="440"/>
      <c r="AYA72" s="436" t="s">
        <v>509</v>
      </c>
      <c r="AYB72" s="120"/>
      <c r="AYC72" s="120" t="s">
        <v>512</v>
      </c>
      <c r="AYD72" s="120"/>
      <c r="AYE72" s="440"/>
      <c r="AZA72" s="436" t="s">
        <v>509</v>
      </c>
      <c r="AZB72" s="120"/>
      <c r="AZC72" s="120" t="s">
        <v>512</v>
      </c>
      <c r="AZD72" s="120"/>
      <c r="AZE72" s="440"/>
      <c r="BAA72" s="436" t="s">
        <v>509</v>
      </c>
      <c r="BAB72" s="120"/>
      <c r="BAC72" s="120" t="s">
        <v>512</v>
      </c>
      <c r="BAD72" s="120"/>
      <c r="BAE72" s="440"/>
      <c r="BBA72" s="436" t="s">
        <v>509</v>
      </c>
      <c r="BBB72" s="120"/>
      <c r="BBC72" s="120" t="s">
        <v>512</v>
      </c>
      <c r="BBD72" s="120"/>
      <c r="BBE72" s="440"/>
      <c r="BCA72" s="436" t="s">
        <v>509</v>
      </c>
      <c r="BCB72" s="120"/>
      <c r="BCC72" s="120" t="s">
        <v>512</v>
      </c>
      <c r="BCD72" s="120"/>
      <c r="BCE72" s="440"/>
      <c r="BDA72" s="436" t="s">
        <v>509</v>
      </c>
      <c r="BDB72" s="120"/>
      <c r="BDC72" s="120" t="s">
        <v>512</v>
      </c>
      <c r="BDD72" s="120"/>
      <c r="BDE72" s="440"/>
      <c r="BEA72" s="436" t="s">
        <v>509</v>
      </c>
      <c r="BEB72" s="120"/>
      <c r="BEC72" s="120" t="s">
        <v>512</v>
      </c>
      <c r="BED72" s="120"/>
      <c r="BEE72" s="440"/>
      <c r="BFA72" s="436" t="s">
        <v>509</v>
      </c>
      <c r="BFB72" s="120"/>
      <c r="BFC72" s="120" t="s">
        <v>512</v>
      </c>
      <c r="BFD72" s="120"/>
      <c r="BFE72" s="440"/>
      <c r="BGA72" s="436" t="s">
        <v>509</v>
      </c>
      <c r="BGB72" s="120"/>
      <c r="BGC72" s="120" t="s">
        <v>512</v>
      </c>
      <c r="BGD72" s="120"/>
      <c r="BGE72" s="440"/>
      <c r="BHA72" s="436" t="s">
        <v>509</v>
      </c>
      <c r="BHB72" s="120"/>
      <c r="BHC72" s="120" t="s">
        <v>512</v>
      </c>
      <c r="BHD72" s="120"/>
      <c r="BHE72" s="440"/>
      <c r="BIA72" s="436" t="s">
        <v>509</v>
      </c>
      <c r="BIB72" s="120"/>
      <c r="BIC72" s="120" t="s">
        <v>512</v>
      </c>
      <c r="BID72" s="120"/>
      <c r="BIE72" s="440"/>
      <c r="BJA72" s="436" t="s">
        <v>509</v>
      </c>
      <c r="BJB72" s="120"/>
      <c r="BJC72" s="120" t="s">
        <v>512</v>
      </c>
      <c r="BJD72" s="120"/>
      <c r="BJE72" s="440"/>
      <c r="BKA72" s="436" t="s">
        <v>509</v>
      </c>
      <c r="BKB72" s="120"/>
      <c r="BKC72" s="120" t="s">
        <v>512</v>
      </c>
      <c r="BKD72" s="120"/>
      <c r="BKE72" s="440"/>
      <c r="BLA72" s="436" t="s">
        <v>509</v>
      </c>
      <c r="BLB72" s="120"/>
      <c r="BLC72" s="120" t="s">
        <v>512</v>
      </c>
      <c r="BLD72" s="120"/>
      <c r="BLE72" s="440"/>
      <c r="BMA72" s="436" t="s">
        <v>509</v>
      </c>
      <c r="BMB72" s="120"/>
      <c r="BMC72" s="120" t="s">
        <v>512</v>
      </c>
      <c r="BMD72" s="120"/>
      <c r="BME72" s="440"/>
      <c r="BNA72" s="436" t="s">
        <v>509</v>
      </c>
      <c r="BNB72" s="120"/>
      <c r="BNC72" s="120" t="s">
        <v>512</v>
      </c>
      <c r="BND72" s="120"/>
      <c r="BNE72" s="440"/>
      <c r="BOA72" s="436" t="s">
        <v>509</v>
      </c>
      <c r="BOB72" s="120"/>
      <c r="BOC72" s="120" t="s">
        <v>512</v>
      </c>
      <c r="BOD72" s="120"/>
      <c r="BOE72" s="440"/>
      <c r="BPA72" s="436" t="s">
        <v>509</v>
      </c>
      <c r="BPB72" s="120"/>
      <c r="BPC72" s="120" t="s">
        <v>512</v>
      </c>
      <c r="BPD72" s="120"/>
      <c r="BPE72" s="440"/>
      <c r="BQA72" s="436" t="s">
        <v>509</v>
      </c>
      <c r="BQB72" s="120"/>
      <c r="BQC72" s="120" t="s">
        <v>512</v>
      </c>
      <c r="BQD72" s="120"/>
      <c r="BQE72" s="440"/>
      <c r="BRA72" s="436" t="s">
        <v>509</v>
      </c>
      <c r="BRB72" s="120"/>
      <c r="BRC72" s="120" t="s">
        <v>512</v>
      </c>
      <c r="BRD72" s="120"/>
      <c r="BRE72" s="440"/>
    </row>
    <row r="73" spans="1:1019 1041:1825">
      <c r="B73" s="114"/>
      <c r="AA73" s="436" t="s">
        <v>510</v>
      </c>
      <c r="AB73" s="120"/>
      <c r="AC73" s="120" t="s">
        <v>512</v>
      </c>
      <c r="AD73" s="120"/>
      <c r="AE73" s="440"/>
      <c r="BA73" s="436" t="s">
        <v>510</v>
      </c>
      <c r="BB73" s="120"/>
      <c r="BC73" s="120" t="s">
        <v>512</v>
      </c>
      <c r="BD73" s="120"/>
      <c r="BE73" s="440"/>
      <c r="CA73" s="436" t="s">
        <v>510</v>
      </c>
      <c r="CB73" s="120"/>
      <c r="CC73" s="120" t="s">
        <v>512</v>
      </c>
      <c r="CD73" s="120"/>
      <c r="CE73" s="440"/>
      <c r="DA73" s="436" t="s">
        <v>510</v>
      </c>
      <c r="DB73" s="120"/>
      <c r="DC73" s="120" t="s">
        <v>512</v>
      </c>
      <c r="DD73" s="120"/>
      <c r="DE73" s="440"/>
      <c r="EA73" s="436" t="s">
        <v>510</v>
      </c>
      <c r="EB73" s="120"/>
      <c r="EC73" s="120" t="s">
        <v>512</v>
      </c>
      <c r="ED73" s="120"/>
      <c r="EE73" s="440"/>
      <c r="FA73" s="436" t="s">
        <v>510</v>
      </c>
      <c r="FB73" s="120"/>
      <c r="FC73" s="120" t="s">
        <v>512</v>
      </c>
      <c r="FD73" s="120"/>
      <c r="FE73" s="440"/>
      <c r="GA73" s="436" t="s">
        <v>510</v>
      </c>
      <c r="GB73" s="120"/>
      <c r="GC73" s="120" t="s">
        <v>512</v>
      </c>
      <c r="GD73" s="120"/>
      <c r="GE73" s="440"/>
      <c r="HA73" s="436" t="s">
        <v>510</v>
      </c>
      <c r="HB73" s="120"/>
      <c r="HC73" s="120" t="s">
        <v>512</v>
      </c>
      <c r="HD73" s="120"/>
      <c r="HE73" s="440"/>
      <c r="IA73" s="436" t="s">
        <v>510</v>
      </c>
      <c r="IB73" s="120"/>
      <c r="IC73" s="120" t="s">
        <v>512</v>
      </c>
      <c r="ID73" s="120"/>
      <c r="IE73" s="440"/>
      <c r="JA73" s="436" t="s">
        <v>510</v>
      </c>
      <c r="JB73" s="120"/>
      <c r="JC73" s="120" t="s">
        <v>512</v>
      </c>
      <c r="JD73" s="120"/>
      <c r="JE73" s="440"/>
      <c r="KA73" s="436" t="s">
        <v>510</v>
      </c>
      <c r="KB73" s="120"/>
      <c r="KC73" s="120" t="s">
        <v>512</v>
      </c>
      <c r="KD73" s="120"/>
      <c r="KE73" s="440"/>
      <c r="LA73" s="436" t="s">
        <v>510</v>
      </c>
      <c r="LB73" s="120"/>
      <c r="LC73" s="120" t="s">
        <v>512</v>
      </c>
      <c r="LD73" s="120"/>
      <c r="LE73" s="440"/>
      <c r="MA73" s="436" t="s">
        <v>510</v>
      </c>
      <c r="MB73" s="120"/>
      <c r="MC73" s="120" t="s">
        <v>512</v>
      </c>
      <c r="MD73" s="120"/>
      <c r="ME73" s="440"/>
      <c r="NA73" s="436" t="s">
        <v>510</v>
      </c>
      <c r="NB73" s="120"/>
      <c r="NC73" s="120" t="s">
        <v>512</v>
      </c>
      <c r="ND73" s="120"/>
      <c r="NE73" s="440"/>
      <c r="OA73" s="436" t="s">
        <v>510</v>
      </c>
      <c r="OB73" s="120"/>
      <c r="OC73" s="120" t="s">
        <v>512</v>
      </c>
      <c r="OD73" s="120"/>
      <c r="OE73" s="440"/>
      <c r="PA73" s="436" t="s">
        <v>510</v>
      </c>
      <c r="PB73" s="120"/>
      <c r="PC73" s="120" t="s">
        <v>512</v>
      </c>
      <c r="PD73" s="120"/>
      <c r="PE73" s="440"/>
      <c r="QA73" s="436" t="s">
        <v>510</v>
      </c>
      <c r="QB73" s="120"/>
      <c r="QC73" s="120" t="s">
        <v>512</v>
      </c>
      <c r="QD73" s="120"/>
      <c r="QE73" s="440"/>
      <c r="RA73" s="436" t="s">
        <v>510</v>
      </c>
      <c r="RB73" s="120"/>
      <c r="RC73" s="120" t="s">
        <v>512</v>
      </c>
      <c r="RD73" s="120"/>
      <c r="RE73" s="440"/>
      <c r="SA73" s="436" t="s">
        <v>510</v>
      </c>
      <c r="SB73" s="120"/>
      <c r="SC73" s="120" t="s">
        <v>512</v>
      </c>
      <c r="SD73" s="120"/>
      <c r="SE73" s="440"/>
      <c r="TA73" s="436" t="s">
        <v>510</v>
      </c>
      <c r="TB73" s="120"/>
      <c r="TC73" s="120" t="s">
        <v>512</v>
      </c>
      <c r="TD73" s="120"/>
      <c r="TE73" s="440"/>
      <c r="UA73" s="436" t="s">
        <v>510</v>
      </c>
      <c r="UB73" s="120"/>
      <c r="UC73" s="120" t="s">
        <v>512</v>
      </c>
      <c r="UD73" s="120"/>
      <c r="UE73" s="440"/>
      <c r="VA73" s="436" t="s">
        <v>510</v>
      </c>
      <c r="VB73" s="120"/>
      <c r="VC73" s="120" t="s">
        <v>512</v>
      </c>
      <c r="VD73" s="120"/>
      <c r="VE73" s="440"/>
      <c r="WA73" s="436" t="s">
        <v>510</v>
      </c>
      <c r="WB73" s="120"/>
      <c r="WC73" s="120" t="s">
        <v>512</v>
      </c>
      <c r="WD73" s="120"/>
      <c r="WE73" s="440"/>
      <c r="XA73" s="436" t="s">
        <v>510</v>
      </c>
      <c r="XB73" s="120"/>
      <c r="XC73" s="120" t="s">
        <v>512</v>
      </c>
      <c r="XD73" s="120"/>
      <c r="XE73" s="440"/>
      <c r="YA73" s="436" t="s">
        <v>510</v>
      </c>
      <c r="YB73" s="120"/>
      <c r="YC73" s="120" t="s">
        <v>512</v>
      </c>
      <c r="YD73" s="120"/>
      <c r="YE73" s="440"/>
      <c r="ZA73" s="436" t="s">
        <v>510</v>
      </c>
      <c r="ZB73" s="120"/>
      <c r="ZC73" s="120" t="s">
        <v>512</v>
      </c>
      <c r="ZD73" s="120"/>
      <c r="ZE73" s="440"/>
      <c r="AAA73" s="436" t="s">
        <v>510</v>
      </c>
      <c r="AAB73" s="120"/>
      <c r="AAC73" s="120" t="s">
        <v>512</v>
      </c>
      <c r="AAD73" s="120"/>
      <c r="AAE73" s="440"/>
      <c r="ABA73" s="436" t="s">
        <v>510</v>
      </c>
      <c r="ABB73" s="120"/>
      <c r="ABC73" s="120" t="s">
        <v>512</v>
      </c>
      <c r="ABD73" s="120"/>
      <c r="ABE73" s="440"/>
      <c r="ACA73" s="436" t="s">
        <v>510</v>
      </c>
      <c r="ACB73" s="120"/>
      <c r="ACC73" s="120" t="s">
        <v>512</v>
      </c>
      <c r="ACD73" s="120"/>
      <c r="ACE73" s="440"/>
      <c r="ADA73" s="436" t="s">
        <v>510</v>
      </c>
      <c r="ADB73" s="120"/>
      <c r="ADC73" s="120" t="s">
        <v>512</v>
      </c>
      <c r="ADD73" s="120"/>
      <c r="ADE73" s="440"/>
      <c r="AEA73" s="436" t="s">
        <v>510</v>
      </c>
      <c r="AEB73" s="120"/>
      <c r="AEC73" s="120" t="s">
        <v>512</v>
      </c>
      <c r="AED73" s="120"/>
      <c r="AEE73" s="440"/>
      <c r="AFA73" s="436" t="s">
        <v>510</v>
      </c>
      <c r="AFB73" s="120"/>
      <c r="AFC73" s="120" t="s">
        <v>512</v>
      </c>
      <c r="AFD73" s="120"/>
      <c r="AFE73" s="440"/>
      <c r="AGA73" s="436" t="s">
        <v>510</v>
      </c>
      <c r="AGB73" s="120"/>
      <c r="AGC73" s="120" t="s">
        <v>512</v>
      </c>
      <c r="AGD73" s="120"/>
      <c r="AGE73" s="440"/>
      <c r="AHA73" s="436" t="s">
        <v>510</v>
      </c>
      <c r="AHB73" s="120"/>
      <c r="AHC73" s="120" t="s">
        <v>512</v>
      </c>
      <c r="AHD73" s="120"/>
      <c r="AHE73" s="440"/>
      <c r="AIA73" s="436" t="s">
        <v>510</v>
      </c>
      <c r="AIB73" s="120"/>
      <c r="AIC73" s="120" t="s">
        <v>512</v>
      </c>
      <c r="AID73" s="120"/>
      <c r="AIE73" s="440"/>
      <c r="AJA73" s="436" t="s">
        <v>510</v>
      </c>
      <c r="AJB73" s="120"/>
      <c r="AJC73" s="120" t="s">
        <v>512</v>
      </c>
      <c r="AJD73" s="120"/>
      <c r="AJE73" s="440"/>
      <c r="AKA73" s="436" t="s">
        <v>510</v>
      </c>
      <c r="AKB73" s="120"/>
      <c r="AKC73" s="120" t="s">
        <v>512</v>
      </c>
      <c r="AKD73" s="120"/>
      <c r="AKE73" s="440"/>
      <c r="ALA73" s="436" t="s">
        <v>510</v>
      </c>
      <c r="ALB73" s="120"/>
      <c r="ALC73" s="120" t="s">
        <v>512</v>
      </c>
      <c r="ALD73" s="120"/>
      <c r="ALE73" s="440"/>
      <c r="AMA73" s="436" t="s">
        <v>510</v>
      </c>
      <c r="AMB73" s="120"/>
      <c r="AMC73" s="120" t="s">
        <v>512</v>
      </c>
      <c r="AMD73" s="120"/>
      <c r="AME73" s="440"/>
      <c r="ANA73" s="436" t="s">
        <v>510</v>
      </c>
      <c r="ANB73" s="120"/>
      <c r="ANC73" s="120" t="s">
        <v>512</v>
      </c>
      <c r="AND73" s="120"/>
      <c r="ANE73" s="440"/>
      <c r="AOA73" s="436" t="s">
        <v>510</v>
      </c>
      <c r="AOB73" s="120"/>
      <c r="AOC73" s="120" t="s">
        <v>512</v>
      </c>
      <c r="AOD73" s="120"/>
      <c r="AOE73" s="440"/>
      <c r="APA73" s="436" t="s">
        <v>510</v>
      </c>
      <c r="APB73" s="120"/>
      <c r="APC73" s="120" t="s">
        <v>512</v>
      </c>
      <c r="APD73" s="120"/>
      <c r="APE73" s="440"/>
      <c r="AQA73" s="436" t="s">
        <v>510</v>
      </c>
      <c r="AQB73" s="120"/>
      <c r="AQC73" s="120" t="s">
        <v>512</v>
      </c>
      <c r="AQD73" s="120"/>
      <c r="AQE73" s="440"/>
      <c r="ARA73" s="436" t="s">
        <v>510</v>
      </c>
      <c r="ARB73" s="120"/>
      <c r="ARC73" s="120" t="s">
        <v>512</v>
      </c>
      <c r="ARD73" s="120"/>
      <c r="ARE73" s="440"/>
      <c r="ASA73" s="436" t="s">
        <v>510</v>
      </c>
      <c r="ASB73" s="120"/>
      <c r="ASC73" s="120" t="s">
        <v>512</v>
      </c>
      <c r="ASD73" s="120"/>
      <c r="ASE73" s="440"/>
      <c r="ATA73" s="436" t="s">
        <v>510</v>
      </c>
      <c r="ATB73" s="120"/>
      <c r="ATC73" s="120" t="s">
        <v>512</v>
      </c>
      <c r="ATD73" s="120"/>
      <c r="ATE73" s="440"/>
      <c r="AUA73" s="436" t="s">
        <v>510</v>
      </c>
      <c r="AUB73" s="120"/>
      <c r="AUC73" s="120" t="s">
        <v>512</v>
      </c>
      <c r="AUD73" s="120"/>
      <c r="AUE73" s="440"/>
      <c r="AVA73" s="436" t="s">
        <v>510</v>
      </c>
      <c r="AVB73" s="120"/>
      <c r="AVC73" s="120" t="s">
        <v>512</v>
      </c>
      <c r="AVD73" s="120"/>
      <c r="AVE73" s="440"/>
      <c r="AWA73" s="436" t="s">
        <v>510</v>
      </c>
      <c r="AWB73" s="120"/>
      <c r="AWC73" s="120" t="s">
        <v>512</v>
      </c>
      <c r="AWD73" s="120"/>
      <c r="AWE73" s="440"/>
      <c r="AXA73" s="436" t="s">
        <v>510</v>
      </c>
      <c r="AXB73" s="120"/>
      <c r="AXC73" s="120" t="s">
        <v>512</v>
      </c>
      <c r="AXD73" s="120"/>
      <c r="AXE73" s="440"/>
      <c r="AYA73" s="436" t="s">
        <v>510</v>
      </c>
      <c r="AYB73" s="120"/>
      <c r="AYC73" s="120" t="s">
        <v>512</v>
      </c>
      <c r="AYD73" s="120"/>
      <c r="AYE73" s="440"/>
      <c r="AZA73" s="436" t="s">
        <v>510</v>
      </c>
      <c r="AZB73" s="120"/>
      <c r="AZC73" s="120" t="s">
        <v>512</v>
      </c>
      <c r="AZD73" s="120"/>
      <c r="AZE73" s="440"/>
      <c r="BAA73" s="436" t="s">
        <v>510</v>
      </c>
      <c r="BAB73" s="120"/>
      <c r="BAC73" s="120" t="s">
        <v>512</v>
      </c>
      <c r="BAD73" s="120"/>
      <c r="BAE73" s="440"/>
      <c r="BBA73" s="436" t="s">
        <v>510</v>
      </c>
      <c r="BBB73" s="120"/>
      <c r="BBC73" s="120" t="s">
        <v>512</v>
      </c>
      <c r="BBD73" s="120"/>
      <c r="BBE73" s="440"/>
      <c r="BCA73" s="436" t="s">
        <v>510</v>
      </c>
      <c r="BCB73" s="120"/>
      <c r="BCC73" s="120" t="s">
        <v>512</v>
      </c>
      <c r="BCD73" s="120"/>
      <c r="BCE73" s="440"/>
      <c r="BDA73" s="436" t="s">
        <v>510</v>
      </c>
      <c r="BDB73" s="120"/>
      <c r="BDC73" s="120" t="s">
        <v>512</v>
      </c>
      <c r="BDD73" s="120"/>
      <c r="BDE73" s="440"/>
      <c r="BEA73" s="436" t="s">
        <v>510</v>
      </c>
      <c r="BEB73" s="120"/>
      <c r="BEC73" s="120" t="s">
        <v>512</v>
      </c>
      <c r="BED73" s="120"/>
      <c r="BEE73" s="440"/>
      <c r="BFA73" s="436" t="s">
        <v>510</v>
      </c>
      <c r="BFB73" s="120"/>
      <c r="BFC73" s="120" t="s">
        <v>512</v>
      </c>
      <c r="BFD73" s="120"/>
      <c r="BFE73" s="440"/>
      <c r="BGA73" s="436" t="s">
        <v>510</v>
      </c>
      <c r="BGB73" s="120"/>
      <c r="BGC73" s="120" t="s">
        <v>512</v>
      </c>
      <c r="BGD73" s="120"/>
      <c r="BGE73" s="440"/>
      <c r="BHA73" s="436" t="s">
        <v>510</v>
      </c>
      <c r="BHB73" s="120"/>
      <c r="BHC73" s="120" t="s">
        <v>512</v>
      </c>
      <c r="BHD73" s="120"/>
      <c r="BHE73" s="440"/>
      <c r="BIA73" s="436" t="s">
        <v>510</v>
      </c>
      <c r="BIB73" s="120"/>
      <c r="BIC73" s="120" t="s">
        <v>512</v>
      </c>
      <c r="BID73" s="120"/>
      <c r="BIE73" s="440"/>
      <c r="BJA73" s="436" t="s">
        <v>510</v>
      </c>
      <c r="BJB73" s="120"/>
      <c r="BJC73" s="120" t="s">
        <v>512</v>
      </c>
      <c r="BJD73" s="120"/>
      <c r="BJE73" s="440"/>
      <c r="BKA73" s="436" t="s">
        <v>510</v>
      </c>
      <c r="BKB73" s="120"/>
      <c r="BKC73" s="120" t="s">
        <v>512</v>
      </c>
      <c r="BKD73" s="120"/>
      <c r="BKE73" s="440"/>
      <c r="BLA73" s="436" t="s">
        <v>510</v>
      </c>
      <c r="BLB73" s="120"/>
      <c r="BLC73" s="120" t="s">
        <v>512</v>
      </c>
      <c r="BLD73" s="120"/>
      <c r="BLE73" s="440"/>
      <c r="BMA73" s="436" t="s">
        <v>510</v>
      </c>
      <c r="BMB73" s="120"/>
      <c r="BMC73" s="120" t="s">
        <v>512</v>
      </c>
      <c r="BMD73" s="120"/>
      <c r="BME73" s="440"/>
      <c r="BNA73" s="436" t="s">
        <v>510</v>
      </c>
      <c r="BNB73" s="120"/>
      <c r="BNC73" s="120" t="s">
        <v>512</v>
      </c>
      <c r="BND73" s="120"/>
      <c r="BNE73" s="440"/>
      <c r="BOA73" s="436" t="s">
        <v>510</v>
      </c>
      <c r="BOB73" s="120"/>
      <c r="BOC73" s="120" t="s">
        <v>512</v>
      </c>
      <c r="BOD73" s="120"/>
      <c r="BOE73" s="440"/>
      <c r="BPA73" s="436" t="s">
        <v>510</v>
      </c>
      <c r="BPB73" s="120"/>
      <c r="BPC73" s="120" t="s">
        <v>512</v>
      </c>
      <c r="BPD73" s="120"/>
      <c r="BPE73" s="440"/>
      <c r="BQA73" s="436" t="s">
        <v>510</v>
      </c>
      <c r="BQB73" s="120"/>
      <c r="BQC73" s="120" t="s">
        <v>512</v>
      </c>
      <c r="BQD73" s="120"/>
      <c r="BQE73" s="440"/>
      <c r="BRA73" s="436" t="s">
        <v>510</v>
      </c>
      <c r="BRB73" s="120"/>
      <c r="BRC73" s="120" t="s">
        <v>512</v>
      </c>
      <c r="BRD73" s="120"/>
      <c r="BRE73" s="440"/>
    </row>
    <row r="74" spans="1:1019 1041:1825">
      <c r="AA74" s="436"/>
      <c r="AB74" s="120"/>
      <c r="AC74" s="120"/>
      <c r="AD74" s="120"/>
      <c r="AE74" s="440"/>
      <c r="BA74" s="436"/>
      <c r="BB74" s="120"/>
      <c r="BC74" s="120"/>
      <c r="BD74" s="120"/>
      <c r="BE74" s="440"/>
      <c r="CA74" s="436"/>
      <c r="CB74" s="120"/>
      <c r="CC74" s="120"/>
      <c r="CD74" s="120"/>
      <c r="CE74" s="440"/>
      <c r="DA74" s="436"/>
      <c r="DB74" s="120"/>
      <c r="DC74" s="120"/>
      <c r="DD74" s="120"/>
      <c r="DE74" s="440"/>
      <c r="EA74" s="436"/>
      <c r="EB74" s="120"/>
      <c r="EC74" s="120"/>
      <c r="ED74" s="120"/>
      <c r="EE74" s="440"/>
      <c r="FA74" s="436"/>
      <c r="FB74" s="120"/>
      <c r="FC74" s="120"/>
      <c r="FD74" s="120"/>
      <c r="FE74" s="440"/>
      <c r="GA74" s="436"/>
      <c r="GB74" s="120"/>
      <c r="GC74" s="120"/>
      <c r="GD74" s="120"/>
      <c r="GE74" s="440"/>
      <c r="HA74" s="436"/>
      <c r="HB74" s="120"/>
      <c r="HC74" s="120"/>
      <c r="HD74" s="120"/>
      <c r="HE74" s="440"/>
      <c r="IA74" s="436"/>
      <c r="IB74" s="120"/>
      <c r="IC74" s="120"/>
      <c r="ID74" s="120"/>
      <c r="IE74" s="440"/>
      <c r="JA74" s="436"/>
      <c r="JB74" s="120"/>
      <c r="JC74" s="120"/>
      <c r="JD74" s="120"/>
      <c r="JE74" s="440"/>
      <c r="KA74" s="436"/>
      <c r="KB74" s="120"/>
      <c r="KC74" s="120"/>
      <c r="KD74" s="120"/>
      <c r="KE74" s="440"/>
      <c r="LA74" s="436"/>
      <c r="LB74" s="120"/>
      <c r="LC74" s="120"/>
      <c r="LD74" s="120"/>
      <c r="LE74" s="440"/>
      <c r="MA74" s="436"/>
      <c r="MB74" s="120"/>
      <c r="MC74" s="120"/>
      <c r="MD74" s="120"/>
      <c r="ME74" s="440"/>
      <c r="NA74" s="436"/>
      <c r="NB74" s="120"/>
      <c r="NC74" s="120"/>
      <c r="ND74" s="120"/>
      <c r="NE74" s="440"/>
      <c r="OA74" s="436"/>
      <c r="OB74" s="120"/>
      <c r="OC74" s="120"/>
      <c r="OD74" s="120"/>
      <c r="OE74" s="440"/>
      <c r="PA74" s="436"/>
      <c r="PB74" s="120"/>
      <c r="PC74" s="120"/>
      <c r="PD74" s="120"/>
      <c r="PE74" s="440"/>
      <c r="QA74" s="436"/>
      <c r="QB74" s="120"/>
      <c r="QC74" s="120"/>
      <c r="QD74" s="120"/>
      <c r="QE74" s="440"/>
      <c r="RA74" s="436"/>
      <c r="RB74" s="120"/>
      <c r="RC74" s="120"/>
      <c r="RD74" s="120"/>
      <c r="RE74" s="440"/>
      <c r="SA74" s="436"/>
      <c r="SB74" s="120"/>
      <c r="SC74" s="120"/>
      <c r="SD74" s="120"/>
      <c r="SE74" s="440"/>
      <c r="TA74" s="436"/>
      <c r="TB74" s="120"/>
      <c r="TC74" s="120"/>
      <c r="TD74" s="120"/>
      <c r="TE74" s="440"/>
      <c r="UA74" s="436"/>
      <c r="UB74" s="120"/>
      <c r="UC74" s="120"/>
      <c r="UD74" s="120"/>
      <c r="UE74" s="440"/>
      <c r="VA74" s="436"/>
      <c r="VB74" s="120"/>
      <c r="VC74" s="120"/>
      <c r="VD74" s="120"/>
      <c r="VE74" s="440"/>
      <c r="WA74" s="436"/>
      <c r="WB74" s="120"/>
      <c r="WC74" s="120"/>
      <c r="WD74" s="120"/>
      <c r="WE74" s="440"/>
      <c r="XA74" s="436"/>
      <c r="XB74" s="120"/>
      <c r="XC74" s="120"/>
      <c r="XD74" s="120"/>
      <c r="XE74" s="440"/>
      <c r="YA74" s="436"/>
      <c r="YB74" s="120"/>
      <c r="YC74" s="120"/>
      <c r="YD74" s="120"/>
      <c r="YE74" s="440"/>
      <c r="ZA74" s="436"/>
      <c r="ZB74" s="120"/>
      <c r="ZC74" s="120"/>
      <c r="ZD74" s="120"/>
      <c r="ZE74" s="440"/>
      <c r="AAA74" s="436"/>
      <c r="AAB74" s="120"/>
      <c r="AAC74" s="120"/>
      <c r="AAD74" s="120"/>
      <c r="AAE74" s="440"/>
      <c r="ABA74" s="436"/>
      <c r="ABB74" s="120"/>
      <c r="ABC74" s="120"/>
      <c r="ABD74" s="120"/>
      <c r="ABE74" s="440"/>
      <c r="ACA74" s="436"/>
      <c r="ACB74" s="120"/>
      <c r="ACC74" s="120"/>
      <c r="ACD74" s="120"/>
      <c r="ACE74" s="440"/>
      <c r="ADA74" s="436"/>
      <c r="ADB74" s="120"/>
      <c r="ADC74" s="120"/>
      <c r="ADD74" s="120"/>
      <c r="ADE74" s="440"/>
      <c r="AEA74" s="436"/>
      <c r="AEB74" s="120"/>
      <c r="AEC74" s="120"/>
      <c r="AED74" s="120"/>
      <c r="AEE74" s="440"/>
      <c r="AFA74" s="436"/>
      <c r="AFB74" s="120"/>
      <c r="AFC74" s="120"/>
      <c r="AFD74" s="120"/>
      <c r="AFE74" s="440"/>
      <c r="AGA74" s="436"/>
      <c r="AGB74" s="120"/>
      <c r="AGC74" s="120"/>
      <c r="AGD74" s="120"/>
      <c r="AGE74" s="440"/>
      <c r="AHA74" s="436"/>
      <c r="AHB74" s="120"/>
      <c r="AHC74" s="120"/>
      <c r="AHD74" s="120"/>
      <c r="AHE74" s="440"/>
      <c r="AIA74" s="436"/>
      <c r="AIB74" s="120"/>
      <c r="AIC74" s="120"/>
      <c r="AID74" s="120"/>
      <c r="AIE74" s="440"/>
      <c r="AJA74" s="436"/>
      <c r="AJB74" s="120"/>
      <c r="AJC74" s="120"/>
      <c r="AJD74" s="120"/>
      <c r="AJE74" s="440"/>
      <c r="AKA74" s="436"/>
      <c r="AKB74" s="120"/>
      <c r="AKC74" s="120"/>
      <c r="AKD74" s="120"/>
      <c r="AKE74" s="440"/>
      <c r="ALA74" s="436"/>
      <c r="ALB74" s="120"/>
      <c r="ALC74" s="120"/>
      <c r="ALD74" s="120"/>
      <c r="ALE74" s="440"/>
      <c r="AMA74" s="436"/>
      <c r="AMB74" s="120"/>
      <c r="AMC74" s="120"/>
      <c r="AMD74" s="120"/>
      <c r="AME74" s="440"/>
      <c r="ANA74" s="436"/>
      <c r="ANB74" s="120"/>
      <c r="ANC74" s="120"/>
      <c r="AND74" s="120"/>
      <c r="ANE74" s="440"/>
      <c r="AOA74" s="436"/>
      <c r="AOB74" s="120"/>
      <c r="AOC74" s="120"/>
      <c r="AOD74" s="120"/>
      <c r="AOE74" s="440"/>
      <c r="APA74" s="436"/>
      <c r="APB74" s="120"/>
      <c r="APC74" s="120"/>
      <c r="APD74" s="120"/>
      <c r="APE74" s="440"/>
      <c r="AQA74" s="436"/>
      <c r="AQB74" s="120"/>
      <c r="AQC74" s="120"/>
      <c r="AQD74" s="120"/>
      <c r="AQE74" s="440"/>
      <c r="ARA74" s="436"/>
      <c r="ARB74" s="120"/>
      <c r="ARC74" s="120"/>
      <c r="ARD74" s="120"/>
      <c r="ARE74" s="440"/>
      <c r="ASA74" s="436"/>
      <c r="ASB74" s="120"/>
      <c r="ASC74" s="120"/>
      <c r="ASD74" s="120"/>
      <c r="ASE74" s="440"/>
      <c r="ATA74" s="436"/>
      <c r="ATB74" s="120"/>
      <c r="ATC74" s="120"/>
      <c r="ATD74" s="120"/>
      <c r="ATE74" s="440"/>
      <c r="AUA74" s="436"/>
      <c r="AUB74" s="120"/>
      <c r="AUC74" s="120"/>
      <c r="AUD74" s="120"/>
      <c r="AUE74" s="440"/>
      <c r="AVA74" s="436"/>
      <c r="AVB74" s="120"/>
      <c r="AVC74" s="120"/>
      <c r="AVD74" s="120"/>
      <c r="AVE74" s="440"/>
      <c r="AWA74" s="436"/>
      <c r="AWB74" s="120"/>
      <c r="AWC74" s="120"/>
      <c r="AWD74" s="120"/>
      <c r="AWE74" s="440"/>
      <c r="AXA74" s="436"/>
      <c r="AXB74" s="120"/>
      <c r="AXC74" s="120"/>
      <c r="AXD74" s="120"/>
      <c r="AXE74" s="440"/>
      <c r="AYA74" s="436"/>
      <c r="AYB74" s="120"/>
      <c r="AYC74" s="120"/>
      <c r="AYD74" s="120"/>
      <c r="AYE74" s="440"/>
      <c r="AZA74" s="436"/>
      <c r="AZB74" s="120"/>
      <c r="AZC74" s="120"/>
      <c r="AZD74" s="120"/>
      <c r="AZE74" s="440"/>
      <c r="BAA74" s="436"/>
      <c r="BAB74" s="120"/>
      <c r="BAC74" s="120"/>
      <c r="BAD74" s="120"/>
      <c r="BAE74" s="440"/>
      <c r="BBA74" s="436"/>
      <c r="BBB74" s="120"/>
      <c r="BBC74" s="120"/>
      <c r="BBD74" s="120"/>
      <c r="BBE74" s="440"/>
      <c r="BCA74" s="436"/>
      <c r="BCB74" s="120"/>
      <c r="BCC74" s="120"/>
      <c r="BCD74" s="120"/>
      <c r="BCE74" s="440"/>
      <c r="BDA74" s="436"/>
      <c r="BDB74" s="120"/>
      <c r="BDC74" s="120"/>
      <c r="BDD74" s="120"/>
      <c r="BDE74" s="440"/>
      <c r="BEA74" s="436"/>
      <c r="BEB74" s="120"/>
      <c r="BEC74" s="120"/>
      <c r="BED74" s="120"/>
      <c r="BEE74" s="440"/>
      <c r="BFA74" s="436"/>
      <c r="BFB74" s="120"/>
      <c r="BFC74" s="120"/>
      <c r="BFD74" s="120"/>
      <c r="BFE74" s="440"/>
      <c r="BGA74" s="436"/>
      <c r="BGB74" s="120"/>
      <c r="BGC74" s="120"/>
      <c r="BGD74" s="120"/>
      <c r="BGE74" s="440"/>
      <c r="BHA74" s="436"/>
      <c r="BHB74" s="120"/>
      <c r="BHC74" s="120"/>
      <c r="BHD74" s="120"/>
      <c r="BHE74" s="440"/>
      <c r="BIA74" s="436"/>
      <c r="BIB74" s="120"/>
      <c r="BIC74" s="120"/>
      <c r="BID74" s="120"/>
      <c r="BIE74" s="440"/>
      <c r="BJA74" s="436"/>
      <c r="BJB74" s="120"/>
      <c r="BJC74" s="120"/>
      <c r="BJD74" s="120"/>
      <c r="BJE74" s="440"/>
      <c r="BKA74" s="436"/>
      <c r="BKB74" s="120"/>
      <c r="BKC74" s="120"/>
      <c r="BKD74" s="120"/>
      <c r="BKE74" s="440"/>
      <c r="BLA74" s="436"/>
      <c r="BLB74" s="120"/>
      <c r="BLC74" s="120"/>
      <c r="BLD74" s="120"/>
      <c r="BLE74" s="440"/>
      <c r="BMA74" s="436"/>
      <c r="BMB74" s="120"/>
      <c r="BMC74" s="120"/>
      <c r="BMD74" s="120"/>
      <c r="BME74" s="440"/>
      <c r="BNA74" s="436"/>
      <c r="BNB74" s="120"/>
      <c r="BNC74" s="120"/>
      <c r="BND74" s="120"/>
      <c r="BNE74" s="440"/>
      <c r="BOA74" s="436"/>
      <c r="BOB74" s="120"/>
      <c r="BOC74" s="120"/>
      <c r="BOD74" s="120"/>
      <c r="BOE74" s="440"/>
      <c r="BPA74" s="436"/>
      <c r="BPB74" s="120"/>
      <c r="BPC74" s="120"/>
      <c r="BPD74" s="120"/>
      <c r="BPE74" s="440"/>
      <c r="BQA74" s="436"/>
      <c r="BQB74" s="120"/>
      <c r="BQC74" s="120"/>
      <c r="BQD74" s="120"/>
      <c r="BQE74" s="440"/>
      <c r="BRA74" s="436"/>
      <c r="BRB74" s="120"/>
      <c r="BRC74" s="120"/>
      <c r="BRD74" s="120"/>
      <c r="BRE74" s="440"/>
    </row>
    <row r="75" spans="1:1019 1041:1825">
      <c r="AA75" s="436"/>
      <c r="AB75" s="120"/>
      <c r="AC75" s="120"/>
      <c r="AD75" s="120"/>
      <c r="AE75" s="440"/>
      <c r="BA75" s="436"/>
      <c r="BB75" s="120"/>
      <c r="BC75" s="120"/>
      <c r="BD75" s="120"/>
      <c r="BE75" s="440"/>
      <c r="CA75" s="436"/>
      <c r="CB75" s="120"/>
      <c r="CC75" s="120"/>
      <c r="CD75" s="120"/>
      <c r="CE75" s="440"/>
      <c r="DA75" s="436"/>
      <c r="DB75" s="120"/>
      <c r="DC75" s="120"/>
      <c r="DD75" s="120"/>
      <c r="DE75" s="440"/>
      <c r="EA75" s="436"/>
      <c r="EB75" s="120"/>
      <c r="EC75" s="120"/>
      <c r="ED75" s="120"/>
      <c r="EE75" s="440"/>
      <c r="FA75" s="436"/>
      <c r="FB75" s="120"/>
      <c r="FC75" s="120"/>
      <c r="FD75" s="120"/>
      <c r="FE75" s="440"/>
      <c r="GA75" s="436"/>
      <c r="GB75" s="120"/>
      <c r="GC75" s="120"/>
      <c r="GD75" s="120"/>
      <c r="GE75" s="440"/>
      <c r="HA75" s="436"/>
      <c r="HB75" s="120"/>
      <c r="HC75" s="120"/>
      <c r="HD75" s="120"/>
      <c r="HE75" s="440"/>
      <c r="IA75" s="436"/>
      <c r="IB75" s="120"/>
      <c r="IC75" s="120"/>
      <c r="ID75" s="120"/>
      <c r="IE75" s="440"/>
      <c r="JA75" s="436"/>
      <c r="JB75" s="120"/>
      <c r="JC75" s="120"/>
      <c r="JD75" s="120"/>
      <c r="JE75" s="440"/>
      <c r="KA75" s="436"/>
      <c r="KB75" s="120"/>
      <c r="KC75" s="120"/>
      <c r="KD75" s="120"/>
      <c r="KE75" s="440"/>
      <c r="LA75" s="436"/>
      <c r="LB75" s="120"/>
      <c r="LC75" s="120"/>
      <c r="LD75" s="120"/>
      <c r="LE75" s="440"/>
      <c r="MA75" s="436"/>
      <c r="MB75" s="120"/>
      <c r="MC75" s="120"/>
      <c r="MD75" s="120"/>
      <c r="ME75" s="440"/>
      <c r="NA75" s="436"/>
      <c r="NB75" s="120"/>
      <c r="NC75" s="120"/>
      <c r="ND75" s="120"/>
      <c r="NE75" s="440"/>
      <c r="OA75" s="436"/>
      <c r="OB75" s="120"/>
      <c r="OC75" s="120"/>
      <c r="OD75" s="120"/>
      <c r="OE75" s="440"/>
      <c r="PA75" s="436"/>
      <c r="PB75" s="120"/>
      <c r="PC75" s="120"/>
      <c r="PD75" s="120"/>
      <c r="PE75" s="440"/>
      <c r="QA75" s="436"/>
      <c r="QB75" s="120"/>
      <c r="QC75" s="120"/>
      <c r="QD75" s="120"/>
      <c r="QE75" s="440"/>
      <c r="RA75" s="436"/>
      <c r="RB75" s="120"/>
      <c r="RC75" s="120"/>
      <c r="RD75" s="120"/>
      <c r="RE75" s="440"/>
      <c r="SA75" s="436"/>
      <c r="SB75" s="120"/>
      <c r="SC75" s="120"/>
      <c r="SD75" s="120"/>
      <c r="SE75" s="440"/>
      <c r="TA75" s="436"/>
      <c r="TB75" s="120"/>
      <c r="TC75" s="120"/>
      <c r="TD75" s="120"/>
      <c r="TE75" s="440"/>
      <c r="UA75" s="436"/>
      <c r="UB75" s="120"/>
      <c r="UC75" s="120"/>
      <c r="UD75" s="120"/>
      <c r="UE75" s="440"/>
      <c r="VA75" s="436"/>
      <c r="VB75" s="120"/>
      <c r="VC75" s="120"/>
      <c r="VD75" s="120"/>
      <c r="VE75" s="440"/>
      <c r="WA75" s="436"/>
      <c r="WB75" s="120"/>
      <c r="WC75" s="120"/>
      <c r="WD75" s="120"/>
      <c r="WE75" s="440"/>
      <c r="XA75" s="436"/>
      <c r="XB75" s="120"/>
      <c r="XC75" s="120"/>
      <c r="XD75" s="120"/>
      <c r="XE75" s="440"/>
      <c r="YA75" s="436"/>
      <c r="YB75" s="120"/>
      <c r="YC75" s="120"/>
      <c r="YD75" s="120"/>
      <c r="YE75" s="440"/>
      <c r="ZA75" s="436"/>
      <c r="ZB75" s="120"/>
      <c r="ZC75" s="120"/>
      <c r="ZD75" s="120"/>
      <c r="ZE75" s="440"/>
      <c r="AAA75" s="436"/>
      <c r="AAB75" s="120"/>
      <c r="AAC75" s="120"/>
      <c r="AAD75" s="120"/>
      <c r="AAE75" s="440"/>
      <c r="ABA75" s="436"/>
      <c r="ABB75" s="120"/>
      <c r="ABC75" s="120"/>
      <c r="ABD75" s="120"/>
      <c r="ABE75" s="440"/>
      <c r="ACA75" s="436"/>
      <c r="ACB75" s="120"/>
      <c r="ACC75" s="120"/>
      <c r="ACD75" s="120"/>
      <c r="ACE75" s="440"/>
      <c r="ADA75" s="436"/>
      <c r="ADB75" s="120"/>
      <c r="ADC75" s="120"/>
      <c r="ADD75" s="120"/>
      <c r="ADE75" s="440"/>
      <c r="AEA75" s="436"/>
      <c r="AEB75" s="120"/>
      <c r="AEC75" s="120"/>
      <c r="AED75" s="120"/>
      <c r="AEE75" s="440"/>
      <c r="AFA75" s="436"/>
      <c r="AFB75" s="120"/>
      <c r="AFC75" s="120"/>
      <c r="AFD75" s="120"/>
      <c r="AFE75" s="440"/>
      <c r="AGA75" s="436"/>
      <c r="AGB75" s="120"/>
      <c r="AGC75" s="120"/>
      <c r="AGD75" s="120"/>
      <c r="AGE75" s="440"/>
      <c r="AHA75" s="436"/>
      <c r="AHB75" s="120"/>
      <c r="AHC75" s="120"/>
      <c r="AHD75" s="120"/>
      <c r="AHE75" s="440"/>
      <c r="AIA75" s="436"/>
      <c r="AIB75" s="120"/>
      <c r="AIC75" s="120"/>
      <c r="AID75" s="120"/>
      <c r="AIE75" s="440"/>
      <c r="AJA75" s="436"/>
      <c r="AJB75" s="120"/>
      <c r="AJC75" s="120"/>
      <c r="AJD75" s="120"/>
      <c r="AJE75" s="440"/>
      <c r="AKA75" s="436"/>
      <c r="AKB75" s="120"/>
      <c r="AKC75" s="120"/>
      <c r="AKD75" s="120"/>
      <c r="AKE75" s="440"/>
      <c r="ALA75" s="436"/>
      <c r="ALB75" s="120"/>
      <c r="ALC75" s="120"/>
      <c r="ALD75" s="120"/>
      <c r="ALE75" s="440"/>
      <c r="AMA75" s="436"/>
      <c r="AMB75" s="120"/>
      <c r="AMC75" s="120"/>
      <c r="AMD75" s="120"/>
      <c r="AME75" s="440"/>
      <c r="ANA75" s="436"/>
      <c r="ANB75" s="120"/>
      <c r="ANC75" s="120"/>
      <c r="AND75" s="120"/>
      <c r="ANE75" s="440"/>
      <c r="AOA75" s="436"/>
      <c r="AOB75" s="120"/>
      <c r="AOC75" s="120"/>
      <c r="AOD75" s="120"/>
      <c r="AOE75" s="440"/>
      <c r="APA75" s="436"/>
      <c r="APB75" s="120"/>
      <c r="APC75" s="120"/>
      <c r="APD75" s="120"/>
      <c r="APE75" s="440"/>
      <c r="AQA75" s="436"/>
      <c r="AQB75" s="120"/>
      <c r="AQC75" s="120"/>
      <c r="AQD75" s="120"/>
      <c r="AQE75" s="440"/>
      <c r="ARA75" s="436"/>
      <c r="ARB75" s="120"/>
      <c r="ARC75" s="120"/>
      <c r="ARD75" s="120"/>
      <c r="ARE75" s="440"/>
      <c r="ASA75" s="436"/>
      <c r="ASB75" s="120"/>
      <c r="ASC75" s="120"/>
      <c r="ASD75" s="120"/>
      <c r="ASE75" s="440"/>
      <c r="ATA75" s="436"/>
      <c r="ATB75" s="120"/>
      <c r="ATC75" s="120"/>
      <c r="ATD75" s="120"/>
      <c r="ATE75" s="440"/>
      <c r="AUA75" s="436"/>
      <c r="AUB75" s="120"/>
      <c r="AUC75" s="120"/>
      <c r="AUD75" s="120"/>
      <c r="AUE75" s="440"/>
      <c r="AVA75" s="436"/>
      <c r="AVB75" s="120"/>
      <c r="AVC75" s="120"/>
      <c r="AVD75" s="120"/>
      <c r="AVE75" s="440"/>
      <c r="AWA75" s="436"/>
      <c r="AWB75" s="120"/>
      <c r="AWC75" s="120"/>
      <c r="AWD75" s="120"/>
      <c r="AWE75" s="440"/>
      <c r="AXA75" s="436"/>
      <c r="AXB75" s="120"/>
      <c r="AXC75" s="120"/>
      <c r="AXD75" s="120"/>
      <c r="AXE75" s="440"/>
      <c r="AYA75" s="436"/>
      <c r="AYB75" s="120"/>
      <c r="AYC75" s="120"/>
      <c r="AYD75" s="120"/>
      <c r="AYE75" s="440"/>
      <c r="AZA75" s="436"/>
      <c r="AZB75" s="120"/>
      <c r="AZC75" s="120"/>
      <c r="AZD75" s="120"/>
      <c r="AZE75" s="440"/>
      <c r="BAA75" s="436"/>
      <c r="BAB75" s="120"/>
      <c r="BAC75" s="120"/>
      <c r="BAD75" s="120"/>
      <c r="BAE75" s="440"/>
      <c r="BBA75" s="436"/>
      <c r="BBB75" s="120"/>
      <c r="BBC75" s="120"/>
      <c r="BBD75" s="120"/>
      <c r="BBE75" s="440"/>
      <c r="BCA75" s="436"/>
      <c r="BCB75" s="120"/>
      <c r="BCC75" s="120"/>
      <c r="BCD75" s="120"/>
      <c r="BCE75" s="440"/>
      <c r="BDA75" s="436"/>
      <c r="BDB75" s="120"/>
      <c r="BDC75" s="120"/>
      <c r="BDD75" s="120"/>
      <c r="BDE75" s="440"/>
      <c r="BEA75" s="436"/>
      <c r="BEB75" s="120"/>
      <c r="BEC75" s="120"/>
      <c r="BED75" s="120"/>
      <c r="BEE75" s="440"/>
      <c r="BFA75" s="436"/>
      <c r="BFB75" s="120"/>
      <c r="BFC75" s="120"/>
      <c r="BFD75" s="120"/>
      <c r="BFE75" s="440"/>
      <c r="BGA75" s="436"/>
      <c r="BGB75" s="120"/>
      <c r="BGC75" s="120"/>
      <c r="BGD75" s="120"/>
      <c r="BGE75" s="440"/>
      <c r="BHA75" s="436"/>
      <c r="BHB75" s="120"/>
      <c r="BHC75" s="120"/>
      <c r="BHD75" s="120"/>
      <c r="BHE75" s="440"/>
      <c r="BIA75" s="436"/>
      <c r="BIB75" s="120"/>
      <c r="BIC75" s="120"/>
      <c r="BID75" s="120"/>
      <c r="BIE75" s="440"/>
      <c r="BJA75" s="436"/>
      <c r="BJB75" s="120"/>
      <c r="BJC75" s="120"/>
      <c r="BJD75" s="120"/>
      <c r="BJE75" s="440"/>
      <c r="BKA75" s="436"/>
      <c r="BKB75" s="120"/>
      <c r="BKC75" s="120"/>
      <c r="BKD75" s="120"/>
      <c r="BKE75" s="440"/>
      <c r="BLA75" s="436"/>
      <c r="BLB75" s="120"/>
      <c r="BLC75" s="120"/>
      <c r="BLD75" s="120"/>
      <c r="BLE75" s="440"/>
      <c r="BMA75" s="436"/>
      <c r="BMB75" s="120"/>
      <c r="BMC75" s="120"/>
      <c r="BMD75" s="120"/>
      <c r="BME75" s="440"/>
      <c r="BNA75" s="436"/>
      <c r="BNB75" s="120"/>
      <c r="BNC75" s="120"/>
      <c r="BND75" s="120"/>
      <c r="BNE75" s="440"/>
      <c r="BOA75" s="436"/>
      <c r="BOB75" s="120"/>
      <c r="BOC75" s="120"/>
      <c r="BOD75" s="120"/>
      <c r="BOE75" s="440"/>
      <c r="BPA75" s="436"/>
      <c r="BPB75" s="120"/>
      <c r="BPC75" s="120"/>
      <c r="BPD75" s="120"/>
      <c r="BPE75" s="440"/>
      <c r="BQA75" s="436"/>
      <c r="BQB75" s="120"/>
      <c r="BQC75" s="120"/>
      <c r="BQD75" s="120"/>
      <c r="BQE75" s="440"/>
      <c r="BRA75" s="436"/>
      <c r="BRB75" s="120"/>
      <c r="BRC75" s="120"/>
      <c r="BRD75" s="120"/>
      <c r="BRE75" s="440"/>
    </row>
    <row r="76" spans="1:1019 1041:1825">
      <c r="AA76" s="436"/>
      <c r="AB76" s="120"/>
      <c r="AC76" s="120"/>
      <c r="AD76" s="120"/>
      <c r="AE76" s="440"/>
      <c r="BA76" s="436"/>
      <c r="BB76" s="120"/>
      <c r="BC76" s="120"/>
      <c r="BD76" s="120"/>
      <c r="BE76" s="440"/>
      <c r="CA76" s="436"/>
      <c r="CB76" s="120"/>
      <c r="CC76" s="120"/>
      <c r="CD76" s="120"/>
      <c r="CE76" s="440"/>
      <c r="DA76" s="436"/>
      <c r="DB76" s="120"/>
      <c r="DC76" s="120"/>
      <c r="DD76" s="120"/>
      <c r="DE76" s="440"/>
      <c r="EA76" s="436"/>
      <c r="EB76" s="120"/>
      <c r="EC76" s="120"/>
      <c r="ED76" s="120"/>
      <c r="EE76" s="440"/>
      <c r="FA76" s="436"/>
      <c r="FB76" s="120"/>
      <c r="FC76" s="120"/>
      <c r="FD76" s="120"/>
      <c r="FE76" s="440"/>
      <c r="GA76" s="436"/>
      <c r="GB76" s="120"/>
      <c r="GC76" s="120"/>
      <c r="GD76" s="120"/>
      <c r="GE76" s="440"/>
      <c r="HA76" s="436"/>
      <c r="HB76" s="120"/>
      <c r="HC76" s="120"/>
      <c r="HD76" s="120"/>
      <c r="HE76" s="440"/>
      <c r="IA76" s="436"/>
      <c r="IB76" s="120"/>
      <c r="IC76" s="120"/>
      <c r="ID76" s="120"/>
      <c r="IE76" s="440"/>
      <c r="JA76" s="436"/>
      <c r="JB76" s="120"/>
      <c r="JC76" s="120"/>
      <c r="JD76" s="120"/>
      <c r="JE76" s="440"/>
      <c r="KA76" s="436"/>
      <c r="KB76" s="120"/>
      <c r="KC76" s="120"/>
      <c r="KD76" s="120"/>
      <c r="KE76" s="440"/>
      <c r="LA76" s="436"/>
      <c r="LB76" s="120"/>
      <c r="LC76" s="120"/>
      <c r="LD76" s="120"/>
      <c r="LE76" s="440"/>
      <c r="MA76" s="436"/>
      <c r="MB76" s="120"/>
      <c r="MC76" s="120"/>
      <c r="MD76" s="120"/>
      <c r="ME76" s="440"/>
      <c r="NA76" s="436"/>
      <c r="NB76" s="120"/>
      <c r="NC76" s="120"/>
      <c r="ND76" s="120"/>
      <c r="NE76" s="440"/>
      <c r="OA76" s="436"/>
      <c r="OB76" s="120"/>
      <c r="OC76" s="120"/>
      <c r="OD76" s="120"/>
      <c r="OE76" s="440"/>
      <c r="PA76" s="436"/>
      <c r="PB76" s="120"/>
      <c r="PC76" s="120"/>
      <c r="PD76" s="120"/>
      <c r="PE76" s="440"/>
      <c r="QA76" s="436"/>
      <c r="QB76" s="120"/>
      <c r="QC76" s="120"/>
      <c r="QD76" s="120"/>
      <c r="QE76" s="440"/>
      <c r="RA76" s="436"/>
      <c r="RB76" s="120"/>
      <c r="RC76" s="120"/>
      <c r="RD76" s="120"/>
      <c r="RE76" s="440"/>
      <c r="SA76" s="436"/>
      <c r="SB76" s="120"/>
      <c r="SC76" s="120"/>
      <c r="SD76" s="120"/>
      <c r="SE76" s="440"/>
      <c r="TA76" s="436"/>
      <c r="TB76" s="120"/>
      <c r="TC76" s="120"/>
      <c r="TD76" s="120"/>
      <c r="TE76" s="440"/>
      <c r="UA76" s="436"/>
      <c r="UB76" s="120"/>
      <c r="UC76" s="120"/>
      <c r="UD76" s="120"/>
      <c r="UE76" s="440"/>
      <c r="VA76" s="436"/>
      <c r="VB76" s="120"/>
      <c r="VC76" s="120"/>
      <c r="VD76" s="120"/>
      <c r="VE76" s="440"/>
      <c r="WA76" s="436"/>
      <c r="WB76" s="120"/>
      <c r="WC76" s="120"/>
      <c r="WD76" s="120"/>
      <c r="WE76" s="440"/>
      <c r="XA76" s="436"/>
      <c r="XB76" s="120"/>
      <c r="XC76" s="120"/>
      <c r="XD76" s="120"/>
      <c r="XE76" s="440"/>
      <c r="YA76" s="436"/>
      <c r="YB76" s="120"/>
      <c r="YC76" s="120"/>
      <c r="YD76" s="120"/>
      <c r="YE76" s="440"/>
      <c r="ZA76" s="436"/>
      <c r="ZB76" s="120"/>
      <c r="ZC76" s="120"/>
      <c r="ZD76" s="120"/>
      <c r="ZE76" s="440"/>
      <c r="AAA76" s="436"/>
      <c r="AAB76" s="120"/>
      <c r="AAC76" s="120"/>
      <c r="AAD76" s="120"/>
      <c r="AAE76" s="440"/>
      <c r="ABA76" s="436"/>
      <c r="ABB76" s="120"/>
      <c r="ABC76" s="120"/>
      <c r="ABD76" s="120"/>
      <c r="ABE76" s="440"/>
      <c r="ACA76" s="436"/>
      <c r="ACB76" s="120"/>
      <c r="ACC76" s="120"/>
      <c r="ACD76" s="120"/>
      <c r="ACE76" s="440"/>
      <c r="ADA76" s="436"/>
      <c r="ADB76" s="120"/>
      <c r="ADC76" s="120"/>
      <c r="ADD76" s="120"/>
      <c r="ADE76" s="440"/>
      <c r="AEA76" s="436"/>
      <c r="AEB76" s="120"/>
      <c r="AEC76" s="120"/>
      <c r="AED76" s="120"/>
      <c r="AEE76" s="440"/>
      <c r="AFA76" s="436"/>
      <c r="AFB76" s="120"/>
      <c r="AFC76" s="120"/>
      <c r="AFD76" s="120"/>
      <c r="AFE76" s="440"/>
      <c r="AGA76" s="436"/>
      <c r="AGB76" s="120"/>
      <c r="AGC76" s="120"/>
      <c r="AGD76" s="120"/>
      <c r="AGE76" s="440"/>
      <c r="AHA76" s="436"/>
      <c r="AHB76" s="120"/>
      <c r="AHC76" s="120"/>
      <c r="AHD76" s="120"/>
      <c r="AHE76" s="440"/>
      <c r="AIA76" s="436"/>
      <c r="AIB76" s="120"/>
      <c r="AIC76" s="120"/>
      <c r="AID76" s="120"/>
      <c r="AIE76" s="440"/>
      <c r="AJA76" s="436"/>
      <c r="AJB76" s="120"/>
      <c r="AJC76" s="120"/>
      <c r="AJD76" s="120"/>
      <c r="AJE76" s="440"/>
      <c r="AKA76" s="436"/>
      <c r="AKB76" s="120"/>
      <c r="AKC76" s="120"/>
      <c r="AKD76" s="120"/>
      <c r="AKE76" s="440"/>
      <c r="ALA76" s="436"/>
      <c r="ALB76" s="120"/>
      <c r="ALC76" s="120"/>
      <c r="ALD76" s="120"/>
      <c r="ALE76" s="440"/>
      <c r="AMA76" s="436"/>
      <c r="AMB76" s="120"/>
      <c r="AMC76" s="120"/>
      <c r="AMD76" s="120"/>
      <c r="AME76" s="440"/>
      <c r="ANA76" s="436"/>
      <c r="ANB76" s="120"/>
      <c r="ANC76" s="120"/>
      <c r="AND76" s="120"/>
      <c r="ANE76" s="440"/>
      <c r="AOA76" s="436"/>
      <c r="AOB76" s="120"/>
      <c r="AOC76" s="120"/>
      <c r="AOD76" s="120"/>
      <c r="AOE76" s="440"/>
      <c r="APA76" s="436"/>
      <c r="APB76" s="120"/>
      <c r="APC76" s="120"/>
      <c r="APD76" s="120"/>
      <c r="APE76" s="440"/>
      <c r="AQA76" s="436"/>
      <c r="AQB76" s="120"/>
      <c r="AQC76" s="120"/>
      <c r="AQD76" s="120"/>
      <c r="AQE76" s="440"/>
      <c r="ARA76" s="436"/>
      <c r="ARB76" s="120"/>
      <c r="ARC76" s="120"/>
      <c r="ARD76" s="120"/>
      <c r="ARE76" s="440"/>
      <c r="ASA76" s="436"/>
      <c r="ASB76" s="120"/>
      <c r="ASC76" s="120"/>
      <c r="ASD76" s="120"/>
      <c r="ASE76" s="440"/>
      <c r="ATA76" s="436"/>
      <c r="ATB76" s="120"/>
      <c r="ATC76" s="120"/>
      <c r="ATD76" s="120"/>
      <c r="ATE76" s="440"/>
      <c r="AUA76" s="436"/>
      <c r="AUB76" s="120"/>
      <c r="AUC76" s="120"/>
      <c r="AUD76" s="120"/>
      <c r="AUE76" s="440"/>
      <c r="AVA76" s="436"/>
      <c r="AVB76" s="120"/>
      <c r="AVC76" s="120"/>
      <c r="AVD76" s="120"/>
      <c r="AVE76" s="440"/>
      <c r="AWA76" s="436"/>
      <c r="AWB76" s="120"/>
      <c r="AWC76" s="120"/>
      <c r="AWD76" s="120"/>
      <c r="AWE76" s="440"/>
      <c r="AXA76" s="436"/>
      <c r="AXB76" s="120"/>
      <c r="AXC76" s="120"/>
      <c r="AXD76" s="120"/>
      <c r="AXE76" s="440"/>
      <c r="AYA76" s="436"/>
      <c r="AYB76" s="120"/>
      <c r="AYC76" s="120"/>
      <c r="AYD76" s="120"/>
      <c r="AYE76" s="440"/>
      <c r="AZA76" s="436"/>
      <c r="AZB76" s="120"/>
      <c r="AZC76" s="120"/>
      <c r="AZD76" s="120"/>
      <c r="AZE76" s="440"/>
      <c r="BAA76" s="436"/>
      <c r="BAB76" s="120"/>
      <c r="BAC76" s="120"/>
      <c r="BAD76" s="120"/>
      <c r="BAE76" s="440"/>
      <c r="BBA76" s="436"/>
      <c r="BBB76" s="120"/>
      <c r="BBC76" s="120"/>
      <c r="BBD76" s="120"/>
      <c r="BBE76" s="440"/>
      <c r="BCA76" s="436"/>
      <c r="BCB76" s="120"/>
      <c r="BCC76" s="120"/>
      <c r="BCD76" s="120"/>
      <c r="BCE76" s="440"/>
      <c r="BDA76" s="436"/>
      <c r="BDB76" s="120"/>
      <c r="BDC76" s="120"/>
      <c r="BDD76" s="120"/>
      <c r="BDE76" s="440"/>
      <c r="BEA76" s="436"/>
      <c r="BEB76" s="120"/>
      <c r="BEC76" s="120"/>
      <c r="BED76" s="120"/>
      <c r="BEE76" s="440"/>
      <c r="BFA76" s="436"/>
      <c r="BFB76" s="120"/>
      <c r="BFC76" s="120"/>
      <c r="BFD76" s="120"/>
      <c r="BFE76" s="440"/>
      <c r="BGA76" s="436"/>
      <c r="BGB76" s="120"/>
      <c r="BGC76" s="120"/>
      <c r="BGD76" s="120"/>
      <c r="BGE76" s="440"/>
      <c r="BHA76" s="436"/>
      <c r="BHB76" s="120"/>
      <c r="BHC76" s="120"/>
      <c r="BHD76" s="120"/>
      <c r="BHE76" s="440"/>
      <c r="BIA76" s="436"/>
      <c r="BIB76" s="120"/>
      <c r="BIC76" s="120"/>
      <c r="BID76" s="120"/>
      <c r="BIE76" s="440"/>
      <c r="BJA76" s="436"/>
      <c r="BJB76" s="120"/>
      <c r="BJC76" s="120"/>
      <c r="BJD76" s="120"/>
      <c r="BJE76" s="440"/>
      <c r="BKA76" s="436"/>
      <c r="BKB76" s="120"/>
      <c r="BKC76" s="120"/>
      <c r="BKD76" s="120"/>
      <c r="BKE76" s="440"/>
      <c r="BLA76" s="436"/>
      <c r="BLB76" s="120"/>
      <c r="BLC76" s="120"/>
      <c r="BLD76" s="120"/>
      <c r="BLE76" s="440"/>
      <c r="BMA76" s="436"/>
      <c r="BMB76" s="120"/>
      <c r="BMC76" s="120"/>
      <c r="BMD76" s="120"/>
      <c r="BME76" s="440"/>
      <c r="BNA76" s="436"/>
      <c r="BNB76" s="120"/>
      <c r="BNC76" s="120"/>
      <c r="BND76" s="120"/>
      <c r="BNE76" s="440"/>
      <c r="BOA76" s="436"/>
      <c r="BOB76" s="120"/>
      <c r="BOC76" s="120"/>
      <c r="BOD76" s="120"/>
      <c r="BOE76" s="440"/>
      <c r="BPA76" s="436"/>
      <c r="BPB76" s="120"/>
      <c r="BPC76" s="120"/>
      <c r="BPD76" s="120"/>
      <c r="BPE76" s="440"/>
      <c r="BQA76" s="436"/>
      <c r="BQB76" s="120"/>
      <c r="BQC76" s="120"/>
      <c r="BQD76" s="120"/>
      <c r="BQE76" s="440"/>
      <c r="BRA76" s="436"/>
      <c r="BRB76" s="120"/>
      <c r="BRC76" s="120"/>
      <c r="BRD76" s="120"/>
      <c r="BRE76" s="440"/>
    </row>
    <row r="77" spans="1:1019 1041:1825">
      <c r="AA77" s="436"/>
      <c r="AB77" s="120"/>
      <c r="AC77" s="120"/>
      <c r="AD77" s="120"/>
      <c r="AE77" s="440"/>
      <c r="BA77" s="436"/>
      <c r="BB77" s="120"/>
      <c r="BC77" s="120"/>
      <c r="BD77" s="120"/>
      <c r="BE77" s="440"/>
      <c r="CA77" s="436"/>
      <c r="CB77" s="120"/>
      <c r="CC77" s="120"/>
      <c r="CD77" s="120"/>
      <c r="CE77" s="440"/>
      <c r="DA77" s="436"/>
      <c r="DB77" s="120"/>
      <c r="DC77" s="120"/>
      <c r="DD77" s="120"/>
      <c r="DE77" s="440"/>
      <c r="EA77" s="436"/>
      <c r="EB77" s="120"/>
      <c r="EC77" s="120"/>
      <c r="ED77" s="120"/>
      <c r="EE77" s="440"/>
      <c r="FA77" s="436"/>
      <c r="FB77" s="120"/>
      <c r="FC77" s="120"/>
      <c r="FD77" s="120"/>
      <c r="FE77" s="440"/>
      <c r="GA77" s="436"/>
      <c r="GB77" s="120"/>
      <c r="GC77" s="120"/>
      <c r="GD77" s="120"/>
      <c r="GE77" s="440"/>
      <c r="HA77" s="436"/>
      <c r="HB77" s="120"/>
      <c r="HC77" s="120"/>
      <c r="HD77" s="120"/>
      <c r="HE77" s="440"/>
      <c r="IA77" s="436"/>
      <c r="IB77" s="120"/>
      <c r="IC77" s="120"/>
      <c r="ID77" s="120"/>
      <c r="IE77" s="440"/>
      <c r="JA77" s="436"/>
      <c r="JB77" s="120"/>
      <c r="JC77" s="120"/>
      <c r="JD77" s="120"/>
      <c r="JE77" s="440"/>
      <c r="KA77" s="436"/>
      <c r="KB77" s="120"/>
      <c r="KC77" s="120"/>
      <c r="KD77" s="120"/>
      <c r="KE77" s="440"/>
      <c r="LA77" s="436"/>
      <c r="LB77" s="120"/>
      <c r="LC77" s="120"/>
      <c r="LD77" s="120"/>
      <c r="LE77" s="440"/>
      <c r="MA77" s="436"/>
      <c r="MB77" s="120"/>
      <c r="MC77" s="120"/>
      <c r="MD77" s="120"/>
      <c r="ME77" s="440"/>
      <c r="NA77" s="436"/>
      <c r="NB77" s="120"/>
      <c r="NC77" s="120"/>
      <c r="ND77" s="120"/>
      <c r="NE77" s="440"/>
      <c r="OA77" s="436"/>
      <c r="OB77" s="120"/>
      <c r="OC77" s="120"/>
      <c r="OD77" s="120"/>
      <c r="OE77" s="440"/>
      <c r="PA77" s="436"/>
      <c r="PB77" s="120"/>
      <c r="PC77" s="120"/>
      <c r="PD77" s="120"/>
      <c r="PE77" s="440"/>
      <c r="QA77" s="436"/>
      <c r="QB77" s="120"/>
      <c r="QC77" s="120"/>
      <c r="QD77" s="120"/>
      <c r="QE77" s="440"/>
      <c r="RA77" s="436"/>
      <c r="RB77" s="120"/>
      <c r="RC77" s="120"/>
      <c r="RD77" s="120"/>
      <c r="RE77" s="440"/>
      <c r="SA77" s="436"/>
      <c r="SB77" s="120"/>
      <c r="SC77" s="120"/>
      <c r="SD77" s="120"/>
      <c r="SE77" s="440"/>
      <c r="TA77" s="436"/>
      <c r="TB77" s="120"/>
      <c r="TC77" s="120"/>
      <c r="TD77" s="120"/>
      <c r="TE77" s="440"/>
      <c r="UA77" s="436"/>
      <c r="UB77" s="120"/>
      <c r="UC77" s="120"/>
      <c r="UD77" s="120"/>
      <c r="UE77" s="440"/>
      <c r="VA77" s="436"/>
      <c r="VB77" s="120"/>
      <c r="VC77" s="120"/>
      <c r="VD77" s="120"/>
      <c r="VE77" s="440"/>
      <c r="WA77" s="436"/>
      <c r="WB77" s="120"/>
      <c r="WC77" s="120"/>
      <c r="WD77" s="120"/>
      <c r="WE77" s="440"/>
      <c r="XA77" s="436"/>
      <c r="XB77" s="120"/>
      <c r="XC77" s="120"/>
      <c r="XD77" s="120"/>
      <c r="XE77" s="440"/>
      <c r="YA77" s="436"/>
      <c r="YB77" s="120"/>
      <c r="YC77" s="120"/>
      <c r="YD77" s="120"/>
      <c r="YE77" s="440"/>
      <c r="ZA77" s="436"/>
      <c r="ZB77" s="120"/>
      <c r="ZC77" s="120"/>
      <c r="ZD77" s="120"/>
      <c r="ZE77" s="440"/>
      <c r="AAA77" s="436"/>
      <c r="AAB77" s="120"/>
      <c r="AAC77" s="120"/>
      <c r="AAD77" s="120"/>
      <c r="AAE77" s="440"/>
      <c r="ABA77" s="436"/>
      <c r="ABB77" s="120"/>
      <c r="ABC77" s="120"/>
      <c r="ABD77" s="120"/>
      <c r="ABE77" s="440"/>
      <c r="ACA77" s="436"/>
      <c r="ACB77" s="120"/>
      <c r="ACC77" s="120"/>
      <c r="ACD77" s="120"/>
      <c r="ACE77" s="440"/>
      <c r="ADA77" s="436"/>
      <c r="ADB77" s="120"/>
      <c r="ADC77" s="120"/>
      <c r="ADD77" s="120"/>
      <c r="ADE77" s="440"/>
      <c r="AEA77" s="436"/>
      <c r="AEB77" s="120"/>
      <c r="AEC77" s="120"/>
      <c r="AED77" s="120"/>
      <c r="AEE77" s="440"/>
      <c r="AFA77" s="436"/>
      <c r="AFB77" s="120"/>
      <c r="AFC77" s="120"/>
      <c r="AFD77" s="120"/>
      <c r="AFE77" s="440"/>
      <c r="AGA77" s="436"/>
      <c r="AGB77" s="120"/>
      <c r="AGC77" s="120"/>
      <c r="AGD77" s="120"/>
      <c r="AGE77" s="440"/>
      <c r="AHA77" s="436"/>
      <c r="AHB77" s="120"/>
      <c r="AHC77" s="120"/>
      <c r="AHD77" s="120"/>
      <c r="AHE77" s="440"/>
      <c r="AIA77" s="436"/>
      <c r="AIB77" s="120"/>
      <c r="AIC77" s="120"/>
      <c r="AID77" s="120"/>
      <c r="AIE77" s="440"/>
      <c r="AJA77" s="436"/>
      <c r="AJB77" s="120"/>
      <c r="AJC77" s="120"/>
      <c r="AJD77" s="120"/>
      <c r="AJE77" s="440"/>
      <c r="AKA77" s="436"/>
      <c r="AKB77" s="120"/>
      <c r="AKC77" s="120"/>
      <c r="AKD77" s="120"/>
      <c r="AKE77" s="440"/>
      <c r="ALA77" s="436"/>
      <c r="ALB77" s="120"/>
      <c r="ALC77" s="120"/>
      <c r="ALD77" s="120"/>
      <c r="ALE77" s="440"/>
      <c r="AMA77" s="436"/>
      <c r="AMB77" s="120"/>
      <c r="AMC77" s="120"/>
      <c r="AMD77" s="120"/>
      <c r="AME77" s="440"/>
      <c r="ANA77" s="436"/>
      <c r="ANB77" s="120"/>
      <c r="ANC77" s="120"/>
      <c r="AND77" s="120"/>
      <c r="ANE77" s="440"/>
      <c r="AOA77" s="436"/>
      <c r="AOB77" s="120"/>
      <c r="AOC77" s="120"/>
      <c r="AOD77" s="120"/>
      <c r="AOE77" s="440"/>
      <c r="APA77" s="436"/>
      <c r="APB77" s="120"/>
      <c r="APC77" s="120"/>
      <c r="APD77" s="120"/>
      <c r="APE77" s="440"/>
      <c r="AQA77" s="436"/>
      <c r="AQB77" s="120"/>
      <c r="AQC77" s="120"/>
      <c r="AQD77" s="120"/>
      <c r="AQE77" s="440"/>
      <c r="ARA77" s="436"/>
      <c r="ARB77" s="120"/>
      <c r="ARC77" s="120"/>
      <c r="ARD77" s="120"/>
      <c r="ARE77" s="440"/>
      <c r="ASA77" s="436"/>
      <c r="ASB77" s="120"/>
      <c r="ASC77" s="120"/>
      <c r="ASD77" s="120"/>
      <c r="ASE77" s="440"/>
      <c r="ATA77" s="436"/>
      <c r="ATB77" s="120"/>
      <c r="ATC77" s="120"/>
      <c r="ATD77" s="120"/>
      <c r="ATE77" s="440"/>
      <c r="AUA77" s="436"/>
      <c r="AUB77" s="120"/>
      <c r="AUC77" s="120"/>
      <c r="AUD77" s="120"/>
      <c r="AUE77" s="440"/>
      <c r="AVA77" s="436"/>
      <c r="AVB77" s="120"/>
      <c r="AVC77" s="120"/>
      <c r="AVD77" s="120"/>
      <c r="AVE77" s="440"/>
      <c r="AWA77" s="436"/>
      <c r="AWB77" s="120"/>
      <c r="AWC77" s="120"/>
      <c r="AWD77" s="120"/>
      <c r="AWE77" s="440"/>
      <c r="AXA77" s="436"/>
      <c r="AXB77" s="120"/>
      <c r="AXC77" s="120"/>
      <c r="AXD77" s="120"/>
      <c r="AXE77" s="440"/>
      <c r="AYA77" s="436"/>
      <c r="AYB77" s="120"/>
      <c r="AYC77" s="120"/>
      <c r="AYD77" s="120"/>
      <c r="AYE77" s="440"/>
      <c r="AZA77" s="436"/>
      <c r="AZB77" s="120"/>
      <c r="AZC77" s="120"/>
      <c r="AZD77" s="120"/>
      <c r="AZE77" s="440"/>
      <c r="BAA77" s="436"/>
      <c r="BAB77" s="120"/>
      <c r="BAC77" s="120"/>
      <c r="BAD77" s="120"/>
      <c r="BAE77" s="440"/>
      <c r="BBA77" s="436"/>
      <c r="BBB77" s="120"/>
      <c r="BBC77" s="120"/>
      <c r="BBD77" s="120"/>
      <c r="BBE77" s="440"/>
      <c r="BCA77" s="436"/>
      <c r="BCB77" s="120"/>
      <c r="BCC77" s="120"/>
      <c r="BCD77" s="120"/>
      <c r="BCE77" s="440"/>
      <c r="BDA77" s="436"/>
      <c r="BDB77" s="120"/>
      <c r="BDC77" s="120"/>
      <c r="BDD77" s="120"/>
      <c r="BDE77" s="440"/>
      <c r="BEA77" s="436"/>
      <c r="BEB77" s="120"/>
      <c r="BEC77" s="120"/>
      <c r="BED77" s="120"/>
      <c r="BEE77" s="440"/>
      <c r="BFA77" s="436"/>
      <c r="BFB77" s="120"/>
      <c r="BFC77" s="120"/>
      <c r="BFD77" s="120"/>
      <c r="BFE77" s="440"/>
      <c r="BGA77" s="436"/>
      <c r="BGB77" s="120"/>
      <c r="BGC77" s="120"/>
      <c r="BGD77" s="120"/>
      <c r="BGE77" s="440"/>
      <c r="BHA77" s="436"/>
      <c r="BHB77" s="120"/>
      <c r="BHC77" s="120"/>
      <c r="BHD77" s="120"/>
      <c r="BHE77" s="440"/>
      <c r="BIA77" s="436"/>
      <c r="BIB77" s="120"/>
      <c r="BIC77" s="120"/>
      <c r="BID77" s="120"/>
      <c r="BIE77" s="440"/>
      <c r="BJA77" s="436"/>
      <c r="BJB77" s="120"/>
      <c r="BJC77" s="120"/>
      <c r="BJD77" s="120"/>
      <c r="BJE77" s="440"/>
      <c r="BKA77" s="436"/>
      <c r="BKB77" s="120"/>
      <c r="BKC77" s="120"/>
      <c r="BKD77" s="120"/>
      <c r="BKE77" s="440"/>
      <c r="BLA77" s="436"/>
      <c r="BLB77" s="120"/>
      <c r="BLC77" s="120"/>
      <c r="BLD77" s="120"/>
      <c r="BLE77" s="440"/>
      <c r="BMA77" s="436"/>
      <c r="BMB77" s="120"/>
      <c r="BMC77" s="120"/>
      <c r="BMD77" s="120"/>
      <c r="BME77" s="440"/>
      <c r="BNA77" s="436"/>
      <c r="BNB77" s="120"/>
      <c r="BNC77" s="120"/>
      <c r="BND77" s="120"/>
      <c r="BNE77" s="440"/>
      <c r="BOA77" s="436"/>
      <c r="BOB77" s="120"/>
      <c r="BOC77" s="120"/>
      <c r="BOD77" s="120"/>
      <c r="BOE77" s="440"/>
      <c r="BPA77" s="436"/>
      <c r="BPB77" s="120"/>
      <c r="BPC77" s="120"/>
      <c r="BPD77" s="120"/>
      <c r="BPE77" s="440"/>
      <c r="BQA77" s="436"/>
      <c r="BQB77" s="120"/>
      <c r="BQC77" s="120"/>
      <c r="BQD77" s="120"/>
      <c r="BQE77" s="440"/>
      <c r="BRA77" s="436"/>
      <c r="BRB77" s="120"/>
      <c r="BRC77" s="120"/>
      <c r="BRD77" s="120"/>
      <c r="BRE77" s="440"/>
    </row>
    <row r="78" spans="1:1019 1041:1825">
      <c r="AA78" s="436" t="s">
        <v>511</v>
      </c>
      <c r="AB78" s="120">
        <v>0</v>
      </c>
      <c r="AC78" s="120" t="s">
        <v>512</v>
      </c>
      <c r="AD78" s="120"/>
      <c r="AE78" s="440"/>
      <c r="BA78" s="436" t="s">
        <v>511</v>
      </c>
      <c r="BB78" s="120">
        <v>0</v>
      </c>
      <c r="BC78" s="120" t="s">
        <v>512</v>
      </c>
      <c r="BD78" s="120"/>
      <c r="BE78" s="440"/>
      <c r="CA78" s="436" t="s">
        <v>511</v>
      </c>
      <c r="CB78" s="120">
        <v>0</v>
      </c>
      <c r="CC78" s="120" t="s">
        <v>512</v>
      </c>
      <c r="CD78" s="120"/>
      <c r="CE78" s="440"/>
      <c r="DA78" s="436" t="s">
        <v>511</v>
      </c>
      <c r="DB78" s="120">
        <v>0</v>
      </c>
      <c r="DC78" s="120" t="s">
        <v>512</v>
      </c>
      <c r="DD78" s="120"/>
      <c r="DE78" s="440"/>
      <c r="EA78" s="436" t="s">
        <v>511</v>
      </c>
      <c r="EB78" s="120">
        <v>0</v>
      </c>
      <c r="EC78" s="120" t="s">
        <v>512</v>
      </c>
      <c r="ED78" s="120"/>
      <c r="EE78" s="440"/>
      <c r="FA78" s="436" t="s">
        <v>511</v>
      </c>
      <c r="FB78" s="120">
        <v>0</v>
      </c>
      <c r="FC78" s="120" t="s">
        <v>512</v>
      </c>
      <c r="FD78" s="120"/>
      <c r="FE78" s="440"/>
      <c r="GA78" s="436" t="s">
        <v>511</v>
      </c>
      <c r="GB78" s="120">
        <v>0</v>
      </c>
      <c r="GC78" s="120" t="s">
        <v>512</v>
      </c>
      <c r="GD78" s="120"/>
      <c r="GE78" s="440"/>
      <c r="HA78" s="436" t="s">
        <v>511</v>
      </c>
      <c r="HB78" s="120">
        <v>0</v>
      </c>
      <c r="HC78" s="120" t="s">
        <v>512</v>
      </c>
      <c r="HD78" s="120"/>
      <c r="HE78" s="440"/>
      <c r="IA78" s="436" t="s">
        <v>511</v>
      </c>
      <c r="IB78" s="120">
        <v>0</v>
      </c>
      <c r="IC78" s="120" t="s">
        <v>512</v>
      </c>
      <c r="ID78" s="120"/>
      <c r="IE78" s="440"/>
      <c r="JA78" s="436" t="s">
        <v>511</v>
      </c>
      <c r="JB78" s="120">
        <v>0</v>
      </c>
      <c r="JC78" s="120" t="s">
        <v>512</v>
      </c>
      <c r="JD78" s="120"/>
      <c r="JE78" s="440"/>
      <c r="KA78" s="436" t="s">
        <v>511</v>
      </c>
      <c r="KB78" s="120">
        <v>0</v>
      </c>
      <c r="KC78" s="120" t="s">
        <v>512</v>
      </c>
      <c r="KD78" s="120"/>
      <c r="KE78" s="440"/>
      <c r="LA78" s="436" t="s">
        <v>511</v>
      </c>
      <c r="LB78" s="120">
        <v>0</v>
      </c>
      <c r="LC78" s="120" t="s">
        <v>512</v>
      </c>
      <c r="LD78" s="120"/>
      <c r="LE78" s="440"/>
      <c r="MA78" s="436" t="s">
        <v>511</v>
      </c>
      <c r="MB78" s="120">
        <v>0</v>
      </c>
      <c r="MC78" s="120" t="s">
        <v>512</v>
      </c>
      <c r="MD78" s="120"/>
      <c r="ME78" s="440"/>
      <c r="NA78" s="436" t="s">
        <v>511</v>
      </c>
      <c r="NB78" s="120">
        <v>0</v>
      </c>
      <c r="NC78" s="120" t="s">
        <v>512</v>
      </c>
      <c r="ND78" s="120"/>
      <c r="NE78" s="440"/>
      <c r="OA78" s="436" t="s">
        <v>511</v>
      </c>
      <c r="OB78" s="120">
        <v>0</v>
      </c>
      <c r="OC78" s="120" t="s">
        <v>512</v>
      </c>
      <c r="OD78" s="120"/>
      <c r="OE78" s="440"/>
      <c r="PA78" s="436" t="s">
        <v>511</v>
      </c>
      <c r="PB78" s="120">
        <v>0</v>
      </c>
      <c r="PC78" s="120" t="s">
        <v>512</v>
      </c>
      <c r="PD78" s="120"/>
      <c r="PE78" s="440"/>
      <c r="QA78" s="436" t="s">
        <v>511</v>
      </c>
      <c r="QB78" s="120">
        <v>0</v>
      </c>
      <c r="QC78" s="120" t="s">
        <v>512</v>
      </c>
      <c r="QD78" s="120"/>
      <c r="QE78" s="440"/>
      <c r="RA78" s="436" t="s">
        <v>511</v>
      </c>
      <c r="RB78" s="120">
        <v>0</v>
      </c>
      <c r="RC78" s="120" t="s">
        <v>512</v>
      </c>
      <c r="RD78" s="120"/>
      <c r="RE78" s="440"/>
      <c r="SA78" s="436" t="s">
        <v>511</v>
      </c>
      <c r="SB78" s="120">
        <v>0</v>
      </c>
      <c r="SC78" s="120" t="s">
        <v>512</v>
      </c>
      <c r="SD78" s="120"/>
      <c r="SE78" s="440"/>
      <c r="TA78" s="436" t="s">
        <v>511</v>
      </c>
      <c r="TB78" s="120">
        <v>0</v>
      </c>
      <c r="TC78" s="120" t="s">
        <v>512</v>
      </c>
      <c r="TD78" s="120"/>
      <c r="TE78" s="440"/>
      <c r="UA78" s="436" t="s">
        <v>511</v>
      </c>
      <c r="UB78" s="120">
        <v>0</v>
      </c>
      <c r="UC78" s="120" t="s">
        <v>512</v>
      </c>
      <c r="UD78" s="120"/>
      <c r="UE78" s="440"/>
      <c r="VA78" s="436" t="s">
        <v>511</v>
      </c>
      <c r="VB78" s="120">
        <v>0</v>
      </c>
      <c r="VC78" s="120" t="s">
        <v>512</v>
      </c>
      <c r="VD78" s="120"/>
      <c r="VE78" s="440"/>
      <c r="WA78" s="436" t="s">
        <v>511</v>
      </c>
      <c r="WB78" s="120">
        <v>0</v>
      </c>
      <c r="WC78" s="120" t="s">
        <v>512</v>
      </c>
      <c r="WD78" s="120"/>
      <c r="WE78" s="440"/>
      <c r="XA78" s="436" t="s">
        <v>511</v>
      </c>
      <c r="XB78" s="120">
        <v>0</v>
      </c>
      <c r="XC78" s="120" t="s">
        <v>512</v>
      </c>
      <c r="XD78" s="120"/>
      <c r="XE78" s="440"/>
      <c r="YA78" s="436" t="s">
        <v>511</v>
      </c>
      <c r="YB78" s="120">
        <v>0</v>
      </c>
      <c r="YC78" s="120" t="s">
        <v>512</v>
      </c>
      <c r="YD78" s="120"/>
      <c r="YE78" s="440"/>
      <c r="ZA78" s="436" t="s">
        <v>511</v>
      </c>
      <c r="ZB78" s="120">
        <v>0</v>
      </c>
      <c r="ZC78" s="120" t="s">
        <v>512</v>
      </c>
      <c r="ZD78" s="120"/>
      <c r="ZE78" s="440"/>
      <c r="AAA78" s="436" t="s">
        <v>511</v>
      </c>
      <c r="AAB78" s="120">
        <v>0</v>
      </c>
      <c r="AAC78" s="120" t="s">
        <v>512</v>
      </c>
      <c r="AAD78" s="120"/>
      <c r="AAE78" s="440"/>
      <c r="ABA78" s="436" t="s">
        <v>511</v>
      </c>
      <c r="ABB78" s="120">
        <v>0</v>
      </c>
      <c r="ABC78" s="120" t="s">
        <v>512</v>
      </c>
      <c r="ABD78" s="120"/>
      <c r="ABE78" s="440"/>
      <c r="ACA78" s="436" t="s">
        <v>511</v>
      </c>
      <c r="ACB78" s="120">
        <v>0</v>
      </c>
      <c r="ACC78" s="120" t="s">
        <v>512</v>
      </c>
      <c r="ACD78" s="120"/>
      <c r="ACE78" s="440"/>
      <c r="ADA78" s="436" t="s">
        <v>511</v>
      </c>
      <c r="ADB78" s="120">
        <v>0</v>
      </c>
      <c r="ADC78" s="120" t="s">
        <v>512</v>
      </c>
      <c r="ADD78" s="120"/>
      <c r="ADE78" s="440"/>
      <c r="AEA78" s="436" t="s">
        <v>511</v>
      </c>
      <c r="AEB78" s="120">
        <v>0</v>
      </c>
      <c r="AEC78" s="120" t="s">
        <v>512</v>
      </c>
      <c r="AED78" s="120"/>
      <c r="AEE78" s="440"/>
      <c r="AFA78" s="436" t="s">
        <v>511</v>
      </c>
      <c r="AFB78" s="120">
        <v>0</v>
      </c>
      <c r="AFC78" s="120" t="s">
        <v>512</v>
      </c>
      <c r="AFD78" s="120"/>
      <c r="AFE78" s="440"/>
      <c r="AGA78" s="436" t="s">
        <v>511</v>
      </c>
      <c r="AGB78" s="120">
        <v>0</v>
      </c>
      <c r="AGC78" s="120" t="s">
        <v>512</v>
      </c>
      <c r="AGD78" s="120"/>
      <c r="AGE78" s="440"/>
      <c r="AHA78" s="436" t="s">
        <v>511</v>
      </c>
      <c r="AHB78" s="120">
        <v>0</v>
      </c>
      <c r="AHC78" s="120" t="s">
        <v>512</v>
      </c>
      <c r="AHD78" s="120"/>
      <c r="AHE78" s="440"/>
      <c r="AIA78" s="436" t="s">
        <v>511</v>
      </c>
      <c r="AIB78" s="120">
        <v>0</v>
      </c>
      <c r="AIC78" s="120" t="s">
        <v>512</v>
      </c>
      <c r="AID78" s="120"/>
      <c r="AIE78" s="440"/>
      <c r="AJA78" s="436" t="s">
        <v>511</v>
      </c>
      <c r="AJB78" s="120">
        <v>0</v>
      </c>
      <c r="AJC78" s="120" t="s">
        <v>512</v>
      </c>
      <c r="AJD78" s="120"/>
      <c r="AJE78" s="440"/>
      <c r="AKA78" s="436" t="s">
        <v>511</v>
      </c>
      <c r="AKB78" s="120">
        <v>0</v>
      </c>
      <c r="AKC78" s="120" t="s">
        <v>512</v>
      </c>
      <c r="AKD78" s="120"/>
      <c r="AKE78" s="440"/>
      <c r="ALA78" s="436" t="s">
        <v>511</v>
      </c>
      <c r="ALB78" s="120">
        <v>0</v>
      </c>
      <c r="ALC78" s="120" t="s">
        <v>512</v>
      </c>
      <c r="ALD78" s="120"/>
      <c r="ALE78" s="440"/>
      <c r="AMA78" s="436" t="s">
        <v>511</v>
      </c>
      <c r="AMB78" s="120">
        <v>0</v>
      </c>
      <c r="AMC78" s="120" t="s">
        <v>512</v>
      </c>
      <c r="AMD78" s="120"/>
      <c r="AME78" s="440"/>
      <c r="ANA78" s="436" t="s">
        <v>511</v>
      </c>
      <c r="ANB78" s="120">
        <v>0</v>
      </c>
      <c r="ANC78" s="120" t="s">
        <v>512</v>
      </c>
      <c r="AND78" s="120"/>
      <c r="ANE78" s="440"/>
      <c r="AOA78" s="436" t="s">
        <v>511</v>
      </c>
      <c r="AOB78" s="120">
        <v>0</v>
      </c>
      <c r="AOC78" s="120" t="s">
        <v>512</v>
      </c>
      <c r="AOD78" s="120"/>
      <c r="AOE78" s="440"/>
      <c r="APA78" s="436" t="s">
        <v>511</v>
      </c>
      <c r="APB78" s="120">
        <v>0</v>
      </c>
      <c r="APC78" s="120" t="s">
        <v>512</v>
      </c>
      <c r="APD78" s="120"/>
      <c r="APE78" s="440"/>
      <c r="AQA78" s="436" t="s">
        <v>511</v>
      </c>
      <c r="AQB78" s="120">
        <v>0</v>
      </c>
      <c r="AQC78" s="120" t="s">
        <v>512</v>
      </c>
      <c r="AQD78" s="120"/>
      <c r="AQE78" s="440"/>
      <c r="ARA78" s="436" t="s">
        <v>511</v>
      </c>
      <c r="ARB78" s="120">
        <v>0</v>
      </c>
      <c r="ARC78" s="120" t="s">
        <v>512</v>
      </c>
      <c r="ARD78" s="120"/>
      <c r="ARE78" s="440"/>
      <c r="ASA78" s="436" t="s">
        <v>511</v>
      </c>
      <c r="ASB78" s="120">
        <v>0</v>
      </c>
      <c r="ASC78" s="120" t="s">
        <v>512</v>
      </c>
      <c r="ASD78" s="120"/>
      <c r="ASE78" s="440"/>
      <c r="ATA78" s="436" t="s">
        <v>511</v>
      </c>
      <c r="ATB78" s="120">
        <v>0</v>
      </c>
      <c r="ATC78" s="120" t="s">
        <v>512</v>
      </c>
      <c r="ATD78" s="120"/>
      <c r="ATE78" s="440"/>
      <c r="AUA78" s="436" t="s">
        <v>511</v>
      </c>
      <c r="AUB78" s="120">
        <v>0</v>
      </c>
      <c r="AUC78" s="120" t="s">
        <v>512</v>
      </c>
      <c r="AUD78" s="120"/>
      <c r="AUE78" s="440"/>
      <c r="AVA78" s="436" t="s">
        <v>511</v>
      </c>
      <c r="AVB78" s="120">
        <v>0</v>
      </c>
      <c r="AVC78" s="120" t="s">
        <v>512</v>
      </c>
      <c r="AVD78" s="120"/>
      <c r="AVE78" s="440"/>
      <c r="AWA78" s="436" t="s">
        <v>511</v>
      </c>
      <c r="AWB78" s="120">
        <v>0</v>
      </c>
      <c r="AWC78" s="120" t="s">
        <v>512</v>
      </c>
      <c r="AWD78" s="120"/>
      <c r="AWE78" s="440"/>
      <c r="AXA78" s="436" t="s">
        <v>511</v>
      </c>
      <c r="AXB78" s="120">
        <v>0</v>
      </c>
      <c r="AXC78" s="120" t="s">
        <v>512</v>
      </c>
      <c r="AXD78" s="120"/>
      <c r="AXE78" s="440"/>
      <c r="AYA78" s="436" t="s">
        <v>511</v>
      </c>
      <c r="AYB78" s="120">
        <v>0</v>
      </c>
      <c r="AYC78" s="120" t="s">
        <v>512</v>
      </c>
      <c r="AYD78" s="120"/>
      <c r="AYE78" s="440"/>
      <c r="AZA78" s="436" t="s">
        <v>511</v>
      </c>
      <c r="AZB78" s="120">
        <v>0</v>
      </c>
      <c r="AZC78" s="120" t="s">
        <v>512</v>
      </c>
      <c r="AZD78" s="120"/>
      <c r="AZE78" s="440"/>
      <c r="BAA78" s="436" t="s">
        <v>511</v>
      </c>
      <c r="BAB78" s="120">
        <v>0</v>
      </c>
      <c r="BAC78" s="120" t="s">
        <v>512</v>
      </c>
      <c r="BAD78" s="120"/>
      <c r="BAE78" s="440"/>
      <c r="BBA78" s="436" t="s">
        <v>511</v>
      </c>
      <c r="BBB78" s="120">
        <v>0</v>
      </c>
      <c r="BBC78" s="120" t="s">
        <v>512</v>
      </c>
      <c r="BBD78" s="120"/>
      <c r="BBE78" s="440"/>
      <c r="BCA78" s="436" t="s">
        <v>511</v>
      </c>
      <c r="BCB78" s="120">
        <v>0</v>
      </c>
      <c r="BCC78" s="120" t="s">
        <v>512</v>
      </c>
      <c r="BCD78" s="120"/>
      <c r="BCE78" s="440"/>
      <c r="BDA78" s="436" t="s">
        <v>511</v>
      </c>
      <c r="BDB78" s="120">
        <v>0</v>
      </c>
      <c r="BDC78" s="120" t="s">
        <v>512</v>
      </c>
      <c r="BDD78" s="120"/>
      <c r="BDE78" s="440"/>
      <c r="BEA78" s="436" t="s">
        <v>511</v>
      </c>
      <c r="BEB78" s="120">
        <v>0</v>
      </c>
      <c r="BEC78" s="120" t="s">
        <v>512</v>
      </c>
      <c r="BED78" s="120"/>
      <c r="BEE78" s="440"/>
      <c r="BFA78" s="436" t="s">
        <v>511</v>
      </c>
      <c r="BFB78" s="120">
        <v>0</v>
      </c>
      <c r="BFC78" s="120" t="s">
        <v>512</v>
      </c>
      <c r="BFD78" s="120"/>
      <c r="BFE78" s="440"/>
      <c r="BGA78" s="436" t="s">
        <v>511</v>
      </c>
      <c r="BGB78" s="120">
        <v>0</v>
      </c>
      <c r="BGC78" s="120" t="s">
        <v>512</v>
      </c>
      <c r="BGD78" s="120"/>
      <c r="BGE78" s="440"/>
      <c r="BHA78" s="436" t="s">
        <v>511</v>
      </c>
      <c r="BHB78" s="120">
        <v>0</v>
      </c>
      <c r="BHC78" s="120" t="s">
        <v>512</v>
      </c>
      <c r="BHD78" s="120"/>
      <c r="BHE78" s="440"/>
      <c r="BIA78" s="436" t="s">
        <v>511</v>
      </c>
      <c r="BIB78" s="120">
        <v>0</v>
      </c>
      <c r="BIC78" s="120" t="s">
        <v>512</v>
      </c>
      <c r="BID78" s="120"/>
      <c r="BIE78" s="440"/>
      <c r="BJA78" s="436" t="s">
        <v>511</v>
      </c>
      <c r="BJB78" s="120">
        <v>0</v>
      </c>
      <c r="BJC78" s="120" t="s">
        <v>512</v>
      </c>
      <c r="BJD78" s="120"/>
      <c r="BJE78" s="440"/>
      <c r="BKA78" s="436" t="s">
        <v>511</v>
      </c>
      <c r="BKB78" s="120">
        <v>0</v>
      </c>
      <c r="BKC78" s="120" t="s">
        <v>512</v>
      </c>
      <c r="BKD78" s="120"/>
      <c r="BKE78" s="440"/>
      <c r="BLA78" s="436" t="s">
        <v>511</v>
      </c>
      <c r="BLB78" s="120">
        <v>0</v>
      </c>
      <c r="BLC78" s="120" t="s">
        <v>512</v>
      </c>
      <c r="BLD78" s="120"/>
      <c r="BLE78" s="440"/>
      <c r="BMA78" s="436" t="s">
        <v>511</v>
      </c>
      <c r="BMB78" s="120">
        <v>0</v>
      </c>
      <c r="BMC78" s="120" t="s">
        <v>512</v>
      </c>
      <c r="BMD78" s="120"/>
      <c r="BME78" s="440"/>
      <c r="BNA78" s="436" t="s">
        <v>511</v>
      </c>
      <c r="BNB78" s="120">
        <v>0</v>
      </c>
      <c r="BNC78" s="120" t="s">
        <v>512</v>
      </c>
      <c r="BND78" s="120"/>
      <c r="BNE78" s="440"/>
      <c r="BOA78" s="436" t="s">
        <v>511</v>
      </c>
      <c r="BOB78" s="120">
        <v>0</v>
      </c>
      <c r="BOC78" s="120" t="s">
        <v>512</v>
      </c>
      <c r="BOD78" s="120"/>
      <c r="BOE78" s="440"/>
      <c r="BPA78" s="436" t="s">
        <v>511</v>
      </c>
      <c r="BPB78" s="120">
        <v>0</v>
      </c>
      <c r="BPC78" s="120" t="s">
        <v>512</v>
      </c>
      <c r="BPD78" s="120"/>
      <c r="BPE78" s="440"/>
      <c r="BQA78" s="436" t="s">
        <v>511</v>
      </c>
      <c r="BQB78" s="120">
        <v>0</v>
      </c>
      <c r="BQC78" s="120" t="s">
        <v>512</v>
      </c>
      <c r="BQD78" s="120"/>
      <c r="BQE78" s="440"/>
      <c r="BRA78" s="436" t="s">
        <v>511</v>
      </c>
      <c r="BRB78" s="120">
        <v>0</v>
      </c>
      <c r="BRC78" s="120" t="s">
        <v>512</v>
      </c>
      <c r="BRD78" s="120"/>
      <c r="BRE78" s="440"/>
    </row>
    <row r="79" spans="1:1019 1041:1825">
      <c r="AA79" s="436" t="s">
        <v>513</v>
      </c>
      <c r="AB79" s="120">
        <v>0</v>
      </c>
      <c r="AC79" s="120" t="s">
        <v>512</v>
      </c>
      <c r="AD79" s="120"/>
      <c r="AE79" s="440"/>
      <c r="BA79" s="436" t="s">
        <v>513</v>
      </c>
      <c r="BB79" s="120">
        <v>0</v>
      </c>
      <c r="BC79" s="120" t="s">
        <v>512</v>
      </c>
      <c r="BD79" s="120"/>
      <c r="BE79" s="440"/>
      <c r="CA79" s="436" t="s">
        <v>513</v>
      </c>
      <c r="CB79" s="120">
        <v>0</v>
      </c>
      <c r="CC79" s="120" t="s">
        <v>512</v>
      </c>
      <c r="CD79" s="120"/>
      <c r="CE79" s="440"/>
      <c r="DA79" s="436" t="s">
        <v>513</v>
      </c>
      <c r="DB79" s="120">
        <v>0</v>
      </c>
      <c r="DC79" s="120" t="s">
        <v>512</v>
      </c>
      <c r="DD79" s="120"/>
      <c r="DE79" s="440"/>
      <c r="EA79" s="436" t="s">
        <v>513</v>
      </c>
      <c r="EB79" s="120">
        <v>0</v>
      </c>
      <c r="EC79" s="120" t="s">
        <v>512</v>
      </c>
      <c r="ED79" s="120"/>
      <c r="EE79" s="440"/>
      <c r="FA79" s="436" t="s">
        <v>513</v>
      </c>
      <c r="FB79" s="120">
        <v>0</v>
      </c>
      <c r="FC79" s="120" t="s">
        <v>512</v>
      </c>
      <c r="FD79" s="120"/>
      <c r="FE79" s="440"/>
      <c r="GA79" s="436" t="s">
        <v>513</v>
      </c>
      <c r="GB79" s="120">
        <v>0</v>
      </c>
      <c r="GC79" s="120" t="s">
        <v>512</v>
      </c>
      <c r="GD79" s="120"/>
      <c r="GE79" s="440"/>
      <c r="HA79" s="436" t="s">
        <v>513</v>
      </c>
      <c r="HB79" s="120">
        <v>0</v>
      </c>
      <c r="HC79" s="120" t="s">
        <v>512</v>
      </c>
      <c r="HD79" s="120"/>
      <c r="HE79" s="440"/>
      <c r="IA79" s="436" t="s">
        <v>513</v>
      </c>
      <c r="IB79" s="120">
        <v>0</v>
      </c>
      <c r="IC79" s="120" t="s">
        <v>512</v>
      </c>
      <c r="ID79" s="120"/>
      <c r="IE79" s="440"/>
      <c r="JA79" s="436" t="s">
        <v>513</v>
      </c>
      <c r="JB79" s="120">
        <v>0</v>
      </c>
      <c r="JC79" s="120" t="s">
        <v>512</v>
      </c>
      <c r="JD79" s="120"/>
      <c r="JE79" s="440"/>
      <c r="KA79" s="436" t="s">
        <v>513</v>
      </c>
      <c r="KB79" s="120">
        <v>0</v>
      </c>
      <c r="KC79" s="120" t="s">
        <v>512</v>
      </c>
      <c r="KD79" s="120"/>
      <c r="KE79" s="440"/>
      <c r="LA79" s="436" t="s">
        <v>513</v>
      </c>
      <c r="LB79" s="120">
        <v>0</v>
      </c>
      <c r="LC79" s="120" t="s">
        <v>512</v>
      </c>
      <c r="LD79" s="120"/>
      <c r="LE79" s="440"/>
      <c r="MA79" s="436" t="s">
        <v>513</v>
      </c>
      <c r="MB79" s="120">
        <v>0</v>
      </c>
      <c r="MC79" s="120" t="s">
        <v>512</v>
      </c>
      <c r="MD79" s="120"/>
      <c r="ME79" s="440"/>
      <c r="NA79" s="436" t="s">
        <v>513</v>
      </c>
      <c r="NB79" s="120">
        <v>0</v>
      </c>
      <c r="NC79" s="120" t="s">
        <v>512</v>
      </c>
      <c r="ND79" s="120"/>
      <c r="NE79" s="440"/>
      <c r="OA79" s="436" t="s">
        <v>513</v>
      </c>
      <c r="OB79" s="120">
        <v>0</v>
      </c>
      <c r="OC79" s="120" t="s">
        <v>512</v>
      </c>
      <c r="OD79" s="120"/>
      <c r="OE79" s="440"/>
      <c r="PA79" s="436" t="s">
        <v>513</v>
      </c>
      <c r="PB79" s="120">
        <v>0</v>
      </c>
      <c r="PC79" s="120" t="s">
        <v>512</v>
      </c>
      <c r="PD79" s="120"/>
      <c r="PE79" s="440"/>
      <c r="QA79" s="436" t="s">
        <v>513</v>
      </c>
      <c r="QB79" s="120">
        <v>0</v>
      </c>
      <c r="QC79" s="120" t="s">
        <v>512</v>
      </c>
      <c r="QD79" s="120"/>
      <c r="QE79" s="440"/>
      <c r="RA79" s="436" t="s">
        <v>513</v>
      </c>
      <c r="RB79" s="120">
        <v>0</v>
      </c>
      <c r="RC79" s="120" t="s">
        <v>512</v>
      </c>
      <c r="RD79" s="120"/>
      <c r="RE79" s="440"/>
      <c r="SA79" s="436" t="s">
        <v>513</v>
      </c>
      <c r="SB79" s="120">
        <v>0</v>
      </c>
      <c r="SC79" s="120" t="s">
        <v>512</v>
      </c>
      <c r="SD79" s="120"/>
      <c r="SE79" s="440"/>
      <c r="TA79" s="436" t="s">
        <v>513</v>
      </c>
      <c r="TB79" s="120">
        <v>0</v>
      </c>
      <c r="TC79" s="120" t="s">
        <v>512</v>
      </c>
      <c r="TD79" s="120"/>
      <c r="TE79" s="440"/>
      <c r="UA79" s="436" t="s">
        <v>513</v>
      </c>
      <c r="UB79" s="120">
        <v>0</v>
      </c>
      <c r="UC79" s="120" t="s">
        <v>512</v>
      </c>
      <c r="UD79" s="120"/>
      <c r="UE79" s="440"/>
      <c r="VA79" s="436" t="s">
        <v>513</v>
      </c>
      <c r="VB79" s="120">
        <v>0</v>
      </c>
      <c r="VC79" s="120" t="s">
        <v>512</v>
      </c>
      <c r="VD79" s="120"/>
      <c r="VE79" s="440"/>
      <c r="WA79" s="436" t="s">
        <v>513</v>
      </c>
      <c r="WB79" s="120">
        <v>0</v>
      </c>
      <c r="WC79" s="120" t="s">
        <v>512</v>
      </c>
      <c r="WD79" s="120"/>
      <c r="WE79" s="440"/>
      <c r="XA79" s="436" t="s">
        <v>513</v>
      </c>
      <c r="XB79" s="120">
        <v>0</v>
      </c>
      <c r="XC79" s="120" t="s">
        <v>512</v>
      </c>
      <c r="XD79" s="120"/>
      <c r="XE79" s="440"/>
      <c r="YA79" s="436" t="s">
        <v>513</v>
      </c>
      <c r="YB79" s="120">
        <v>0</v>
      </c>
      <c r="YC79" s="120" t="s">
        <v>512</v>
      </c>
      <c r="YD79" s="120"/>
      <c r="YE79" s="440"/>
      <c r="ZA79" s="436" t="s">
        <v>513</v>
      </c>
      <c r="ZB79" s="120">
        <v>0</v>
      </c>
      <c r="ZC79" s="120" t="s">
        <v>512</v>
      </c>
      <c r="ZD79" s="120"/>
      <c r="ZE79" s="440"/>
      <c r="AAA79" s="436" t="s">
        <v>513</v>
      </c>
      <c r="AAB79" s="120">
        <v>0</v>
      </c>
      <c r="AAC79" s="120" t="s">
        <v>512</v>
      </c>
      <c r="AAD79" s="120"/>
      <c r="AAE79" s="440"/>
      <c r="ABA79" s="436" t="s">
        <v>513</v>
      </c>
      <c r="ABB79" s="120">
        <v>0</v>
      </c>
      <c r="ABC79" s="120" t="s">
        <v>512</v>
      </c>
      <c r="ABD79" s="120"/>
      <c r="ABE79" s="440"/>
      <c r="ACA79" s="436" t="s">
        <v>513</v>
      </c>
      <c r="ACB79" s="120">
        <v>0</v>
      </c>
      <c r="ACC79" s="120" t="s">
        <v>512</v>
      </c>
      <c r="ACD79" s="120"/>
      <c r="ACE79" s="440"/>
      <c r="ADA79" s="436" t="s">
        <v>513</v>
      </c>
      <c r="ADB79" s="120">
        <v>0</v>
      </c>
      <c r="ADC79" s="120" t="s">
        <v>512</v>
      </c>
      <c r="ADD79" s="120"/>
      <c r="ADE79" s="440"/>
      <c r="AEA79" s="436" t="s">
        <v>513</v>
      </c>
      <c r="AEB79" s="120">
        <v>0</v>
      </c>
      <c r="AEC79" s="120" t="s">
        <v>512</v>
      </c>
      <c r="AED79" s="120"/>
      <c r="AEE79" s="440"/>
      <c r="AFA79" s="436" t="s">
        <v>513</v>
      </c>
      <c r="AFB79" s="120">
        <v>0</v>
      </c>
      <c r="AFC79" s="120" t="s">
        <v>512</v>
      </c>
      <c r="AFD79" s="120"/>
      <c r="AFE79" s="440"/>
      <c r="AGA79" s="436" t="s">
        <v>513</v>
      </c>
      <c r="AGB79" s="120">
        <v>0</v>
      </c>
      <c r="AGC79" s="120" t="s">
        <v>512</v>
      </c>
      <c r="AGD79" s="120"/>
      <c r="AGE79" s="440"/>
      <c r="AHA79" s="436" t="s">
        <v>513</v>
      </c>
      <c r="AHB79" s="120">
        <v>0</v>
      </c>
      <c r="AHC79" s="120" t="s">
        <v>512</v>
      </c>
      <c r="AHD79" s="120"/>
      <c r="AHE79" s="440"/>
      <c r="AIA79" s="436" t="s">
        <v>513</v>
      </c>
      <c r="AIB79" s="120">
        <v>0</v>
      </c>
      <c r="AIC79" s="120" t="s">
        <v>512</v>
      </c>
      <c r="AID79" s="120"/>
      <c r="AIE79" s="440"/>
      <c r="AJA79" s="436" t="s">
        <v>513</v>
      </c>
      <c r="AJB79" s="120">
        <v>0</v>
      </c>
      <c r="AJC79" s="120" t="s">
        <v>512</v>
      </c>
      <c r="AJD79" s="120"/>
      <c r="AJE79" s="440"/>
      <c r="AKA79" s="436" t="s">
        <v>513</v>
      </c>
      <c r="AKB79" s="120">
        <v>0</v>
      </c>
      <c r="AKC79" s="120" t="s">
        <v>512</v>
      </c>
      <c r="AKD79" s="120"/>
      <c r="AKE79" s="440"/>
      <c r="ALA79" s="436" t="s">
        <v>513</v>
      </c>
      <c r="ALB79" s="120">
        <v>0</v>
      </c>
      <c r="ALC79" s="120" t="s">
        <v>512</v>
      </c>
      <c r="ALD79" s="120"/>
      <c r="ALE79" s="440"/>
      <c r="AMA79" s="436" t="s">
        <v>513</v>
      </c>
      <c r="AMB79" s="120">
        <v>0</v>
      </c>
      <c r="AMC79" s="120" t="s">
        <v>512</v>
      </c>
      <c r="AMD79" s="120"/>
      <c r="AME79" s="440"/>
      <c r="ANA79" s="436" t="s">
        <v>513</v>
      </c>
      <c r="ANB79" s="120">
        <v>0</v>
      </c>
      <c r="ANC79" s="120" t="s">
        <v>512</v>
      </c>
      <c r="AND79" s="120"/>
      <c r="ANE79" s="440"/>
      <c r="AOA79" s="436" t="s">
        <v>513</v>
      </c>
      <c r="AOB79" s="120">
        <v>0</v>
      </c>
      <c r="AOC79" s="120" t="s">
        <v>512</v>
      </c>
      <c r="AOD79" s="120"/>
      <c r="AOE79" s="440"/>
      <c r="APA79" s="436" t="s">
        <v>513</v>
      </c>
      <c r="APB79" s="120">
        <v>0</v>
      </c>
      <c r="APC79" s="120" t="s">
        <v>512</v>
      </c>
      <c r="APD79" s="120"/>
      <c r="APE79" s="440"/>
      <c r="AQA79" s="436" t="s">
        <v>513</v>
      </c>
      <c r="AQB79" s="120">
        <v>0</v>
      </c>
      <c r="AQC79" s="120" t="s">
        <v>512</v>
      </c>
      <c r="AQD79" s="120"/>
      <c r="AQE79" s="440"/>
      <c r="ARA79" s="436" t="s">
        <v>513</v>
      </c>
      <c r="ARB79" s="120">
        <v>0</v>
      </c>
      <c r="ARC79" s="120" t="s">
        <v>512</v>
      </c>
      <c r="ARD79" s="120"/>
      <c r="ARE79" s="440"/>
      <c r="ASA79" s="436" t="s">
        <v>513</v>
      </c>
      <c r="ASB79" s="120">
        <v>0</v>
      </c>
      <c r="ASC79" s="120" t="s">
        <v>512</v>
      </c>
      <c r="ASD79" s="120"/>
      <c r="ASE79" s="440"/>
      <c r="ATA79" s="436" t="s">
        <v>513</v>
      </c>
      <c r="ATB79" s="120">
        <v>0</v>
      </c>
      <c r="ATC79" s="120" t="s">
        <v>512</v>
      </c>
      <c r="ATD79" s="120"/>
      <c r="ATE79" s="440"/>
      <c r="AUA79" s="436" t="s">
        <v>513</v>
      </c>
      <c r="AUB79" s="120">
        <v>0</v>
      </c>
      <c r="AUC79" s="120" t="s">
        <v>512</v>
      </c>
      <c r="AUD79" s="120"/>
      <c r="AUE79" s="440"/>
      <c r="AVA79" s="436" t="s">
        <v>513</v>
      </c>
      <c r="AVB79" s="120">
        <v>0</v>
      </c>
      <c r="AVC79" s="120" t="s">
        <v>512</v>
      </c>
      <c r="AVD79" s="120"/>
      <c r="AVE79" s="440"/>
      <c r="AWA79" s="436" t="s">
        <v>513</v>
      </c>
      <c r="AWB79" s="120">
        <v>0</v>
      </c>
      <c r="AWC79" s="120" t="s">
        <v>512</v>
      </c>
      <c r="AWD79" s="120"/>
      <c r="AWE79" s="440"/>
      <c r="AXA79" s="436" t="s">
        <v>513</v>
      </c>
      <c r="AXB79" s="120">
        <v>0</v>
      </c>
      <c r="AXC79" s="120" t="s">
        <v>512</v>
      </c>
      <c r="AXD79" s="120"/>
      <c r="AXE79" s="440"/>
      <c r="AYA79" s="436" t="s">
        <v>513</v>
      </c>
      <c r="AYB79" s="120">
        <v>0</v>
      </c>
      <c r="AYC79" s="120" t="s">
        <v>512</v>
      </c>
      <c r="AYD79" s="120"/>
      <c r="AYE79" s="440"/>
      <c r="AZA79" s="436" t="s">
        <v>513</v>
      </c>
      <c r="AZB79" s="120">
        <v>0</v>
      </c>
      <c r="AZC79" s="120" t="s">
        <v>512</v>
      </c>
      <c r="AZD79" s="120"/>
      <c r="AZE79" s="440"/>
      <c r="BAA79" s="436" t="s">
        <v>513</v>
      </c>
      <c r="BAB79" s="120">
        <v>0</v>
      </c>
      <c r="BAC79" s="120" t="s">
        <v>512</v>
      </c>
      <c r="BAD79" s="120"/>
      <c r="BAE79" s="440"/>
      <c r="BBA79" s="436" t="s">
        <v>513</v>
      </c>
      <c r="BBB79" s="120">
        <v>0</v>
      </c>
      <c r="BBC79" s="120" t="s">
        <v>512</v>
      </c>
      <c r="BBD79" s="120"/>
      <c r="BBE79" s="440"/>
      <c r="BCA79" s="436" t="s">
        <v>513</v>
      </c>
      <c r="BCB79" s="120">
        <v>0</v>
      </c>
      <c r="BCC79" s="120" t="s">
        <v>512</v>
      </c>
      <c r="BCD79" s="120"/>
      <c r="BCE79" s="440"/>
      <c r="BDA79" s="436" t="s">
        <v>513</v>
      </c>
      <c r="BDB79" s="120">
        <v>0</v>
      </c>
      <c r="BDC79" s="120" t="s">
        <v>512</v>
      </c>
      <c r="BDD79" s="120"/>
      <c r="BDE79" s="440"/>
      <c r="BEA79" s="436" t="s">
        <v>513</v>
      </c>
      <c r="BEB79" s="120">
        <v>0</v>
      </c>
      <c r="BEC79" s="120" t="s">
        <v>512</v>
      </c>
      <c r="BED79" s="120"/>
      <c r="BEE79" s="440"/>
      <c r="BFA79" s="436" t="s">
        <v>513</v>
      </c>
      <c r="BFB79" s="120">
        <v>0</v>
      </c>
      <c r="BFC79" s="120" t="s">
        <v>512</v>
      </c>
      <c r="BFD79" s="120"/>
      <c r="BFE79" s="440"/>
      <c r="BGA79" s="436" t="s">
        <v>513</v>
      </c>
      <c r="BGB79" s="120">
        <v>0</v>
      </c>
      <c r="BGC79" s="120" t="s">
        <v>512</v>
      </c>
      <c r="BGD79" s="120"/>
      <c r="BGE79" s="440"/>
      <c r="BHA79" s="436" t="s">
        <v>513</v>
      </c>
      <c r="BHB79" s="120">
        <v>0</v>
      </c>
      <c r="BHC79" s="120" t="s">
        <v>512</v>
      </c>
      <c r="BHD79" s="120"/>
      <c r="BHE79" s="440"/>
      <c r="BIA79" s="436" t="s">
        <v>513</v>
      </c>
      <c r="BIB79" s="120">
        <v>0</v>
      </c>
      <c r="BIC79" s="120" t="s">
        <v>512</v>
      </c>
      <c r="BID79" s="120"/>
      <c r="BIE79" s="440"/>
      <c r="BJA79" s="436" t="s">
        <v>513</v>
      </c>
      <c r="BJB79" s="120">
        <v>0</v>
      </c>
      <c r="BJC79" s="120" t="s">
        <v>512</v>
      </c>
      <c r="BJD79" s="120"/>
      <c r="BJE79" s="440"/>
      <c r="BKA79" s="436" t="s">
        <v>513</v>
      </c>
      <c r="BKB79" s="120">
        <v>0</v>
      </c>
      <c r="BKC79" s="120" t="s">
        <v>512</v>
      </c>
      <c r="BKD79" s="120"/>
      <c r="BKE79" s="440"/>
      <c r="BLA79" s="436" t="s">
        <v>513</v>
      </c>
      <c r="BLB79" s="120">
        <v>0</v>
      </c>
      <c r="BLC79" s="120" t="s">
        <v>512</v>
      </c>
      <c r="BLD79" s="120"/>
      <c r="BLE79" s="440"/>
      <c r="BMA79" s="436" t="s">
        <v>513</v>
      </c>
      <c r="BMB79" s="120">
        <v>0</v>
      </c>
      <c r="BMC79" s="120" t="s">
        <v>512</v>
      </c>
      <c r="BMD79" s="120"/>
      <c r="BME79" s="440"/>
      <c r="BNA79" s="436" t="s">
        <v>513</v>
      </c>
      <c r="BNB79" s="120">
        <v>0</v>
      </c>
      <c r="BNC79" s="120" t="s">
        <v>512</v>
      </c>
      <c r="BND79" s="120"/>
      <c r="BNE79" s="440"/>
      <c r="BOA79" s="436" t="s">
        <v>513</v>
      </c>
      <c r="BOB79" s="120">
        <v>0</v>
      </c>
      <c r="BOC79" s="120" t="s">
        <v>512</v>
      </c>
      <c r="BOD79" s="120"/>
      <c r="BOE79" s="440"/>
      <c r="BPA79" s="436" t="s">
        <v>513</v>
      </c>
      <c r="BPB79" s="120">
        <v>0</v>
      </c>
      <c r="BPC79" s="120" t="s">
        <v>512</v>
      </c>
      <c r="BPD79" s="120"/>
      <c r="BPE79" s="440"/>
      <c r="BQA79" s="436" t="s">
        <v>513</v>
      </c>
      <c r="BQB79" s="120">
        <v>0</v>
      </c>
      <c r="BQC79" s="120" t="s">
        <v>512</v>
      </c>
      <c r="BQD79" s="120"/>
      <c r="BQE79" s="440"/>
      <c r="BRA79" s="436" t="s">
        <v>513</v>
      </c>
      <c r="BRB79" s="120">
        <v>0</v>
      </c>
      <c r="BRC79" s="120" t="s">
        <v>512</v>
      </c>
      <c r="BRD79" s="120"/>
      <c r="BRE79" s="440"/>
    </row>
    <row r="80" spans="1:1019 1041:1825">
      <c r="AA80" s="456"/>
      <c r="AB80" s="457"/>
      <c r="AC80" s="457"/>
      <c r="AD80" s="457"/>
      <c r="AE80" s="458"/>
      <c r="BA80" s="456"/>
      <c r="BB80" s="457"/>
      <c r="BC80" s="457"/>
      <c r="BD80" s="457"/>
      <c r="BE80" s="458"/>
      <c r="CA80" s="456"/>
      <c r="CB80" s="457"/>
      <c r="CC80" s="457"/>
      <c r="CD80" s="457"/>
      <c r="CE80" s="458"/>
      <c r="DA80" s="456"/>
      <c r="DB80" s="457"/>
      <c r="DC80" s="457"/>
      <c r="DD80" s="457"/>
      <c r="DE80" s="458"/>
      <c r="EA80" s="456"/>
      <c r="EB80" s="457"/>
      <c r="EC80" s="457"/>
      <c r="ED80" s="457"/>
      <c r="EE80" s="458"/>
      <c r="FA80" s="456"/>
      <c r="FB80" s="457"/>
      <c r="FC80" s="457"/>
      <c r="FD80" s="457"/>
      <c r="FE80" s="458"/>
      <c r="GA80" s="456"/>
      <c r="GB80" s="457"/>
      <c r="GC80" s="457"/>
      <c r="GD80" s="457"/>
      <c r="GE80" s="458"/>
      <c r="HA80" s="456"/>
      <c r="HB80" s="457"/>
      <c r="HC80" s="457"/>
      <c r="HD80" s="457"/>
      <c r="HE80" s="458"/>
      <c r="IA80" s="456"/>
      <c r="IB80" s="457"/>
      <c r="IC80" s="457"/>
      <c r="ID80" s="457"/>
      <c r="IE80" s="458"/>
      <c r="JA80" s="456"/>
      <c r="JB80" s="457"/>
      <c r="JC80" s="457"/>
      <c r="JD80" s="457"/>
      <c r="JE80" s="458"/>
      <c r="KA80" s="456"/>
      <c r="KB80" s="457"/>
      <c r="KC80" s="457"/>
      <c r="KD80" s="457"/>
      <c r="KE80" s="458"/>
      <c r="LA80" s="456"/>
      <c r="LB80" s="457"/>
      <c r="LC80" s="457"/>
      <c r="LD80" s="457"/>
      <c r="LE80" s="458"/>
      <c r="MA80" s="456"/>
      <c r="MB80" s="457"/>
      <c r="MC80" s="457"/>
      <c r="MD80" s="457"/>
      <c r="ME80" s="458"/>
      <c r="NA80" s="456"/>
      <c r="NB80" s="457"/>
      <c r="NC80" s="457"/>
      <c r="ND80" s="457"/>
      <c r="NE80" s="458"/>
      <c r="OA80" s="456"/>
      <c r="OB80" s="457"/>
      <c r="OC80" s="457"/>
      <c r="OD80" s="457"/>
      <c r="OE80" s="458"/>
      <c r="PA80" s="456"/>
      <c r="PB80" s="457"/>
      <c r="PC80" s="457"/>
      <c r="PD80" s="457"/>
      <c r="PE80" s="458"/>
      <c r="QA80" s="456"/>
      <c r="QB80" s="457"/>
      <c r="QC80" s="457"/>
      <c r="QD80" s="457"/>
      <c r="QE80" s="458"/>
      <c r="RA80" s="456"/>
      <c r="RB80" s="457"/>
      <c r="RC80" s="457"/>
      <c r="RD80" s="457"/>
      <c r="RE80" s="458"/>
      <c r="SA80" s="456"/>
      <c r="SB80" s="457"/>
      <c r="SC80" s="457"/>
      <c r="SD80" s="457"/>
      <c r="SE80" s="458"/>
      <c r="TA80" s="456"/>
      <c r="TB80" s="457"/>
      <c r="TC80" s="457"/>
      <c r="TD80" s="457"/>
      <c r="TE80" s="458"/>
      <c r="UA80" s="456"/>
      <c r="UB80" s="457"/>
      <c r="UC80" s="457"/>
      <c r="UD80" s="457"/>
      <c r="UE80" s="458"/>
      <c r="VA80" s="456"/>
      <c r="VB80" s="457"/>
      <c r="VC80" s="457"/>
      <c r="VD80" s="457"/>
      <c r="VE80" s="458"/>
      <c r="WA80" s="456"/>
      <c r="WB80" s="457"/>
      <c r="WC80" s="457"/>
      <c r="WD80" s="457"/>
      <c r="WE80" s="458"/>
      <c r="XA80" s="456"/>
      <c r="XB80" s="457"/>
      <c r="XC80" s="457"/>
      <c r="XD80" s="457"/>
      <c r="XE80" s="458"/>
      <c r="YA80" s="456"/>
      <c r="YB80" s="457"/>
      <c r="YC80" s="457"/>
      <c r="YD80" s="457"/>
      <c r="YE80" s="458"/>
      <c r="ZA80" s="456"/>
      <c r="ZB80" s="457"/>
      <c r="ZC80" s="457"/>
      <c r="ZD80" s="457"/>
      <c r="ZE80" s="458"/>
      <c r="AAA80" s="456"/>
      <c r="AAB80" s="457"/>
      <c r="AAC80" s="457"/>
      <c r="AAD80" s="457"/>
      <c r="AAE80" s="458"/>
      <c r="ABA80" s="456"/>
      <c r="ABB80" s="457"/>
      <c r="ABC80" s="457"/>
      <c r="ABD80" s="457"/>
      <c r="ABE80" s="458"/>
      <c r="ACA80" s="456"/>
      <c r="ACB80" s="457"/>
      <c r="ACC80" s="457"/>
      <c r="ACD80" s="457"/>
      <c r="ACE80" s="458"/>
      <c r="ADA80" s="456"/>
      <c r="ADB80" s="457"/>
      <c r="ADC80" s="457"/>
      <c r="ADD80" s="457"/>
      <c r="ADE80" s="458"/>
      <c r="AEA80" s="456"/>
      <c r="AEB80" s="457"/>
      <c r="AEC80" s="457"/>
      <c r="AED80" s="457"/>
      <c r="AEE80" s="458"/>
      <c r="AFA80" s="456"/>
      <c r="AFB80" s="457"/>
      <c r="AFC80" s="457"/>
      <c r="AFD80" s="457"/>
      <c r="AFE80" s="458"/>
      <c r="AGA80" s="456"/>
      <c r="AGB80" s="457"/>
      <c r="AGC80" s="457"/>
      <c r="AGD80" s="457"/>
      <c r="AGE80" s="458"/>
      <c r="AHA80" s="456"/>
      <c r="AHB80" s="457"/>
      <c r="AHC80" s="457"/>
      <c r="AHD80" s="457"/>
      <c r="AHE80" s="458"/>
      <c r="AIA80" s="456"/>
      <c r="AIB80" s="457"/>
      <c r="AIC80" s="457"/>
      <c r="AID80" s="457"/>
      <c r="AIE80" s="458"/>
      <c r="AJA80" s="456"/>
      <c r="AJB80" s="457"/>
      <c r="AJC80" s="457"/>
      <c r="AJD80" s="457"/>
      <c r="AJE80" s="458"/>
      <c r="AKA80" s="456"/>
      <c r="AKB80" s="457"/>
      <c r="AKC80" s="457"/>
      <c r="AKD80" s="457"/>
      <c r="AKE80" s="458"/>
      <c r="ALA80" s="456"/>
      <c r="ALB80" s="457"/>
      <c r="ALC80" s="457"/>
      <c r="ALD80" s="457"/>
      <c r="ALE80" s="458"/>
      <c r="AMA80" s="456"/>
      <c r="AMB80" s="457"/>
      <c r="AMC80" s="457"/>
      <c r="AMD80" s="457"/>
      <c r="AME80" s="458"/>
      <c r="ANA80" s="456"/>
      <c r="ANB80" s="457"/>
      <c r="ANC80" s="457"/>
      <c r="AND80" s="457"/>
      <c r="ANE80" s="458"/>
      <c r="AOA80" s="456"/>
      <c r="AOB80" s="457"/>
      <c r="AOC80" s="457"/>
      <c r="AOD80" s="457"/>
      <c r="AOE80" s="458"/>
      <c r="APA80" s="456"/>
      <c r="APB80" s="457"/>
      <c r="APC80" s="457"/>
      <c r="APD80" s="457"/>
      <c r="APE80" s="458"/>
      <c r="AQA80" s="456"/>
      <c r="AQB80" s="457"/>
      <c r="AQC80" s="457"/>
      <c r="AQD80" s="457"/>
      <c r="AQE80" s="458"/>
      <c r="ARA80" s="456"/>
      <c r="ARB80" s="457"/>
      <c r="ARC80" s="457"/>
      <c r="ARD80" s="457"/>
      <c r="ARE80" s="458"/>
      <c r="ASA80" s="456"/>
      <c r="ASB80" s="457"/>
      <c r="ASC80" s="457"/>
      <c r="ASD80" s="457"/>
      <c r="ASE80" s="458"/>
      <c r="ATA80" s="456"/>
      <c r="ATB80" s="457"/>
      <c r="ATC80" s="457"/>
      <c r="ATD80" s="457"/>
      <c r="ATE80" s="458"/>
      <c r="AUA80" s="456"/>
      <c r="AUB80" s="457"/>
      <c r="AUC80" s="457"/>
      <c r="AUD80" s="457"/>
      <c r="AUE80" s="458"/>
      <c r="AVA80" s="456"/>
      <c r="AVB80" s="457"/>
      <c r="AVC80" s="457"/>
      <c r="AVD80" s="457"/>
      <c r="AVE80" s="458"/>
      <c r="AWA80" s="456"/>
      <c r="AWB80" s="457"/>
      <c r="AWC80" s="457"/>
      <c r="AWD80" s="457"/>
      <c r="AWE80" s="458"/>
      <c r="AXA80" s="456"/>
      <c r="AXB80" s="457"/>
      <c r="AXC80" s="457"/>
      <c r="AXD80" s="457"/>
      <c r="AXE80" s="458"/>
      <c r="AYA80" s="456"/>
      <c r="AYB80" s="457"/>
      <c r="AYC80" s="457"/>
      <c r="AYD80" s="457"/>
      <c r="AYE80" s="458"/>
      <c r="AZA80" s="456"/>
      <c r="AZB80" s="457"/>
      <c r="AZC80" s="457"/>
      <c r="AZD80" s="457"/>
      <c r="AZE80" s="458"/>
      <c r="BAA80" s="456"/>
      <c r="BAB80" s="457"/>
      <c r="BAC80" s="457"/>
      <c r="BAD80" s="457"/>
      <c r="BAE80" s="458"/>
      <c r="BBA80" s="456"/>
      <c r="BBB80" s="457"/>
      <c r="BBC80" s="457"/>
      <c r="BBD80" s="457"/>
      <c r="BBE80" s="458"/>
      <c r="BCA80" s="456"/>
      <c r="BCB80" s="457"/>
      <c r="BCC80" s="457"/>
      <c r="BCD80" s="457"/>
      <c r="BCE80" s="458"/>
      <c r="BDA80" s="456"/>
      <c r="BDB80" s="457"/>
      <c r="BDC80" s="457"/>
      <c r="BDD80" s="457"/>
      <c r="BDE80" s="458"/>
      <c r="BEA80" s="456"/>
      <c r="BEB80" s="457"/>
      <c r="BEC80" s="457"/>
      <c r="BED80" s="457"/>
      <c r="BEE80" s="458"/>
      <c r="BFA80" s="456"/>
      <c r="BFB80" s="457"/>
      <c r="BFC80" s="457"/>
      <c r="BFD80" s="457"/>
      <c r="BFE80" s="458"/>
      <c r="BGA80" s="456"/>
      <c r="BGB80" s="457"/>
      <c r="BGC80" s="457"/>
      <c r="BGD80" s="457"/>
      <c r="BGE80" s="458"/>
      <c r="BHA80" s="456"/>
      <c r="BHB80" s="457"/>
      <c r="BHC80" s="457"/>
      <c r="BHD80" s="457"/>
      <c r="BHE80" s="458"/>
      <c r="BIA80" s="456"/>
      <c r="BIB80" s="457"/>
      <c r="BIC80" s="457"/>
      <c r="BID80" s="457"/>
      <c r="BIE80" s="458"/>
      <c r="BJA80" s="456"/>
      <c r="BJB80" s="457"/>
      <c r="BJC80" s="457"/>
      <c r="BJD80" s="457"/>
      <c r="BJE80" s="458"/>
      <c r="BKA80" s="456"/>
      <c r="BKB80" s="457"/>
      <c r="BKC80" s="457"/>
      <c r="BKD80" s="457"/>
      <c r="BKE80" s="458"/>
      <c r="BLA80" s="456"/>
      <c r="BLB80" s="457"/>
      <c r="BLC80" s="457"/>
      <c r="BLD80" s="457"/>
      <c r="BLE80" s="458"/>
      <c r="BMA80" s="456"/>
      <c r="BMB80" s="457"/>
      <c r="BMC80" s="457"/>
      <c r="BMD80" s="457"/>
      <c r="BME80" s="458"/>
      <c r="BNA80" s="456"/>
      <c r="BNB80" s="457"/>
      <c r="BNC80" s="457"/>
      <c r="BND80" s="457"/>
      <c r="BNE80" s="458"/>
      <c r="BOA80" s="456"/>
      <c r="BOB80" s="457"/>
      <c r="BOC80" s="457"/>
      <c r="BOD80" s="457"/>
      <c r="BOE80" s="458"/>
      <c r="BPA80" s="456"/>
      <c r="BPB80" s="457"/>
      <c r="BPC80" s="457"/>
      <c r="BPD80" s="457"/>
      <c r="BPE80" s="458"/>
      <c r="BQA80" s="456"/>
      <c r="BQB80" s="457"/>
      <c r="BQC80" s="457"/>
      <c r="BQD80" s="457"/>
      <c r="BQE80" s="458"/>
      <c r="BRA80" s="456"/>
      <c r="BRB80" s="457"/>
      <c r="BRC80" s="457"/>
      <c r="BRD80" s="457"/>
      <c r="BRE80" s="458"/>
    </row>
    <row r="81" spans="27:1019 1041:1825">
      <c r="AA81" s="449" t="s">
        <v>461</v>
      </c>
      <c r="AB81" s="120"/>
      <c r="AC81" s="120"/>
      <c r="AD81" s="120"/>
      <c r="AE81" s="440"/>
      <c r="BA81" s="449" t="s">
        <v>461</v>
      </c>
      <c r="BB81" s="120"/>
      <c r="BC81" s="120"/>
      <c r="BD81" s="120"/>
      <c r="BE81" s="440"/>
      <c r="CA81" s="449" t="s">
        <v>461</v>
      </c>
      <c r="CB81" s="120"/>
      <c r="CC81" s="120"/>
      <c r="CD81" s="120"/>
      <c r="CE81" s="440"/>
      <c r="DA81" s="449" t="s">
        <v>461</v>
      </c>
      <c r="DB81" s="120"/>
      <c r="DC81" s="120"/>
      <c r="DD81" s="120"/>
      <c r="DE81" s="440"/>
      <c r="EA81" s="449" t="s">
        <v>461</v>
      </c>
      <c r="EB81" s="120"/>
      <c r="EC81" s="120"/>
      <c r="ED81" s="120"/>
      <c r="EE81" s="440"/>
      <c r="FA81" s="449" t="s">
        <v>461</v>
      </c>
      <c r="FB81" s="120"/>
      <c r="FC81" s="120"/>
      <c r="FD81" s="120"/>
      <c r="FE81" s="440"/>
      <c r="GA81" s="449" t="s">
        <v>461</v>
      </c>
      <c r="GB81" s="120"/>
      <c r="GC81" s="120"/>
      <c r="GD81" s="120"/>
      <c r="GE81" s="440"/>
      <c r="HA81" s="449" t="s">
        <v>461</v>
      </c>
      <c r="HB81" s="120"/>
      <c r="HC81" s="120"/>
      <c r="HD81" s="120"/>
      <c r="HE81" s="440"/>
      <c r="IA81" s="449" t="s">
        <v>461</v>
      </c>
      <c r="IB81" s="120"/>
      <c r="IC81" s="120"/>
      <c r="ID81" s="120"/>
      <c r="IE81" s="440"/>
      <c r="JA81" s="449" t="s">
        <v>461</v>
      </c>
      <c r="JB81" s="120"/>
      <c r="JC81" s="120"/>
      <c r="JD81" s="120"/>
      <c r="JE81" s="440"/>
      <c r="KA81" s="449" t="s">
        <v>461</v>
      </c>
      <c r="KB81" s="120"/>
      <c r="KC81" s="120"/>
      <c r="KD81" s="120"/>
      <c r="KE81" s="440"/>
      <c r="LA81" s="449" t="s">
        <v>461</v>
      </c>
      <c r="LB81" s="120"/>
      <c r="LC81" s="120"/>
      <c r="LD81" s="120"/>
      <c r="LE81" s="440"/>
      <c r="MA81" s="449" t="s">
        <v>461</v>
      </c>
      <c r="MB81" s="120"/>
      <c r="MC81" s="120"/>
      <c r="MD81" s="120"/>
      <c r="ME81" s="440"/>
      <c r="NA81" s="449" t="s">
        <v>461</v>
      </c>
      <c r="NB81" s="120"/>
      <c r="NC81" s="120"/>
      <c r="ND81" s="120"/>
      <c r="NE81" s="440"/>
      <c r="OA81" s="449" t="s">
        <v>461</v>
      </c>
      <c r="OB81" s="120"/>
      <c r="OC81" s="120"/>
      <c r="OD81" s="120"/>
      <c r="OE81" s="440"/>
      <c r="PA81" s="449" t="s">
        <v>461</v>
      </c>
      <c r="PB81" s="120"/>
      <c r="PC81" s="120"/>
      <c r="PD81" s="120"/>
      <c r="PE81" s="440"/>
      <c r="QA81" s="449" t="s">
        <v>461</v>
      </c>
      <c r="QB81" s="120"/>
      <c r="QC81" s="120"/>
      <c r="QD81" s="120"/>
      <c r="QE81" s="440"/>
      <c r="RA81" s="449" t="s">
        <v>461</v>
      </c>
      <c r="RB81" s="120"/>
      <c r="RC81" s="120"/>
      <c r="RD81" s="120"/>
      <c r="RE81" s="440"/>
      <c r="SA81" s="449" t="s">
        <v>461</v>
      </c>
      <c r="SB81" s="120"/>
      <c r="SC81" s="120"/>
      <c r="SD81" s="120"/>
      <c r="SE81" s="440"/>
      <c r="TA81" s="449" t="s">
        <v>461</v>
      </c>
      <c r="TB81" s="120"/>
      <c r="TC81" s="120"/>
      <c r="TD81" s="120"/>
      <c r="TE81" s="440"/>
      <c r="UA81" s="449" t="s">
        <v>461</v>
      </c>
      <c r="UB81" s="120"/>
      <c r="UC81" s="120"/>
      <c r="UD81" s="120"/>
      <c r="UE81" s="440"/>
      <c r="VA81" s="449" t="s">
        <v>461</v>
      </c>
      <c r="VB81" s="120"/>
      <c r="VC81" s="120"/>
      <c r="VD81" s="120"/>
      <c r="VE81" s="440"/>
      <c r="WA81" s="449" t="s">
        <v>461</v>
      </c>
      <c r="WB81" s="120"/>
      <c r="WC81" s="120"/>
      <c r="WD81" s="120"/>
      <c r="WE81" s="440"/>
      <c r="XA81" s="449" t="s">
        <v>461</v>
      </c>
      <c r="XB81" s="120"/>
      <c r="XC81" s="120"/>
      <c r="XD81" s="120"/>
      <c r="XE81" s="440"/>
      <c r="YA81" s="449" t="s">
        <v>461</v>
      </c>
      <c r="YB81" s="120"/>
      <c r="YC81" s="120"/>
      <c r="YD81" s="120"/>
      <c r="YE81" s="440"/>
      <c r="ZA81" s="449" t="s">
        <v>461</v>
      </c>
      <c r="ZB81" s="120"/>
      <c r="ZC81" s="120"/>
      <c r="ZD81" s="120"/>
      <c r="ZE81" s="440"/>
      <c r="AAA81" s="449" t="s">
        <v>461</v>
      </c>
      <c r="AAB81" s="120"/>
      <c r="AAC81" s="120"/>
      <c r="AAD81" s="120"/>
      <c r="AAE81" s="440"/>
      <c r="ABA81" s="449" t="s">
        <v>461</v>
      </c>
      <c r="ABB81" s="120"/>
      <c r="ABC81" s="120"/>
      <c r="ABD81" s="120"/>
      <c r="ABE81" s="440"/>
      <c r="ACA81" s="449" t="s">
        <v>461</v>
      </c>
      <c r="ACB81" s="120"/>
      <c r="ACC81" s="120"/>
      <c r="ACD81" s="120"/>
      <c r="ACE81" s="440"/>
      <c r="ADA81" s="449" t="s">
        <v>461</v>
      </c>
      <c r="ADB81" s="120"/>
      <c r="ADC81" s="120"/>
      <c r="ADD81" s="120"/>
      <c r="ADE81" s="440"/>
      <c r="AEA81" s="449" t="s">
        <v>461</v>
      </c>
      <c r="AEB81" s="120"/>
      <c r="AEC81" s="120"/>
      <c r="AED81" s="120"/>
      <c r="AEE81" s="440"/>
      <c r="AFA81" s="449" t="s">
        <v>461</v>
      </c>
      <c r="AFB81" s="120"/>
      <c r="AFC81" s="120"/>
      <c r="AFD81" s="120"/>
      <c r="AFE81" s="440"/>
      <c r="AGA81" s="449" t="s">
        <v>461</v>
      </c>
      <c r="AGB81" s="120"/>
      <c r="AGC81" s="120"/>
      <c r="AGD81" s="120"/>
      <c r="AGE81" s="440"/>
      <c r="AHA81" s="449" t="s">
        <v>461</v>
      </c>
      <c r="AHB81" s="120"/>
      <c r="AHC81" s="120"/>
      <c r="AHD81" s="120"/>
      <c r="AHE81" s="440"/>
      <c r="AIA81" s="449" t="s">
        <v>461</v>
      </c>
      <c r="AIB81" s="120"/>
      <c r="AIC81" s="120"/>
      <c r="AID81" s="120"/>
      <c r="AIE81" s="440"/>
      <c r="AJA81" s="449" t="s">
        <v>461</v>
      </c>
      <c r="AJB81" s="120"/>
      <c r="AJC81" s="120"/>
      <c r="AJD81" s="120"/>
      <c r="AJE81" s="440"/>
      <c r="AKA81" s="449" t="s">
        <v>461</v>
      </c>
      <c r="AKB81" s="120"/>
      <c r="AKC81" s="120"/>
      <c r="AKD81" s="120"/>
      <c r="AKE81" s="440"/>
      <c r="ALA81" s="449" t="s">
        <v>461</v>
      </c>
      <c r="ALB81" s="120"/>
      <c r="ALC81" s="120"/>
      <c r="ALD81" s="120"/>
      <c r="ALE81" s="440"/>
      <c r="AMA81" s="449" t="s">
        <v>461</v>
      </c>
      <c r="AMB81" s="120"/>
      <c r="AMC81" s="120"/>
      <c r="AMD81" s="120"/>
      <c r="AME81" s="440"/>
      <c r="ANA81" s="449" t="s">
        <v>461</v>
      </c>
      <c r="ANB81" s="120"/>
      <c r="ANC81" s="120"/>
      <c r="AND81" s="120"/>
      <c r="ANE81" s="440"/>
      <c r="AOA81" s="449" t="s">
        <v>461</v>
      </c>
      <c r="AOB81" s="120"/>
      <c r="AOC81" s="120"/>
      <c r="AOD81" s="120"/>
      <c r="AOE81" s="440"/>
      <c r="APA81" s="449" t="s">
        <v>461</v>
      </c>
      <c r="APB81" s="120"/>
      <c r="APC81" s="120"/>
      <c r="APD81" s="120"/>
      <c r="APE81" s="440"/>
      <c r="AQA81" s="449" t="s">
        <v>461</v>
      </c>
      <c r="AQB81" s="120"/>
      <c r="AQC81" s="120"/>
      <c r="AQD81" s="120"/>
      <c r="AQE81" s="440"/>
      <c r="ARA81" s="449" t="s">
        <v>461</v>
      </c>
      <c r="ARB81" s="120"/>
      <c r="ARC81" s="120"/>
      <c r="ARD81" s="120"/>
      <c r="ARE81" s="440"/>
      <c r="ASA81" s="449" t="s">
        <v>461</v>
      </c>
      <c r="ASB81" s="120"/>
      <c r="ASC81" s="120"/>
      <c r="ASD81" s="120"/>
      <c r="ASE81" s="440"/>
      <c r="ATA81" s="449" t="s">
        <v>461</v>
      </c>
      <c r="ATB81" s="120"/>
      <c r="ATC81" s="120"/>
      <c r="ATD81" s="120"/>
      <c r="ATE81" s="440"/>
      <c r="AUA81" s="449" t="s">
        <v>461</v>
      </c>
      <c r="AUB81" s="120"/>
      <c r="AUC81" s="120"/>
      <c r="AUD81" s="120"/>
      <c r="AUE81" s="440"/>
      <c r="AVA81" s="449" t="s">
        <v>461</v>
      </c>
      <c r="AVB81" s="120"/>
      <c r="AVC81" s="120"/>
      <c r="AVD81" s="120"/>
      <c r="AVE81" s="440"/>
      <c r="AWA81" s="449" t="s">
        <v>461</v>
      </c>
      <c r="AWB81" s="120"/>
      <c r="AWC81" s="120"/>
      <c r="AWD81" s="120"/>
      <c r="AWE81" s="440"/>
      <c r="AXA81" s="449" t="s">
        <v>461</v>
      </c>
      <c r="AXB81" s="120"/>
      <c r="AXC81" s="120"/>
      <c r="AXD81" s="120"/>
      <c r="AXE81" s="440"/>
      <c r="AYA81" s="449" t="s">
        <v>461</v>
      </c>
      <c r="AYB81" s="120"/>
      <c r="AYC81" s="120"/>
      <c r="AYD81" s="120"/>
      <c r="AYE81" s="440"/>
      <c r="AZA81" s="449" t="s">
        <v>461</v>
      </c>
      <c r="AZB81" s="120"/>
      <c r="AZC81" s="120"/>
      <c r="AZD81" s="120"/>
      <c r="AZE81" s="440"/>
      <c r="BAA81" s="449" t="s">
        <v>461</v>
      </c>
      <c r="BAB81" s="120"/>
      <c r="BAC81" s="120"/>
      <c r="BAD81" s="120"/>
      <c r="BAE81" s="440"/>
      <c r="BBA81" s="449" t="s">
        <v>461</v>
      </c>
      <c r="BBB81" s="120"/>
      <c r="BBC81" s="120"/>
      <c r="BBD81" s="120"/>
      <c r="BBE81" s="440"/>
      <c r="BCA81" s="449" t="s">
        <v>461</v>
      </c>
      <c r="BCB81" s="120"/>
      <c r="BCC81" s="120"/>
      <c r="BCD81" s="120"/>
      <c r="BCE81" s="440"/>
      <c r="BDA81" s="449" t="s">
        <v>461</v>
      </c>
      <c r="BDB81" s="120"/>
      <c r="BDC81" s="120"/>
      <c r="BDD81" s="120"/>
      <c r="BDE81" s="440"/>
      <c r="BEA81" s="449" t="s">
        <v>461</v>
      </c>
      <c r="BEB81" s="120"/>
      <c r="BEC81" s="120"/>
      <c r="BED81" s="120"/>
      <c r="BEE81" s="440"/>
      <c r="BFA81" s="449" t="s">
        <v>461</v>
      </c>
      <c r="BFB81" s="120"/>
      <c r="BFC81" s="120"/>
      <c r="BFD81" s="120"/>
      <c r="BFE81" s="440"/>
      <c r="BGA81" s="449" t="s">
        <v>461</v>
      </c>
      <c r="BGB81" s="120"/>
      <c r="BGC81" s="120"/>
      <c r="BGD81" s="120"/>
      <c r="BGE81" s="440"/>
      <c r="BHA81" s="449" t="s">
        <v>461</v>
      </c>
      <c r="BHB81" s="120"/>
      <c r="BHC81" s="120"/>
      <c r="BHD81" s="120"/>
      <c r="BHE81" s="440"/>
      <c r="BIA81" s="449" t="s">
        <v>461</v>
      </c>
      <c r="BIB81" s="120"/>
      <c r="BIC81" s="120"/>
      <c r="BID81" s="120"/>
      <c r="BIE81" s="440"/>
      <c r="BJA81" s="449" t="s">
        <v>461</v>
      </c>
      <c r="BJB81" s="120"/>
      <c r="BJC81" s="120"/>
      <c r="BJD81" s="120"/>
      <c r="BJE81" s="440"/>
      <c r="BKA81" s="449" t="s">
        <v>461</v>
      </c>
      <c r="BKB81" s="120"/>
      <c r="BKC81" s="120"/>
      <c r="BKD81" s="120"/>
      <c r="BKE81" s="440"/>
      <c r="BLA81" s="449" t="s">
        <v>461</v>
      </c>
      <c r="BLB81" s="120"/>
      <c r="BLC81" s="120"/>
      <c r="BLD81" s="120"/>
      <c r="BLE81" s="440"/>
      <c r="BMA81" s="449" t="s">
        <v>461</v>
      </c>
      <c r="BMB81" s="120"/>
      <c r="BMC81" s="120"/>
      <c r="BMD81" s="120"/>
      <c r="BME81" s="440"/>
      <c r="BNA81" s="449" t="s">
        <v>461</v>
      </c>
      <c r="BNB81" s="120"/>
      <c r="BNC81" s="120"/>
      <c r="BND81" s="120"/>
      <c r="BNE81" s="440"/>
      <c r="BOA81" s="449" t="s">
        <v>461</v>
      </c>
      <c r="BOB81" s="120"/>
      <c r="BOC81" s="120"/>
      <c r="BOD81" s="120"/>
      <c r="BOE81" s="440"/>
      <c r="BPA81" s="449" t="s">
        <v>461</v>
      </c>
      <c r="BPB81" s="120"/>
      <c r="BPC81" s="120"/>
      <c r="BPD81" s="120"/>
      <c r="BPE81" s="440"/>
      <c r="BQA81" s="449" t="s">
        <v>461</v>
      </c>
      <c r="BQB81" s="120"/>
      <c r="BQC81" s="120"/>
      <c r="BQD81" s="120"/>
      <c r="BQE81" s="440"/>
      <c r="BRA81" s="449" t="s">
        <v>461</v>
      </c>
      <c r="BRB81" s="120"/>
      <c r="BRC81" s="120"/>
      <c r="BRD81" s="120"/>
      <c r="BRE81" s="440"/>
    </row>
    <row r="82" spans="27:1019 1041:1825">
      <c r="AA82" s="436" t="s">
        <v>514</v>
      </c>
      <c r="AB82" s="120">
        <v>0</v>
      </c>
      <c r="AC82" s="120" t="s">
        <v>515</v>
      </c>
      <c r="AD82" s="120"/>
      <c r="AE82" s="440"/>
      <c r="BA82" s="436" t="s">
        <v>514</v>
      </c>
      <c r="BB82" s="120">
        <v>0</v>
      </c>
      <c r="BC82" s="120" t="s">
        <v>515</v>
      </c>
      <c r="BD82" s="120"/>
      <c r="BE82" s="440"/>
      <c r="CA82" s="436" t="s">
        <v>514</v>
      </c>
      <c r="CB82" s="120">
        <v>0</v>
      </c>
      <c r="CC82" s="120" t="s">
        <v>515</v>
      </c>
      <c r="CD82" s="120"/>
      <c r="CE82" s="440"/>
      <c r="DA82" s="436" t="s">
        <v>514</v>
      </c>
      <c r="DB82" s="120">
        <v>0</v>
      </c>
      <c r="DC82" s="120" t="s">
        <v>515</v>
      </c>
      <c r="DD82" s="120"/>
      <c r="DE82" s="440"/>
      <c r="EA82" s="436" t="s">
        <v>514</v>
      </c>
      <c r="EB82" s="120">
        <v>0</v>
      </c>
      <c r="EC82" s="120" t="s">
        <v>515</v>
      </c>
      <c r="ED82" s="120"/>
      <c r="EE82" s="440"/>
      <c r="FA82" s="436" t="s">
        <v>514</v>
      </c>
      <c r="FB82" s="120">
        <v>0</v>
      </c>
      <c r="FC82" s="120" t="s">
        <v>515</v>
      </c>
      <c r="FD82" s="120"/>
      <c r="FE82" s="440"/>
      <c r="GA82" s="436" t="s">
        <v>514</v>
      </c>
      <c r="GB82" s="120">
        <v>0</v>
      </c>
      <c r="GC82" s="120" t="s">
        <v>515</v>
      </c>
      <c r="GD82" s="120"/>
      <c r="GE82" s="440"/>
      <c r="HA82" s="436" t="s">
        <v>514</v>
      </c>
      <c r="HB82" s="120">
        <v>0</v>
      </c>
      <c r="HC82" s="120" t="s">
        <v>515</v>
      </c>
      <c r="HD82" s="120"/>
      <c r="HE82" s="440"/>
      <c r="IA82" s="436" t="s">
        <v>514</v>
      </c>
      <c r="IB82" s="120">
        <v>0</v>
      </c>
      <c r="IC82" s="120" t="s">
        <v>515</v>
      </c>
      <c r="ID82" s="120"/>
      <c r="IE82" s="440"/>
      <c r="JA82" s="436" t="s">
        <v>514</v>
      </c>
      <c r="JB82" s="120">
        <v>0</v>
      </c>
      <c r="JC82" s="120" t="s">
        <v>515</v>
      </c>
      <c r="JD82" s="120"/>
      <c r="JE82" s="440"/>
      <c r="KA82" s="436" t="s">
        <v>514</v>
      </c>
      <c r="KB82" s="120">
        <v>0</v>
      </c>
      <c r="KC82" s="120" t="s">
        <v>515</v>
      </c>
      <c r="KD82" s="120"/>
      <c r="KE82" s="440"/>
      <c r="LA82" s="436" t="s">
        <v>514</v>
      </c>
      <c r="LB82" s="120">
        <v>0</v>
      </c>
      <c r="LC82" s="120" t="s">
        <v>515</v>
      </c>
      <c r="LD82" s="120"/>
      <c r="LE82" s="440"/>
      <c r="MA82" s="436" t="s">
        <v>514</v>
      </c>
      <c r="MB82" s="120">
        <v>0</v>
      </c>
      <c r="MC82" s="120" t="s">
        <v>515</v>
      </c>
      <c r="MD82" s="120"/>
      <c r="ME82" s="440"/>
      <c r="NA82" s="436" t="s">
        <v>514</v>
      </c>
      <c r="NB82" s="120">
        <v>0</v>
      </c>
      <c r="NC82" s="120" t="s">
        <v>515</v>
      </c>
      <c r="ND82" s="120"/>
      <c r="NE82" s="440"/>
      <c r="OA82" s="436" t="s">
        <v>514</v>
      </c>
      <c r="OB82" s="120">
        <v>0</v>
      </c>
      <c r="OC82" s="120" t="s">
        <v>515</v>
      </c>
      <c r="OD82" s="120"/>
      <c r="OE82" s="440"/>
      <c r="PA82" s="436" t="s">
        <v>514</v>
      </c>
      <c r="PB82" s="120">
        <v>0</v>
      </c>
      <c r="PC82" s="120" t="s">
        <v>515</v>
      </c>
      <c r="PD82" s="120"/>
      <c r="PE82" s="440"/>
      <c r="QA82" s="436" t="s">
        <v>514</v>
      </c>
      <c r="QB82" s="120">
        <v>0</v>
      </c>
      <c r="QC82" s="120" t="s">
        <v>515</v>
      </c>
      <c r="QD82" s="120"/>
      <c r="QE82" s="440"/>
      <c r="RA82" s="436" t="s">
        <v>514</v>
      </c>
      <c r="RB82" s="120">
        <v>0</v>
      </c>
      <c r="RC82" s="120" t="s">
        <v>515</v>
      </c>
      <c r="RD82" s="120"/>
      <c r="RE82" s="440"/>
      <c r="SA82" s="436" t="s">
        <v>514</v>
      </c>
      <c r="SB82" s="120">
        <v>0</v>
      </c>
      <c r="SC82" s="120" t="s">
        <v>515</v>
      </c>
      <c r="SD82" s="120"/>
      <c r="SE82" s="440"/>
      <c r="TA82" s="436" t="s">
        <v>514</v>
      </c>
      <c r="TB82" s="120">
        <v>0</v>
      </c>
      <c r="TC82" s="120" t="s">
        <v>515</v>
      </c>
      <c r="TD82" s="120"/>
      <c r="TE82" s="440"/>
      <c r="UA82" s="436" t="s">
        <v>514</v>
      </c>
      <c r="UB82" s="120">
        <v>0</v>
      </c>
      <c r="UC82" s="120" t="s">
        <v>515</v>
      </c>
      <c r="UD82" s="120"/>
      <c r="UE82" s="440"/>
      <c r="VA82" s="436" t="s">
        <v>514</v>
      </c>
      <c r="VB82" s="120">
        <v>0</v>
      </c>
      <c r="VC82" s="120" t="s">
        <v>515</v>
      </c>
      <c r="VD82" s="120"/>
      <c r="VE82" s="440"/>
      <c r="WA82" s="436" t="s">
        <v>514</v>
      </c>
      <c r="WB82" s="120">
        <v>0</v>
      </c>
      <c r="WC82" s="120" t="s">
        <v>515</v>
      </c>
      <c r="WD82" s="120"/>
      <c r="WE82" s="440"/>
      <c r="XA82" s="436" t="s">
        <v>514</v>
      </c>
      <c r="XB82" s="120">
        <v>0</v>
      </c>
      <c r="XC82" s="120" t="s">
        <v>515</v>
      </c>
      <c r="XD82" s="120"/>
      <c r="XE82" s="440"/>
      <c r="YA82" s="436" t="s">
        <v>514</v>
      </c>
      <c r="YB82" s="120">
        <v>0</v>
      </c>
      <c r="YC82" s="120" t="s">
        <v>515</v>
      </c>
      <c r="YD82" s="120"/>
      <c r="YE82" s="440"/>
      <c r="ZA82" s="436" t="s">
        <v>514</v>
      </c>
      <c r="ZB82" s="120">
        <v>0</v>
      </c>
      <c r="ZC82" s="120" t="s">
        <v>515</v>
      </c>
      <c r="ZD82" s="120"/>
      <c r="ZE82" s="440"/>
      <c r="AAA82" s="436" t="s">
        <v>514</v>
      </c>
      <c r="AAB82" s="120">
        <v>0</v>
      </c>
      <c r="AAC82" s="120" t="s">
        <v>515</v>
      </c>
      <c r="AAD82" s="120"/>
      <c r="AAE82" s="440"/>
      <c r="ABA82" s="436" t="s">
        <v>514</v>
      </c>
      <c r="ABB82" s="120">
        <v>0</v>
      </c>
      <c r="ABC82" s="120" t="s">
        <v>515</v>
      </c>
      <c r="ABD82" s="120"/>
      <c r="ABE82" s="440"/>
      <c r="ACA82" s="436" t="s">
        <v>514</v>
      </c>
      <c r="ACB82" s="120">
        <v>0</v>
      </c>
      <c r="ACC82" s="120" t="s">
        <v>515</v>
      </c>
      <c r="ACD82" s="120"/>
      <c r="ACE82" s="440"/>
      <c r="ADA82" s="436" t="s">
        <v>514</v>
      </c>
      <c r="ADB82" s="120">
        <v>0</v>
      </c>
      <c r="ADC82" s="120" t="s">
        <v>515</v>
      </c>
      <c r="ADD82" s="120"/>
      <c r="ADE82" s="440"/>
      <c r="AEA82" s="436" t="s">
        <v>514</v>
      </c>
      <c r="AEB82" s="120">
        <v>0</v>
      </c>
      <c r="AEC82" s="120" t="s">
        <v>515</v>
      </c>
      <c r="AED82" s="120"/>
      <c r="AEE82" s="440"/>
      <c r="AFA82" s="436" t="s">
        <v>514</v>
      </c>
      <c r="AFB82" s="120">
        <v>0</v>
      </c>
      <c r="AFC82" s="120" t="s">
        <v>515</v>
      </c>
      <c r="AFD82" s="120"/>
      <c r="AFE82" s="440"/>
      <c r="AGA82" s="436" t="s">
        <v>514</v>
      </c>
      <c r="AGB82" s="120">
        <v>0</v>
      </c>
      <c r="AGC82" s="120" t="s">
        <v>515</v>
      </c>
      <c r="AGD82" s="120"/>
      <c r="AGE82" s="440"/>
      <c r="AHA82" s="436" t="s">
        <v>514</v>
      </c>
      <c r="AHB82" s="120">
        <v>0</v>
      </c>
      <c r="AHC82" s="120" t="s">
        <v>515</v>
      </c>
      <c r="AHD82" s="120"/>
      <c r="AHE82" s="440"/>
      <c r="AIA82" s="436" t="s">
        <v>514</v>
      </c>
      <c r="AIB82" s="120">
        <v>0</v>
      </c>
      <c r="AIC82" s="120" t="s">
        <v>515</v>
      </c>
      <c r="AID82" s="120"/>
      <c r="AIE82" s="440"/>
      <c r="AJA82" s="436" t="s">
        <v>514</v>
      </c>
      <c r="AJB82" s="120">
        <v>0</v>
      </c>
      <c r="AJC82" s="120" t="s">
        <v>515</v>
      </c>
      <c r="AJD82" s="120"/>
      <c r="AJE82" s="440"/>
      <c r="AKA82" s="436" t="s">
        <v>514</v>
      </c>
      <c r="AKB82" s="120">
        <v>0</v>
      </c>
      <c r="AKC82" s="120" t="s">
        <v>515</v>
      </c>
      <c r="AKD82" s="120"/>
      <c r="AKE82" s="440"/>
      <c r="ALA82" s="436" t="s">
        <v>514</v>
      </c>
      <c r="ALB82" s="120">
        <v>0</v>
      </c>
      <c r="ALC82" s="120" t="s">
        <v>515</v>
      </c>
      <c r="ALD82" s="120"/>
      <c r="ALE82" s="440"/>
      <c r="AMA82" s="436" t="s">
        <v>514</v>
      </c>
      <c r="AMB82" s="120">
        <v>0</v>
      </c>
      <c r="AMC82" s="120" t="s">
        <v>515</v>
      </c>
      <c r="AMD82" s="120"/>
      <c r="AME82" s="440"/>
      <c r="ANA82" s="436" t="s">
        <v>514</v>
      </c>
      <c r="ANB82" s="120">
        <v>0</v>
      </c>
      <c r="ANC82" s="120" t="s">
        <v>515</v>
      </c>
      <c r="AND82" s="120"/>
      <c r="ANE82" s="440"/>
      <c r="AOA82" s="436" t="s">
        <v>514</v>
      </c>
      <c r="AOB82" s="120">
        <v>0</v>
      </c>
      <c r="AOC82" s="120" t="s">
        <v>515</v>
      </c>
      <c r="AOD82" s="120"/>
      <c r="AOE82" s="440"/>
      <c r="APA82" s="436" t="s">
        <v>514</v>
      </c>
      <c r="APB82" s="120">
        <v>0</v>
      </c>
      <c r="APC82" s="120" t="s">
        <v>515</v>
      </c>
      <c r="APD82" s="120"/>
      <c r="APE82" s="440"/>
      <c r="AQA82" s="436" t="s">
        <v>514</v>
      </c>
      <c r="AQB82" s="120">
        <v>0</v>
      </c>
      <c r="AQC82" s="120" t="s">
        <v>515</v>
      </c>
      <c r="AQD82" s="120"/>
      <c r="AQE82" s="440"/>
      <c r="ARA82" s="436" t="s">
        <v>514</v>
      </c>
      <c r="ARB82" s="120">
        <v>0</v>
      </c>
      <c r="ARC82" s="120" t="s">
        <v>515</v>
      </c>
      <c r="ARD82" s="120"/>
      <c r="ARE82" s="440"/>
      <c r="ASA82" s="436" t="s">
        <v>514</v>
      </c>
      <c r="ASB82" s="120">
        <v>0</v>
      </c>
      <c r="ASC82" s="120" t="s">
        <v>515</v>
      </c>
      <c r="ASD82" s="120"/>
      <c r="ASE82" s="440"/>
      <c r="ATA82" s="436" t="s">
        <v>514</v>
      </c>
      <c r="ATB82" s="120">
        <v>0</v>
      </c>
      <c r="ATC82" s="120" t="s">
        <v>515</v>
      </c>
      <c r="ATD82" s="120"/>
      <c r="ATE82" s="440"/>
      <c r="AUA82" s="436" t="s">
        <v>514</v>
      </c>
      <c r="AUB82" s="120">
        <v>0</v>
      </c>
      <c r="AUC82" s="120" t="s">
        <v>515</v>
      </c>
      <c r="AUD82" s="120"/>
      <c r="AUE82" s="440"/>
      <c r="AVA82" s="436" t="s">
        <v>514</v>
      </c>
      <c r="AVB82" s="120">
        <v>0</v>
      </c>
      <c r="AVC82" s="120" t="s">
        <v>515</v>
      </c>
      <c r="AVD82" s="120"/>
      <c r="AVE82" s="440"/>
      <c r="AWA82" s="436" t="s">
        <v>514</v>
      </c>
      <c r="AWB82" s="120">
        <v>0</v>
      </c>
      <c r="AWC82" s="120" t="s">
        <v>515</v>
      </c>
      <c r="AWD82" s="120"/>
      <c r="AWE82" s="440"/>
      <c r="AXA82" s="436" t="s">
        <v>514</v>
      </c>
      <c r="AXB82" s="120">
        <v>0</v>
      </c>
      <c r="AXC82" s="120" t="s">
        <v>515</v>
      </c>
      <c r="AXD82" s="120"/>
      <c r="AXE82" s="440"/>
      <c r="AYA82" s="436" t="s">
        <v>514</v>
      </c>
      <c r="AYB82" s="120">
        <v>0</v>
      </c>
      <c r="AYC82" s="120" t="s">
        <v>515</v>
      </c>
      <c r="AYD82" s="120"/>
      <c r="AYE82" s="440"/>
      <c r="AZA82" s="436" t="s">
        <v>514</v>
      </c>
      <c r="AZB82" s="120">
        <v>0</v>
      </c>
      <c r="AZC82" s="120" t="s">
        <v>515</v>
      </c>
      <c r="AZD82" s="120"/>
      <c r="AZE82" s="440"/>
      <c r="BAA82" s="436" t="s">
        <v>514</v>
      </c>
      <c r="BAB82" s="120">
        <v>0</v>
      </c>
      <c r="BAC82" s="120" t="s">
        <v>515</v>
      </c>
      <c r="BAD82" s="120"/>
      <c r="BAE82" s="440"/>
      <c r="BBA82" s="436" t="s">
        <v>514</v>
      </c>
      <c r="BBB82" s="120">
        <v>0</v>
      </c>
      <c r="BBC82" s="120" t="s">
        <v>515</v>
      </c>
      <c r="BBD82" s="120"/>
      <c r="BBE82" s="440"/>
      <c r="BCA82" s="436" t="s">
        <v>514</v>
      </c>
      <c r="BCB82" s="120">
        <v>0</v>
      </c>
      <c r="BCC82" s="120" t="s">
        <v>515</v>
      </c>
      <c r="BCD82" s="120"/>
      <c r="BCE82" s="440"/>
      <c r="BDA82" s="436" t="s">
        <v>514</v>
      </c>
      <c r="BDB82" s="120">
        <v>0</v>
      </c>
      <c r="BDC82" s="120" t="s">
        <v>515</v>
      </c>
      <c r="BDD82" s="120"/>
      <c r="BDE82" s="440"/>
      <c r="BEA82" s="436" t="s">
        <v>514</v>
      </c>
      <c r="BEB82" s="120">
        <v>0</v>
      </c>
      <c r="BEC82" s="120" t="s">
        <v>515</v>
      </c>
      <c r="BED82" s="120"/>
      <c r="BEE82" s="440"/>
      <c r="BFA82" s="436" t="s">
        <v>514</v>
      </c>
      <c r="BFB82" s="120">
        <v>0</v>
      </c>
      <c r="BFC82" s="120" t="s">
        <v>515</v>
      </c>
      <c r="BFD82" s="120"/>
      <c r="BFE82" s="440"/>
      <c r="BGA82" s="436" t="s">
        <v>514</v>
      </c>
      <c r="BGB82" s="120">
        <v>0</v>
      </c>
      <c r="BGC82" s="120" t="s">
        <v>515</v>
      </c>
      <c r="BGD82" s="120"/>
      <c r="BGE82" s="440"/>
      <c r="BHA82" s="436" t="s">
        <v>514</v>
      </c>
      <c r="BHB82" s="120">
        <v>0</v>
      </c>
      <c r="BHC82" s="120" t="s">
        <v>515</v>
      </c>
      <c r="BHD82" s="120"/>
      <c r="BHE82" s="440"/>
      <c r="BIA82" s="436" t="s">
        <v>514</v>
      </c>
      <c r="BIB82" s="120">
        <v>0</v>
      </c>
      <c r="BIC82" s="120" t="s">
        <v>515</v>
      </c>
      <c r="BID82" s="120"/>
      <c r="BIE82" s="440"/>
      <c r="BJA82" s="436" t="s">
        <v>514</v>
      </c>
      <c r="BJB82" s="120">
        <v>0</v>
      </c>
      <c r="BJC82" s="120" t="s">
        <v>515</v>
      </c>
      <c r="BJD82" s="120"/>
      <c r="BJE82" s="440"/>
      <c r="BKA82" s="436" t="s">
        <v>514</v>
      </c>
      <c r="BKB82" s="120">
        <v>0</v>
      </c>
      <c r="BKC82" s="120" t="s">
        <v>515</v>
      </c>
      <c r="BKD82" s="120"/>
      <c r="BKE82" s="440"/>
      <c r="BLA82" s="436" t="s">
        <v>514</v>
      </c>
      <c r="BLB82" s="120">
        <v>0</v>
      </c>
      <c r="BLC82" s="120" t="s">
        <v>515</v>
      </c>
      <c r="BLD82" s="120"/>
      <c r="BLE82" s="440"/>
      <c r="BMA82" s="436" t="s">
        <v>514</v>
      </c>
      <c r="BMB82" s="120">
        <v>0</v>
      </c>
      <c r="BMC82" s="120" t="s">
        <v>515</v>
      </c>
      <c r="BMD82" s="120"/>
      <c r="BME82" s="440"/>
      <c r="BNA82" s="436" t="s">
        <v>514</v>
      </c>
      <c r="BNB82" s="120">
        <v>0</v>
      </c>
      <c r="BNC82" s="120" t="s">
        <v>515</v>
      </c>
      <c r="BND82" s="120"/>
      <c r="BNE82" s="440"/>
      <c r="BOA82" s="436" t="s">
        <v>514</v>
      </c>
      <c r="BOB82" s="120">
        <v>0</v>
      </c>
      <c r="BOC82" s="120" t="s">
        <v>515</v>
      </c>
      <c r="BOD82" s="120"/>
      <c r="BOE82" s="440"/>
      <c r="BPA82" s="436" t="s">
        <v>514</v>
      </c>
      <c r="BPB82" s="120">
        <v>0</v>
      </c>
      <c r="BPC82" s="120" t="s">
        <v>515</v>
      </c>
      <c r="BPD82" s="120"/>
      <c r="BPE82" s="440"/>
      <c r="BQA82" s="436" t="s">
        <v>514</v>
      </c>
      <c r="BQB82" s="120">
        <v>0</v>
      </c>
      <c r="BQC82" s="120" t="s">
        <v>515</v>
      </c>
      <c r="BQD82" s="120"/>
      <c r="BQE82" s="440"/>
      <c r="BRA82" s="436" t="s">
        <v>514</v>
      </c>
      <c r="BRB82" s="120">
        <v>0</v>
      </c>
      <c r="BRC82" s="120" t="s">
        <v>515</v>
      </c>
      <c r="BRD82" s="120"/>
      <c r="BRE82" s="440"/>
    </row>
    <row r="83" spans="27:1019 1041:1825">
      <c r="AA83" s="436" t="s">
        <v>516</v>
      </c>
      <c r="AB83" s="120">
        <v>0</v>
      </c>
      <c r="AC83" s="120" t="s">
        <v>515</v>
      </c>
      <c r="AD83" s="120"/>
      <c r="AE83" s="440"/>
      <c r="BA83" s="436" t="s">
        <v>516</v>
      </c>
      <c r="BB83" s="120">
        <v>0</v>
      </c>
      <c r="BC83" s="120" t="s">
        <v>515</v>
      </c>
      <c r="BD83" s="120"/>
      <c r="BE83" s="440"/>
      <c r="CA83" s="436" t="s">
        <v>516</v>
      </c>
      <c r="CB83" s="120">
        <v>0</v>
      </c>
      <c r="CC83" s="120" t="s">
        <v>515</v>
      </c>
      <c r="CD83" s="120"/>
      <c r="CE83" s="440"/>
      <c r="DA83" s="436" t="s">
        <v>516</v>
      </c>
      <c r="DB83" s="120">
        <v>0</v>
      </c>
      <c r="DC83" s="120" t="s">
        <v>515</v>
      </c>
      <c r="DD83" s="120"/>
      <c r="DE83" s="440"/>
      <c r="EA83" s="436" t="s">
        <v>516</v>
      </c>
      <c r="EB83" s="120">
        <v>0</v>
      </c>
      <c r="EC83" s="120" t="s">
        <v>515</v>
      </c>
      <c r="ED83" s="120"/>
      <c r="EE83" s="440"/>
      <c r="FA83" s="436" t="s">
        <v>516</v>
      </c>
      <c r="FB83" s="120">
        <v>0</v>
      </c>
      <c r="FC83" s="120" t="s">
        <v>515</v>
      </c>
      <c r="FD83" s="120"/>
      <c r="FE83" s="440"/>
      <c r="GA83" s="436" t="s">
        <v>516</v>
      </c>
      <c r="GB83" s="120">
        <v>0</v>
      </c>
      <c r="GC83" s="120" t="s">
        <v>515</v>
      </c>
      <c r="GD83" s="120"/>
      <c r="GE83" s="440"/>
      <c r="HA83" s="436" t="s">
        <v>516</v>
      </c>
      <c r="HB83" s="120">
        <v>0</v>
      </c>
      <c r="HC83" s="120" t="s">
        <v>515</v>
      </c>
      <c r="HD83" s="120"/>
      <c r="HE83" s="440"/>
      <c r="IA83" s="436" t="s">
        <v>516</v>
      </c>
      <c r="IB83" s="120">
        <v>0</v>
      </c>
      <c r="IC83" s="120" t="s">
        <v>515</v>
      </c>
      <c r="ID83" s="120"/>
      <c r="IE83" s="440"/>
      <c r="JA83" s="436" t="s">
        <v>516</v>
      </c>
      <c r="JB83" s="120">
        <v>0</v>
      </c>
      <c r="JC83" s="120" t="s">
        <v>515</v>
      </c>
      <c r="JD83" s="120"/>
      <c r="JE83" s="440"/>
      <c r="KA83" s="436" t="s">
        <v>516</v>
      </c>
      <c r="KB83" s="120">
        <v>0</v>
      </c>
      <c r="KC83" s="120" t="s">
        <v>515</v>
      </c>
      <c r="KD83" s="120"/>
      <c r="KE83" s="440"/>
      <c r="LA83" s="436" t="s">
        <v>516</v>
      </c>
      <c r="LB83" s="120">
        <v>0</v>
      </c>
      <c r="LC83" s="120" t="s">
        <v>515</v>
      </c>
      <c r="LD83" s="120"/>
      <c r="LE83" s="440"/>
      <c r="MA83" s="436" t="s">
        <v>516</v>
      </c>
      <c r="MB83" s="120">
        <v>0</v>
      </c>
      <c r="MC83" s="120" t="s">
        <v>515</v>
      </c>
      <c r="MD83" s="120"/>
      <c r="ME83" s="440"/>
      <c r="NA83" s="436" t="s">
        <v>516</v>
      </c>
      <c r="NB83" s="120">
        <v>0</v>
      </c>
      <c r="NC83" s="120" t="s">
        <v>515</v>
      </c>
      <c r="ND83" s="120"/>
      <c r="NE83" s="440"/>
      <c r="OA83" s="436" t="s">
        <v>516</v>
      </c>
      <c r="OB83" s="120">
        <v>0</v>
      </c>
      <c r="OC83" s="120" t="s">
        <v>515</v>
      </c>
      <c r="OD83" s="120"/>
      <c r="OE83" s="440"/>
      <c r="PA83" s="436" t="s">
        <v>516</v>
      </c>
      <c r="PB83" s="120">
        <v>0</v>
      </c>
      <c r="PC83" s="120" t="s">
        <v>515</v>
      </c>
      <c r="PD83" s="120"/>
      <c r="PE83" s="440"/>
      <c r="QA83" s="436" t="s">
        <v>516</v>
      </c>
      <c r="QB83" s="120">
        <v>0</v>
      </c>
      <c r="QC83" s="120" t="s">
        <v>515</v>
      </c>
      <c r="QD83" s="120"/>
      <c r="QE83" s="440"/>
      <c r="RA83" s="436" t="s">
        <v>516</v>
      </c>
      <c r="RB83" s="120">
        <v>0</v>
      </c>
      <c r="RC83" s="120" t="s">
        <v>515</v>
      </c>
      <c r="RD83" s="120"/>
      <c r="RE83" s="440"/>
      <c r="SA83" s="436" t="s">
        <v>516</v>
      </c>
      <c r="SB83" s="120">
        <v>0</v>
      </c>
      <c r="SC83" s="120" t="s">
        <v>515</v>
      </c>
      <c r="SD83" s="120"/>
      <c r="SE83" s="440"/>
      <c r="TA83" s="436" t="s">
        <v>516</v>
      </c>
      <c r="TB83" s="120">
        <v>0</v>
      </c>
      <c r="TC83" s="120" t="s">
        <v>515</v>
      </c>
      <c r="TD83" s="120"/>
      <c r="TE83" s="440"/>
      <c r="UA83" s="436" t="s">
        <v>516</v>
      </c>
      <c r="UB83" s="120">
        <v>0</v>
      </c>
      <c r="UC83" s="120" t="s">
        <v>515</v>
      </c>
      <c r="UD83" s="120"/>
      <c r="UE83" s="440"/>
      <c r="VA83" s="436" t="s">
        <v>516</v>
      </c>
      <c r="VB83" s="120">
        <v>0</v>
      </c>
      <c r="VC83" s="120" t="s">
        <v>515</v>
      </c>
      <c r="VD83" s="120"/>
      <c r="VE83" s="440"/>
      <c r="WA83" s="436" t="s">
        <v>516</v>
      </c>
      <c r="WB83" s="120">
        <v>0</v>
      </c>
      <c r="WC83" s="120" t="s">
        <v>515</v>
      </c>
      <c r="WD83" s="120"/>
      <c r="WE83" s="440"/>
      <c r="XA83" s="436" t="s">
        <v>516</v>
      </c>
      <c r="XB83" s="120">
        <v>0</v>
      </c>
      <c r="XC83" s="120" t="s">
        <v>515</v>
      </c>
      <c r="XD83" s="120"/>
      <c r="XE83" s="440"/>
      <c r="YA83" s="436" t="s">
        <v>516</v>
      </c>
      <c r="YB83" s="120">
        <v>0</v>
      </c>
      <c r="YC83" s="120" t="s">
        <v>515</v>
      </c>
      <c r="YD83" s="120"/>
      <c r="YE83" s="440"/>
      <c r="ZA83" s="436" t="s">
        <v>516</v>
      </c>
      <c r="ZB83" s="120">
        <v>0</v>
      </c>
      <c r="ZC83" s="120" t="s">
        <v>515</v>
      </c>
      <c r="ZD83" s="120"/>
      <c r="ZE83" s="440"/>
      <c r="AAA83" s="436" t="s">
        <v>516</v>
      </c>
      <c r="AAB83" s="120">
        <v>0</v>
      </c>
      <c r="AAC83" s="120" t="s">
        <v>515</v>
      </c>
      <c r="AAD83" s="120"/>
      <c r="AAE83" s="440"/>
      <c r="ABA83" s="436" t="s">
        <v>516</v>
      </c>
      <c r="ABB83" s="120">
        <v>0</v>
      </c>
      <c r="ABC83" s="120" t="s">
        <v>515</v>
      </c>
      <c r="ABD83" s="120"/>
      <c r="ABE83" s="440"/>
      <c r="ACA83" s="436" t="s">
        <v>516</v>
      </c>
      <c r="ACB83" s="120">
        <v>0</v>
      </c>
      <c r="ACC83" s="120" t="s">
        <v>515</v>
      </c>
      <c r="ACD83" s="120"/>
      <c r="ACE83" s="440"/>
      <c r="ADA83" s="436" t="s">
        <v>516</v>
      </c>
      <c r="ADB83" s="120">
        <v>0</v>
      </c>
      <c r="ADC83" s="120" t="s">
        <v>515</v>
      </c>
      <c r="ADD83" s="120"/>
      <c r="ADE83" s="440"/>
      <c r="AEA83" s="436" t="s">
        <v>516</v>
      </c>
      <c r="AEB83" s="120">
        <v>0</v>
      </c>
      <c r="AEC83" s="120" t="s">
        <v>515</v>
      </c>
      <c r="AED83" s="120"/>
      <c r="AEE83" s="440"/>
      <c r="AFA83" s="436" t="s">
        <v>516</v>
      </c>
      <c r="AFB83" s="120">
        <v>0</v>
      </c>
      <c r="AFC83" s="120" t="s">
        <v>515</v>
      </c>
      <c r="AFD83" s="120"/>
      <c r="AFE83" s="440"/>
      <c r="AGA83" s="436" t="s">
        <v>516</v>
      </c>
      <c r="AGB83" s="120">
        <v>0</v>
      </c>
      <c r="AGC83" s="120" t="s">
        <v>515</v>
      </c>
      <c r="AGD83" s="120"/>
      <c r="AGE83" s="440"/>
      <c r="AHA83" s="436" t="s">
        <v>516</v>
      </c>
      <c r="AHB83" s="120">
        <v>0</v>
      </c>
      <c r="AHC83" s="120" t="s">
        <v>515</v>
      </c>
      <c r="AHD83" s="120"/>
      <c r="AHE83" s="440"/>
      <c r="AIA83" s="436" t="s">
        <v>516</v>
      </c>
      <c r="AIB83" s="120">
        <v>0</v>
      </c>
      <c r="AIC83" s="120" t="s">
        <v>515</v>
      </c>
      <c r="AID83" s="120"/>
      <c r="AIE83" s="440"/>
      <c r="AJA83" s="436" t="s">
        <v>516</v>
      </c>
      <c r="AJB83" s="120">
        <v>0</v>
      </c>
      <c r="AJC83" s="120" t="s">
        <v>515</v>
      </c>
      <c r="AJD83" s="120"/>
      <c r="AJE83" s="440"/>
      <c r="AKA83" s="436" t="s">
        <v>516</v>
      </c>
      <c r="AKB83" s="120">
        <v>0</v>
      </c>
      <c r="AKC83" s="120" t="s">
        <v>515</v>
      </c>
      <c r="AKD83" s="120"/>
      <c r="AKE83" s="440"/>
      <c r="ALA83" s="436" t="s">
        <v>516</v>
      </c>
      <c r="ALB83" s="120">
        <v>0</v>
      </c>
      <c r="ALC83" s="120" t="s">
        <v>515</v>
      </c>
      <c r="ALD83" s="120"/>
      <c r="ALE83" s="440"/>
      <c r="AMA83" s="436" t="s">
        <v>516</v>
      </c>
      <c r="AMB83" s="120">
        <v>0</v>
      </c>
      <c r="AMC83" s="120" t="s">
        <v>515</v>
      </c>
      <c r="AMD83" s="120"/>
      <c r="AME83" s="440"/>
      <c r="ANA83" s="436" t="s">
        <v>516</v>
      </c>
      <c r="ANB83" s="120">
        <v>0</v>
      </c>
      <c r="ANC83" s="120" t="s">
        <v>515</v>
      </c>
      <c r="AND83" s="120"/>
      <c r="ANE83" s="440"/>
      <c r="AOA83" s="436" t="s">
        <v>516</v>
      </c>
      <c r="AOB83" s="120">
        <v>0</v>
      </c>
      <c r="AOC83" s="120" t="s">
        <v>515</v>
      </c>
      <c r="AOD83" s="120"/>
      <c r="AOE83" s="440"/>
      <c r="APA83" s="436" t="s">
        <v>516</v>
      </c>
      <c r="APB83" s="120">
        <v>0</v>
      </c>
      <c r="APC83" s="120" t="s">
        <v>515</v>
      </c>
      <c r="APD83" s="120"/>
      <c r="APE83" s="440"/>
      <c r="AQA83" s="436" t="s">
        <v>516</v>
      </c>
      <c r="AQB83" s="120">
        <v>0</v>
      </c>
      <c r="AQC83" s="120" t="s">
        <v>515</v>
      </c>
      <c r="AQD83" s="120"/>
      <c r="AQE83" s="440"/>
      <c r="ARA83" s="436" t="s">
        <v>516</v>
      </c>
      <c r="ARB83" s="120">
        <v>0</v>
      </c>
      <c r="ARC83" s="120" t="s">
        <v>515</v>
      </c>
      <c r="ARD83" s="120"/>
      <c r="ARE83" s="440"/>
      <c r="ASA83" s="436" t="s">
        <v>516</v>
      </c>
      <c r="ASB83" s="120">
        <v>0</v>
      </c>
      <c r="ASC83" s="120" t="s">
        <v>515</v>
      </c>
      <c r="ASD83" s="120"/>
      <c r="ASE83" s="440"/>
      <c r="ATA83" s="436" t="s">
        <v>516</v>
      </c>
      <c r="ATB83" s="120">
        <v>0</v>
      </c>
      <c r="ATC83" s="120" t="s">
        <v>515</v>
      </c>
      <c r="ATD83" s="120"/>
      <c r="ATE83" s="440"/>
      <c r="AUA83" s="436" t="s">
        <v>516</v>
      </c>
      <c r="AUB83" s="120">
        <v>0</v>
      </c>
      <c r="AUC83" s="120" t="s">
        <v>515</v>
      </c>
      <c r="AUD83" s="120"/>
      <c r="AUE83" s="440"/>
      <c r="AVA83" s="436" t="s">
        <v>516</v>
      </c>
      <c r="AVB83" s="120">
        <v>0</v>
      </c>
      <c r="AVC83" s="120" t="s">
        <v>515</v>
      </c>
      <c r="AVD83" s="120"/>
      <c r="AVE83" s="440"/>
      <c r="AWA83" s="436" t="s">
        <v>516</v>
      </c>
      <c r="AWB83" s="120">
        <v>0</v>
      </c>
      <c r="AWC83" s="120" t="s">
        <v>515</v>
      </c>
      <c r="AWD83" s="120"/>
      <c r="AWE83" s="440"/>
      <c r="AXA83" s="436" t="s">
        <v>516</v>
      </c>
      <c r="AXB83" s="120">
        <v>0</v>
      </c>
      <c r="AXC83" s="120" t="s">
        <v>515</v>
      </c>
      <c r="AXD83" s="120"/>
      <c r="AXE83" s="440"/>
      <c r="AYA83" s="436" t="s">
        <v>516</v>
      </c>
      <c r="AYB83" s="120">
        <v>0</v>
      </c>
      <c r="AYC83" s="120" t="s">
        <v>515</v>
      </c>
      <c r="AYD83" s="120"/>
      <c r="AYE83" s="440"/>
      <c r="AZA83" s="436" t="s">
        <v>516</v>
      </c>
      <c r="AZB83" s="120">
        <v>0</v>
      </c>
      <c r="AZC83" s="120" t="s">
        <v>515</v>
      </c>
      <c r="AZD83" s="120"/>
      <c r="AZE83" s="440"/>
      <c r="BAA83" s="436" t="s">
        <v>516</v>
      </c>
      <c r="BAB83" s="120">
        <v>0</v>
      </c>
      <c r="BAC83" s="120" t="s">
        <v>515</v>
      </c>
      <c r="BAD83" s="120"/>
      <c r="BAE83" s="440"/>
      <c r="BBA83" s="436" t="s">
        <v>516</v>
      </c>
      <c r="BBB83" s="120">
        <v>0</v>
      </c>
      <c r="BBC83" s="120" t="s">
        <v>515</v>
      </c>
      <c r="BBD83" s="120"/>
      <c r="BBE83" s="440"/>
      <c r="BCA83" s="436" t="s">
        <v>516</v>
      </c>
      <c r="BCB83" s="120">
        <v>0</v>
      </c>
      <c r="BCC83" s="120" t="s">
        <v>515</v>
      </c>
      <c r="BCD83" s="120"/>
      <c r="BCE83" s="440"/>
      <c r="BDA83" s="436" t="s">
        <v>516</v>
      </c>
      <c r="BDB83" s="120">
        <v>0</v>
      </c>
      <c r="BDC83" s="120" t="s">
        <v>515</v>
      </c>
      <c r="BDD83" s="120"/>
      <c r="BDE83" s="440"/>
      <c r="BEA83" s="436" t="s">
        <v>516</v>
      </c>
      <c r="BEB83" s="120">
        <v>0</v>
      </c>
      <c r="BEC83" s="120" t="s">
        <v>515</v>
      </c>
      <c r="BED83" s="120"/>
      <c r="BEE83" s="440"/>
      <c r="BFA83" s="436" t="s">
        <v>516</v>
      </c>
      <c r="BFB83" s="120">
        <v>0</v>
      </c>
      <c r="BFC83" s="120" t="s">
        <v>515</v>
      </c>
      <c r="BFD83" s="120"/>
      <c r="BFE83" s="440"/>
      <c r="BGA83" s="436" t="s">
        <v>516</v>
      </c>
      <c r="BGB83" s="120">
        <v>0</v>
      </c>
      <c r="BGC83" s="120" t="s">
        <v>515</v>
      </c>
      <c r="BGD83" s="120"/>
      <c r="BGE83" s="440"/>
      <c r="BHA83" s="436" t="s">
        <v>516</v>
      </c>
      <c r="BHB83" s="120">
        <v>0</v>
      </c>
      <c r="BHC83" s="120" t="s">
        <v>515</v>
      </c>
      <c r="BHD83" s="120"/>
      <c r="BHE83" s="440"/>
      <c r="BIA83" s="436" t="s">
        <v>516</v>
      </c>
      <c r="BIB83" s="120">
        <v>0</v>
      </c>
      <c r="BIC83" s="120" t="s">
        <v>515</v>
      </c>
      <c r="BID83" s="120"/>
      <c r="BIE83" s="440"/>
      <c r="BJA83" s="436" t="s">
        <v>516</v>
      </c>
      <c r="BJB83" s="120">
        <v>0</v>
      </c>
      <c r="BJC83" s="120" t="s">
        <v>515</v>
      </c>
      <c r="BJD83" s="120"/>
      <c r="BJE83" s="440"/>
      <c r="BKA83" s="436" t="s">
        <v>516</v>
      </c>
      <c r="BKB83" s="120">
        <v>0</v>
      </c>
      <c r="BKC83" s="120" t="s">
        <v>515</v>
      </c>
      <c r="BKD83" s="120"/>
      <c r="BKE83" s="440"/>
      <c r="BLA83" s="436" t="s">
        <v>516</v>
      </c>
      <c r="BLB83" s="120">
        <v>0</v>
      </c>
      <c r="BLC83" s="120" t="s">
        <v>515</v>
      </c>
      <c r="BLD83" s="120"/>
      <c r="BLE83" s="440"/>
      <c r="BMA83" s="436" t="s">
        <v>516</v>
      </c>
      <c r="BMB83" s="120">
        <v>0</v>
      </c>
      <c r="BMC83" s="120" t="s">
        <v>515</v>
      </c>
      <c r="BMD83" s="120"/>
      <c r="BME83" s="440"/>
      <c r="BNA83" s="436" t="s">
        <v>516</v>
      </c>
      <c r="BNB83" s="120">
        <v>0</v>
      </c>
      <c r="BNC83" s="120" t="s">
        <v>515</v>
      </c>
      <c r="BND83" s="120"/>
      <c r="BNE83" s="440"/>
      <c r="BOA83" s="436" t="s">
        <v>516</v>
      </c>
      <c r="BOB83" s="120">
        <v>0</v>
      </c>
      <c r="BOC83" s="120" t="s">
        <v>515</v>
      </c>
      <c r="BOD83" s="120"/>
      <c r="BOE83" s="440"/>
      <c r="BPA83" s="436" t="s">
        <v>516</v>
      </c>
      <c r="BPB83" s="120">
        <v>0</v>
      </c>
      <c r="BPC83" s="120" t="s">
        <v>515</v>
      </c>
      <c r="BPD83" s="120"/>
      <c r="BPE83" s="440"/>
      <c r="BQA83" s="436" t="s">
        <v>516</v>
      </c>
      <c r="BQB83" s="120">
        <v>0</v>
      </c>
      <c r="BQC83" s="120" t="s">
        <v>515</v>
      </c>
      <c r="BQD83" s="120"/>
      <c r="BQE83" s="440"/>
      <c r="BRA83" s="436" t="s">
        <v>516</v>
      </c>
      <c r="BRB83" s="120">
        <v>0</v>
      </c>
      <c r="BRC83" s="120" t="s">
        <v>515</v>
      </c>
      <c r="BRD83" s="120"/>
      <c r="BRE83" s="440"/>
    </row>
    <row r="84" spans="27:1019 1041:1825">
      <c r="AA84" s="436"/>
      <c r="AB84" s="120"/>
      <c r="AC84" s="120"/>
      <c r="AD84" s="120"/>
      <c r="AE84" s="440"/>
      <c r="BA84" s="436"/>
      <c r="BB84" s="120"/>
      <c r="BC84" s="120"/>
      <c r="BD84" s="120"/>
      <c r="BE84" s="440"/>
      <c r="CA84" s="436"/>
      <c r="CB84" s="120"/>
      <c r="CC84" s="120"/>
      <c r="CD84" s="120"/>
      <c r="CE84" s="440"/>
      <c r="DA84" s="436"/>
      <c r="DB84" s="120"/>
      <c r="DC84" s="120"/>
      <c r="DD84" s="120"/>
      <c r="DE84" s="440"/>
      <c r="EA84" s="436"/>
      <c r="EB84" s="120"/>
      <c r="EC84" s="120"/>
      <c r="ED84" s="120"/>
      <c r="EE84" s="440"/>
      <c r="FA84" s="436"/>
      <c r="FB84" s="120"/>
      <c r="FC84" s="120"/>
      <c r="FD84" s="120"/>
      <c r="FE84" s="440"/>
      <c r="GA84" s="436"/>
      <c r="GB84" s="120"/>
      <c r="GC84" s="120"/>
      <c r="GD84" s="120"/>
      <c r="GE84" s="440"/>
      <c r="HA84" s="436"/>
      <c r="HB84" s="120"/>
      <c r="HC84" s="120"/>
      <c r="HD84" s="120"/>
      <c r="HE84" s="440"/>
      <c r="IA84" s="436"/>
      <c r="IB84" s="120"/>
      <c r="IC84" s="120"/>
      <c r="ID84" s="120"/>
      <c r="IE84" s="440"/>
      <c r="JA84" s="436"/>
      <c r="JB84" s="120"/>
      <c r="JC84" s="120"/>
      <c r="JD84" s="120"/>
      <c r="JE84" s="440"/>
      <c r="KA84" s="436"/>
      <c r="KB84" s="120"/>
      <c r="KC84" s="120"/>
      <c r="KD84" s="120"/>
      <c r="KE84" s="440"/>
      <c r="LA84" s="436"/>
      <c r="LB84" s="120"/>
      <c r="LC84" s="120"/>
      <c r="LD84" s="120"/>
      <c r="LE84" s="440"/>
      <c r="MA84" s="436"/>
      <c r="MB84" s="120"/>
      <c r="MC84" s="120"/>
      <c r="MD84" s="120"/>
      <c r="ME84" s="440"/>
      <c r="NA84" s="436"/>
      <c r="NB84" s="120"/>
      <c r="NC84" s="120"/>
      <c r="ND84" s="120"/>
      <c r="NE84" s="440"/>
      <c r="OA84" s="436"/>
      <c r="OB84" s="120"/>
      <c r="OC84" s="120"/>
      <c r="OD84" s="120"/>
      <c r="OE84" s="440"/>
      <c r="PA84" s="436"/>
      <c r="PB84" s="120"/>
      <c r="PC84" s="120"/>
      <c r="PD84" s="120"/>
      <c r="PE84" s="440"/>
      <c r="QA84" s="436"/>
      <c r="QB84" s="120"/>
      <c r="QC84" s="120"/>
      <c r="QD84" s="120"/>
      <c r="QE84" s="440"/>
      <c r="RA84" s="436"/>
      <c r="RB84" s="120"/>
      <c r="RC84" s="120"/>
      <c r="RD84" s="120"/>
      <c r="RE84" s="440"/>
      <c r="SA84" s="436"/>
      <c r="SB84" s="120"/>
      <c r="SC84" s="120"/>
      <c r="SD84" s="120"/>
      <c r="SE84" s="440"/>
      <c r="TA84" s="436"/>
      <c r="TB84" s="120"/>
      <c r="TC84" s="120"/>
      <c r="TD84" s="120"/>
      <c r="TE84" s="440"/>
      <c r="UA84" s="436"/>
      <c r="UB84" s="120"/>
      <c r="UC84" s="120"/>
      <c r="UD84" s="120"/>
      <c r="UE84" s="440"/>
      <c r="VA84" s="436"/>
      <c r="VB84" s="120"/>
      <c r="VC84" s="120"/>
      <c r="VD84" s="120"/>
      <c r="VE84" s="440"/>
      <c r="WA84" s="436"/>
      <c r="WB84" s="120"/>
      <c r="WC84" s="120"/>
      <c r="WD84" s="120"/>
      <c r="WE84" s="440"/>
      <c r="XA84" s="436"/>
      <c r="XB84" s="120"/>
      <c r="XC84" s="120"/>
      <c r="XD84" s="120"/>
      <c r="XE84" s="440"/>
      <c r="YA84" s="436"/>
      <c r="YB84" s="120"/>
      <c r="YC84" s="120"/>
      <c r="YD84" s="120"/>
      <c r="YE84" s="440"/>
      <c r="ZA84" s="436"/>
      <c r="ZB84" s="120"/>
      <c r="ZC84" s="120"/>
      <c r="ZD84" s="120"/>
      <c r="ZE84" s="440"/>
      <c r="AAA84" s="436"/>
      <c r="AAB84" s="120"/>
      <c r="AAC84" s="120"/>
      <c r="AAD84" s="120"/>
      <c r="AAE84" s="440"/>
      <c r="ABA84" s="436"/>
      <c r="ABB84" s="120"/>
      <c r="ABC84" s="120"/>
      <c r="ABD84" s="120"/>
      <c r="ABE84" s="440"/>
      <c r="ACA84" s="436"/>
      <c r="ACB84" s="120"/>
      <c r="ACC84" s="120"/>
      <c r="ACD84" s="120"/>
      <c r="ACE84" s="440"/>
      <c r="ADA84" s="436"/>
      <c r="ADB84" s="120"/>
      <c r="ADC84" s="120"/>
      <c r="ADD84" s="120"/>
      <c r="ADE84" s="440"/>
      <c r="AEA84" s="436"/>
      <c r="AEB84" s="120"/>
      <c r="AEC84" s="120"/>
      <c r="AED84" s="120"/>
      <c r="AEE84" s="440"/>
      <c r="AFA84" s="436"/>
      <c r="AFB84" s="120"/>
      <c r="AFC84" s="120"/>
      <c r="AFD84" s="120"/>
      <c r="AFE84" s="440"/>
      <c r="AGA84" s="436"/>
      <c r="AGB84" s="120"/>
      <c r="AGC84" s="120"/>
      <c r="AGD84" s="120"/>
      <c r="AGE84" s="440"/>
      <c r="AHA84" s="436"/>
      <c r="AHB84" s="120"/>
      <c r="AHC84" s="120"/>
      <c r="AHD84" s="120"/>
      <c r="AHE84" s="440"/>
      <c r="AIA84" s="436"/>
      <c r="AIB84" s="120"/>
      <c r="AIC84" s="120"/>
      <c r="AID84" s="120"/>
      <c r="AIE84" s="440"/>
      <c r="AJA84" s="436"/>
      <c r="AJB84" s="120"/>
      <c r="AJC84" s="120"/>
      <c r="AJD84" s="120"/>
      <c r="AJE84" s="440"/>
      <c r="AKA84" s="436"/>
      <c r="AKB84" s="120"/>
      <c r="AKC84" s="120"/>
      <c r="AKD84" s="120"/>
      <c r="AKE84" s="440"/>
      <c r="ALA84" s="436"/>
      <c r="ALB84" s="120"/>
      <c r="ALC84" s="120"/>
      <c r="ALD84" s="120"/>
      <c r="ALE84" s="440"/>
      <c r="AMA84" s="436"/>
      <c r="AMB84" s="120"/>
      <c r="AMC84" s="120"/>
      <c r="AMD84" s="120"/>
      <c r="AME84" s="440"/>
      <c r="ANA84" s="436"/>
      <c r="ANB84" s="120"/>
      <c r="ANC84" s="120"/>
      <c r="AND84" s="120"/>
      <c r="ANE84" s="440"/>
      <c r="AOA84" s="436"/>
      <c r="AOB84" s="120"/>
      <c r="AOC84" s="120"/>
      <c r="AOD84" s="120"/>
      <c r="AOE84" s="440"/>
      <c r="APA84" s="436"/>
      <c r="APB84" s="120"/>
      <c r="APC84" s="120"/>
      <c r="APD84" s="120"/>
      <c r="APE84" s="440"/>
      <c r="AQA84" s="436"/>
      <c r="AQB84" s="120"/>
      <c r="AQC84" s="120"/>
      <c r="AQD84" s="120"/>
      <c r="AQE84" s="440"/>
      <c r="ARA84" s="436"/>
      <c r="ARB84" s="120"/>
      <c r="ARC84" s="120"/>
      <c r="ARD84" s="120"/>
      <c r="ARE84" s="440"/>
      <c r="ASA84" s="436"/>
      <c r="ASB84" s="120"/>
      <c r="ASC84" s="120"/>
      <c r="ASD84" s="120"/>
      <c r="ASE84" s="440"/>
      <c r="ATA84" s="436"/>
      <c r="ATB84" s="120"/>
      <c r="ATC84" s="120"/>
      <c r="ATD84" s="120"/>
      <c r="ATE84" s="440"/>
      <c r="AUA84" s="436"/>
      <c r="AUB84" s="120"/>
      <c r="AUC84" s="120"/>
      <c r="AUD84" s="120"/>
      <c r="AUE84" s="440"/>
      <c r="AVA84" s="436"/>
      <c r="AVB84" s="120"/>
      <c r="AVC84" s="120"/>
      <c r="AVD84" s="120"/>
      <c r="AVE84" s="440"/>
      <c r="AWA84" s="436"/>
      <c r="AWB84" s="120"/>
      <c r="AWC84" s="120"/>
      <c r="AWD84" s="120"/>
      <c r="AWE84" s="440"/>
      <c r="AXA84" s="436"/>
      <c r="AXB84" s="120"/>
      <c r="AXC84" s="120"/>
      <c r="AXD84" s="120"/>
      <c r="AXE84" s="440"/>
      <c r="AYA84" s="436"/>
      <c r="AYB84" s="120"/>
      <c r="AYC84" s="120"/>
      <c r="AYD84" s="120"/>
      <c r="AYE84" s="440"/>
      <c r="AZA84" s="436"/>
      <c r="AZB84" s="120"/>
      <c r="AZC84" s="120"/>
      <c r="AZD84" s="120"/>
      <c r="AZE84" s="440"/>
      <c r="BAA84" s="436"/>
      <c r="BAB84" s="120"/>
      <c r="BAC84" s="120"/>
      <c r="BAD84" s="120"/>
      <c r="BAE84" s="440"/>
      <c r="BBA84" s="436"/>
      <c r="BBB84" s="120"/>
      <c r="BBC84" s="120"/>
      <c r="BBD84" s="120"/>
      <c r="BBE84" s="440"/>
      <c r="BCA84" s="436"/>
      <c r="BCB84" s="120"/>
      <c r="BCC84" s="120"/>
      <c r="BCD84" s="120"/>
      <c r="BCE84" s="440"/>
      <c r="BDA84" s="436"/>
      <c r="BDB84" s="120"/>
      <c r="BDC84" s="120"/>
      <c r="BDD84" s="120"/>
      <c r="BDE84" s="440"/>
      <c r="BEA84" s="436"/>
      <c r="BEB84" s="120"/>
      <c r="BEC84" s="120"/>
      <c r="BED84" s="120"/>
      <c r="BEE84" s="440"/>
      <c r="BFA84" s="436"/>
      <c r="BFB84" s="120"/>
      <c r="BFC84" s="120"/>
      <c r="BFD84" s="120"/>
      <c r="BFE84" s="440"/>
      <c r="BGA84" s="436"/>
      <c r="BGB84" s="120"/>
      <c r="BGC84" s="120"/>
      <c r="BGD84" s="120"/>
      <c r="BGE84" s="440"/>
      <c r="BHA84" s="436"/>
      <c r="BHB84" s="120"/>
      <c r="BHC84" s="120"/>
      <c r="BHD84" s="120"/>
      <c r="BHE84" s="440"/>
      <c r="BIA84" s="436"/>
      <c r="BIB84" s="120"/>
      <c r="BIC84" s="120"/>
      <c r="BID84" s="120"/>
      <c r="BIE84" s="440"/>
      <c r="BJA84" s="436"/>
      <c r="BJB84" s="120"/>
      <c r="BJC84" s="120"/>
      <c r="BJD84" s="120"/>
      <c r="BJE84" s="440"/>
      <c r="BKA84" s="436"/>
      <c r="BKB84" s="120"/>
      <c r="BKC84" s="120"/>
      <c r="BKD84" s="120"/>
      <c r="BKE84" s="440"/>
      <c r="BLA84" s="436"/>
      <c r="BLB84" s="120"/>
      <c r="BLC84" s="120"/>
      <c r="BLD84" s="120"/>
      <c r="BLE84" s="440"/>
      <c r="BMA84" s="436"/>
      <c r="BMB84" s="120"/>
      <c r="BMC84" s="120"/>
      <c r="BMD84" s="120"/>
      <c r="BME84" s="440"/>
      <c r="BNA84" s="436"/>
      <c r="BNB84" s="120"/>
      <c r="BNC84" s="120"/>
      <c r="BND84" s="120"/>
      <c r="BNE84" s="440"/>
      <c r="BOA84" s="436"/>
      <c r="BOB84" s="120"/>
      <c r="BOC84" s="120"/>
      <c r="BOD84" s="120"/>
      <c r="BOE84" s="440"/>
      <c r="BPA84" s="436"/>
      <c r="BPB84" s="120"/>
      <c r="BPC84" s="120"/>
      <c r="BPD84" s="120"/>
      <c r="BPE84" s="440"/>
      <c r="BQA84" s="436"/>
      <c r="BQB84" s="120"/>
      <c r="BQC84" s="120"/>
      <c r="BQD84" s="120"/>
      <c r="BQE84" s="440"/>
      <c r="BRA84" s="436"/>
      <c r="BRB84" s="120"/>
      <c r="BRC84" s="120"/>
      <c r="BRD84" s="120"/>
      <c r="BRE84" s="440"/>
    </row>
    <row r="85" spans="27:1019 1041:1825">
      <c r="AA85" s="436"/>
      <c r="AB85" s="120"/>
      <c r="AC85" s="120"/>
      <c r="AD85" s="120"/>
      <c r="AE85" s="440"/>
      <c r="BA85" s="436"/>
      <c r="BB85" s="120"/>
      <c r="BC85" s="120"/>
      <c r="BD85" s="120"/>
      <c r="BE85" s="440"/>
      <c r="CA85" s="436"/>
      <c r="CB85" s="120"/>
      <c r="CC85" s="120"/>
      <c r="CD85" s="120"/>
      <c r="CE85" s="440"/>
      <c r="DA85" s="436"/>
      <c r="DB85" s="120"/>
      <c r="DC85" s="120"/>
      <c r="DD85" s="120"/>
      <c r="DE85" s="440"/>
      <c r="EA85" s="436"/>
      <c r="EB85" s="120"/>
      <c r="EC85" s="120"/>
      <c r="ED85" s="120"/>
      <c r="EE85" s="440"/>
      <c r="FA85" s="436"/>
      <c r="FB85" s="120"/>
      <c r="FC85" s="120"/>
      <c r="FD85" s="120"/>
      <c r="FE85" s="440"/>
      <c r="GA85" s="436"/>
      <c r="GB85" s="120"/>
      <c r="GC85" s="120"/>
      <c r="GD85" s="120"/>
      <c r="GE85" s="440"/>
      <c r="HA85" s="436"/>
      <c r="HB85" s="120"/>
      <c r="HC85" s="120"/>
      <c r="HD85" s="120"/>
      <c r="HE85" s="440"/>
      <c r="IA85" s="436"/>
      <c r="IB85" s="120"/>
      <c r="IC85" s="120"/>
      <c r="ID85" s="120"/>
      <c r="IE85" s="440"/>
      <c r="JA85" s="436"/>
      <c r="JB85" s="120"/>
      <c r="JC85" s="120"/>
      <c r="JD85" s="120"/>
      <c r="JE85" s="440"/>
      <c r="KA85" s="436"/>
      <c r="KB85" s="120"/>
      <c r="KC85" s="120"/>
      <c r="KD85" s="120"/>
      <c r="KE85" s="440"/>
      <c r="LA85" s="436"/>
      <c r="LB85" s="120"/>
      <c r="LC85" s="120"/>
      <c r="LD85" s="120"/>
      <c r="LE85" s="440"/>
      <c r="MA85" s="436"/>
      <c r="MB85" s="120"/>
      <c r="MC85" s="120"/>
      <c r="MD85" s="120"/>
      <c r="ME85" s="440"/>
      <c r="NA85" s="436"/>
      <c r="NB85" s="120"/>
      <c r="NC85" s="120"/>
      <c r="ND85" s="120"/>
      <c r="NE85" s="440"/>
      <c r="OA85" s="436"/>
      <c r="OB85" s="120"/>
      <c r="OC85" s="120"/>
      <c r="OD85" s="120"/>
      <c r="OE85" s="440"/>
      <c r="PA85" s="436"/>
      <c r="PB85" s="120"/>
      <c r="PC85" s="120"/>
      <c r="PD85" s="120"/>
      <c r="PE85" s="440"/>
      <c r="QA85" s="436"/>
      <c r="QB85" s="120"/>
      <c r="QC85" s="120"/>
      <c r="QD85" s="120"/>
      <c r="QE85" s="440"/>
      <c r="RA85" s="436"/>
      <c r="RB85" s="120"/>
      <c r="RC85" s="120"/>
      <c r="RD85" s="120"/>
      <c r="RE85" s="440"/>
      <c r="SA85" s="436"/>
      <c r="SB85" s="120"/>
      <c r="SC85" s="120"/>
      <c r="SD85" s="120"/>
      <c r="SE85" s="440"/>
      <c r="TA85" s="436"/>
      <c r="TB85" s="120"/>
      <c r="TC85" s="120"/>
      <c r="TD85" s="120"/>
      <c r="TE85" s="440"/>
      <c r="UA85" s="436"/>
      <c r="UB85" s="120"/>
      <c r="UC85" s="120"/>
      <c r="UD85" s="120"/>
      <c r="UE85" s="440"/>
      <c r="VA85" s="436"/>
      <c r="VB85" s="120"/>
      <c r="VC85" s="120"/>
      <c r="VD85" s="120"/>
      <c r="VE85" s="440"/>
      <c r="WA85" s="436"/>
      <c r="WB85" s="120"/>
      <c r="WC85" s="120"/>
      <c r="WD85" s="120"/>
      <c r="WE85" s="440"/>
      <c r="XA85" s="436"/>
      <c r="XB85" s="120"/>
      <c r="XC85" s="120"/>
      <c r="XD85" s="120"/>
      <c r="XE85" s="440"/>
      <c r="YA85" s="436"/>
      <c r="YB85" s="120"/>
      <c r="YC85" s="120"/>
      <c r="YD85" s="120"/>
      <c r="YE85" s="440"/>
      <c r="ZA85" s="436"/>
      <c r="ZB85" s="120"/>
      <c r="ZC85" s="120"/>
      <c r="ZD85" s="120"/>
      <c r="ZE85" s="440"/>
      <c r="AAA85" s="436"/>
      <c r="AAB85" s="120"/>
      <c r="AAC85" s="120"/>
      <c r="AAD85" s="120"/>
      <c r="AAE85" s="440"/>
      <c r="ABA85" s="436"/>
      <c r="ABB85" s="120"/>
      <c r="ABC85" s="120"/>
      <c r="ABD85" s="120"/>
      <c r="ABE85" s="440"/>
      <c r="ACA85" s="436"/>
      <c r="ACB85" s="120"/>
      <c r="ACC85" s="120"/>
      <c r="ACD85" s="120"/>
      <c r="ACE85" s="440"/>
      <c r="ADA85" s="436"/>
      <c r="ADB85" s="120"/>
      <c r="ADC85" s="120"/>
      <c r="ADD85" s="120"/>
      <c r="ADE85" s="440"/>
      <c r="AEA85" s="436"/>
      <c r="AEB85" s="120"/>
      <c r="AEC85" s="120"/>
      <c r="AED85" s="120"/>
      <c r="AEE85" s="440"/>
      <c r="AFA85" s="436"/>
      <c r="AFB85" s="120"/>
      <c r="AFC85" s="120"/>
      <c r="AFD85" s="120"/>
      <c r="AFE85" s="440"/>
      <c r="AGA85" s="436"/>
      <c r="AGB85" s="120"/>
      <c r="AGC85" s="120"/>
      <c r="AGD85" s="120"/>
      <c r="AGE85" s="440"/>
      <c r="AHA85" s="436"/>
      <c r="AHB85" s="120"/>
      <c r="AHC85" s="120"/>
      <c r="AHD85" s="120"/>
      <c r="AHE85" s="440"/>
      <c r="AIA85" s="436"/>
      <c r="AIB85" s="120"/>
      <c r="AIC85" s="120"/>
      <c r="AID85" s="120"/>
      <c r="AIE85" s="440"/>
      <c r="AJA85" s="436"/>
      <c r="AJB85" s="120"/>
      <c r="AJC85" s="120"/>
      <c r="AJD85" s="120"/>
      <c r="AJE85" s="440"/>
      <c r="AKA85" s="436"/>
      <c r="AKB85" s="120"/>
      <c r="AKC85" s="120"/>
      <c r="AKD85" s="120"/>
      <c r="AKE85" s="440"/>
      <c r="ALA85" s="436"/>
      <c r="ALB85" s="120"/>
      <c r="ALC85" s="120"/>
      <c r="ALD85" s="120"/>
      <c r="ALE85" s="440"/>
      <c r="AMA85" s="436"/>
      <c r="AMB85" s="120"/>
      <c r="AMC85" s="120"/>
      <c r="AMD85" s="120"/>
      <c r="AME85" s="440"/>
      <c r="ANA85" s="436"/>
      <c r="ANB85" s="120"/>
      <c r="ANC85" s="120"/>
      <c r="AND85" s="120"/>
      <c r="ANE85" s="440"/>
      <c r="AOA85" s="436"/>
      <c r="AOB85" s="120"/>
      <c r="AOC85" s="120"/>
      <c r="AOD85" s="120"/>
      <c r="AOE85" s="440"/>
      <c r="APA85" s="436"/>
      <c r="APB85" s="120"/>
      <c r="APC85" s="120"/>
      <c r="APD85" s="120"/>
      <c r="APE85" s="440"/>
      <c r="AQA85" s="436"/>
      <c r="AQB85" s="120"/>
      <c r="AQC85" s="120"/>
      <c r="AQD85" s="120"/>
      <c r="AQE85" s="440"/>
      <c r="ARA85" s="436"/>
      <c r="ARB85" s="120"/>
      <c r="ARC85" s="120"/>
      <c r="ARD85" s="120"/>
      <c r="ARE85" s="440"/>
      <c r="ASA85" s="436"/>
      <c r="ASB85" s="120"/>
      <c r="ASC85" s="120"/>
      <c r="ASD85" s="120"/>
      <c r="ASE85" s="440"/>
      <c r="ATA85" s="436"/>
      <c r="ATB85" s="120"/>
      <c r="ATC85" s="120"/>
      <c r="ATD85" s="120"/>
      <c r="ATE85" s="440"/>
      <c r="AUA85" s="436"/>
      <c r="AUB85" s="120"/>
      <c r="AUC85" s="120"/>
      <c r="AUD85" s="120"/>
      <c r="AUE85" s="440"/>
      <c r="AVA85" s="436"/>
      <c r="AVB85" s="120"/>
      <c r="AVC85" s="120"/>
      <c r="AVD85" s="120"/>
      <c r="AVE85" s="440"/>
      <c r="AWA85" s="436"/>
      <c r="AWB85" s="120"/>
      <c r="AWC85" s="120"/>
      <c r="AWD85" s="120"/>
      <c r="AWE85" s="440"/>
      <c r="AXA85" s="436"/>
      <c r="AXB85" s="120"/>
      <c r="AXC85" s="120"/>
      <c r="AXD85" s="120"/>
      <c r="AXE85" s="440"/>
      <c r="AYA85" s="436"/>
      <c r="AYB85" s="120"/>
      <c r="AYC85" s="120"/>
      <c r="AYD85" s="120"/>
      <c r="AYE85" s="440"/>
      <c r="AZA85" s="436"/>
      <c r="AZB85" s="120"/>
      <c r="AZC85" s="120"/>
      <c r="AZD85" s="120"/>
      <c r="AZE85" s="440"/>
      <c r="BAA85" s="436"/>
      <c r="BAB85" s="120"/>
      <c r="BAC85" s="120"/>
      <c r="BAD85" s="120"/>
      <c r="BAE85" s="440"/>
      <c r="BBA85" s="436"/>
      <c r="BBB85" s="120"/>
      <c r="BBC85" s="120"/>
      <c r="BBD85" s="120"/>
      <c r="BBE85" s="440"/>
      <c r="BCA85" s="436"/>
      <c r="BCB85" s="120"/>
      <c r="BCC85" s="120"/>
      <c r="BCD85" s="120"/>
      <c r="BCE85" s="440"/>
      <c r="BDA85" s="436"/>
      <c r="BDB85" s="120"/>
      <c r="BDC85" s="120"/>
      <c r="BDD85" s="120"/>
      <c r="BDE85" s="440"/>
      <c r="BEA85" s="436"/>
      <c r="BEB85" s="120"/>
      <c r="BEC85" s="120"/>
      <c r="BED85" s="120"/>
      <c r="BEE85" s="440"/>
      <c r="BFA85" s="436"/>
      <c r="BFB85" s="120"/>
      <c r="BFC85" s="120"/>
      <c r="BFD85" s="120"/>
      <c r="BFE85" s="440"/>
      <c r="BGA85" s="436"/>
      <c r="BGB85" s="120"/>
      <c r="BGC85" s="120"/>
      <c r="BGD85" s="120"/>
      <c r="BGE85" s="440"/>
      <c r="BHA85" s="436"/>
      <c r="BHB85" s="120"/>
      <c r="BHC85" s="120"/>
      <c r="BHD85" s="120"/>
      <c r="BHE85" s="440"/>
      <c r="BIA85" s="436"/>
      <c r="BIB85" s="120"/>
      <c r="BIC85" s="120"/>
      <c r="BID85" s="120"/>
      <c r="BIE85" s="440"/>
      <c r="BJA85" s="436"/>
      <c r="BJB85" s="120"/>
      <c r="BJC85" s="120"/>
      <c r="BJD85" s="120"/>
      <c r="BJE85" s="440"/>
      <c r="BKA85" s="436"/>
      <c r="BKB85" s="120"/>
      <c r="BKC85" s="120"/>
      <c r="BKD85" s="120"/>
      <c r="BKE85" s="440"/>
      <c r="BLA85" s="436"/>
      <c r="BLB85" s="120"/>
      <c r="BLC85" s="120"/>
      <c r="BLD85" s="120"/>
      <c r="BLE85" s="440"/>
      <c r="BMA85" s="436"/>
      <c r="BMB85" s="120"/>
      <c r="BMC85" s="120"/>
      <c r="BMD85" s="120"/>
      <c r="BME85" s="440"/>
      <c r="BNA85" s="436"/>
      <c r="BNB85" s="120"/>
      <c r="BNC85" s="120"/>
      <c r="BND85" s="120"/>
      <c r="BNE85" s="440"/>
      <c r="BOA85" s="436"/>
      <c r="BOB85" s="120"/>
      <c r="BOC85" s="120"/>
      <c r="BOD85" s="120"/>
      <c r="BOE85" s="440"/>
      <c r="BPA85" s="436"/>
      <c r="BPB85" s="120"/>
      <c r="BPC85" s="120"/>
      <c r="BPD85" s="120"/>
      <c r="BPE85" s="440"/>
      <c r="BQA85" s="436"/>
      <c r="BQB85" s="120"/>
      <c r="BQC85" s="120"/>
      <c r="BQD85" s="120"/>
      <c r="BQE85" s="440"/>
      <c r="BRA85" s="436"/>
      <c r="BRB85" s="120"/>
      <c r="BRC85" s="120"/>
      <c r="BRD85" s="120"/>
      <c r="BRE85" s="440"/>
    </row>
    <row r="86" spans="27:1019 1041:1825">
      <c r="AA86" s="436"/>
      <c r="AB86" s="120"/>
      <c r="AC86" s="120"/>
      <c r="AD86" s="120"/>
      <c r="AE86" s="440"/>
      <c r="BA86" s="436"/>
      <c r="BB86" s="120"/>
      <c r="BC86" s="120"/>
      <c r="BD86" s="120"/>
      <c r="BE86" s="440"/>
      <c r="CA86" s="436"/>
      <c r="CB86" s="120"/>
      <c r="CC86" s="120"/>
      <c r="CD86" s="120"/>
      <c r="CE86" s="440"/>
      <c r="DA86" s="436"/>
      <c r="DB86" s="120"/>
      <c r="DC86" s="120"/>
      <c r="DD86" s="120"/>
      <c r="DE86" s="440"/>
      <c r="EA86" s="436"/>
      <c r="EB86" s="120"/>
      <c r="EC86" s="120"/>
      <c r="ED86" s="120"/>
      <c r="EE86" s="440"/>
      <c r="FA86" s="436"/>
      <c r="FB86" s="120"/>
      <c r="FC86" s="120"/>
      <c r="FD86" s="120"/>
      <c r="FE86" s="440"/>
      <c r="GA86" s="436"/>
      <c r="GB86" s="120"/>
      <c r="GC86" s="120"/>
      <c r="GD86" s="120"/>
      <c r="GE86" s="440"/>
      <c r="HA86" s="436"/>
      <c r="HB86" s="120"/>
      <c r="HC86" s="120"/>
      <c r="HD86" s="120"/>
      <c r="HE86" s="440"/>
      <c r="IA86" s="436"/>
      <c r="IB86" s="120"/>
      <c r="IC86" s="120"/>
      <c r="ID86" s="120"/>
      <c r="IE86" s="440"/>
      <c r="JA86" s="436"/>
      <c r="JB86" s="120"/>
      <c r="JC86" s="120"/>
      <c r="JD86" s="120"/>
      <c r="JE86" s="440"/>
      <c r="KA86" s="436"/>
      <c r="KB86" s="120"/>
      <c r="KC86" s="120"/>
      <c r="KD86" s="120"/>
      <c r="KE86" s="440"/>
      <c r="LA86" s="436"/>
      <c r="LB86" s="120"/>
      <c r="LC86" s="120"/>
      <c r="LD86" s="120"/>
      <c r="LE86" s="440"/>
      <c r="MA86" s="436"/>
      <c r="MB86" s="120"/>
      <c r="MC86" s="120"/>
      <c r="MD86" s="120"/>
      <c r="ME86" s="440"/>
      <c r="NA86" s="436"/>
      <c r="NB86" s="120"/>
      <c r="NC86" s="120"/>
      <c r="ND86" s="120"/>
      <c r="NE86" s="440"/>
      <c r="OA86" s="436"/>
      <c r="OB86" s="120"/>
      <c r="OC86" s="120"/>
      <c r="OD86" s="120"/>
      <c r="OE86" s="440"/>
      <c r="PA86" s="436"/>
      <c r="PB86" s="120"/>
      <c r="PC86" s="120"/>
      <c r="PD86" s="120"/>
      <c r="PE86" s="440"/>
      <c r="QA86" s="436"/>
      <c r="QB86" s="120"/>
      <c r="QC86" s="120"/>
      <c r="QD86" s="120"/>
      <c r="QE86" s="440"/>
      <c r="RA86" s="436"/>
      <c r="RB86" s="120"/>
      <c r="RC86" s="120"/>
      <c r="RD86" s="120"/>
      <c r="RE86" s="440"/>
      <c r="SA86" s="436"/>
      <c r="SB86" s="120"/>
      <c r="SC86" s="120"/>
      <c r="SD86" s="120"/>
      <c r="SE86" s="440"/>
      <c r="TA86" s="436"/>
      <c r="TB86" s="120"/>
      <c r="TC86" s="120"/>
      <c r="TD86" s="120"/>
      <c r="TE86" s="440"/>
      <c r="UA86" s="436"/>
      <c r="UB86" s="120"/>
      <c r="UC86" s="120"/>
      <c r="UD86" s="120"/>
      <c r="UE86" s="440"/>
      <c r="VA86" s="436"/>
      <c r="VB86" s="120"/>
      <c r="VC86" s="120"/>
      <c r="VD86" s="120"/>
      <c r="VE86" s="440"/>
      <c r="WA86" s="436"/>
      <c r="WB86" s="120"/>
      <c r="WC86" s="120"/>
      <c r="WD86" s="120"/>
      <c r="WE86" s="440"/>
      <c r="XA86" s="436"/>
      <c r="XB86" s="120"/>
      <c r="XC86" s="120"/>
      <c r="XD86" s="120"/>
      <c r="XE86" s="440"/>
      <c r="YA86" s="436"/>
      <c r="YB86" s="120"/>
      <c r="YC86" s="120"/>
      <c r="YD86" s="120"/>
      <c r="YE86" s="440"/>
      <c r="ZA86" s="436"/>
      <c r="ZB86" s="120"/>
      <c r="ZC86" s="120"/>
      <c r="ZD86" s="120"/>
      <c r="ZE86" s="440"/>
      <c r="AAA86" s="436"/>
      <c r="AAB86" s="120"/>
      <c r="AAC86" s="120"/>
      <c r="AAD86" s="120"/>
      <c r="AAE86" s="440"/>
      <c r="ABA86" s="436"/>
      <c r="ABB86" s="120"/>
      <c r="ABC86" s="120"/>
      <c r="ABD86" s="120"/>
      <c r="ABE86" s="440"/>
      <c r="ACA86" s="436"/>
      <c r="ACB86" s="120"/>
      <c r="ACC86" s="120"/>
      <c r="ACD86" s="120"/>
      <c r="ACE86" s="440"/>
      <c r="ADA86" s="436"/>
      <c r="ADB86" s="120"/>
      <c r="ADC86" s="120"/>
      <c r="ADD86" s="120"/>
      <c r="ADE86" s="440"/>
      <c r="AEA86" s="436"/>
      <c r="AEB86" s="120"/>
      <c r="AEC86" s="120"/>
      <c r="AED86" s="120"/>
      <c r="AEE86" s="440"/>
      <c r="AFA86" s="436"/>
      <c r="AFB86" s="120"/>
      <c r="AFC86" s="120"/>
      <c r="AFD86" s="120"/>
      <c r="AFE86" s="440"/>
      <c r="AGA86" s="436"/>
      <c r="AGB86" s="120"/>
      <c r="AGC86" s="120"/>
      <c r="AGD86" s="120"/>
      <c r="AGE86" s="440"/>
      <c r="AHA86" s="436"/>
      <c r="AHB86" s="120"/>
      <c r="AHC86" s="120"/>
      <c r="AHD86" s="120"/>
      <c r="AHE86" s="440"/>
      <c r="AIA86" s="436"/>
      <c r="AIB86" s="120"/>
      <c r="AIC86" s="120"/>
      <c r="AID86" s="120"/>
      <c r="AIE86" s="440"/>
      <c r="AJA86" s="436"/>
      <c r="AJB86" s="120"/>
      <c r="AJC86" s="120"/>
      <c r="AJD86" s="120"/>
      <c r="AJE86" s="440"/>
      <c r="AKA86" s="436"/>
      <c r="AKB86" s="120"/>
      <c r="AKC86" s="120"/>
      <c r="AKD86" s="120"/>
      <c r="AKE86" s="440"/>
      <c r="ALA86" s="436"/>
      <c r="ALB86" s="120"/>
      <c r="ALC86" s="120"/>
      <c r="ALD86" s="120"/>
      <c r="ALE86" s="440"/>
      <c r="AMA86" s="436"/>
      <c r="AMB86" s="120"/>
      <c r="AMC86" s="120"/>
      <c r="AMD86" s="120"/>
      <c r="AME86" s="440"/>
      <c r="ANA86" s="436"/>
      <c r="ANB86" s="120"/>
      <c r="ANC86" s="120"/>
      <c r="AND86" s="120"/>
      <c r="ANE86" s="440"/>
      <c r="AOA86" s="436"/>
      <c r="AOB86" s="120"/>
      <c r="AOC86" s="120"/>
      <c r="AOD86" s="120"/>
      <c r="AOE86" s="440"/>
      <c r="APA86" s="436"/>
      <c r="APB86" s="120"/>
      <c r="APC86" s="120"/>
      <c r="APD86" s="120"/>
      <c r="APE86" s="440"/>
      <c r="AQA86" s="436"/>
      <c r="AQB86" s="120"/>
      <c r="AQC86" s="120"/>
      <c r="AQD86" s="120"/>
      <c r="AQE86" s="440"/>
      <c r="ARA86" s="436"/>
      <c r="ARB86" s="120"/>
      <c r="ARC86" s="120"/>
      <c r="ARD86" s="120"/>
      <c r="ARE86" s="440"/>
      <c r="ASA86" s="436"/>
      <c r="ASB86" s="120"/>
      <c r="ASC86" s="120"/>
      <c r="ASD86" s="120"/>
      <c r="ASE86" s="440"/>
      <c r="ATA86" s="436"/>
      <c r="ATB86" s="120"/>
      <c r="ATC86" s="120"/>
      <c r="ATD86" s="120"/>
      <c r="ATE86" s="440"/>
      <c r="AUA86" s="436"/>
      <c r="AUB86" s="120"/>
      <c r="AUC86" s="120"/>
      <c r="AUD86" s="120"/>
      <c r="AUE86" s="440"/>
      <c r="AVA86" s="436"/>
      <c r="AVB86" s="120"/>
      <c r="AVC86" s="120"/>
      <c r="AVD86" s="120"/>
      <c r="AVE86" s="440"/>
      <c r="AWA86" s="436"/>
      <c r="AWB86" s="120"/>
      <c r="AWC86" s="120"/>
      <c r="AWD86" s="120"/>
      <c r="AWE86" s="440"/>
      <c r="AXA86" s="436"/>
      <c r="AXB86" s="120"/>
      <c r="AXC86" s="120"/>
      <c r="AXD86" s="120"/>
      <c r="AXE86" s="440"/>
      <c r="AYA86" s="436"/>
      <c r="AYB86" s="120"/>
      <c r="AYC86" s="120"/>
      <c r="AYD86" s="120"/>
      <c r="AYE86" s="440"/>
      <c r="AZA86" s="436"/>
      <c r="AZB86" s="120"/>
      <c r="AZC86" s="120"/>
      <c r="AZD86" s="120"/>
      <c r="AZE86" s="440"/>
      <c r="BAA86" s="436"/>
      <c r="BAB86" s="120"/>
      <c r="BAC86" s="120"/>
      <c r="BAD86" s="120"/>
      <c r="BAE86" s="440"/>
      <c r="BBA86" s="436"/>
      <c r="BBB86" s="120"/>
      <c r="BBC86" s="120"/>
      <c r="BBD86" s="120"/>
      <c r="BBE86" s="440"/>
      <c r="BCA86" s="436"/>
      <c r="BCB86" s="120"/>
      <c r="BCC86" s="120"/>
      <c r="BCD86" s="120"/>
      <c r="BCE86" s="440"/>
      <c r="BDA86" s="436"/>
      <c r="BDB86" s="120"/>
      <c r="BDC86" s="120"/>
      <c r="BDD86" s="120"/>
      <c r="BDE86" s="440"/>
      <c r="BEA86" s="436"/>
      <c r="BEB86" s="120"/>
      <c r="BEC86" s="120"/>
      <c r="BED86" s="120"/>
      <c r="BEE86" s="440"/>
      <c r="BFA86" s="436"/>
      <c r="BFB86" s="120"/>
      <c r="BFC86" s="120"/>
      <c r="BFD86" s="120"/>
      <c r="BFE86" s="440"/>
      <c r="BGA86" s="436"/>
      <c r="BGB86" s="120"/>
      <c r="BGC86" s="120"/>
      <c r="BGD86" s="120"/>
      <c r="BGE86" s="440"/>
      <c r="BHA86" s="436"/>
      <c r="BHB86" s="120"/>
      <c r="BHC86" s="120"/>
      <c r="BHD86" s="120"/>
      <c r="BHE86" s="440"/>
      <c r="BIA86" s="436"/>
      <c r="BIB86" s="120"/>
      <c r="BIC86" s="120"/>
      <c r="BID86" s="120"/>
      <c r="BIE86" s="440"/>
      <c r="BJA86" s="436"/>
      <c r="BJB86" s="120"/>
      <c r="BJC86" s="120"/>
      <c r="BJD86" s="120"/>
      <c r="BJE86" s="440"/>
      <c r="BKA86" s="436"/>
      <c r="BKB86" s="120"/>
      <c r="BKC86" s="120"/>
      <c r="BKD86" s="120"/>
      <c r="BKE86" s="440"/>
      <c r="BLA86" s="436"/>
      <c r="BLB86" s="120"/>
      <c r="BLC86" s="120"/>
      <c r="BLD86" s="120"/>
      <c r="BLE86" s="440"/>
      <c r="BMA86" s="436"/>
      <c r="BMB86" s="120"/>
      <c r="BMC86" s="120"/>
      <c r="BMD86" s="120"/>
      <c r="BME86" s="440"/>
      <c r="BNA86" s="436"/>
      <c r="BNB86" s="120"/>
      <c r="BNC86" s="120"/>
      <c r="BND86" s="120"/>
      <c r="BNE86" s="440"/>
      <c r="BOA86" s="436"/>
      <c r="BOB86" s="120"/>
      <c r="BOC86" s="120"/>
      <c r="BOD86" s="120"/>
      <c r="BOE86" s="440"/>
      <c r="BPA86" s="436"/>
      <c r="BPB86" s="120"/>
      <c r="BPC86" s="120"/>
      <c r="BPD86" s="120"/>
      <c r="BPE86" s="440"/>
      <c r="BQA86" s="436"/>
      <c r="BQB86" s="120"/>
      <c r="BQC86" s="120"/>
      <c r="BQD86" s="120"/>
      <c r="BQE86" s="440"/>
      <c r="BRA86" s="436"/>
      <c r="BRB86" s="120"/>
      <c r="BRC86" s="120"/>
      <c r="BRD86" s="120"/>
      <c r="BRE86" s="440"/>
    </row>
    <row r="87" spans="27:1019 1041:1825">
      <c r="AA87" s="436"/>
      <c r="AB87" s="120"/>
      <c r="AC87" s="120"/>
      <c r="AD87" s="120"/>
      <c r="AE87" s="440"/>
      <c r="BA87" s="436"/>
      <c r="BB87" s="120"/>
      <c r="BC87" s="120"/>
      <c r="BD87" s="120"/>
      <c r="BE87" s="440"/>
      <c r="CA87" s="436"/>
      <c r="CB87" s="120"/>
      <c r="CC87" s="120"/>
      <c r="CD87" s="120"/>
      <c r="CE87" s="440"/>
      <c r="DA87" s="436"/>
      <c r="DB87" s="120"/>
      <c r="DC87" s="120"/>
      <c r="DD87" s="120"/>
      <c r="DE87" s="440"/>
      <c r="EA87" s="436"/>
      <c r="EB87" s="120"/>
      <c r="EC87" s="120"/>
      <c r="ED87" s="120"/>
      <c r="EE87" s="440"/>
      <c r="FA87" s="436"/>
      <c r="FB87" s="120"/>
      <c r="FC87" s="120"/>
      <c r="FD87" s="120"/>
      <c r="FE87" s="440"/>
      <c r="GA87" s="436"/>
      <c r="GB87" s="120"/>
      <c r="GC87" s="120"/>
      <c r="GD87" s="120"/>
      <c r="GE87" s="440"/>
      <c r="HA87" s="436"/>
      <c r="HB87" s="120"/>
      <c r="HC87" s="120"/>
      <c r="HD87" s="120"/>
      <c r="HE87" s="440"/>
      <c r="IA87" s="436"/>
      <c r="IB87" s="120"/>
      <c r="IC87" s="120"/>
      <c r="ID87" s="120"/>
      <c r="IE87" s="440"/>
      <c r="JA87" s="436"/>
      <c r="JB87" s="120"/>
      <c r="JC87" s="120"/>
      <c r="JD87" s="120"/>
      <c r="JE87" s="440"/>
      <c r="KA87" s="436"/>
      <c r="KB87" s="120"/>
      <c r="KC87" s="120"/>
      <c r="KD87" s="120"/>
      <c r="KE87" s="440"/>
      <c r="LA87" s="436"/>
      <c r="LB87" s="120"/>
      <c r="LC87" s="120"/>
      <c r="LD87" s="120"/>
      <c r="LE87" s="440"/>
      <c r="MA87" s="436"/>
      <c r="MB87" s="120"/>
      <c r="MC87" s="120"/>
      <c r="MD87" s="120"/>
      <c r="ME87" s="440"/>
      <c r="NA87" s="436"/>
      <c r="NB87" s="120"/>
      <c r="NC87" s="120"/>
      <c r="ND87" s="120"/>
      <c r="NE87" s="440"/>
      <c r="OA87" s="436"/>
      <c r="OB87" s="120"/>
      <c r="OC87" s="120"/>
      <c r="OD87" s="120"/>
      <c r="OE87" s="440"/>
      <c r="PA87" s="436"/>
      <c r="PB87" s="120"/>
      <c r="PC87" s="120"/>
      <c r="PD87" s="120"/>
      <c r="PE87" s="440"/>
      <c r="QA87" s="436"/>
      <c r="QB87" s="120"/>
      <c r="QC87" s="120"/>
      <c r="QD87" s="120"/>
      <c r="QE87" s="440"/>
      <c r="RA87" s="436"/>
      <c r="RB87" s="120"/>
      <c r="RC87" s="120"/>
      <c r="RD87" s="120"/>
      <c r="RE87" s="440"/>
      <c r="SA87" s="436"/>
      <c r="SB87" s="120"/>
      <c r="SC87" s="120"/>
      <c r="SD87" s="120"/>
      <c r="SE87" s="440"/>
      <c r="TA87" s="436"/>
      <c r="TB87" s="120"/>
      <c r="TC87" s="120"/>
      <c r="TD87" s="120"/>
      <c r="TE87" s="440"/>
      <c r="UA87" s="436"/>
      <c r="UB87" s="120"/>
      <c r="UC87" s="120"/>
      <c r="UD87" s="120"/>
      <c r="UE87" s="440"/>
      <c r="VA87" s="436"/>
      <c r="VB87" s="120"/>
      <c r="VC87" s="120"/>
      <c r="VD87" s="120"/>
      <c r="VE87" s="440"/>
      <c r="WA87" s="436"/>
      <c r="WB87" s="120"/>
      <c r="WC87" s="120"/>
      <c r="WD87" s="120"/>
      <c r="WE87" s="440"/>
      <c r="XA87" s="436"/>
      <c r="XB87" s="120"/>
      <c r="XC87" s="120"/>
      <c r="XD87" s="120"/>
      <c r="XE87" s="440"/>
      <c r="YA87" s="436"/>
      <c r="YB87" s="120"/>
      <c r="YC87" s="120"/>
      <c r="YD87" s="120"/>
      <c r="YE87" s="440"/>
      <c r="ZA87" s="436"/>
      <c r="ZB87" s="120"/>
      <c r="ZC87" s="120"/>
      <c r="ZD87" s="120"/>
      <c r="ZE87" s="440"/>
      <c r="AAA87" s="436"/>
      <c r="AAB87" s="120"/>
      <c r="AAC87" s="120"/>
      <c r="AAD87" s="120"/>
      <c r="AAE87" s="440"/>
      <c r="ABA87" s="436"/>
      <c r="ABB87" s="120"/>
      <c r="ABC87" s="120"/>
      <c r="ABD87" s="120"/>
      <c r="ABE87" s="440"/>
      <c r="ACA87" s="436"/>
      <c r="ACB87" s="120"/>
      <c r="ACC87" s="120"/>
      <c r="ACD87" s="120"/>
      <c r="ACE87" s="440"/>
      <c r="ADA87" s="436"/>
      <c r="ADB87" s="120"/>
      <c r="ADC87" s="120"/>
      <c r="ADD87" s="120"/>
      <c r="ADE87" s="440"/>
      <c r="AEA87" s="436"/>
      <c r="AEB87" s="120"/>
      <c r="AEC87" s="120"/>
      <c r="AED87" s="120"/>
      <c r="AEE87" s="440"/>
      <c r="AFA87" s="436"/>
      <c r="AFB87" s="120"/>
      <c r="AFC87" s="120"/>
      <c r="AFD87" s="120"/>
      <c r="AFE87" s="440"/>
      <c r="AGA87" s="436"/>
      <c r="AGB87" s="120"/>
      <c r="AGC87" s="120"/>
      <c r="AGD87" s="120"/>
      <c r="AGE87" s="440"/>
      <c r="AHA87" s="436"/>
      <c r="AHB87" s="120"/>
      <c r="AHC87" s="120"/>
      <c r="AHD87" s="120"/>
      <c r="AHE87" s="440"/>
      <c r="AIA87" s="436"/>
      <c r="AIB87" s="120"/>
      <c r="AIC87" s="120"/>
      <c r="AID87" s="120"/>
      <c r="AIE87" s="440"/>
      <c r="AJA87" s="436"/>
      <c r="AJB87" s="120"/>
      <c r="AJC87" s="120"/>
      <c r="AJD87" s="120"/>
      <c r="AJE87" s="440"/>
      <c r="AKA87" s="436"/>
      <c r="AKB87" s="120"/>
      <c r="AKC87" s="120"/>
      <c r="AKD87" s="120"/>
      <c r="AKE87" s="440"/>
      <c r="ALA87" s="436"/>
      <c r="ALB87" s="120"/>
      <c r="ALC87" s="120"/>
      <c r="ALD87" s="120"/>
      <c r="ALE87" s="440"/>
      <c r="AMA87" s="436"/>
      <c r="AMB87" s="120"/>
      <c r="AMC87" s="120"/>
      <c r="AMD87" s="120"/>
      <c r="AME87" s="440"/>
      <c r="ANA87" s="436"/>
      <c r="ANB87" s="120"/>
      <c r="ANC87" s="120"/>
      <c r="AND87" s="120"/>
      <c r="ANE87" s="440"/>
      <c r="AOA87" s="436"/>
      <c r="AOB87" s="120"/>
      <c r="AOC87" s="120"/>
      <c r="AOD87" s="120"/>
      <c r="AOE87" s="440"/>
      <c r="APA87" s="436"/>
      <c r="APB87" s="120"/>
      <c r="APC87" s="120"/>
      <c r="APD87" s="120"/>
      <c r="APE87" s="440"/>
      <c r="AQA87" s="436"/>
      <c r="AQB87" s="120"/>
      <c r="AQC87" s="120"/>
      <c r="AQD87" s="120"/>
      <c r="AQE87" s="440"/>
      <c r="ARA87" s="436"/>
      <c r="ARB87" s="120"/>
      <c r="ARC87" s="120"/>
      <c r="ARD87" s="120"/>
      <c r="ARE87" s="440"/>
      <c r="ASA87" s="436"/>
      <c r="ASB87" s="120"/>
      <c r="ASC87" s="120"/>
      <c r="ASD87" s="120"/>
      <c r="ASE87" s="440"/>
      <c r="ATA87" s="436"/>
      <c r="ATB87" s="120"/>
      <c r="ATC87" s="120"/>
      <c r="ATD87" s="120"/>
      <c r="ATE87" s="440"/>
      <c r="AUA87" s="436"/>
      <c r="AUB87" s="120"/>
      <c r="AUC87" s="120"/>
      <c r="AUD87" s="120"/>
      <c r="AUE87" s="440"/>
      <c r="AVA87" s="436"/>
      <c r="AVB87" s="120"/>
      <c r="AVC87" s="120"/>
      <c r="AVD87" s="120"/>
      <c r="AVE87" s="440"/>
      <c r="AWA87" s="436"/>
      <c r="AWB87" s="120"/>
      <c r="AWC87" s="120"/>
      <c r="AWD87" s="120"/>
      <c r="AWE87" s="440"/>
      <c r="AXA87" s="436"/>
      <c r="AXB87" s="120"/>
      <c r="AXC87" s="120"/>
      <c r="AXD87" s="120"/>
      <c r="AXE87" s="440"/>
      <c r="AYA87" s="436"/>
      <c r="AYB87" s="120"/>
      <c r="AYC87" s="120"/>
      <c r="AYD87" s="120"/>
      <c r="AYE87" s="440"/>
      <c r="AZA87" s="436"/>
      <c r="AZB87" s="120"/>
      <c r="AZC87" s="120"/>
      <c r="AZD87" s="120"/>
      <c r="AZE87" s="440"/>
      <c r="BAA87" s="436"/>
      <c r="BAB87" s="120"/>
      <c r="BAC87" s="120"/>
      <c r="BAD87" s="120"/>
      <c r="BAE87" s="440"/>
      <c r="BBA87" s="436"/>
      <c r="BBB87" s="120"/>
      <c r="BBC87" s="120"/>
      <c r="BBD87" s="120"/>
      <c r="BBE87" s="440"/>
      <c r="BCA87" s="436"/>
      <c r="BCB87" s="120"/>
      <c r="BCC87" s="120"/>
      <c r="BCD87" s="120"/>
      <c r="BCE87" s="440"/>
      <c r="BDA87" s="436"/>
      <c r="BDB87" s="120"/>
      <c r="BDC87" s="120"/>
      <c r="BDD87" s="120"/>
      <c r="BDE87" s="440"/>
      <c r="BEA87" s="436"/>
      <c r="BEB87" s="120"/>
      <c r="BEC87" s="120"/>
      <c r="BED87" s="120"/>
      <c r="BEE87" s="440"/>
      <c r="BFA87" s="436"/>
      <c r="BFB87" s="120"/>
      <c r="BFC87" s="120"/>
      <c r="BFD87" s="120"/>
      <c r="BFE87" s="440"/>
      <c r="BGA87" s="436"/>
      <c r="BGB87" s="120"/>
      <c r="BGC87" s="120"/>
      <c r="BGD87" s="120"/>
      <c r="BGE87" s="440"/>
      <c r="BHA87" s="436"/>
      <c r="BHB87" s="120"/>
      <c r="BHC87" s="120"/>
      <c r="BHD87" s="120"/>
      <c r="BHE87" s="440"/>
      <c r="BIA87" s="436"/>
      <c r="BIB87" s="120"/>
      <c r="BIC87" s="120"/>
      <c r="BID87" s="120"/>
      <c r="BIE87" s="440"/>
      <c r="BJA87" s="436"/>
      <c r="BJB87" s="120"/>
      <c r="BJC87" s="120"/>
      <c r="BJD87" s="120"/>
      <c r="BJE87" s="440"/>
      <c r="BKA87" s="436"/>
      <c r="BKB87" s="120"/>
      <c r="BKC87" s="120"/>
      <c r="BKD87" s="120"/>
      <c r="BKE87" s="440"/>
      <c r="BLA87" s="436"/>
      <c r="BLB87" s="120"/>
      <c r="BLC87" s="120"/>
      <c r="BLD87" s="120"/>
      <c r="BLE87" s="440"/>
      <c r="BMA87" s="436"/>
      <c r="BMB87" s="120"/>
      <c r="BMC87" s="120"/>
      <c r="BMD87" s="120"/>
      <c r="BME87" s="440"/>
      <c r="BNA87" s="436"/>
      <c r="BNB87" s="120"/>
      <c r="BNC87" s="120"/>
      <c r="BND87" s="120"/>
      <c r="BNE87" s="440"/>
      <c r="BOA87" s="436"/>
      <c r="BOB87" s="120"/>
      <c r="BOC87" s="120"/>
      <c r="BOD87" s="120"/>
      <c r="BOE87" s="440"/>
      <c r="BPA87" s="436"/>
      <c r="BPB87" s="120"/>
      <c r="BPC87" s="120"/>
      <c r="BPD87" s="120"/>
      <c r="BPE87" s="440"/>
      <c r="BQA87" s="436"/>
      <c r="BQB87" s="120"/>
      <c r="BQC87" s="120"/>
      <c r="BQD87" s="120"/>
      <c r="BQE87" s="440"/>
      <c r="BRA87" s="436"/>
      <c r="BRB87" s="120"/>
      <c r="BRC87" s="120"/>
      <c r="BRD87" s="120"/>
      <c r="BRE87" s="440"/>
    </row>
    <row r="88" spans="27:1019 1041:1825">
      <c r="AA88" s="436"/>
      <c r="AB88" s="120"/>
      <c r="AC88" s="120"/>
      <c r="AD88" s="120"/>
      <c r="AE88" s="440"/>
      <c r="BA88" s="436"/>
      <c r="BB88" s="120"/>
      <c r="BC88" s="120"/>
      <c r="BD88" s="120"/>
      <c r="BE88" s="440"/>
      <c r="CA88" s="436"/>
      <c r="CB88" s="120"/>
      <c r="CC88" s="120"/>
      <c r="CD88" s="120"/>
      <c r="CE88" s="440"/>
      <c r="DA88" s="436"/>
      <c r="DB88" s="120"/>
      <c r="DC88" s="120"/>
      <c r="DD88" s="120"/>
      <c r="DE88" s="440"/>
      <c r="EA88" s="436"/>
      <c r="EB88" s="120"/>
      <c r="EC88" s="120"/>
      <c r="ED88" s="120"/>
      <c r="EE88" s="440"/>
      <c r="FA88" s="436"/>
      <c r="FB88" s="120"/>
      <c r="FC88" s="120"/>
      <c r="FD88" s="120"/>
      <c r="FE88" s="440"/>
      <c r="GA88" s="436"/>
      <c r="GB88" s="120"/>
      <c r="GC88" s="120"/>
      <c r="GD88" s="120"/>
      <c r="GE88" s="440"/>
      <c r="HA88" s="436"/>
      <c r="HB88" s="120"/>
      <c r="HC88" s="120"/>
      <c r="HD88" s="120"/>
      <c r="HE88" s="440"/>
      <c r="IA88" s="436"/>
      <c r="IB88" s="120"/>
      <c r="IC88" s="120"/>
      <c r="ID88" s="120"/>
      <c r="IE88" s="440"/>
      <c r="JA88" s="436"/>
      <c r="JB88" s="120"/>
      <c r="JC88" s="120"/>
      <c r="JD88" s="120"/>
      <c r="JE88" s="440"/>
      <c r="KA88" s="436"/>
      <c r="KB88" s="120"/>
      <c r="KC88" s="120"/>
      <c r="KD88" s="120"/>
      <c r="KE88" s="440"/>
      <c r="LA88" s="436"/>
      <c r="LB88" s="120"/>
      <c r="LC88" s="120"/>
      <c r="LD88" s="120"/>
      <c r="LE88" s="440"/>
      <c r="MA88" s="436"/>
      <c r="MB88" s="120"/>
      <c r="MC88" s="120"/>
      <c r="MD88" s="120"/>
      <c r="ME88" s="440"/>
      <c r="NA88" s="436"/>
      <c r="NB88" s="120"/>
      <c r="NC88" s="120"/>
      <c r="ND88" s="120"/>
      <c r="NE88" s="440"/>
      <c r="OA88" s="436"/>
      <c r="OB88" s="120"/>
      <c r="OC88" s="120"/>
      <c r="OD88" s="120"/>
      <c r="OE88" s="440"/>
      <c r="PA88" s="436"/>
      <c r="PB88" s="120"/>
      <c r="PC88" s="120"/>
      <c r="PD88" s="120"/>
      <c r="PE88" s="440"/>
      <c r="QA88" s="436"/>
      <c r="QB88" s="120"/>
      <c r="QC88" s="120"/>
      <c r="QD88" s="120"/>
      <c r="QE88" s="440"/>
      <c r="RA88" s="436"/>
      <c r="RB88" s="120"/>
      <c r="RC88" s="120"/>
      <c r="RD88" s="120"/>
      <c r="RE88" s="440"/>
      <c r="SA88" s="436"/>
      <c r="SB88" s="120"/>
      <c r="SC88" s="120"/>
      <c r="SD88" s="120"/>
      <c r="SE88" s="440"/>
      <c r="TA88" s="436"/>
      <c r="TB88" s="120"/>
      <c r="TC88" s="120"/>
      <c r="TD88" s="120"/>
      <c r="TE88" s="440"/>
      <c r="UA88" s="436"/>
      <c r="UB88" s="120"/>
      <c r="UC88" s="120"/>
      <c r="UD88" s="120"/>
      <c r="UE88" s="440"/>
      <c r="VA88" s="436"/>
      <c r="VB88" s="120"/>
      <c r="VC88" s="120"/>
      <c r="VD88" s="120"/>
      <c r="VE88" s="440"/>
      <c r="WA88" s="436"/>
      <c r="WB88" s="120"/>
      <c r="WC88" s="120"/>
      <c r="WD88" s="120"/>
      <c r="WE88" s="440"/>
      <c r="XA88" s="436"/>
      <c r="XB88" s="120"/>
      <c r="XC88" s="120"/>
      <c r="XD88" s="120"/>
      <c r="XE88" s="440"/>
      <c r="YA88" s="436"/>
      <c r="YB88" s="120"/>
      <c r="YC88" s="120"/>
      <c r="YD88" s="120"/>
      <c r="YE88" s="440"/>
      <c r="ZA88" s="436"/>
      <c r="ZB88" s="120"/>
      <c r="ZC88" s="120"/>
      <c r="ZD88" s="120"/>
      <c r="ZE88" s="440"/>
      <c r="AAA88" s="436"/>
      <c r="AAB88" s="120"/>
      <c r="AAC88" s="120"/>
      <c r="AAD88" s="120"/>
      <c r="AAE88" s="440"/>
      <c r="ABA88" s="436"/>
      <c r="ABB88" s="120"/>
      <c r="ABC88" s="120"/>
      <c r="ABD88" s="120"/>
      <c r="ABE88" s="440"/>
      <c r="ACA88" s="436"/>
      <c r="ACB88" s="120"/>
      <c r="ACC88" s="120"/>
      <c r="ACD88" s="120"/>
      <c r="ACE88" s="440"/>
      <c r="ADA88" s="436"/>
      <c r="ADB88" s="120"/>
      <c r="ADC88" s="120"/>
      <c r="ADD88" s="120"/>
      <c r="ADE88" s="440"/>
      <c r="AEA88" s="436"/>
      <c r="AEB88" s="120"/>
      <c r="AEC88" s="120"/>
      <c r="AED88" s="120"/>
      <c r="AEE88" s="440"/>
      <c r="AFA88" s="436"/>
      <c r="AFB88" s="120"/>
      <c r="AFC88" s="120"/>
      <c r="AFD88" s="120"/>
      <c r="AFE88" s="440"/>
      <c r="AGA88" s="436"/>
      <c r="AGB88" s="120"/>
      <c r="AGC88" s="120"/>
      <c r="AGD88" s="120"/>
      <c r="AGE88" s="440"/>
      <c r="AHA88" s="436"/>
      <c r="AHB88" s="120"/>
      <c r="AHC88" s="120"/>
      <c r="AHD88" s="120"/>
      <c r="AHE88" s="440"/>
      <c r="AIA88" s="436"/>
      <c r="AIB88" s="120"/>
      <c r="AIC88" s="120"/>
      <c r="AID88" s="120"/>
      <c r="AIE88" s="440"/>
      <c r="AJA88" s="436"/>
      <c r="AJB88" s="120"/>
      <c r="AJC88" s="120"/>
      <c r="AJD88" s="120"/>
      <c r="AJE88" s="440"/>
      <c r="AKA88" s="436"/>
      <c r="AKB88" s="120"/>
      <c r="AKC88" s="120"/>
      <c r="AKD88" s="120"/>
      <c r="AKE88" s="440"/>
      <c r="ALA88" s="436"/>
      <c r="ALB88" s="120"/>
      <c r="ALC88" s="120"/>
      <c r="ALD88" s="120"/>
      <c r="ALE88" s="440"/>
      <c r="AMA88" s="436"/>
      <c r="AMB88" s="120"/>
      <c r="AMC88" s="120"/>
      <c r="AMD88" s="120"/>
      <c r="AME88" s="440"/>
      <c r="ANA88" s="436"/>
      <c r="ANB88" s="120"/>
      <c r="ANC88" s="120"/>
      <c r="AND88" s="120"/>
      <c r="ANE88" s="440"/>
      <c r="AOA88" s="436"/>
      <c r="AOB88" s="120"/>
      <c r="AOC88" s="120"/>
      <c r="AOD88" s="120"/>
      <c r="AOE88" s="440"/>
      <c r="APA88" s="436"/>
      <c r="APB88" s="120"/>
      <c r="APC88" s="120"/>
      <c r="APD88" s="120"/>
      <c r="APE88" s="440"/>
      <c r="AQA88" s="436"/>
      <c r="AQB88" s="120"/>
      <c r="AQC88" s="120"/>
      <c r="AQD88" s="120"/>
      <c r="AQE88" s="440"/>
      <c r="ARA88" s="436"/>
      <c r="ARB88" s="120"/>
      <c r="ARC88" s="120"/>
      <c r="ARD88" s="120"/>
      <c r="ARE88" s="440"/>
      <c r="ASA88" s="436"/>
      <c r="ASB88" s="120"/>
      <c r="ASC88" s="120"/>
      <c r="ASD88" s="120"/>
      <c r="ASE88" s="440"/>
      <c r="ATA88" s="436"/>
      <c r="ATB88" s="120"/>
      <c r="ATC88" s="120"/>
      <c r="ATD88" s="120"/>
      <c r="ATE88" s="440"/>
      <c r="AUA88" s="436"/>
      <c r="AUB88" s="120"/>
      <c r="AUC88" s="120"/>
      <c r="AUD88" s="120"/>
      <c r="AUE88" s="440"/>
      <c r="AVA88" s="436"/>
      <c r="AVB88" s="120"/>
      <c r="AVC88" s="120"/>
      <c r="AVD88" s="120"/>
      <c r="AVE88" s="440"/>
      <c r="AWA88" s="436"/>
      <c r="AWB88" s="120"/>
      <c r="AWC88" s="120"/>
      <c r="AWD88" s="120"/>
      <c r="AWE88" s="440"/>
      <c r="AXA88" s="436"/>
      <c r="AXB88" s="120"/>
      <c r="AXC88" s="120"/>
      <c r="AXD88" s="120"/>
      <c r="AXE88" s="440"/>
      <c r="AYA88" s="436"/>
      <c r="AYB88" s="120"/>
      <c r="AYC88" s="120"/>
      <c r="AYD88" s="120"/>
      <c r="AYE88" s="440"/>
      <c r="AZA88" s="436"/>
      <c r="AZB88" s="120"/>
      <c r="AZC88" s="120"/>
      <c r="AZD88" s="120"/>
      <c r="AZE88" s="440"/>
      <c r="BAA88" s="436"/>
      <c r="BAB88" s="120"/>
      <c r="BAC88" s="120"/>
      <c r="BAD88" s="120"/>
      <c r="BAE88" s="440"/>
      <c r="BBA88" s="436"/>
      <c r="BBB88" s="120"/>
      <c r="BBC88" s="120"/>
      <c r="BBD88" s="120"/>
      <c r="BBE88" s="440"/>
      <c r="BCA88" s="436"/>
      <c r="BCB88" s="120"/>
      <c r="BCC88" s="120"/>
      <c r="BCD88" s="120"/>
      <c r="BCE88" s="440"/>
      <c r="BDA88" s="436"/>
      <c r="BDB88" s="120"/>
      <c r="BDC88" s="120"/>
      <c r="BDD88" s="120"/>
      <c r="BDE88" s="440"/>
      <c r="BEA88" s="436"/>
      <c r="BEB88" s="120"/>
      <c r="BEC88" s="120"/>
      <c r="BED88" s="120"/>
      <c r="BEE88" s="440"/>
      <c r="BFA88" s="436"/>
      <c r="BFB88" s="120"/>
      <c r="BFC88" s="120"/>
      <c r="BFD88" s="120"/>
      <c r="BFE88" s="440"/>
      <c r="BGA88" s="436"/>
      <c r="BGB88" s="120"/>
      <c r="BGC88" s="120"/>
      <c r="BGD88" s="120"/>
      <c r="BGE88" s="440"/>
      <c r="BHA88" s="436"/>
      <c r="BHB88" s="120"/>
      <c r="BHC88" s="120"/>
      <c r="BHD88" s="120"/>
      <c r="BHE88" s="440"/>
      <c r="BIA88" s="436"/>
      <c r="BIB88" s="120"/>
      <c r="BIC88" s="120"/>
      <c r="BID88" s="120"/>
      <c r="BIE88" s="440"/>
      <c r="BJA88" s="436"/>
      <c r="BJB88" s="120"/>
      <c r="BJC88" s="120"/>
      <c r="BJD88" s="120"/>
      <c r="BJE88" s="440"/>
      <c r="BKA88" s="436"/>
      <c r="BKB88" s="120"/>
      <c r="BKC88" s="120"/>
      <c r="BKD88" s="120"/>
      <c r="BKE88" s="440"/>
      <c r="BLA88" s="436"/>
      <c r="BLB88" s="120"/>
      <c r="BLC88" s="120"/>
      <c r="BLD88" s="120"/>
      <c r="BLE88" s="440"/>
      <c r="BMA88" s="436"/>
      <c r="BMB88" s="120"/>
      <c r="BMC88" s="120"/>
      <c r="BMD88" s="120"/>
      <c r="BME88" s="440"/>
      <c r="BNA88" s="436"/>
      <c r="BNB88" s="120"/>
      <c r="BNC88" s="120"/>
      <c r="BND88" s="120"/>
      <c r="BNE88" s="440"/>
      <c r="BOA88" s="436"/>
      <c r="BOB88" s="120"/>
      <c r="BOC88" s="120"/>
      <c r="BOD88" s="120"/>
      <c r="BOE88" s="440"/>
      <c r="BPA88" s="436"/>
      <c r="BPB88" s="120"/>
      <c r="BPC88" s="120"/>
      <c r="BPD88" s="120"/>
      <c r="BPE88" s="440"/>
      <c r="BQA88" s="436"/>
      <c r="BQB88" s="120"/>
      <c r="BQC88" s="120"/>
      <c r="BQD88" s="120"/>
      <c r="BQE88" s="440"/>
      <c r="BRA88" s="436"/>
      <c r="BRB88" s="120"/>
      <c r="BRC88" s="120"/>
      <c r="BRD88" s="120"/>
      <c r="BRE88" s="440"/>
    </row>
    <row r="89" spans="27:1019 1041:1825">
      <c r="AA89" s="436" t="s">
        <v>464</v>
      </c>
      <c r="AB89" s="120"/>
      <c r="AC89" s="120"/>
      <c r="AD89" s="120"/>
      <c r="AE89" s="440"/>
      <c r="BA89" s="436" t="s">
        <v>464</v>
      </c>
      <c r="BB89" s="120"/>
      <c r="BC89" s="120"/>
      <c r="BD89" s="120"/>
      <c r="BE89" s="440"/>
      <c r="CA89" s="436" t="s">
        <v>464</v>
      </c>
      <c r="CB89" s="120"/>
      <c r="CC89" s="120"/>
      <c r="CD89" s="120"/>
      <c r="CE89" s="440"/>
      <c r="DA89" s="436" t="s">
        <v>464</v>
      </c>
      <c r="DB89" s="120"/>
      <c r="DC89" s="120"/>
      <c r="DD89" s="120"/>
      <c r="DE89" s="440"/>
      <c r="EA89" s="436" t="s">
        <v>464</v>
      </c>
      <c r="EB89" s="120"/>
      <c r="EC89" s="120"/>
      <c r="ED89" s="120"/>
      <c r="EE89" s="440"/>
      <c r="FA89" s="436" t="s">
        <v>464</v>
      </c>
      <c r="FB89" s="120"/>
      <c r="FC89" s="120"/>
      <c r="FD89" s="120"/>
      <c r="FE89" s="440"/>
      <c r="GA89" s="436" t="s">
        <v>464</v>
      </c>
      <c r="GB89" s="120"/>
      <c r="GC89" s="120"/>
      <c r="GD89" s="120"/>
      <c r="GE89" s="440"/>
      <c r="HA89" s="436" t="s">
        <v>464</v>
      </c>
      <c r="HB89" s="120"/>
      <c r="HC89" s="120"/>
      <c r="HD89" s="120"/>
      <c r="HE89" s="440"/>
      <c r="IA89" s="436" t="s">
        <v>464</v>
      </c>
      <c r="IB89" s="120"/>
      <c r="IC89" s="120"/>
      <c r="ID89" s="120"/>
      <c r="IE89" s="440"/>
      <c r="JA89" s="436" t="s">
        <v>464</v>
      </c>
      <c r="JB89" s="120"/>
      <c r="JC89" s="120"/>
      <c r="JD89" s="120"/>
      <c r="JE89" s="440"/>
      <c r="KA89" s="436" t="s">
        <v>464</v>
      </c>
      <c r="KB89" s="120"/>
      <c r="KC89" s="120"/>
      <c r="KD89" s="120"/>
      <c r="KE89" s="440"/>
      <c r="LA89" s="436" t="s">
        <v>464</v>
      </c>
      <c r="LB89" s="120"/>
      <c r="LC89" s="120"/>
      <c r="LD89" s="120"/>
      <c r="LE89" s="440"/>
      <c r="MA89" s="436" t="s">
        <v>464</v>
      </c>
      <c r="MB89" s="120"/>
      <c r="MC89" s="120"/>
      <c r="MD89" s="120"/>
      <c r="ME89" s="440"/>
      <c r="NA89" s="436" t="s">
        <v>464</v>
      </c>
      <c r="NB89" s="120"/>
      <c r="NC89" s="120"/>
      <c r="ND89" s="120"/>
      <c r="NE89" s="440"/>
      <c r="OA89" s="436" t="s">
        <v>464</v>
      </c>
      <c r="OB89" s="120"/>
      <c r="OC89" s="120"/>
      <c r="OD89" s="120"/>
      <c r="OE89" s="440"/>
      <c r="PA89" s="436" t="s">
        <v>464</v>
      </c>
      <c r="PB89" s="120"/>
      <c r="PC89" s="120"/>
      <c r="PD89" s="120"/>
      <c r="PE89" s="440"/>
      <c r="QA89" s="436" t="s">
        <v>464</v>
      </c>
      <c r="QB89" s="120"/>
      <c r="QC89" s="120"/>
      <c r="QD89" s="120"/>
      <c r="QE89" s="440"/>
      <c r="RA89" s="436" t="s">
        <v>464</v>
      </c>
      <c r="RB89" s="120"/>
      <c r="RC89" s="120"/>
      <c r="RD89" s="120"/>
      <c r="RE89" s="440"/>
      <c r="SA89" s="436" t="s">
        <v>464</v>
      </c>
      <c r="SB89" s="120"/>
      <c r="SC89" s="120"/>
      <c r="SD89" s="120"/>
      <c r="SE89" s="440"/>
      <c r="TA89" s="436" t="s">
        <v>464</v>
      </c>
      <c r="TB89" s="120"/>
      <c r="TC89" s="120"/>
      <c r="TD89" s="120"/>
      <c r="TE89" s="440"/>
      <c r="UA89" s="436" t="s">
        <v>464</v>
      </c>
      <c r="UB89" s="120"/>
      <c r="UC89" s="120"/>
      <c r="UD89" s="120"/>
      <c r="UE89" s="440"/>
      <c r="VA89" s="436" t="s">
        <v>464</v>
      </c>
      <c r="VB89" s="120"/>
      <c r="VC89" s="120"/>
      <c r="VD89" s="120"/>
      <c r="VE89" s="440"/>
      <c r="WA89" s="436" t="s">
        <v>464</v>
      </c>
      <c r="WB89" s="120"/>
      <c r="WC89" s="120"/>
      <c r="WD89" s="120"/>
      <c r="WE89" s="440"/>
      <c r="XA89" s="436" t="s">
        <v>464</v>
      </c>
      <c r="XB89" s="120"/>
      <c r="XC89" s="120"/>
      <c r="XD89" s="120"/>
      <c r="XE89" s="440"/>
      <c r="YA89" s="436" t="s">
        <v>464</v>
      </c>
      <c r="YB89" s="120"/>
      <c r="YC89" s="120"/>
      <c r="YD89" s="120"/>
      <c r="YE89" s="440"/>
      <c r="ZA89" s="436" t="s">
        <v>464</v>
      </c>
      <c r="ZB89" s="120"/>
      <c r="ZC89" s="120"/>
      <c r="ZD89" s="120"/>
      <c r="ZE89" s="440"/>
      <c r="AAA89" s="436" t="s">
        <v>464</v>
      </c>
      <c r="AAB89" s="120"/>
      <c r="AAC89" s="120"/>
      <c r="AAD89" s="120"/>
      <c r="AAE89" s="440"/>
      <c r="ABA89" s="436" t="s">
        <v>464</v>
      </c>
      <c r="ABB89" s="120"/>
      <c r="ABC89" s="120"/>
      <c r="ABD89" s="120"/>
      <c r="ABE89" s="440"/>
      <c r="ACA89" s="436" t="s">
        <v>464</v>
      </c>
      <c r="ACB89" s="120"/>
      <c r="ACC89" s="120"/>
      <c r="ACD89" s="120"/>
      <c r="ACE89" s="440"/>
      <c r="ADA89" s="436" t="s">
        <v>464</v>
      </c>
      <c r="ADB89" s="120"/>
      <c r="ADC89" s="120"/>
      <c r="ADD89" s="120"/>
      <c r="ADE89" s="440"/>
      <c r="AEA89" s="436" t="s">
        <v>464</v>
      </c>
      <c r="AEB89" s="120"/>
      <c r="AEC89" s="120"/>
      <c r="AED89" s="120"/>
      <c r="AEE89" s="440"/>
      <c r="AFA89" s="436" t="s">
        <v>464</v>
      </c>
      <c r="AFB89" s="120"/>
      <c r="AFC89" s="120"/>
      <c r="AFD89" s="120"/>
      <c r="AFE89" s="440"/>
      <c r="AGA89" s="436" t="s">
        <v>464</v>
      </c>
      <c r="AGB89" s="120"/>
      <c r="AGC89" s="120"/>
      <c r="AGD89" s="120"/>
      <c r="AGE89" s="440"/>
      <c r="AHA89" s="436" t="s">
        <v>464</v>
      </c>
      <c r="AHB89" s="120"/>
      <c r="AHC89" s="120"/>
      <c r="AHD89" s="120"/>
      <c r="AHE89" s="440"/>
      <c r="AIA89" s="436" t="s">
        <v>464</v>
      </c>
      <c r="AIB89" s="120"/>
      <c r="AIC89" s="120"/>
      <c r="AID89" s="120"/>
      <c r="AIE89" s="440"/>
      <c r="AJA89" s="436" t="s">
        <v>464</v>
      </c>
      <c r="AJB89" s="120"/>
      <c r="AJC89" s="120"/>
      <c r="AJD89" s="120"/>
      <c r="AJE89" s="440"/>
      <c r="AKA89" s="436" t="s">
        <v>464</v>
      </c>
      <c r="AKB89" s="120"/>
      <c r="AKC89" s="120"/>
      <c r="AKD89" s="120"/>
      <c r="AKE89" s="440"/>
      <c r="ALA89" s="436" t="s">
        <v>464</v>
      </c>
      <c r="ALB89" s="120"/>
      <c r="ALC89" s="120"/>
      <c r="ALD89" s="120"/>
      <c r="ALE89" s="440"/>
      <c r="AMA89" s="436" t="s">
        <v>464</v>
      </c>
      <c r="AMB89" s="120"/>
      <c r="AMC89" s="120"/>
      <c r="AMD89" s="120"/>
      <c r="AME89" s="440"/>
      <c r="ANA89" s="436" t="s">
        <v>464</v>
      </c>
      <c r="ANB89" s="120"/>
      <c r="ANC89" s="120"/>
      <c r="AND89" s="120"/>
      <c r="ANE89" s="440"/>
      <c r="AOA89" s="436" t="s">
        <v>464</v>
      </c>
      <c r="AOB89" s="120"/>
      <c r="AOC89" s="120"/>
      <c r="AOD89" s="120"/>
      <c r="AOE89" s="440"/>
      <c r="APA89" s="436" t="s">
        <v>464</v>
      </c>
      <c r="APB89" s="120"/>
      <c r="APC89" s="120"/>
      <c r="APD89" s="120"/>
      <c r="APE89" s="440"/>
      <c r="AQA89" s="436" t="s">
        <v>464</v>
      </c>
      <c r="AQB89" s="120"/>
      <c r="AQC89" s="120"/>
      <c r="AQD89" s="120"/>
      <c r="AQE89" s="440"/>
      <c r="ARA89" s="436" t="s">
        <v>464</v>
      </c>
      <c r="ARB89" s="120"/>
      <c r="ARC89" s="120"/>
      <c r="ARD89" s="120"/>
      <c r="ARE89" s="440"/>
      <c r="ASA89" s="436" t="s">
        <v>464</v>
      </c>
      <c r="ASB89" s="120"/>
      <c r="ASC89" s="120"/>
      <c r="ASD89" s="120"/>
      <c r="ASE89" s="440"/>
      <c r="ATA89" s="436" t="s">
        <v>464</v>
      </c>
      <c r="ATB89" s="120"/>
      <c r="ATC89" s="120"/>
      <c r="ATD89" s="120"/>
      <c r="ATE89" s="440"/>
      <c r="AUA89" s="436" t="s">
        <v>464</v>
      </c>
      <c r="AUB89" s="120"/>
      <c r="AUC89" s="120"/>
      <c r="AUD89" s="120"/>
      <c r="AUE89" s="440"/>
      <c r="AVA89" s="436" t="s">
        <v>464</v>
      </c>
      <c r="AVB89" s="120"/>
      <c r="AVC89" s="120"/>
      <c r="AVD89" s="120"/>
      <c r="AVE89" s="440"/>
      <c r="AWA89" s="436" t="s">
        <v>464</v>
      </c>
      <c r="AWB89" s="120"/>
      <c r="AWC89" s="120"/>
      <c r="AWD89" s="120"/>
      <c r="AWE89" s="440"/>
      <c r="AXA89" s="436" t="s">
        <v>464</v>
      </c>
      <c r="AXB89" s="120"/>
      <c r="AXC89" s="120"/>
      <c r="AXD89" s="120"/>
      <c r="AXE89" s="440"/>
      <c r="AYA89" s="436" t="s">
        <v>464</v>
      </c>
      <c r="AYB89" s="120"/>
      <c r="AYC89" s="120"/>
      <c r="AYD89" s="120"/>
      <c r="AYE89" s="440"/>
      <c r="AZA89" s="436" t="s">
        <v>464</v>
      </c>
      <c r="AZB89" s="120"/>
      <c r="AZC89" s="120"/>
      <c r="AZD89" s="120"/>
      <c r="AZE89" s="440"/>
      <c r="BAA89" s="436" t="s">
        <v>464</v>
      </c>
      <c r="BAB89" s="120"/>
      <c r="BAC89" s="120"/>
      <c r="BAD89" s="120"/>
      <c r="BAE89" s="440"/>
      <c r="BBA89" s="436" t="s">
        <v>464</v>
      </c>
      <c r="BBB89" s="120"/>
      <c r="BBC89" s="120"/>
      <c r="BBD89" s="120"/>
      <c r="BBE89" s="440"/>
      <c r="BCA89" s="436" t="s">
        <v>464</v>
      </c>
      <c r="BCB89" s="120"/>
      <c r="BCC89" s="120"/>
      <c r="BCD89" s="120"/>
      <c r="BCE89" s="440"/>
      <c r="BDA89" s="436" t="s">
        <v>464</v>
      </c>
      <c r="BDB89" s="120"/>
      <c r="BDC89" s="120"/>
      <c r="BDD89" s="120"/>
      <c r="BDE89" s="440"/>
      <c r="BEA89" s="436" t="s">
        <v>464</v>
      </c>
      <c r="BEB89" s="120"/>
      <c r="BEC89" s="120"/>
      <c r="BED89" s="120"/>
      <c r="BEE89" s="440"/>
      <c r="BFA89" s="436" t="s">
        <v>464</v>
      </c>
      <c r="BFB89" s="120"/>
      <c r="BFC89" s="120"/>
      <c r="BFD89" s="120"/>
      <c r="BFE89" s="440"/>
      <c r="BGA89" s="436" t="s">
        <v>464</v>
      </c>
      <c r="BGB89" s="120"/>
      <c r="BGC89" s="120"/>
      <c r="BGD89" s="120"/>
      <c r="BGE89" s="440"/>
      <c r="BHA89" s="436" t="s">
        <v>464</v>
      </c>
      <c r="BHB89" s="120"/>
      <c r="BHC89" s="120"/>
      <c r="BHD89" s="120"/>
      <c r="BHE89" s="440"/>
      <c r="BIA89" s="436" t="s">
        <v>464</v>
      </c>
      <c r="BIB89" s="120"/>
      <c r="BIC89" s="120"/>
      <c r="BID89" s="120"/>
      <c r="BIE89" s="440"/>
      <c r="BJA89" s="436" t="s">
        <v>464</v>
      </c>
      <c r="BJB89" s="120"/>
      <c r="BJC89" s="120"/>
      <c r="BJD89" s="120"/>
      <c r="BJE89" s="440"/>
      <c r="BKA89" s="436" t="s">
        <v>464</v>
      </c>
      <c r="BKB89" s="120"/>
      <c r="BKC89" s="120"/>
      <c r="BKD89" s="120"/>
      <c r="BKE89" s="440"/>
      <c r="BLA89" s="436" t="s">
        <v>464</v>
      </c>
      <c r="BLB89" s="120"/>
      <c r="BLC89" s="120"/>
      <c r="BLD89" s="120"/>
      <c r="BLE89" s="440"/>
      <c r="BMA89" s="436" t="s">
        <v>464</v>
      </c>
      <c r="BMB89" s="120"/>
      <c r="BMC89" s="120"/>
      <c r="BMD89" s="120"/>
      <c r="BME89" s="440"/>
      <c r="BNA89" s="436" t="s">
        <v>464</v>
      </c>
      <c r="BNB89" s="120"/>
      <c r="BNC89" s="120"/>
      <c r="BND89" s="120"/>
      <c r="BNE89" s="440"/>
      <c r="BOA89" s="436" t="s">
        <v>464</v>
      </c>
      <c r="BOB89" s="120"/>
      <c r="BOC89" s="120"/>
      <c r="BOD89" s="120"/>
      <c r="BOE89" s="440"/>
      <c r="BPA89" s="436" t="s">
        <v>464</v>
      </c>
      <c r="BPB89" s="120"/>
      <c r="BPC89" s="120"/>
      <c r="BPD89" s="120"/>
      <c r="BPE89" s="440"/>
      <c r="BQA89" s="436" t="s">
        <v>464</v>
      </c>
      <c r="BQB89" s="120"/>
      <c r="BQC89" s="120"/>
      <c r="BQD89" s="120"/>
      <c r="BQE89" s="440"/>
      <c r="BRA89" s="436" t="s">
        <v>464</v>
      </c>
      <c r="BRB89" s="120"/>
      <c r="BRC89" s="120"/>
      <c r="BRD89" s="120"/>
      <c r="BRE89" s="440"/>
    </row>
    <row r="90" spans="27:1019 1041:1825">
      <c r="AA90" s="456"/>
      <c r="AB90" s="457"/>
      <c r="AC90" s="457"/>
      <c r="AD90" s="457"/>
      <c r="AE90" s="458"/>
      <c r="BA90" s="456"/>
      <c r="BB90" s="457"/>
      <c r="BC90" s="457"/>
      <c r="BD90" s="457"/>
      <c r="BE90" s="458"/>
      <c r="CA90" s="456"/>
      <c r="CB90" s="457"/>
      <c r="CC90" s="457"/>
      <c r="CD90" s="457"/>
      <c r="CE90" s="458"/>
      <c r="DA90" s="456"/>
      <c r="DB90" s="457"/>
      <c r="DC90" s="457"/>
      <c r="DD90" s="457"/>
      <c r="DE90" s="458"/>
      <c r="EA90" s="456"/>
      <c r="EB90" s="457"/>
      <c r="EC90" s="457"/>
      <c r="ED90" s="457"/>
      <c r="EE90" s="458"/>
      <c r="FA90" s="456"/>
      <c r="FB90" s="457"/>
      <c r="FC90" s="457"/>
      <c r="FD90" s="457"/>
      <c r="FE90" s="458"/>
      <c r="GA90" s="456"/>
      <c r="GB90" s="457"/>
      <c r="GC90" s="457"/>
      <c r="GD90" s="457"/>
      <c r="GE90" s="458"/>
      <c r="HA90" s="456"/>
      <c r="HB90" s="457"/>
      <c r="HC90" s="457"/>
      <c r="HD90" s="457"/>
      <c r="HE90" s="458"/>
      <c r="IA90" s="456"/>
      <c r="IB90" s="457"/>
      <c r="IC90" s="457"/>
      <c r="ID90" s="457"/>
      <c r="IE90" s="458"/>
      <c r="JA90" s="456"/>
      <c r="JB90" s="457"/>
      <c r="JC90" s="457"/>
      <c r="JD90" s="457"/>
      <c r="JE90" s="458"/>
      <c r="KA90" s="456"/>
      <c r="KB90" s="457"/>
      <c r="KC90" s="457"/>
      <c r="KD90" s="457"/>
      <c r="KE90" s="458"/>
      <c r="LA90" s="456"/>
      <c r="LB90" s="457"/>
      <c r="LC90" s="457"/>
      <c r="LD90" s="457"/>
      <c r="LE90" s="458"/>
      <c r="MA90" s="456"/>
      <c r="MB90" s="457"/>
      <c r="MC90" s="457"/>
      <c r="MD90" s="457"/>
      <c r="ME90" s="458"/>
      <c r="NA90" s="456"/>
      <c r="NB90" s="457"/>
      <c r="NC90" s="457"/>
      <c r="ND90" s="457"/>
      <c r="NE90" s="458"/>
      <c r="OA90" s="456"/>
      <c r="OB90" s="457"/>
      <c r="OC90" s="457"/>
      <c r="OD90" s="457"/>
      <c r="OE90" s="458"/>
      <c r="PA90" s="456"/>
      <c r="PB90" s="457"/>
      <c r="PC90" s="457"/>
      <c r="PD90" s="457"/>
      <c r="PE90" s="458"/>
      <c r="QA90" s="456"/>
      <c r="QB90" s="457"/>
      <c r="QC90" s="457"/>
      <c r="QD90" s="457"/>
      <c r="QE90" s="458"/>
      <c r="RA90" s="456"/>
      <c r="RB90" s="457"/>
      <c r="RC90" s="457"/>
      <c r="RD90" s="457"/>
      <c r="RE90" s="458"/>
      <c r="SA90" s="456"/>
      <c r="SB90" s="457"/>
      <c r="SC90" s="457"/>
      <c r="SD90" s="457"/>
      <c r="SE90" s="458"/>
      <c r="TA90" s="456"/>
      <c r="TB90" s="457"/>
      <c r="TC90" s="457"/>
      <c r="TD90" s="457"/>
      <c r="TE90" s="458"/>
      <c r="UA90" s="456"/>
      <c r="UB90" s="457"/>
      <c r="UC90" s="457"/>
      <c r="UD90" s="457"/>
      <c r="UE90" s="458"/>
      <c r="VA90" s="456"/>
      <c r="VB90" s="457"/>
      <c r="VC90" s="457"/>
      <c r="VD90" s="457"/>
      <c r="VE90" s="458"/>
      <c r="WA90" s="456"/>
      <c r="WB90" s="457"/>
      <c r="WC90" s="457"/>
      <c r="WD90" s="457"/>
      <c r="WE90" s="458"/>
      <c r="XA90" s="456"/>
      <c r="XB90" s="457"/>
      <c r="XC90" s="457"/>
      <c r="XD90" s="457"/>
      <c r="XE90" s="458"/>
      <c r="YA90" s="456"/>
      <c r="YB90" s="457"/>
      <c r="YC90" s="457"/>
      <c r="YD90" s="457"/>
      <c r="YE90" s="458"/>
      <c r="ZA90" s="456"/>
      <c r="ZB90" s="457"/>
      <c r="ZC90" s="457"/>
      <c r="ZD90" s="457"/>
      <c r="ZE90" s="458"/>
      <c r="AAA90" s="456"/>
      <c r="AAB90" s="457"/>
      <c r="AAC90" s="457"/>
      <c r="AAD90" s="457"/>
      <c r="AAE90" s="458"/>
      <c r="ABA90" s="456"/>
      <c r="ABB90" s="457"/>
      <c r="ABC90" s="457"/>
      <c r="ABD90" s="457"/>
      <c r="ABE90" s="458"/>
      <c r="ACA90" s="456"/>
      <c r="ACB90" s="457"/>
      <c r="ACC90" s="457"/>
      <c r="ACD90" s="457"/>
      <c r="ACE90" s="458"/>
      <c r="ADA90" s="456"/>
      <c r="ADB90" s="457"/>
      <c r="ADC90" s="457"/>
      <c r="ADD90" s="457"/>
      <c r="ADE90" s="458"/>
      <c r="AEA90" s="456"/>
      <c r="AEB90" s="457"/>
      <c r="AEC90" s="457"/>
      <c r="AED90" s="457"/>
      <c r="AEE90" s="458"/>
      <c r="AFA90" s="456"/>
      <c r="AFB90" s="457"/>
      <c r="AFC90" s="457"/>
      <c r="AFD90" s="457"/>
      <c r="AFE90" s="458"/>
      <c r="AGA90" s="456"/>
      <c r="AGB90" s="457"/>
      <c r="AGC90" s="457"/>
      <c r="AGD90" s="457"/>
      <c r="AGE90" s="458"/>
      <c r="AHA90" s="456"/>
      <c r="AHB90" s="457"/>
      <c r="AHC90" s="457"/>
      <c r="AHD90" s="457"/>
      <c r="AHE90" s="458"/>
      <c r="AIA90" s="456"/>
      <c r="AIB90" s="457"/>
      <c r="AIC90" s="457"/>
      <c r="AID90" s="457"/>
      <c r="AIE90" s="458"/>
      <c r="AJA90" s="456"/>
      <c r="AJB90" s="457"/>
      <c r="AJC90" s="457"/>
      <c r="AJD90" s="457"/>
      <c r="AJE90" s="458"/>
      <c r="AKA90" s="456"/>
      <c r="AKB90" s="457"/>
      <c r="AKC90" s="457"/>
      <c r="AKD90" s="457"/>
      <c r="AKE90" s="458"/>
      <c r="ALA90" s="456"/>
      <c r="ALB90" s="457"/>
      <c r="ALC90" s="457"/>
      <c r="ALD90" s="457"/>
      <c r="ALE90" s="458"/>
      <c r="AMA90" s="456"/>
      <c r="AMB90" s="457"/>
      <c r="AMC90" s="457"/>
      <c r="AMD90" s="457"/>
      <c r="AME90" s="458"/>
      <c r="ANA90" s="456"/>
      <c r="ANB90" s="457"/>
      <c r="ANC90" s="457"/>
      <c r="AND90" s="457"/>
      <c r="ANE90" s="458"/>
      <c r="AOA90" s="456"/>
      <c r="AOB90" s="457"/>
      <c r="AOC90" s="457"/>
      <c r="AOD90" s="457"/>
      <c r="AOE90" s="458"/>
      <c r="APA90" s="456"/>
      <c r="APB90" s="457"/>
      <c r="APC90" s="457"/>
      <c r="APD90" s="457"/>
      <c r="APE90" s="458"/>
      <c r="AQA90" s="456"/>
      <c r="AQB90" s="457"/>
      <c r="AQC90" s="457"/>
      <c r="AQD90" s="457"/>
      <c r="AQE90" s="458"/>
      <c r="ARA90" s="456"/>
      <c r="ARB90" s="457"/>
      <c r="ARC90" s="457"/>
      <c r="ARD90" s="457"/>
      <c r="ARE90" s="458"/>
      <c r="ASA90" s="456"/>
      <c r="ASB90" s="457"/>
      <c r="ASC90" s="457"/>
      <c r="ASD90" s="457"/>
      <c r="ASE90" s="458"/>
      <c r="ATA90" s="456"/>
      <c r="ATB90" s="457"/>
      <c r="ATC90" s="457"/>
      <c r="ATD90" s="457"/>
      <c r="ATE90" s="458"/>
      <c r="AUA90" s="456"/>
      <c r="AUB90" s="457"/>
      <c r="AUC90" s="457"/>
      <c r="AUD90" s="457"/>
      <c r="AUE90" s="458"/>
      <c r="AVA90" s="456"/>
      <c r="AVB90" s="457"/>
      <c r="AVC90" s="457"/>
      <c r="AVD90" s="457"/>
      <c r="AVE90" s="458"/>
      <c r="AWA90" s="456"/>
      <c r="AWB90" s="457"/>
      <c r="AWC90" s="457"/>
      <c r="AWD90" s="457"/>
      <c r="AWE90" s="458"/>
      <c r="AXA90" s="456"/>
      <c r="AXB90" s="457"/>
      <c r="AXC90" s="457"/>
      <c r="AXD90" s="457"/>
      <c r="AXE90" s="458"/>
      <c r="AYA90" s="456"/>
      <c r="AYB90" s="457"/>
      <c r="AYC90" s="457"/>
      <c r="AYD90" s="457"/>
      <c r="AYE90" s="458"/>
      <c r="AZA90" s="456"/>
      <c r="AZB90" s="457"/>
      <c r="AZC90" s="457"/>
      <c r="AZD90" s="457"/>
      <c r="AZE90" s="458"/>
      <c r="BAA90" s="456"/>
      <c r="BAB90" s="457"/>
      <c r="BAC90" s="457"/>
      <c r="BAD90" s="457"/>
      <c r="BAE90" s="458"/>
      <c r="BBA90" s="456"/>
      <c r="BBB90" s="457"/>
      <c r="BBC90" s="457"/>
      <c r="BBD90" s="457"/>
      <c r="BBE90" s="458"/>
      <c r="BCA90" s="456"/>
      <c r="BCB90" s="457"/>
      <c r="BCC90" s="457"/>
      <c r="BCD90" s="457"/>
      <c r="BCE90" s="458"/>
      <c r="BDA90" s="456"/>
      <c r="BDB90" s="457"/>
      <c r="BDC90" s="457"/>
      <c r="BDD90" s="457"/>
      <c r="BDE90" s="458"/>
      <c r="BEA90" s="456"/>
      <c r="BEB90" s="457"/>
      <c r="BEC90" s="457"/>
      <c r="BED90" s="457"/>
      <c r="BEE90" s="458"/>
      <c r="BFA90" s="456"/>
      <c r="BFB90" s="457"/>
      <c r="BFC90" s="457"/>
      <c r="BFD90" s="457"/>
      <c r="BFE90" s="458"/>
      <c r="BGA90" s="456"/>
      <c r="BGB90" s="457"/>
      <c r="BGC90" s="457"/>
      <c r="BGD90" s="457"/>
      <c r="BGE90" s="458"/>
      <c r="BHA90" s="456"/>
      <c r="BHB90" s="457"/>
      <c r="BHC90" s="457"/>
      <c r="BHD90" s="457"/>
      <c r="BHE90" s="458"/>
      <c r="BIA90" s="456"/>
      <c r="BIB90" s="457"/>
      <c r="BIC90" s="457"/>
      <c r="BID90" s="457"/>
      <c r="BIE90" s="458"/>
      <c r="BJA90" s="456"/>
      <c r="BJB90" s="457"/>
      <c r="BJC90" s="457"/>
      <c r="BJD90" s="457"/>
      <c r="BJE90" s="458"/>
      <c r="BKA90" s="456"/>
      <c r="BKB90" s="457"/>
      <c r="BKC90" s="457"/>
      <c r="BKD90" s="457"/>
      <c r="BKE90" s="458"/>
      <c r="BLA90" s="456"/>
      <c r="BLB90" s="457"/>
      <c r="BLC90" s="457"/>
      <c r="BLD90" s="457"/>
      <c r="BLE90" s="458"/>
      <c r="BMA90" s="456"/>
      <c r="BMB90" s="457"/>
      <c r="BMC90" s="457"/>
      <c r="BMD90" s="457"/>
      <c r="BME90" s="458"/>
      <c r="BNA90" s="456"/>
      <c r="BNB90" s="457"/>
      <c r="BNC90" s="457"/>
      <c r="BND90" s="457"/>
      <c r="BNE90" s="458"/>
      <c r="BOA90" s="456"/>
      <c r="BOB90" s="457"/>
      <c r="BOC90" s="457"/>
      <c r="BOD90" s="457"/>
      <c r="BOE90" s="458"/>
      <c r="BPA90" s="456"/>
      <c r="BPB90" s="457"/>
      <c r="BPC90" s="457"/>
      <c r="BPD90" s="457"/>
      <c r="BPE90" s="458"/>
      <c r="BQA90" s="456"/>
      <c r="BQB90" s="457"/>
      <c r="BQC90" s="457"/>
      <c r="BQD90" s="457"/>
      <c r="BQE90" s="458"/>
      <c r="BRA90" s="456"/>
      <c r="BRB90" s="457"/>
      <c r="BRC90" s="457"/>
      <c r="BRD90" s="457"/>
      <c r="BRE90" s="458"/>
    </row>
    <row r="91" spans="27:1019 1041:1825">
      <c r="AA91" s="449" t="s">
        <v>472</v>
      </c>
      <c r="AB91" s="467" t="s">
        <v>612</v>
      </c>
      <c r="AC91" s="120" t="s">
        <v>613</v>
      </c>
      <c r="AD91" s="467" t="s">
        <v>614</v>
      </c>
      <c r="AE91" s="440" t="s">
        <v>613</v>
      </c>
      <c r="BA91" s="449" t="s">
        <v>472</v>
      </c>
      <c r="BB91" s="467" t="s">
        <v>612</v>
      </c>
      <c r="BC91" s="120" t="s">
        <v>613</v>
      </c>
      <c r="BD91" s="467" t="s">
        <v>614</v>
      </c>
      <c r="BE91" s="440" t="s">
        <v>613</v>
      </c>
      <c r="CA91" s="449" t="s">
        <v>472</v>
      </c>
      <c r="CB91" s="467" t="s">
        <v>612</v>
      </c>
      <c r="CC91" s="120" t="s">
        <v>613</v>
      </c>
      <c r="CD91" s="467" t="s">
        <v>614</v>
      </c>
      <c r="CE91" s="440" t="s">
        <v>613</v>
      </c>
      <c r="DA91" s="449" t="s">
        <v>472</v>
      </c>
      <c r="DB91" s="467" t="s">
        <v>612</v>
      </c>
      <c r="DC91" s="120" t="s">
        <v>613</v>
      </c>
      <c r="DD91" s="467" t="s">
        <v>614</v>
      </c>
      <c r="DE91" s="440" t="s">
        <v>613</v>
      </c>
      <c r="EA91" s="449" t="s">
        <v>472</v>
      </c>
      <c r="EB91" s="467" t="s">
        <v>612</v>
      </c>
      <c r="EC91" s="120" t="s">
        <v>613</v>
      </c>
      <c r="ED91" s="467" t="s">
        <v>614</v>
      </c>
      <c r="EE91" s="440" t="s">
        <v>613</v>
      </c>
      <c r="FA91" s="449" t="s">
        <v>472</v>
      </c>
      <c r="FB91" s="467" t="s">
        <v>612</v>
      </c>
      <c r="FC91" s="120" t="s">
        <v>613</v>
      </c>
      <c r="FD91" s="467" t="s">
        <v>614</v>
      </c>
      <c r="FE91" s="440" t="s">
        <v>613</v>
      </c>
      <c r="GA91" s="449" t="s">
        <v>472</v>
      </c>
      <c r="GB91" s="467" t="s">
        <v>612</v>
      </c>
      <c r="GC91" s="120" t="s">
        <v>613</v>
      </c>
      <c r="GD91" s="467" t="s">
        <v>614</v>
      </c>
      <c r="GE91" s="440" t="s">
        <v>613</v>
      </c>
      <c r="HA91" s="449" t="s">
        <v>472</v>
      </c>
      <c r="HB91" s="467" t="s">
        <v>612</v>
      </c>
      <c r="HC91" s="120" t="s">
        <v>613</v>
      </c>
      <c r="HD91" s="467" t="s">
        <v>614</v>
      </c>
      <c r="HE91" s="440" t="s">
        <v>613</v>
      </c>
      <c r="IA91" s="449" t="s">
        <v>472</v>
      </c>
      <c r="IB91" s="467" t="s">
        <v>612</v>
      </c>
      <c r="IC91" s="120" t="s">
        <v>613</v>
      </c>
      <c r="ID91" s="467" t="s">
        <v>614</v>
      </c>
      <c r="IE91" s="440" t="s">
        <v>613</v>
      </c>
      <c r="JA91" s="449" t="s">
        <v>472</v>
      </c>
      <c r="JB91" s="467" t="s">
        <v>612</v>
      </c>
      <c r="JC91" s="120" t="s">
        <v>613</v>
      </c>
      <c r="JD91" s="467" t="s">
        <v>614</v>
      </c>
      <c r="JE91" s="440" t="s">
        <v>613</v>
      </c>
      <c r="KA91" s="449" t="s">
        <v>472</v>
      </c>
      <c r="KB91" s="467" t="s">
        <v>612</v>
      </c>
      <c r="KC91" s="120" t="s">
        <v>613</v>
      </c>
      <c r="KD91" s="467" t="s">
        <v>614</v>
      </c>
      <c r="KE91" s="440" t="s">
        <v>613</v>
      </c>
      <c r="LA91" s="449" t="s">
        <v>472</v>
      </c>
      <c r="LB91" s="467" t="s">
        <v>612</v>
      </c>
      <c r="LC91" s="120" t="s">
        <v>613</v>
      </c>
      <c r="LD91" s="467" t="s">
        <v>614</v>
      </c>
      <c r="LE91" s="440" t="s">
        <v>613</v>
      </c>
      <c r="MA91" s="449" t="s">
        <v>472</v>
      </c>
      <c r="MB91" s="467" t="s">
        <v>612</v>
      </c>
      <c r="MC91" s="120" t="s">
        <v>613</v>
      </c>
      <c r="MD91" s="467" t="s">
        <v>614</v>
      </c>
      <c r="ME91" s="440" t="s">
        <v>613</v>
      </c>
      <c r="NA91" s="449" t="s">
        <v>472</v>
      </c>
      <c r="NB91" s="467" t="s">
        <v>612</v>
      </c>
      <c r="NC91" s="120" t="s">
        <v>613</v>
      </c>
      <c r="ND91" s="467" t="s">
        <v>614</v>
      </c>
      <c r="NE91" s="440" t="s">
        <v>613</v>
      </c>
      <c r="OA91" s="449" t="s">
        <v>472</v>
      </c>
      <c r="OB91" s="467" t="s">
        <v>612</v>
      </c>
      <c r="OC91" s="120" t="s">
        <v>613</v>
      </c>
      <c r="OD91" s="467" t="s">
        <v>614</v>
      </c>
      <c r="OE91" s="440" t="s">
        <v>613</v>
      </c>
      <c r="PA91" s="449" t="s">
        <v>472</v>
      </c>
      <c r="PB91" s="467" t="s">
        <v>612</v>
      </c>
      <c r="PC91" s="120" t="s">
        <v>613</v>
      </c>
      <c r="PD91" s="467" t="s">
        <v>614</v>
      </c>
      <c r="PE91" s="440" t="s">
        <v>613</v>
      </c>
      <c r="QA91" s="449" t="s">
        <v>472</v>
      </c>
      <c r="QB91" s="467" t="s">
        <v>612</v>
      </c>
      <c r="QC91" s="120" t="s">
        <v>613</v>
      </c>
      <c r="QD91" s="467" t="s">
        <v>614</v>
      </c>
      <c r="QE91" s="440" t="s">
        <v>613</v>
      </c>
      <c r="RA91" s="449" t="s">
        <v>472</v>
      </c>
      <c r="RB91" s="467" t="s">
        <v>612</v>
      </c>
      <c r="RC91" s="120" t="s">
        <v>613</v>
      </c>
      <c r="RD91" s="467" t="s">
        <v>614</v>
      </c>
      <c r="RE91" s="440" t="s">
        <v>613</v>
      </c>
      <c r="SA91" s="449" t="s">
        <v>472</v>
      </c>
      <c r="SB91" s="467" t="s">
        <v>612</v>
      </c>
      <c r="SC91" s="120" t="s">
        <v>613</v>
      </c>
      <c r="SD91" s="467" t="s">
        <v>614</v>
      </c>
      <c r="SE91" s="440" t="s">
        <v>613</v>
      </c>
      <c r="TA91" s="449" t="s">
        <v>472</v>
      </c>
      <c r="TB91" s="467" t="s">
        <v>612</v>
      </c>
      <c r="TC91" s="120" t="s">
        <v>613</v>
      </c>
      <c r="TD91" s="467" t="s">
        <v>614</v>
      </c>
      <c r="TE91" s="440" t="s">
        <v>613</v>
      </c>
      <c r="UA91" s="449" t="s">
        <v>472</v>
      </c>
      <c r="UB91" s="467" t="s">
        <v>612</v>
      </c>
      <c r="UC91" s="120" t="s">
        <v>613</v>
      </c>
      <c r="UD91" s="467" t="s">
        <v>614</v>
      </c>
      <c r="UE91" s="440" t="s">
        <v>613</v>
      </c>
      <c r="VA91" s="449" t="s">
        <v>472</v>
      </c>
      <c r="VB91" s="467" t="s">
        <v>612</v>
      </c>
      <c r="VC91" s="120" t="s">
        <v>613</v>
      </c>
      <c r="VD91" s="467" t="s">
        <v>614</v>
      </c>
      <c r="VE91" s="440" t="s">
        <v>613</v>
      </c>
      <c r="WA91" s="449" t="s">
        <v>472</v>
      </c>
      <c r="WB91" s="467" t="s">
        <v>612</v>
      </c>
      <c r="WC91" s="120" t="s">
        <v>613</v>
      </c>
      <c r="WD91" s="467" t="s">
        <v>614</v>
      </c>
      <c r="WE91" s="440" t="s">
        <v>613</v>
      </c>
      <c r="XA91" s="449" t="s">
        <v>472</v>
      </c>
      <c r="XB91" s="467" t="s">
        <v>612</v>
      </c>
      <c r="XC91" s="120" t="s">
        <v>613</v>
      </c>
      <c r="XD91" s="467" t="s">
        <v>614</v>
      </c>
      <c r="XE91" s="440" t="s">
        <v>613</v>
      </c>
      <c r="YA91" s="449" t="s">
        <v>472</v>
      </c>
      <c r="YB91" s="467" t="s">
        <v>612</v>
      </c>
      <c r="YC91" s="120" t="s">
        <v>613</v>
      </c>
      <c r="YD91" s="467" t="s">
        <v>614</v>
      </c>
      <c r="YE91" s="440" t="s">
        <v>613</v>
      </c>
      <c r="ZA91" s="449" t="s">
        <v>472</v>
      </c>
      <c r="ZB91" s="467" t="s">
        <v>612</v>
      </c>
      <c r="ZC91" s="120" t="s">
        <v>613</v>
      </c>
      <c r="ZD91" s="467" t="s">
        <v>614</v>
      </c>
      <c r="ZE91" s="440" t="s">
        <v>613</v>
      </c>
      <c r="AAA91" s="449" t="s">
        <v>472</v>
      </c>
      <c r="AAB91" s="467" t="s">
        <v>612</v>
      </c>
      <c r="AAC91" s="120" t="s">
        <v>613</v>
      </c>
      <c r="AAD91" s="467" t="s">
        <v>614</v>
      </c>
      <c r="AAE91" s="440" t="s">
        <v>613</v>
      </c>
      <c r="ABA91" s="449" t="s">
        <v>472</v>
      </c>
      <c r="ABB91" s="467" t="s">
        <v>612</v>
      </c>
      <c r="ABC91" s="120" t="s">
        <v>613</v>
      </c>
      <c r="ABD91" s="467" t="s">
        <v>614</v>
      </c>
      <c r="ABE91" s="440" t="s">
        <v>613</v>
      </c>
      <c r="ACA91" s="449" t="s">
        <v>472</v>
      </c>
      <c r="ACB91" s="467" t="s">
        <v>612</v>
      </c>
      <c r="ACC91" s="120" t="s">
        <v>613</v>
      </c>
      <c r="ACD91" s="467" t="s">
        <v>614</v>
      </c>
      <c r="ACE91" s="440" t="s">
        <v>613</v>
      </c>
      <c r="ADA91" s="449" t="s">
        <v>472</v>
      </c>
      <c r="ADB91" s="467" t="s">
        <v>612</v>
      </c>
      <c r="ADC91" s="120" t="s">
        <v>613</v>
      </c>
      <c r="ADD91" s="467" t="s">
        <v>614</v>
      </c>
      <c r="ADE91" s="440" t="s">
        <v>613</v>
      </c>
      <c r="AEA91" s="449" t="s">
        <v>472</v>
      </c>
      <c r="AEB91" s="467" t="s">
        <v>612</v>
      </c>
      <c r="AEC91" s="120" t="s">
        <v>613</v>
      </c>
      <c r="AED91" s="467" t="s">
        <v>614</v>
      </c>
      <c r="AEE91" s="440" t="s">
        <v>613</v>
      </c>
      <c r="AFA91" s="449" t="s">
        <v>472</v>
      </c>
      <c r="AFB91" s="467" t="s">
        <v>612</v>
      </c>
      <c r="AFC91" s="120" t="s">
        <v>613</v>
      </c>
      <c r="AFD91" s="467" t="s">
        <v>614</v>
      </c>
      <c r="AFE91" s="440" t="s">
        <v>613</v>
      </c>
      <c r="AGA91" s="449" t="s">
        <v>472</v>
      </c>
      <c r="AGB91" s="467" t="s">
        <v>612</v>
      </c>
      <c r="AGC91" s="120" t="s">
        <v>613</v>
      </c>
      <c r="AGD91" s="467" t="s">
        <v>614</v>
      </c>
      <c r="AGE91" s="440" t="s">
        <v>613</v>
      </c>
      <c r="AHA91" s="449" t="s">
        <v>472</v>
      </c>
      <c r="AHB91" s="467" t="s">
        <v>612</v>
      </c>
      <c r="AHC91" s="120" t="s">
        <v>613</v>
      </c>
      <c r="AHD91" s="467" t="s">
        <v>614</v>
      </c>
      <c r="AHE91" s="440" t="s">
        <v>613</v>
      </c>
      <c r="AIA91" s="449" t="s">
        <v>472</v>
      </c>
      <c r="AIB91" s="467" t="s">
        <v>612</v>
      </c>
      <c r="AIC91" s="120" t="s">
        <v>613</v>
      </c>
      <c r="AID91" s="467" t="s">
        <v>614</v>
      </c>
      <c r="AIE91" s="440" t="s">
        <v>613</v>
      </c>
      <c r="AJA91" s="449" t="s">
        <v>472</v>
      </c>
      <c r="AJB91" s="467" t="s">
        <v>612</v>
      </c>
      <c r="AJC91" s="120" t="s">
        <v>613</v>
      </c>
      <c r="AJD91" s="467" t="s">
        <v>614</v>
      </c>
      <c r="AJE91" s="440" t="s">
        <v>613</v>
      </c>
      <c r="AKA91" s="449" t="s">
        <v>472</v>
      </c>
      <c r="AKB91" s="467" t="s">
        <v>612</v>
      </c>
      <c r="AKC91" s="120" t="s">
        <v>613</v>
      </c>
      <c r="AKD91" s="467" t="s">
        <v>614</v>
      </c>
      <c r="AKE91" s="440" t="s">
        <v>613</v>
      </c>
      <c r="ALA91" s="449" t="s">
        <v>472</v>
      </c>
      <c r="ALB91" s="467" t="s">
        <v>612</v>
      </c>
      <c r="ALC91" s="120" t="s">
        <v>613</v>
      </c>
      <c r="ALD91" s="467" t="s">
        <v>614</v>
      </c>
      <c r="ALE91" s="440" t="s">
        <v>613</v>
      </c>
      <c r="AMA91" s="449" t="s">
        <v>472</v>
      </c>
      <c r="AMB91" s="467" t="s">
        <v>612</v>
      </c>
      <c r="AMC91" s="120" t="s">
        <v>613</v>
      </c>
      <c r="AMD91" s="467" t="s">
        <v>614</v>
      </c>
      <c r="AME91" s="440" t="s">
        <v>613</v>
      </c>
      <c r="ANA91" s="449" t="s">
        <v>472</v>
      </c>
      <c r="ANB91" s="467" t="s">
        <v>612</v>
      </c>
      <c r="ANC91" s="120" t="s">
        <v>613</v>
      </c>
      <c r="AND91" s="467" t="s">
        <v>614</v>
      </c>
      <c r="ANE91" s="440" t="s">
        <v>613</v>
      </c>
      <c r="AOA91" s="449" t="s">
        <v>472</v>
      </c>
      <c r="AOB91" s="467" t="s">
        <v>612</v>
      </c>
      <c r="AOC91" s="120" t="s">
        <v>613</v>
      </c>
      <c r="AOD91" s="467" t="s">
        <v>614</v>
      </c>
      <c r="AOE91" s="440" t="s">
        <v>613</v>
      </c>
      <c r="APA91" s="449" t="s">
        <v>472</v>
      </c>
      <c r="APB91" s="467" t="s">
        <v>612</v>
      </c>
      <c r="APC91" s="120" t="s">
        <v>613</v>
      </c>
      <c r="APD91" s="467" t="s">
        <v>614</v>
      </c>
      <c r="APE91" s="440" t="s">
        <v>613</v>
      </c>
      <c r="AQA91" s="449" t="s">
        <v>472</v>
      </c>
      <c r="AQB91" s="467" t="s">
        <v>612</v>
      </c>
      <c r="AQC91" s="120" t="s">
        <v>613</v>
      </c>
      <c r="AQD91" s="467" t="s">
        <v>614</v>
      </c>
      <c r="AQE91" s="440" t="s">
        <v>613</v>
      </c>
      <c r="ARA91" s="449" t="s">
        <v>472</v>
      </c>
      <c r="ARB91" s="467" t="s">
        <v>612</v>
      </c>
      <c r="ARC91" s="120" t="s">
        <v>613</v>
      </c>
      <c r="ARD91" s="467" t="s">
        <v>614</v>
      </c>
      <c r="ARE91" s="440" t="s">
        <v>613</v>
      </c>
      <c r="ASA91" s="449" t="s">
        <v>472</v>
      </c>
      <c r="ASB91" s="467" t="s">
        <v>612</v>
      </c>
      <c r="ASC91" s="120" t="s">
        <v>613</v>
      </c>
      <c r="ASD91" s="467" t="s">
        <v>614</v>
      </c>
      <c r="ASE91" s="440" t="s">
        <v>613</v>
      </c>
      <c r="ATA91" s="449" t="s">
        <v>472</v>
      </c>
      <c r="ATB91" s="467" t="s">
        <v>612</v>
      </c>
      <c r="ATC91" s="120" t="s">
        <v>613</v>
      </c>
      <c r="ATD91" s="467" t="s">
        <v>614</v>
      </c>
      <c r="ATE91" s="440" t="s">
        <v>613</v>
      </c>
      <c r="AUA91" s="449" t="s">
        <v>472</v>
      </c>
      <c r="AUB91" s="467" t="s">
        <v>612</v>
      </c>
      <c r="AUC91" s="120" t="s">
        <v>613</v>
      </c>
      <c r="AUD91" s="467" t="s">
        <v>614</v>
      </c>
      <c r="AUE91" s="440" t="s">
        <v>613</v>
      </c>
      <c r="AVA91" s="449" t="s">
        <v>472</v>
      </c>
      <c r="AVB91" s="467" t="s">
        <v>612</v>
      </c>
      <c r="AVC91" s="120" t="s">
        <v>613</v>
      </c>
      <c r="AVD91" s="467" t="s">
        <v>614</v>
      </c>
      <c r="AVE91" s="440" t="s">
        <v>613</v>
      </c>
      <c r="AWA91" s="449" t="s">
        <v>472</v>
      </c>
      <c r="AWB91" s="467" t="s">
        <v>612</v>
      </c>
      <c r="AWC91" s="120" t="s">
        <v>613</v>
      </c>
      <c r="AWD91" s="467" t="s">
        <v>614</v>
      </c>
      <c r="AWE91" s="440" t="s">
        <v>613</v>
      </c>
      <c r="AXA91" s="449" t="s">
        <v>472</v>
      </c>
      <c r="AXB91" s="467" t="s">
        <v>612</v>
      </c>
      <c r="AXC91" s="120" t="s">
        <v>613</v>
      </c>
      <c r="AXD91" s="467" t="s">
        <v>614</v>
      </c>
      <c r="AXE91" s="440" t="s">
        <v>613</v>
      </c>
      <c r="AYA91" s="449" t="s">
        <v>472</v>
      </c>
      <c r="AYB91" s="467" t="s">
        <v>612</v>
      </c>
      <c r="AYC91" s="120" t="s">
        <v>613</v>
      </c>
      <c r="AYD91" s="467" t="s">
        <v>614</v>
      </c>
      <c r="AYE91" s="440" t="s">
        <v>613</v>
      </c>
      <c r="AZA91" s="449" t="s">
        <v>472</v>
      </c>
      <c r="AZB91" s="467" t="s">
        <v>612</v>
      </c>
      <c r="AZC91" s="120" t="s">
        <v>613</v>
      </c>
      <c r="AZD91" s="467" t="s">
        <v>614</v>
      </c>
      <c r="AZE91" s="440" t="s">
        <v>613</v>
      </c>
      <c r="BAA91" s="449" t="s">
        <v>472</v>
      </c>
      <c r="BAB91" s="467" t="s">
        <v>612</v>
      </c>
      <c r="BAC91" s="120" t="s">
        <v>613</v>
      </c>
      <c r="BAD91" s="467" t="s">
        <v>614</v>
      </c>
      <c r="BAE91" s="440" t="s">
        <v>613</v>
      </c>
      <c r="BBA91" s="449" t="s">
        <v>472</v>
      </c>
      <c r="BBB91" s="467" t="s">
        <v>612</v>
      </c>
      <c r="BBC91" s="120" t="s">
        <v>613</v>
      </c>
      <c r="BBD91" s="467" t="s">
        <v>614</v>
      </c>
      <c r="BBE91" s="440" t="s">
        <v>613</v>
      </c>
      <c r="BCA91" s="449" t="s">
        <v>472</v>
      </c>
      <c r="BCB91" s="467" t="s">
        <v>612</v>
      </c>
      <c r="BCC91" s="120" t="s">
        <v>613</v>
      </c>
      <c r="BCD91" s="467" t="s">
        <v>614</v>
      </c>
      <c r="BCE91" s="440" t="s">
        <v>613</v>
      </c>
      <c r="BDA91" s="449" t="s">
        <v>472</v>
      </c>
      <c r="BDB91" s="467" t="s">
        <v>612</v>
      </c>
      <c r="BDC91" s="120" t="s">
        <v>613</v>
      </c>
      <c r="BDD91" s="467" t="s">
        <v>614</v>
      </c>
      <c r="BDE91" s="440" t="s">
        <v>613</v>
      </c>
      <c r="BEA91" s="449" t="s">
        <v>472</v>
      </c>
      <c r="BEB91" s="467" t="s">
        <v>612</v>
      </c>
      <c r="BEC91" s="120" t="s">
        <v>613</v>
      </c>
      <c r="BED91" s="467" t="s">
        <v>614</v>
      </c>
      <c r="BEE91" s="440" t="s">
        <v>613</v>
      </c>
      <c r="BFA91" s="449" t="s">
        <v>472</v>
      </c>
      <c r="BFB91" s="467" t="s">
        <v>612</v>
      </c>
      <c r="BFC91" s="120" t="s">
        <v>613</v>
      </c>
      <c r="BFD91" s="467" t="s">
        <v>614</v>
      </c>
      <c r="BFE91" s="440" t="s">
        <v>613</v>
      </c>
      <c r="BGA91" s="449" t="s">
        <v>472</v>
      </c>
      <c r="BGB91" s="467" t="s">
        <v>612</v>
      </c>
      <c r="BGC91" s="120" t="s">
        <v>613</v>
      </c>
      <c r="BGD91" s="467" t="s">
        <v>614</v>
      </c>
      <c r="BGE91" s="440" t="s">
        <v>613</v>
      </c>
      <c r="BHA91" s="449" t="s">
        <v>472</v>
      </c>
      <c r="BHB91" s="467" t="s">
        <v>612</v>
      </c>
      <c r="BHC91" s="120" t="s">
        <v>613</v>
      </c>
      <c r="BHD91" s="467" t="s">
        <v>614</v>
      </c>
      <c r="BHE91" s="440" t="s">
        <v>613</v>
      </c>
      <c r="BIA91" s="449" t="s">
        <v>472</v>
      </c>
      <c r="BIB91" s="467" t="s">
        <v>612</v>
      </c>
      <c r="BIC91" s="120" t="s">
        <v>613</v>
      </c>
      <c r="BID91" s="467" t="s">
        <v>614</v>
      </c>
      <c r="BIE91" s="440" t="s">
        <v>613</v>
      </c>
      <c r="BJA91" s="449" t="s">
        <v>472</v>
      </c>
      <c r="BJB91" s="467" t="s">
        <v>612</v>
      </c>
      <c r="BJC91" s="120" t="s">
        <v>613</v>
      </c>
      <c r="BJD91" s="467" t="s">
        <v>614</v>
      </c>
      <c r="BJE91" s="440" t="s">
        <v>613</v>
      </c>
      <c r="BKA91" s="449" t="s">
        <v>472</v>
      </c>
      <c r="BKB91" s="467" t="s">
        <v>612</v>
      </c>
      <c r="BKC91" s="120" t="s">
        <v>613</v>
      </c>
      <c r="BKD91" s="467" t="s">
        <v>614</v>
      </c>
      <c r="BKE91" s="440" t="s">
        <v>613</v>
      </c>
      <c r="BLA91" s="449" t="s">
        <v>472</v>
      </c>
      <c r="BLB91" s="467" t="s">
        <v>612</v>
      </c>
      <c r="BLC91" s="120" t="s">
        <v>613</v>
      </c>
      <c r="BLD91" s="467" t="s">
        <v>614</v>
      </c>
      <c r="BLE91" s="440" t="s">
        <v>613</v>
      </c>
      <c r="BMA91" s="449" t="s">
        <v>472</v>
      </c>
      <c r="BMB91" s="467" t="s">
        <v>612</v>
      </c>
      <c r="BMC91" s="120" t="s">
        <v>613</v>
      </c>
      <c r="BMD91" s="467" t="s">
        <v>614</v>
      </c>
      <c r="BME91" s="440" t="s">
        <v>613</v>
      </c>
      <c r="BNA91" s="449" t="s">
        <v>472</v>
      </c>
      <c r="BNB91" s="467" t="s">
        <v>612</v>
      </c>
      <c r="BNC91" s="120" t="s">
        <v>613</v>
      </c>
      <c r="BND91" s="467" t="s">
        <v>614</v>
      </c>
      <c r="BNE91" s="440" t="s">
        <v>613</v>
      </c>
      <c r="BOA91" s="449" t="s">
        <v>472</v>
      </c>
      <c r="BOB91" s="467" t="s">
        <v>612</v>
      </c>
      <c r="BOC91" s="120" t="s">
        <v>613</v>
      </c>
      <c r="BOD91" s="467" t="s">
        <v>614</v>
      </c>
      <c r="BOE91" s="440" t="s">
        <v>613</v>
      </c>
      <c r="BPA91" s="449" t="s">
        <v>472</v>
      </c>
      <c r="BPB91" s="467" t="s">
        <v>612</v>
      </c>
      <c r="BPC91" s="120" t="s">
        <v>613</v>
      </c>
      <c r="BPD91" s="467" t="s">
        <v>614</v>
      </c>
      <c r="BPE91" s="440" t="s">
        <v>613</v>
      </c>
      <c r="BQA91" s="449" t="s">
        <v>472</v>
      </c>
      <c r="BQB91" s="467" t="s">
        <v>612</v>
      </c>
      <c r="BQC91" s="120" t="s">
        <v>613</v>
      </c>
      <c r="BQD91" s="467" t="s">
        <v>614</v>
      </c>
      <c r="BQE91" s="440" t="s">
        <v>613</v>
      </c>
      <c r="BRA91" s="449" t="s">
        <v>472</v>
      </c>
      <c r="BRB91" s="467" t="s">
        <v>612</v>
      </c>
      <c r="BRC91" s="120" t="s">
        <v>613</v>
      </c>
      <c r="BRD91" s="467" t="s">
        <v>614</v>
      </c>
      <c r="BRE91" s="440" t="s">
        <v>613</v>
      </c>
    </row>
    <row r="92" spans="27:1019 1041:1825">
      <c r="AA92" s="436" t="s">
        <v>520</v>
      </c>
      <c r="AB92" s="120"/>
      <c r="AC92" s="120"/>
      <c r="AD92" s="472"/>
      <c r="AE92" s="490">
        <v>2017</v>
      </c>
      <c r="BA92" s="436" t="s">
        <v>520</v>
      </c>
      <c r="BB92" s="120"/>
      <c r="BC92" s="120"/>
      <c r="BD92" s="472"/>
      <c r="BE92" s="490">
        <v>2017</v>
      </c>
      <c r="CA92" s="436" t="s">
        <v>520</v>
      </c>
      <c r="CB92" s="120"/>
      <c r="CC92" s="120"/>
      <c r="CD92" s="472"/>
      <c r="CE92" s="490">
        <v>2017</v>
      </c>
      <c r="DA92" s="436" t="s">
        <v>520</v>
      </c>
      <c r="DB92" s="120"/>
      <c r="DC92" s="120"/>
      <c r="DD92" s="472"/>
      <c r="DE92" s="490">
        <v>2017</v>
      </c>
      <c r="EA92" s="436" t="s">
        <v>520</v>
      </c>
      <c r="EB92" s="120"/>
      <c r="EC92" s="120"/>
      <c r="ED92" s="472"/>
      <c r="EE92" s="490">
        <v>2017</v>
      </c>
      <c r="FA92" s="436" t="s">
        <v>520</v>
      </c>
      <c r="FB92" s="120"/>
      <c r="FC92" s="120"/>
      <c r="FD92" s="472"/>
      <c r="FE92" s="490">
        <v>2017</v>
      </c>
      <c r="GA92" s="436" t="s">
        <v>520</v>
      </c>
      <c r="GB92" s="120"/>
      <c r="GC92" s="120"/>
      <c r="GD92" s="472"/>
      <c r="GE92" s="490">
        <v>2017</v>
      </c>
      <c r="HA92" s="436" t="s">
        <v>520</v>
      </c>
      <c r="HB92" s="120"/>
      <c r="HC92" s="120"/>
      <c r="HD92" s="472"/>
      <c r="HE92" s="490">
        <v>2017</v>
      </c>
      <c r="IA92" s="436" t="s">
        <v>520</v>
      </c>
      <c r="IB92" s="120"/>
      <c r="IC92" s="120"/>
      <c r="ID92" s="472" t="e">
        <f>61*(IB12/0.9072)^0.69*1000/$U$133*$G$133</f>
        <v>#REF!</v>
      </c>
      <c r="IE92" s="490">
        <v>2017</v>
      </c>
      <c r="JA92" s="436" t="s">
        <v>520</v>
      </c>
      <c r="JB92" s="120"/>
      <c r="JC92" s="120"/>
      <c r="JD92" s="472"/>
      <c r="JE92" s="490">
        <v>2017</v>
      </c>
      <c r="KA92" s="436" t="s">
        <v>520</v>
      </c>
      <c r="KB92" s="120"/>
      <c r="KC92" s="120"/>
      <c r="KD92" s="472">
        <f>KB122/$U$133*$G$133</f>
        <v>43567.108624310378</v>
      </c>
      <c r="KE92" s="490">
        <v>2017</v>
      </c>
      <c r="LA92" s="436" t="s">
        <v>520</v>
      </c>
      <c r="LB92" s="120"/>
      <c r="LC92" s="120"/>
      <c r="LD92" s="472"/>
      <c r="LE92" s="490">
        <v>2017</v>
      </c>
      <c r="MA92" s="436" t="s">
        <v>520</v>
      </c>
      <c r="MB92" s="120"/>
      <c r="MC92" s="120"/>
      <c r="MD92" s="472" t="e">
        <f>1313832*MB12^0.512/$J$133*$G$133</f>
        <v>#REF!</v>
      </c>
      <c r="ME92" s="490">
        <v>2017</v>
      </c>
      <c r="NA92" s="436" t="s">
        <v>520</v>
      </c>
      <c r="NB92" s="120"/>
      <c r="NC92" s="120"/>
      <c r="ND92" s="472"/>
      <c r="NE92" s="490">
        <v>2017</v>
      </c>
      <c r="OA92" s="436" t="s">
        <v>520</v>
      </c>
      <c r="OB92" s="120"/>
      <c r="OC92" s="120"/>
      <c r="OD92" s="472">
        <f>102600/$J$133*$G$133</f>
        <v>101068.39090435689</v>
      </c>
      <c r="OE92" s="490">
        <v>2017</v>
      </c>
      <c r="PA92" s="436" t="s">
        <v>520</v>
      </c>
      <c r="PB92" s="120"/>
      <c r="PC92" s="120"/>
      <c r="PD92" s="472"/>
      <c r="PE92" s="490">
        <v>2017</v>
      </c>
      <c r="QA92" s="436" t="s">
        <v>520</v>
      </c>
      <c r="QB92" s="120"/>
      <c r="QC92" s="120"/>
      <c r="QD92" s="472"/>
      <c r="QE92" s="490">
        <v>2017</v>
      </c>
      <c r="RA92" s="436" t="s">
        <v>520</v>
      </c>
      <c r="RB92" s="120"/>
      <c r="RC92" s="120"/>
      <c r="RD92" s="472"/>
      <c r="RE92" s="490">
        <v>2017</v>
      </c>
      <c r="SA92" s="436" t="s">
        <v>520</v>
      </c>
      <c r="SB92" s="120"/>
      <c r="SC92" s="120"/>
      <c r="SD92" s="472"/>
      <c r="SE92" s="490">
        <v>2017</v>
      </c>
      <c r="TA92" s="436" t="s">
        <v>520</v>
      </c>
      <c r="TB92" s="120"/>
      <c r="TC92" s="120"/>
      <c r="TD92" s="472" t="e">
        <f>1.69*(TB11*1000/60/10)^0.96*1000/$U$133*$G$133</f>
        <v>#REF!</v>
      </c>
      <c r="TE92" s="490">
        <v>2017</v>
      </c>
      <c r="UA92" s="436" t="s">
        <v>520</v>
      </c>
      <c r="UB92" s="120"/>
      <c r="UC92" s="120"/>
      <c r="UD92" s="472"/>
      <c r="UE92" s="490">
        <v>2017</v>
      </c>
      <c r="VA92" s="436" t="s">
        <v>520</v>
      </c>
      <c r="VB92" s="120"/>
      <c r="VC92" s="120"/>
      <c r="VD92" s="472" t="e">
        <f>2.23*1.75*(VB12*1000*VB110)^0.6*1000/$U$133*$G$133</f>
        <v>#REF!</v>
      </c>
      <c r="VE92" s="490">
        <v>2017</v>
      </c>
      <c r="WA92" s="436" t="s">
        <v>520</v>
      </c>
      <c r="WB92" s="120"/>
      <c r="WC92" s="120"/>
      <c r="WD92" s="472"/>
      <c r="WE92" s="490">
        <v>2017</v>
      </c>
      <c r="XA92" s="436" t="s">
        <v>520</v>
      </c>
      <c r="XB92" s="120"/>
      <c r="XC92" s="120"/>
      <c r="XD92" s="472"/>
      <c r="XE92" s="490">
        <v>2017</v>
      </c>
      <c r="YA92" s="436" t="s">
        <v>520</v>
      </c>
      <c r="YB92" s="120"/>
      <c r="YC92" s="120"/>
      <c r="YD92" s="472"/>
      <c r="YE92" s="490">
        <v>2017</v>
      </c>
      <c r="ZA92" s="436" t="s">
        <v>520</v>
      </c>
      <c r="ZB92" s="120"/>
      <c r="ZC92" s="120"/>
      <c r="ZD92" s="472"/>
      <c r="ZE92" s="490">
        <v>2017</v>
      </c>
      <c r="AAA92" s="436" t="s">
        <v>520</v>
      </c>
      <c r="AAB92" s="120"/>
      <c r="AAC92" s="120"/>
      <c r="AAD92" s="472"/>
      <c r="AAE92" s="490">
        <v>2017</v>
      </c>
      <c r="ABA92" s="436" t="s">
        <v>520</v>
      </c>
      <c r="ABB92" s="120"/>
      <c r="ABC92" s="120"/>
      <c r="ABD92" s="472"/>
      <c r="ABE92" s="490">
        <v>2017</v>
      </c>
      <c r="ACA92" s="436" t="s">
        <v>520</v>
      </c>
      <c r="ACB92" s="120"/>
      <c r="ACC92" s="120"/>
      <c r="ACD92" s="472">
        <f>173000/$J$133*$G$133</f>
        <v>170417.46224613782</v>
      </c>
      <c r="ACE92" s="490">
        <v>2017</v>
      </c>
      <c r="ADA92" s="436" t="s">
        <v>520</v>
      </c>
      <c r="ADB92" s="120"/>
      <c r="ADC92" s="120"/>
      <c r="ADD92" s="472"/>
      <c r="ADE92" s="490">
        <v>2017</v>
      </c>
      <c r="AEA92" s="436" t="s">
        <v>520</v>
      </c>
      <c r="AEB92" s="120"/>
      <c r="AEC92" s="120"/>
      <c r="AED92" s="472"/>
      <c r="AEE92" s="490">
        <v>2017</v>
      </c>
      <c r="AFA92" s="436" t="s">
        <v>520</v>
      </c>
      <c r="AFB92" s="120"/>
      <c r="AFC92" s="120"/>
      <c r="AFD92" s="472"/>
      <c r="AFE92" s="490">
        <v>2017</v>
      </c>
      <c r="AGA92" s="436" t="s">
        <v>520</v>
      </c>
      <c r="AGB92" s="120"/>
      <c r="AGC92" s="120"/>
      <c r="AGD92" s="472" t="e">
        <f>131409.8*AGB12^0.5301/$J$133*$G$133</f>
        <v>#REF!</v>
      </c>
      <c r="AGE92" s="490">
        <v>2017</v>
      </c>
      <c r="AHA92" s="436" t="s">
        <v>520</v>
      </c>
      <c r="AHB92" s="120"/>
      <c r="AHC92" s="120"/>
      <c r="AHD92" s="472"/>
      <c r="AHE92" s="490">
        <v>2017</v>
      </c>
      <c r="AIA92" s="436" t="s">
        <v>520</v>
      </c>
      <c r="AIB92" s="120"/>
      <c r="AIC92" s="120"/>
      <c r="AID92" s="472"/>
      <c r="AIE92" s="490">
        <v>2017</v>
      </c>
      <c r="AJA92" s="436" t="s">
        <v>520</v>
      </c>
      <c r="AJB92" s="120"/>
      <c r="AJC92" s="120"/>
      <c r="AJD92" s="472" t="e">
        <f>29902*AJB12^0.6671/$J$133*$G$133</f>
        <v>#REF!</v>
      </c>
      <c r="AJE92" s="490">
        <v>2017</v>
      </c>
      <c r="AKA92" s="436" t="s">
        <v>520</v>
      </c>
      <c r="AKB92" s="120"/>
      <c r="AKC92" s="120"/>
      <c r="AKD92" s="472"/>
      <c r="AKE92" s="490">
        <v>2017</v>
      </c>
      <c r="ALA92" s="436" t="s">
        <v>520</v>
      </c>
      <c r="ALB92" s="120"/>
      <c r="ALC92" s="120"/>
      <c r="ALD92" s="472"/>
      <c r="ALE92" s="490">
        <v>2017</v>
      </c>
      <c r="AMA92" s="436" t="s">
        <v>520</v>
      </c>
      <c r="AMB92" s="120"/>
      <c r="AMC92" s="120"/>
      <c r="AMD92" s="472"/>
      <c r="AME92" s="490">
        <v>2017</v>
      </c>
      <c r="ANA92" s="436" t="s">
        <v>520</v>
      </c>
      <c r="ANB92" s="120"/>
      <c r="ANC92" s="120"/>
      <c r="AND92" s="472"/>
      <c r="ANE92" s="490">
        <v>2017</v>
      </c>
      <c r="AOA92" s="436" t="s">
        <v>520</v>
      </c>
      <c r="AOB92" s="120"/>
      <c r="AOC92" s="120"/>
      <c r="AOD92" s="472"/>
      <c r="AOE92" s="490">
        <v>2017</v>
      </c>
      <c r="APA92" s="436" t="s">
        <v>520</v>
      </c>
      <c r="APB92" s="120"/>
      <c r="APC92" s="120"/>
      <c r="APD92" s="472"/>
      <c r="APE92" s="490">
        <v>2017</v>
      </c>
      <c r="AQA92" s="436" t="s">
        <v>520</v>
      </c>
      <c r="AQB92" s="120"/>
      <c r="AQC92" s="120"/>
      <c r="AQD92" s="472">
        <f>38700/$J$133*$G$133</f>
        <v>38122.287797257421</v>
      </c>
      <c r="AQE92" s="490">
        <v>2020</v>
      </c>
      <c r="ARA92" s="436" t="s">
        <v>520</v>
      </c>
      <c r="ARB92" s="120"/>
      <c r="ARC92" s="120"/>
      <c r="ARD92" s="472">
        <f>50300/$J$133*$G$133</f>
        <v>49549.123416073598</v>
      </c>
      <c r="ARE92" s="490">
        <v>2017</v>
      </c>
      <c r="ASA92" s="436" t="s">
        <v>520</v>
      </c>
      <c r="ASB92" s="120"/>
      <c r="ASC92" s="120"/>
      <c r="ASD92" s="472"/>
      <c r="ASE92" s="490">
        <v>2017</v>
      </c>
      <c r="ATA92" s="436" t="s">
        <v>520</v>
      </c>
      <c r="ATB92" s="120"/>
      <c r="ATC92" s="120"/>
      <c r="ATD92" s="472" t="e">
        <f>473892*ATB12^0.4481/$J$133*$G$133</f>
        <v>#REF!</v>
      </c>
      <c r="ATE92" s="490">
        <v>2017</v>
      </c>
      <c r="AUA92" s="436" t="s">
        <v>520</v>
      </c>
      <c r="AUB92" s="120"/>
      <c r="AUC92" s="120"/>
      <c r="AUD92" s="472"/>
      <c r="AUE92" s="490">
        <v>2017</v>
      </c>
      <c r="AVA92" s="436" t="s">
        <v>520</v>
      </c>
      <c r="AVB92" s="120"/>
      <c r="AVC92" s="120"/>
      <c r="AVD92" s="472"/>
      <c r="AVE92" s="490">
        <v>2017</v>
      </c>
      <c r="AWA92" s="436" t="s">
        <v>520</v>
      </c>
      <c r="AWB92" s="120"/>
      <c r="AWC92" s="120"/>
      <c r="AWD92" s="472"/>
      <c r="AWE92" s="490">
        <v>2017</v>
      </c>
      <c r="AXA92" s="436" t="s">
        <v>520</v>
      </c>
      <c r="AXB92" s="120"/>
      <c r="AXC92" s="120"/>
      <c r="AXD92" s="472" t="e">
        <f>494284*AXB12^0.7681/$J$133*$G$133</f>
        <v>#REF!</v>
      </c>
      <c r="AXE92" s="490">
        <v>2017</v>
      </c>
      <c r="AYA92" s="436" t="s">
        <v>520</v>
      </c>
      <c r="AYB92" s="120"/>
      <c r="AYC92" s="120"/>
      <c r="AYD92" s="472"/>
      <c r="AYE92" s="490">
        <v>2017</v>
      </c>
      <c r="AZA92" s="436" t="s">
        <v>520</v>
      </c>
      <c r="AZB92" s="120"/>
      <c r="AZC92" s="120"/>
      <c r="AZD92" s="472" t="e">
        <f>473892*AZB12^0.4481/$J$133*$G$133</f>
        <v>#REF!</v>
      </c>
      <c r="AZE92" s="490">
        <v>2017</v>
      </c>
      <c r="BAA92" s="436" t="s">
        <v>520</v>
      </c>
      <c r="BAB92" s="120"/>
      <c r="BAC92" s="120"/>
      <c r="BAD92" s="472"/>
      <c r="BAE92" s="490">
        <v>2017</v>
      </c>
      <c r="BBA92" s="436" t="s">
        <v>520</v>
      </c>
      <c r="BBB92" s="120"/>
      <c r="BBC92" s="120"/>
      <c r="BBD92" s="472"/>
      <c r="BBE92" s="490">
        <v>2017</v>
      </c>
      <c r="BCA92" s="436" t="s">
        <v>520</v>
      </c>
      <c r="BCB92" s="120"/>
      <c r="BCC92" s="120"/>
      <c r="BCD92" s="472" t="e">
        <f>(BCB12*1218.4+3752.8)/$J$133*$G$133</f>
        <v>#REF!</v>
      </c>
      <c r="BCE92" s="490">
        <v>2017</v>
      </c>
      <c r="BDA92" s="436" t="s">
        <v>520</v>
      </c>
      <c r="BDB92" s="120"/>
      <c r="BDC92" s="120"/>
      <c r="BDD92" s="472"/>
      <c r="BDE92" s="490">
        <v>2017</v>
      </c>
      <c r="BEA92" s="436" t="s">
        <v>520</v>
      </c>
      <c r="BEB92" s="120"/>
      <c r="BEC92" s="120"/>
      <c r="BED92" s="472"/>
      <c r="BEE92" s="490">
        <v>2017</v>
      </c>
      <c r="BFA92" s="436" t="s">
        <v>520</v>
      </c>
      <c r="BFB92" s="120"/>
      <c r="BFC92" s="120"/>
      <c r="BFD92" s="472"/>
      <c r="BFE92" s="490">
        <v>2017</v>
      </c>
      <c r="BGA92" s="436" t="s">
        <v>520</v>
      </c>
      <c r="BGB92" s="120"/>
      <c r="BGC92" s="120"/>
      <c r="BGD92" s="472"/>
      <c r="BGE92" s="490">
        <v>2017</v>
      </c>
      <c r="BHA92" s="436" t="s">
        <v>520</v>
      </c>
      <c r="BHB92" s="120"/>
      <c r="BHC92" s="120"/>
      <c r="BHD92" s="472"/>
      <c r="BHE92" s="490">
        <v>2017</v>
      </c>
      <c r="BIA92" s="436" t="s">
        <v>520</v>
      </c>
      <c r="BIB92" s="120"/>
      <c r="BIC92" s="120"/>
      <c r="BID92" s="472" t="e">
        <f>6137979*BIB12^0.48/$J$133*$G$133</f>
        <v>#REF!</v>
      </c>
      <c r="BIE92" s="490">
        <v>2017</v>
      </c>
      <c r="BJA92" s="436" t="s">
        <v>520</v>
      </c>
      <c r="BJB92" s="120"/>
      <c r="BJC92" s="120"/>
      <c r="BJD92" s="472" t="e">
        <f>473892*BJB12^0.4481/$J$133*$G$133</f>
        <v>#REF!</v>
      </c>
      <c r="BJE92" s="490">
        <v>2017</v>
      </c>
      <c r="BKA92" s="436" t="s">
        <v>520</v>
      </c>
      <c r="BKB92" s="120"/>
      <c r="BKC92" s="120"/>
      <c r="BKD92" s="472"/>
      <c r="BKE92" s="490">
        <v>2017</v>
      </c>
      <c r="BLA92" s="436" t="s">
        <v>520</v>
      </c>
      <c r="BLB92" s="120"/>
      <c r="BLC92" s="120"/>
      <c r="BLD92" s="472"/>
      <c r="BLE92" s="490">
        <v>2017</v>
      </c>
      <c r="BMA92" s="436" t="s">
        <v>520</v>
      </c>
      <c r="BMB92" s="120"/>
      <c r="BMC92" s="120"/>
      <c r="BMD92" s="472"/>
      <c r="BME92" s="490">
        <v>2017</v>
      </c>
      <c r="BNA92" s="436" t="s">
        <v>520</v>
      </c>
      <c r="BNB92" s="120"/>
      <c r="BNC92" s="120"/>
      <c r="BND92" s="472"/>
      <c r="BNE92" s="490">
        <v>2017</v>
      </c>
      <c r="BOA92" s="436" t="s">
        <v>520</v>
      </c>
      <c r="BOB92" s="120"/>
      <c r="BOC92" s="120"/>
      <c r="BOD92" s="472"/>
      <c r="BOE92" s="490">
        <v>2017</v>
      </c>
      <c r="BPA92" s="436" t="s">
        <v>520</v>
      </c>
      <c r="BPB92" s="120"/>
      <c r="BPC92" s="120"/>
      <c r="BPD92" s="472"/>
      <c r="BPE92" s="490">
        <v>2017</v>
      </c>
      <c r="BQA92" s="436" t="s">
        <v>520</v>
      </c>
      <c r="BQB92" s="120"/>
      <c r="BQC92" s="120"/>
      <c r="BQD92" s="472"/>
      <c r="BQE92" s="490">
        <v>2017</v>
      </c>
      <c r="BRA92" s="436" t="s">
        <v>520</v>
      </c>
      <c r="BRB92" s="120"/>
      <c r="BRC92" s="120"/>
      <c r="BRD92" s="472"/>
      <c r="BRE92" s="490">
        <v>2017</v>
      </c>
    </row>
    <row r="93" spans="27:1019 1041:1825">
      <c r="AA93" s="436"/>
      <c r="AB93" s="120"/>
      <c r="AC93" s="120"/>
      <c r="AD93" s="120"/>
      <c r="AE93" s="440"/>
      <c r="BA93" s="436"/>
      <c r="BB93" s="120"/>
      <c r="BC93" s="120"/>
      <c r="BD93" s="120"/>
      <c r="BE93" s="440"/>
      <c r="CA93" s="436"/>
      <c r="CB93" s="120"/>
      <c r="CC93" s="120"/>
      <c r="CD93" s="120"/>
      <c r="CE93" s="440"/>
      <c r="DA93" s="436"/>
      <c r="DB93" s="120"/>
      <c r="DC93" s="120"/>
      <c r="DD93" s="120"/>
      <c r="DE93" s="440"/>
      <c r="EA93" s="436"/>
      <c r="EB93" s="120"/>
      <c r="EC93" s="120"/>
      <c r="ED93" s="120"/>
      <c r="EE93" s="440"/>
      <c r="FA93" s="436"/>
      <c r="FB93" s="120"/>
      <c r="FC93" s="120"/>
      <c r="FD93" s="120"/>
      <c r="FE93" s="440"/>
      <c r="GA93" s="436"/>
      <c r="GB93" s="120"/>
      <c r="GC93" s="120"/>
      <c r="GD93" s="120"/>
      <c r="GE93" s="440"/>
      <c r="HA93" s="436"/>
      <c r="HB93" s="120"/>
      <c r="HC93" s="120"/>
      <c r="HD93" s="120"/>
      <c r="HE93" s="440"/>
      <c r="IA93" s="436"/>
      <c r="IB93" s="120"/>
      <c r="IC93" s="120"/>
      <c r="ID93" s="120"/>
      <c r="IE93" s="440"/>
      <c r="JA93" s="436"/>
      <c r="JB93" s="120"/>
      <c r="JC93" s="120"/>
      <c r="JD93" s="120"/>
      <c r="JE93" s="440"/>
      <c r="KA93" s="436"/>
      <c r="KB93" s="120"/>
      <c r="KC93" s="120"/>
      <c r="KD93" s="120"/>
      <c r="KE93" s="440"/>
      <c r="LA93" s="436"/>
      <c r="LB93" s="120"/>
      <c r="LC93" s="120"/>
      <c r="LD93" s="120"/>
      <c r="LE93" s="440"/>
      <c r="MA93" s="436"/>
      <c r="MB93" s="120"/>
      <c r="MC93" s="120"/>
      <c r="MD93" s="120"/>
      <c r="ME93" s="440"/>
      <c r="NA93" s="436"/>
      <c r="NB93" s="120"/>
      <c r="NC93" s="120"/>
      <c r="ND93" s="120"/>
      <c r="NE93" s="440"/>
      <c r="OA93" s="436"/>
      <c r="OB93" s="120"/>
      <c r="OC93" s="120"/>
      <c r="OD93" s="120"/>
      <c r="OE93" s="440"/>
      <c r="PA93" s="436"/>
      <c r="PB93" s="120"/>
      <c r="PC93" s="120"/>
      <c r="PD93" s="120"/>
      <c r="PE93" s="440"/>
      <c r="QA93" s="436"/>
      <c r="QB93" s="120"/>
      <c r="QC93" s="120"/>
      <c r="QD93" s="120"/>
      <c r="QE93" s="440"/>
      <c r="RA93" s="436"/>
      <c r="RB93" s="120"/>
      <c r="RC93" s="120"/>
      <c r="RD93" s="120"/>
      <c r="RE93" s="440"/>
      <c r="SA93" s="436"/>
      <c r="SB93" s="120"/>
      <c r="SC93" s="120"/>
      <c r="SD93" s="120"/>
      <c r="SE93" s="440"/>
      <c r="TA93" s="436"/>
      <c r="TB93" s="120"/>
      <c r="TC93" s="120"/>
      <c r="TD93" s="120"/>
      <c r="TE93" s="440"/>
      <c r="UA93" s="436"/>
      <c r="UB93" s="120"/>
      <c r="UC93" s="120"/>
      <c r="UD93" s="120"/>
      <c r="UE93" s="440"/>
      <c r="VA93" s="436"/>
      <c r="VB93" s="120"/>
      <c r="VC93" s="120"/>
      <c r="VD93" s="120"/>
      <c r="VE93" s="440"/>
      <c r="WA93" s="436"/>
      <c r="WB93" s="120"/>
      <c r="WC93" s="120"/>
      <c r="WD93" s="120"/>
      <c r="WE93" s="440"/>
      <c r="XA93" s="436"/>
      <c r="XB93" s="120"/>
      <c r="XC93" s="120"/>
      <c r="XD93" s="120"/>
      <c r="XE93" s="440"/>
      <c r="YA93" s="436"/>
      <c r="YB93" s="120"/>
      <c r="YC93" s="120"/>
      <c r="YD93" s="120"/>
      <c r="YE93" s="440"/>
      <c r="ZA93" s="436"/>
      <c r="ZB93" s="120"/>
      <c r="ZC93" s="120"/>
      <c r="ZD93" s="120"/>
      <c r="ZE93" s="440"/>
      <c r="AAA93" s="436"/>
      <c r="AAB93" s="120"/>
      <c r="AAC93" s="120"/>
      <c r="AAD93" s="120"/>
      <c r="AAE93" s="440"/>
      <c r="ABA93" s="436"/>
      <c r="ABB93" s="120"/>
      <c r="ABC93" s="120"/>
      <c r="ABD93" s="120"/>
      <c r="ABE93" s="440"/>
      <c r="ACA93" s="436"/>
      <c r="ACB93" s="120"/>
      <c r="ACC93" s="120"/>
      <c r="ACD93" s="120"/>
      <c r="ACE93" s="440"/>
      <c r="ADA93" s="436"/>
      <c r="ADB93" s="120"/>
      <c r="ADC93" s="120"/>
      <c r="ADD93" s="120"/>
      <c r="ADE93" s="440"/>
      <c r="AEA93" s="436"/>
      <c r="AEB93" s="120"/>
      <c r="AEC93" s="120"/>
      <c r="AED93" s="120"/>
      <c r="AEE93" s="440"/>
      <c r="AFA93" s="436"/>
      <c r="AFB93" s="120"/>
      <c r="AFC93" s="120"/>
      <c r="AFD93" s="120"/>
      <c r="AFE93" s="440"/>
      <c r="AGA93" s="436"/>
      <c r="AGB93" s="120"/>
      <c r="AGC93" s="120"/>
      <c r="AGD93" s="120"/>
      <c r="AGE93" s="440"/>
      <c r="AHA93" s="436"/>
      <c r="AHB93" s="120"/>
      <c r="AHC93" s="120"/>
      <c r="AHD93" s="120"/>
      <c r="AHE93" s="440"/>
      <c r="AIA93" s="436"/>
      <c r="AIB93" s="120"/>
      <c r="AIC93" s="120"/>
      <c r="AID93" s="120"/>
      <c r="AIE93" s="440"/>
      <c r="AJA93" s="436"/>
      <c r="AJB93" s="120"/>
      <c r="AJC93" s="120"/>
      <c r="AJD93" s="120"/>
      <c r="AJE93" s="440"/>
      <c r="AKA93" s="436"/>
      <c r="AKB93" s="120"/>
      <c r="AKC93" s="120"/>
      <c r="AKD93" s="120"/>
      <c r="AKE93" s="440"/>
      <c r="ALA93" s="436"/>
      <c r="ALB93" s="120"/>
      <c r="ALC93" s="120"/>
      <c r="ALD93" s="120"/>
      <c r="ALE93" s="440"/>
      <c r="AMA93" s="436"/>
      <c r="AMB93" s="120"/>
      <c r="AMC93" s="120"/>
      <c r="AMD93" s="120"/>
      <c r="AME93" s="440"/>
      <c r="ANA93" s="436"/>
      <c r="ANB93" s="120"/>
      <c r="ANC93" s="120"/>
      <c r="AND93" s="120"/>
      <c r="ANE93" s="440"/>
      <c r="AOA93" s="436"/>
      <c r="AOB93" s="120"/>
      <c r="AOC93" s="120"/>
      <c r="AOD93" s="120"/>
      <c r="AOE93" s="440"/>
      <c r="APA93" s="436"/>
      <c r="APB93" s="120"/>
      <c r="APC93" s="120"/>
      <c r="APD93" s="120"/>
      <c r="APE93" s="440"/>
      <c r="AQA93" s="436"/>
      <c r="AQB93" s="120"/>
      <c r="AQC93" s="120"/>
      <c r="AQD93" s="120"/>
      <c r="AQE93" s="440"/>
      <c r="ARA93" s="436"/>
      <c r="ARB93" s="120"/>
      <c r="ARC93" s="120"/>
      <c r="ARD93" s="120"/>
      <c r="ARE93" s="440"/>
      <c r="ASA93" s="436"/>
      <c r="ASB93" s="120"/>
      <c r="ASC93" s="120"/>
      <c r="ASD93" s="120"/>
      <c r="ASE93" s="440"/>
      <c r="ATA93" s="436"/>
      <c r="ATB93" s="120"/>
      <c r="ATC93" s="120"/>
      <c r="ATD93" s="120"/>
      <c r="ATE93" s="440"/>
      <c r="AUA93" s="436"/>
      <c r="AUB93" s="120"/>
      <c r="AUC93" s="120"/>
      <c r="AUD93" s="120"/>
      <c r="AUE93" s="440"/>
      <c r="AVA93" s="436"/>
      <c r="AVB93" s="120"/>
      <c r="AVC93" s="120"/>
      <c r="AVD93" s="120"/>
      <c r="AVE93" s="440"/>
      <c r="AWA93" s="436"/>
      <c r="AWB93" s="120"/>
      <c r="AWC93" s="120"/>
      <c r="AWD93" s="120"/>
      <c r="AWE93" s="440"/>
      <c r="AXA93" s="436"/>
      <c r="AXB93" s="120"/>
      <c r="AXC93" s="120"/>
      <c r="AXD93" s="120"/>
      <c r="AXE93" s="440"/>
      <c r="AYA93" s="436"/>
      <c r="AYB93" s="120"/>
      <c r="AYC93" s="120"/>
      <c r="AYD93" s="120"/>
      <c r="AYE93" s="440"/>
      <c r="AZA93" s="436"/>
      <c r="AZB93" s="120"/>
      <c r="AZC93" s="120"/>
      <c r="AZD93" s="120"/>
      <c r="AZE93" s="440"/>
      <c r="BAA93" s="436"/>
      <c r="BAB93" s="120"/>
      <c r="BAC93" s="120"/>
      <c r="BAD93" s="120"/>
      <c r="BAE93" s="440"/>
      <c r="BBA93" s="436"/>
      <c r="BBB93" s="120"/>
      <c r="BBC93" s="120"/>
      <c r="BBD93" s="120"/>
      <c r="BBE93" s="440"/>
      <c r="BCA93" s="436"/>
      <c r="BCB93" s="120"/>
      <c r="BCC93" s="120"/>
      <c r="BCD93" s="120"/>
      <c r="BCE93" s="440"/>
      <c r="BDA93" s="436"/>
      <c r="BDB93" s="120"/>
      <c r="BDC93" s="120"/>
      <c r="BDD93" s="120"/>
      <c r="BDE93" s="440"/>
      <c r="BEA93" s="436"/>
      <c r="BEB93" s="120"/>
      <c r="BEC93" s="120"/>
      <c r="BED93" s="120"/>
      <c r="BEE93" s="440"/>
      <c r="BFA93" s="436"/>
      <c r="BFB93" s="120"/>
      <c r="BFC93" s="120"/>
      <c r="BFD93" s="120"/>
      <c r="BFE93" s="440"/>
      <c r="BGA93" s="436"/>
      <c r="BGB93" s="120"/>
      <c r="BGC93" s="120"/>
      <c r="BGD93" s="120"/>
      <c r="BGE93" s="440"/>
      <c r="BHA93" s="436"/>
      <c r="BHB93" s="120"/>
      <c r="BHC93" s="120"/>
      <c r="BHD93" s="120"/>
      <c r="BHE93" s="440"/>
      <c r="BIA93" s="436"/>
      <c r="BIB93" s="120"/>
      <c r="BIC93" s="120"/>
      <c r="BID93" s="120"/>
      <c r="BIE93" s="440"/>
      <c r="BJA93" s="436"/>
      <c r="BJB93" s="120"/>
      <c r="BJC93" s="120"/>
      <c r="BJD93" s="120"/>
      <c r="BJE93" s="440"/>
      <c r="BKA93" s="436"/>
      <c r="BKB93" s="120"/>
      <c r="BKC93" s="120"/>
      <c r="BKD93" s="120"/>
      <c r="BKE93" s="440"/>
      <c r="BLA93" s="436"/>
      <c r="BLB93" s="120"/>
      <c r="BLC93" s="120"/>
      <c r="BLD93" s="120"/>
      <c r="BLE93" s="440"/>
      <c r="BMA93" s="436"/>
      <c r="BMB93" s="120"/>
      <c r="BMC93" s="120"/>
      <c r="BMD93" s="120"/>
      <c r="BME93" s="440"/>
      <c r="BNA93" s="436"/>
      <c r="BNB93" s="120"/>
      <c r="BNC93" s="120"/>
      <c r="BND93" s="120"/>
      <c r="BNE93" s="440"/>
      <c r="BOA93" s="436"/>
      <c r="BOB93" s="120"/>
      <c r="BOC93" s="120"/>
      <c r="BOD93" s="120"/>
      <c r="BOE93" s="440"/>
      <c r="BPA93" s="436"/>
      <c r="BPB93" s="120"/>
      <c r="BPC93" s="120"/>
      <c r="BPD93" s="120"/>
      <c r="BPE93" s="440"/>
      <c r="BQA93" s="436"/>
      <c r="BQB93" s="120"/>
      <c r="BQC93" s="120"/>
      <c r="BQD93" s="120"/>
      <c r="BQE93" s="440"/>
      <c r="BRA93" s="436"/>
      <c r="BRB93" s="120"/>
      <c r="BRC93" s="120"/>
      <c r="BRD93" s="120"/>
      <c r="BRE93" s="440"/>
    </row>
    <row r="94" spans="27:1019 1041:1825">
      <c r="AA94" s="436"/>
      <c r="AB94" s="120"/>
      <c r="AC94" s="120"/>
      <c r="AD94" s="120"/>
      <c r="AE94" s="440"/>
      <c r="BA94" s="436"/>
      <c r="BB94" s="120"/>
      <c r="BC94" s="120"/>
      <c r="BD94" s="120"/>
      <c r="BE94" s="440"/>
      <c r="CA94" s="436"/>
      <c r="CB94" s="120"/>
      <c r="CC94" s="120"/>
      <c r="CD94" s="120"/>
      <c r="CE94" s="440"/>
      <c r="DA94" s="436"/>
      <c r="DB94" s="120"/>
      <c r="DC94" s="120"/>
      <c r="DD94" s="120"/>
      <c r="DE94" s="440"/>
      <c r="EA94" s="436"/>
      <c r="EB94" s="120"/>
      <c r="EC94" s="120"/>
      <c r="ED94" s="120"/>
      <c r="EE94" s="440"/>
      <c r="FA94" s="436"/>
      <c r="FB94" s="120"/>
      <c r="FC94" s="120"/>
      <c r="FD94" s="120"/>
      <c r="FE94" s="440"/>
      <c r="GA94" s="436"/>
      <c r="GB94" s="120"/>
      <c r="GC94" s="120"/>
      <c r="GD94" s="120"/>
      <c r="GE94" s="440"/>
      <c r="HA94" s="436"/>
      <c r="HB94" s="120"/>
      <c r="HC94" s="120"/>
      <c r="HD94" s="120"/>
      <c r="HE94" s="440"/>
      <c r="IA94" s="436"/>
      <c r="IB94" s="120"/>
      <c r="IC94" s="120"/>
      <c r="ID94" s="120"/>
      <c r="IE94" s="440"/>
      <c r="JA94" s="436"/>
      <c r="JB94" s="120"/>
      <c r="JC94" s="120"/>
      <c r="JD94" s="120"/>
      <c r="JE94" s="440"/>
      <c r="KA94" s="436"/>
      <c r="KB94" s="120"/>
      <c r="KC94" s="120"/>
      <c r="KD94" s="120"/>
      <c r="KE94" s="440"/>
      <c r="LA94" s="436"/>
      <c r="LB94" s="120"/>
      <c r="LC94" s="120"/>
      <c r="LD94" s="120"/>
      <c r="LE94" s="440"/>
      <c r="MA94" s="436"/>
      <c r="MB94" s="120"/>
      <c r="MC94" s="120"/>
      <c r="MD94" s="120"/>
      <c r="ME94" s="440"/>
      <c r="NA94" s="436"/>
      <c r="NB94" s="120"/>
      <c r="NC94" s="120"/>
      <c r="ND94" s="120"/>
      <c r="NE94" s="440"/>
      <c r="OA94" s="436"/>
      <c r="OB94" s="120"/>
      <c r="OC94" s="120"/>
      <c r="OD94" s="120"/>
      <c r="OE94" s="440"/>
      <c r="PA94" s="436"/>
      <c r="PB94" s="120"/>
      <c r="PC94" s="120"/>
      <c r="PD94" s="120"/>
      <c r="PE94" s="440"/>
      <c r="QA94" s="436"/>
      <c r="QB94" s="120"/>
      <c r="QC94" s="120"/>
      <c r="QD94" s="120"/>
      <c r="QE94" s="440"/>
      <c r="RA94" s="436"/>
      <c r="RB94" s="120"/>
      <c r="RC94" s="120"/>
      <c r="RD94" s="120"/>
      <c r="RE94" s="440"/>
      <c r="SA94" s="436"/>
      <c r="SB94" s="120"/>
      <c r="SC94" s="120"/>
      <c r="SD94" s="120"/>
      <c r="SE94" s="440"/>
      <c r="TA94" s="436"/>
      <c r="TB94" s="120"/>
      <c r="TC94" s="120"/>
      <c r="TD94" s="120"/>
      <c r="TE94" s="440"/>
      <c r="UA94" s="436"/>
      <c r="UB94" s="120"/>
      <c r="UC94" s="120"/>
      <c r="UD94" s="120"/>
      <c r="UE94" s="440"/>
      <c r="VA94" s="436"/>
      <c r="VB94" s="120"/>
      <c r="VC94" s="120"/>
      <c r="VD94" s="120"/>
      <c r="VE94" s="440"/>
      <c r="WA94" s="436"/>
      <c r="WB94" s="120"/>
      <c r="WC94" s="120"/>
      <c r="WD94" s="120"/>
      <c r="WE94" s="440"/>
      <c r="XA94" s="436"/>
      <c r="XB94" s="120"/>
      <c r="XC94" s="120"/>
      <c r="XD94" s="120"/>
      <c r="XE94" s="440"/>
      <c r="YA94" s="436"/>
      <c r="YB94" s="120"/>
      <c r="YC94" s="120"/>
      <c r="YD94" s="120"/>
      <c r="YE94" s="440"/>
      <c r="ZA94" s="436"/>
      <c r="ZB94" s="120"/>
      <c r="ZC94" s="120"/>
      <c r="ZD94" s="120"/>
      <c r="ZE94" s="440"/>
      <c r="AAA94" s="436"/>
      <c r="AAB94" s="120"/>
      <c r="AAC94" s="120"/>
      <c r="AAD94" s="120"/>
      <c r="AAE94" s="440"/>
      <c r="ABA94" s="436"/>
      <c r="ABB94" s="120"/>
      <c r="ABC94" s="120"/>
      <c r="ABD94" s="120"/>
      <c r="ABE94" s="440"/>
      <c r="ACA94" s="436"/>
      <c r="ACB94" s="120"/>
      <c r="ACC94" s="120"/>
      <c r="ACD94" s="120"/>
      <c r="ACE94" s="440"/>
      <c r="ADA94" s="436"/>
      <c r="ADB94" s="120"/>
      <c r="ADC94" s="120"/>
      <c r="ADD94" s="120"/>
      <c r="ADE94" s="440"/>
      <c r="AEA94" s="436"/>
      <c r="AEB94" s="120"/>
      <c r="AEC94" s="120"/>
      <c r="AED94" s="120"/>
      <c r="AEE94" s="440"/>
      <c r="AFA94" s="436"/>
      <c r="AFB94" s="120"/>
      <c r="AFC94" s="120"/>
      <c r="AFD94" s="120"/>
      <c r="AFE94" s="440"/>
      <c r="AGA94" s="436"/>
      <c r="AGB94" s="120"/>
      <c r="AGC94" s="120"/>
      <c r="AGD94" s="120"/>
      <c r="AGE94" s="440"/>
      <c r="AHA94" s="436"/>
      <c r="AHB94" s="120"/>
      <c r="AHC94" s="120"/>
      <c r="AHD94" s="120"/>
      <c r="AHE94" s="440"/>
      <c r="AIA94" s="436"/>
      <c r="AIB94" s="120"/>
      <c r="AIC94" s="120"/>
      <c r="AID94" s="120"/>
      <c r="AIE94" s="440"/>
      <c r="AJA94" s="436"/>
      <c r="AJB94" s="120"/>
      <c r="AJC94" s="120"/>
      <c r="AJD94" s="120"/>
      <c r="AJE94" s="440"/>
      <c r="AKA94" s="436"/>
      <c r="AKB94" s="120"/>
      <c r="AKC94" s="120"/>
      <c r="AKD94" s="120"/>
      <c r="AKE94" s="440"/>
      <c r="ALA94" s="436"/>
      <c r="ALB94" s="120"/>
      <c r="ALC94" s="120"/>
      <c r="ALD94" s="120"/>
      <c r="ALE94" s="440"/>
      <c r="AMA94" s="436"/>
      <c r="AMB94" s="120"/>
      <c r="AMC94" s="120"/>
      <c r="AMD94" s="120"/>
      <c r="AME94" s="440"/>
      <c r="ANA94" s="436"/>
      <c r="ANB94" s="120"/>
      <c r="ANC94" s="120"/>
      <c r="AND94" s="120"/>
      <c r="ANE94" s="440"/>
      <c r="AOA94" s="436"/>
      <c r="AOB94" s="120"/>
      <c r="AOC94" s="120"/>
      <c r="AOD94" s="120"/>
      <c r="AOE94" s="440"/>
      <c r="APA94" s="436"/>
      <c r="APB94" s="120"/>
      <c r="APC94" s="120"/>
      <c r="APD94" s="120"/>
      <c r="APE94" s="440"/>
      <c r="AQA94" s="436"/>
      <c r="AQB94" s="120"/>
      <c r="AQC94" s="120"/>
      <c r="AQD94" s="120"/>
      <c r="AQE94" s="440"/>
      <c r="ARA94" s="436"/>
      <c r="ARB94" s="120"/>
      <c r="ARC94" s="120"/>
      <c r="ARD94" s="120"/>
      <c r="ARE94" s="440"/>
      <c r="ASA94" s="436"/>
      <c r="ASB94" s="120"/>
      <c r="ASC94" s="120"/>
      <c r="ASD94" s="120"/>
      <c r="ASE94" s="440"/>
      <c r="ATA94" s="436"/>
      <c r="ATB94" s="120"/>
      <c r="ATC94" s="120"/>
      <c r="ATD94" s="120"/>
      <c r="ATE94" s="440"/>
      <c r="AUA94" s="436"/>
      <c r="AUB94" s="120"/>
      <c r="AUC94" s="120"/>
      <c r="AUD94" s="120"/>
      <c r="AUE94" s="440"/>
      <c r="AVA94" s="436"/>
      <c r="AVB94" s="120"/>
      <c r="AVC94" s="120"/>
      <c r="AVD94" s="120"/>
      <c r="AVE94" s="440"/>
      <c r="AWA94" s="436"/>
      <c r="AWB94" s="120"/>
      <c r="AWC94" s="120"/>
      <c r="AWD94" s="120"/>
      <c r="AWE94" s="440"/>
      <c r="AXA94" s="436"/>
      <c r="AXB94" s="120"/>
      <c r="AXC94" s="120"/>
      <c r="AXD94" s="120"/>
      <c r="AXE94" s="440"/>
      <c r="AYA94" s="436"/>
      <c r="AYB94" s="120"/>
      <c r="AYC94" s="120"/>
      <c r="AYD94" s="120"/>
      <c r="AYE94" s="440"/>
      <c r="AZA94" s="436"/>
      <c r="AZB94" s="120"/>
      <c r="AZC94" s="120"/>
      <c r="AZD94" s="120"/>
      <c r="AZE94" s="440"/>
      <c r="BAA94" s="436"/>
      <c r="BAB94" s="120"/>
      <c r="BAC94" s="120"/>
      <c r="BAD94" s="120"/>
      <c r="BAE94" s="440"/>
      <c r="BBA94" s="436"/>
      <c r="BBB94" s="120"/>
      <c r="BBC94" s="120"/>
      <c r="BBD94" s="120"/>
      <c r="BBE94" s="440"/>
      <c r="BCA94" s="436"/>
      <c r="BCB94" s="120"/>
      <c r="BCC94" s="120"/>
      <c r="BCD94" s="120"/>
      <c r="BCE94" s="440"/>
      <c r="BDA94" s="436"/>
      <c r="BDB94" s="120"/>
      <c r="BDC94" s="120"/>
      <c r="BDD94" s="120"/>
      <c r="BDE94" s="440"/>
      <c r="BEA94" s="436"/>
      <c r="BEB94" s="120"/>
      <c r="BEC94" s="120"/>
      <c r="BED94" s="120"/>
      <c r="BEE94" s="440"/>
      <c r="BFA94" s="436"/>
      <c r="BFB94" s="120"/>
      <c r="BFC94" s="120"/>
      <c r="BFD94" s="120"/>
      <c r="BFE94" s="440"/>
      <c r="BGA94" s="436"/>
      <c r="BGB94" s="120"/>
      <c r="BGC94" s="120"/>
      <c r="BGD94" s="120"/>
      <c r="BGE94" s="440"/>
      <c r="BHA94" s="436"/>
      <c r="BHB94" s="120"/>
      <c r="BHC94" s="120"/>
      <c r="BHD94" s="120"/>
      <c r="BHE94" s="440"/>
      <c r="BIA94" s="436"/>
      <c r="BIB94" s="120"/>
      <c r="BIC94" s="120"/>
      <c r="BID94" s="120"/>
      <c r="BIE94" s="440"/>
      <c r="BJA94" s="436"/>
      <c r="BJB94" s="120"/>
      <c r="BJC94" s="120"/>
      <c r="BJD94" s="120"/>
      <c r="BJE94" s="440"/>
      <c r="BKA94" s="436"/>
      <c r="BKB94" s="120"/>
      <c r="BKC94" s="120"/>
      <c r="BKD94" s="120"/>
      <c r="BKE94" s="440"/>
      <c r="BLA94" s="436"/>
      <c r="BLB94" s="120"/>
      <c r="BLC94" s="120"/>
      <c r="BLD94" s="120"/>
      <c r="BLE94" s="440"/>
      <c r="BMA94" s="436"/>
      <c r="BMB94" s="120"/>
      <c r="BMC94" s="120"/>
      <c r="BMD94" s="120"/>
      <c r="BME94" s="440"/>
      <c r="BNA94" s="436"/>
      <c r="BNB94" s="120"/>
      <c r="BNC94" s="120"/>
      <c r="BND94" s="120"/>
      <c r="BNE94" s="440"/>
      <c r="BOA94" s="436"/>
      <c r="BOB94" s="120"/>
      <c r="BOC94" s="120"/>
      <c r="BOD94" s="120"/>
      <c r="BOE94" s="440"/>
      <c r="BPA94" s="436"/>
      <c r="BPB94" s="120"/>
      <c r="BPC94" s="120"/>
      <c r="BPD94" s="120"/>
      <c r="BPE94" s="440"/>
      <c r="BQA94" s="436"/>
      <c r="BQB94" s="120"/>
      <c r="BQC94" s="120"/>
      <c r="BQD94" s="120"/>
      <c r="BQE94" s="440"/>
      <c r="BRA94" s="436"/>
      <c r="BRB94" s="120"/>
      <c r="BRC94" s="120"/>
      <c r="BRD94" s="120"/>
      <c r="BRE94" s="440"/>
    </row>
    <row r="95" spans="27:1019 1041:1825">
      <c r="AA95" s="436"/>
      <c r="AB95" s="120"/>
      <c r="AC95" s="120"/>
      <c r="AD95" s="120"/>
      <c r="AE95" s="440"/>
      <c r="BA95" s="436"/>
      <c r="BB95" s="120"/>
      <c r="BC95" s="120"/>
      <c r="BD95" s="120"/>
      <c r="BE95" s="440"/>
      <c r="CA95" s="436"/>
      <c r="CB95" s="120"/>
      <c r="CC95" s="120"/>
      <c r="CD95" s="120"/>
      <c r="CE95" s="440"/>
      <c r="DA95" s="436"/>
      <c r="DB95" s="120"/>
      <c r="DC95" s="120"/>
      <c r="DD95" s="120"/>
      <c r="DE95" s="440"/>
      <c r="EA95" s="436"/>
      <c r="EB95" s="120"/>
      <c r="EC95" s="120"/>
      <c r="ED95" s="120"/>
      <c r="EE95" s="440"/>
      <c r="FA95" s="436"/>
      <c r="FB95" s="120"/>
      <c r="FC95" s="120"/>
      <c r="FD95" s="120"/>
      <c r="FE95" s="440"/>
      <c r="GA95" s="436"/>
      <c r="GB95" s="120"/>
      <c r="GC95" s="120"/>
      <c r="GD95" s="120"/>
      <c r="GE95" s="440"/>
      <c r="HA95" s="436"/>
      <c r="HB95" s="120"/>
      <c r="HC95" s="120"/>
      <c r="HD95" s="120"/>
      <c r="HE95" s="440"/>
      <c r="IA95" s="436"/>
      <c r="IB95" s="120"/>
      <c r="IC95" s="120"/>
      <c r="ID95" s="120"/>
      <c r="IE95" s="440"/>
      <c r="JA95" s="436"/>
      <c r="JB95" s="120"/>
      <c r="JC95" s="120"/>
      <c r="JD95" s="120"/>
      <c r="JE95" s="440"/>
      <c r="KA95" s="436"/>
      <c r="KB95" s="120"/>
      <c r="KC95" s="120"/>
      <c r="KD95" s="120"/>
      <c r="KE95" s="440"/>
      <c r="LA95" s="436"/>
      <c r="LB95" s="120"/>
      <c r="LC95" s="120"/>
      <c r="LD95" s="120"/>
      <c r="LE95" s="440"/>
      <c r="MA95" s="436"/>
      <c r="MB95" s="120"/>
      <c r="MC95" s="120"/>
      <c r="MD95" s="120"/>
      <c r="ME95" s="440"/>
      <c r="NA95" s="436"/>
      <c r="NB95" s="120"/>
      <c r="NC95" s="120"/>
      <c r="ND95" s="120"/>
      <c r="NE95" s="440"/>
      <c r="OA95" s="436"/>
      <c r="OB95" s="120"/>
      <c r="OC95" s="120"/>
      <c r="OD95" s="120"/>
      <c r="OE95" s="440"/>
      <c r="PA95" s="436"/>
      <c r="PB95" s="120"/>
      <c r="PC95" s="120"/>
      <c r="PD95" s="120"/>
      <c r="PE95" s="440"/>
      <c r="QA95" s="436"/>
      <c r="QB95" s="120"/>
      <c r="QC95" s="120"/>
      <c r="QD95" s="120"/>
      <c r="QE95" s="440"/>
      <c r="RA95" s="436"/>
      <c r="RB95" s="120"/>
      <c r="RC95" s="120"/>
      <c r="RD95" s="120"/>
      <c r="RE95" s="440"/>
      <c r="SA95" s="436"/>
      <c r="SB95" s="120"/>
      <c r="SC95" s="120"/>
      <c r="SD95" s="120"/>
      <c r="SE95" s="440"/>
      <c r="TA95" s="436"/>
      <c r="TB95" s="120"/>
      <c r="TC95" s="120"/>
      <c r="TD95" s="120"/>
      <c r="TE95" s="440"/>
      <c r="UA95" s="436"/>
      <c r="UB95" s="120"/>
      <c r="UC95" s="120"/>
      <c r="UD95" s="120"/>
      <c r="UE95" s="440"/>
      <c r="VA95" s="436"/>
      <c r="VB95" s="120"/>
      <c r="VC95" s="120"/>
      <c r="VD95" s="120"/>
      <c r="VE95" s="440"/>
      <c r="WA95" s="436"/>
      <c r="WB95" s="120"/>
      <c r="WC95" s="120"/>
      <c r="WD95" s="120"/>
      <c r="WE95" s="440"/>
      <c r="XA95" s="436"/>
      <c r="XB95" s="120"/>
      <c r="XC95" s="120"/>
      <c r="XD95" s="120"/>
      <c r="XE95" s="440"/>
      <c r="YA95" s="436"/>
      <c r="YB95" s="120"/>
      <c r="YC95" s="120"/>
      <c r="YD95" s="120"/>
      <c r="YE95" s="440"/>
      <c r="ZA95" s="436"/>
      <c r="ZB95" s="120"/>
      <c r="ZC95" s="120"/>
      <c r="ZD95" s="120"/>
      <c r="ZE95" s="440"/>
      <c r="AAA95" s="436"/>
      <c r="AAB95" s="120"/>
      <c r="AAC95" s="120"/>
      <c r="AAD95" s="120"/>
      <c r="AAE95" s="440"/>
      <c r="ABA95" s="436"/>
      <c r="ABB95" s="120"/>
      <c r="ABC95" s="120"/>
      <c r="ABD95" s="120"/>
      <c r="ABE95" s="440"/>
      <c r="ACA95" s="436"/>
      <c r="ACB95" s="120"/>
      <c r="ACC95" s="120"/>
      <c r="ACD95" s="120"/>
      <c r="ACE95" s="440"/>
      <c r="ADA95" s="436"/>
      <c r="ADB95" s="120"/>
      <c r="ADC95" s="120"/>
      <c r="ADD95" s="120"/>
      <c r="ADE95" s="440"/>
      <c r="AEA95" s="436"/>
      <c r="AEB95" s="120"/>
      <c r="AEC95" s="120"/>
      <c r="AED95" s="120"/>
      <c r="AEE95" s="440"/>
      <c r="AFA95" s="436"/>
      <c r="AFB95" s="120"/>
      <c r="AFC95" s="120"/>
      <c r="AFD95" s="120"/>
      <c r="AFE95" s="440"/>
      <c r="AGA95" s="436"/>
      <c r="AGB95" s="120"/>
      <c r="AGC95" s="120"/>
      <c r="AGD95" s="120"/>
      <c r="AGE95" s="440"/>
      <c r="AHA95" s="436"/>
      <c r="AHB95" s="120"/>
      <c r="AHC95" s="120"/>
      <c r="AHD95" s="120"/>
      <c r="AHE95" s="440"/>
      <c r="AIA95" s="436"/>
      <c r="AIB95" s="120"/>
      <c r="AIC95" s="120"/>
      <c r="AID95" s="120"/>
      <c r="AIE95" s="440"/>
      <c r="AJA95" s="436"/>
      <c r="AJB95" s="120"/>
      <c r="AJC95" s="120"/>
      <c r="AJD95" s="120"/>
      <c r="AJE95" s="440"/>
      <c r="AKA95" s="436"/>
      <c r="AKB95" s="120"/>
      <c r="AKC95" s="120"/>
      <c r="AKD95" s="120"/>
      <c r="AKE95" s="440"/>
      <c r="ALA95" s="436"/>
      <c r="ALB95" s="120"/>
      <c r="ALC95" s="120"/>
      <c r="ALD95" s="120"/>
      <c r="ALE95" s="440"/>
      <c r="AMA95" s="436"/>
      <c r="AMB95" s="120"/>
      <c r="AMC95" s="120"/>
      <c r="AMD95" s="120"/>
      <c r="AME95" s="440"/>
      <c r="ANA95" s="436"/>
      <c r="ANB95" s="120"/>
      <c r="ANC95" s="120"/>
      <c r="AND95" s="120"/>
      <c r="ANE95" s="440"/>
      <c r="AOA95" s="436"/>
      <c r="AOB95" s="120"/>
      <c r="AOC95" s="120"/>
      <c r="AOD95" s="120"/>
      <c r="AOE95" s="440"/>
      <c r="APA95" s="436"/>
      <c r="APB95" s="120"/>
      <c r="APC95" s="120"/>
      <c r="APD95" s="120"/>
      <c r="APE95" s="440"/>
      <c r="AQA95" s="436"/>
      <c r="AQB95" s="120"/>
      <c r="AQC95" s="120"/>
      <c r="AQD95" s="120"/>
      <c r="AQE95" s="440"/>
      <c r="ARA95" s="436"/>
      <c r="ARB95" s="120"/>
      <c r="ARC95" s="120"/>
      <c r="ARD95" s="120"/>
      <c r="ARE95" s="440"/>
      <c r="ASA95" s="436"/>
      <c r="ASB95" s="120"/>
      <c r="ASC95" s="120"/>
      <c r="ASD95" s="120"/>
      <c r="ASE95" s="440"/>
      <c r="ATA95" s="436"/>
      <c r="ATB95" s="120"/>
      <c r="ATC95" s="120"/>
      <c r="ATD95" s="120"/>
      <c r="ATE95" s="440"/>
      <c r="AUA95" s="436"/>
      <c r="AUB95" s="120"/>
      <c r="AUC95" s="120"/>
      <c r="AUD95" s="120"/>
      <c r="AUE95" s="440"/>
      <c r="AVA95" s="436"/>
      <c r="AVB95" s="120"/>
      <c r="AVC95" s="120"/>
      <c r="AVD95" s="120"/>
      <c r="AVE95" s="440"/>
      <c r="AWA95" s="436"/>
      <c r="AWB95" s="120"/>
      <c r="AWC95" s="120"/>
      <c r="AWD95" s="120"/>
      <c r="AWE95" s="440"/>
      <c r="AXA95" s="436"/>
      <c r="AXB95" s="120"/>
      <c r="AXC95" s="120"/>
      <c r="AXD95" s="120"/>
      <c r="AXE95" s="440"/>
      <c r="AYA95" s="436"/>
      <c r="AYB95" s="120"/>
      <c r="AYC95" s="120"/>
      <c r="AYD95" s="120"/>
      <c r="AYE95" s="440"/>
      <c r="AZA95" s="436"/>
      <c r="AZB95" s="120"/>
      <c r="AZC95" s="120"/>
      <c r="AZD95" s="120"/>
      <c r="AZE95" s="440"/>
      <c r="BAA95" s="436"/>
      <c r="BAB95" s="120"/>
      <c r="BAC95" s="120"/>
      <c r="BAD95" s="120"/>
      <c r="BAE95" s="440"/>
      <c r="BBA95" s="436"/>
      <c r="BBB95" s="120"/>
      <c r="BBC95" s="120"/>
      <c r="BBD95" s="120"/>
      <c r="BBE95" s="440"/>
      <c r="BCA95" s="436"/>
      <c r="BCB95" s="120"/>
      <c r="BCC95" s="120"/>
      <c r="BCD95" s="120"/>
      <c r="BCE95" s="440"/>
      <c r="BDA95" s="436"/>
      <c r="BDB95" s="120"/>
      <c r="BDC95" s="120"/>
      <c r="BDD95" s="120"/>
      <c r="BDE95" s="440"/>
      <c r="BEA95" s="436"/>
      <c r="BEB95" s="120"/>
      <c r="BEC95" s="120"/>
      <c r="BED95" s="120"/>
      <c r="BEE95" s="440"/>
      <c r="BFA95" s="436"/>
      <c r="BFB95" s="120"/>
      <c r="BFC95" s="120"/>
      <c r="BFD95" s="120"/>
      <c r="BFE95" s="440"/>
      <c r="BGA95" s="436"/>
      <c r="BGB95" s="120"/>
      <c r="BGC95" s="120"/>
      <c r="BGD95" s="120"/>
      <c r="BGE95" s="440"/>
      <c r="BHA95" s="436"/>
      <c r="BHB95" s="120"/>
      <c r="BHC95" s="120"/>
      <c r="BHD95" s="120"/>
      <c r="BHE95" s="440"/>
      <c r="BIA95" s="436"/>
      <c r="BIB95" s="120"/>
      <c r="BIC95" s="120"/>
      <c r="BID95" s="120"/>
      <c r="BIE95" s="440"/>
      <c r="BJA95" s="436"/>
      <c r="BJB95" s="120"/>
      <c r="BJC95" s="120"/>
      <c r="BJD95" s="120"/>
      <c r="BJE95" s="440"/>
      <c r="BKA95" s="436"/>
      <c r="BKB95" s="120"/>
      <c r="BKC95" s="120"/>
      <c r="BKD95" s="120"/>
      <c r="BKE95" s="440"/>
      <c r="BLA95" s="436"/>
      <c r="BLB95" s="120"/>
      <c r="BLC95" s="120"/>
      <c r="BLD95" s="120"/>
      <c r="BLE95" s="440"/>
      <c r="BMA95" s="436"/>
      <c r="BMB95" s="120"/>
      <c r="BMC95" s="120"/>
      <c r="BMD95" s="120"/>
      <c r="BME95" s="440"/>
      <c r="BNA95" s="436"/>
      <c r="BNB95" s="120"/>
      <c r="BNC95" s="120"/>
      <c r="BND95" s="120"/>
      <c r="BNE95" s="440"/>
      <c r="BOA95" s="436"/>
      <c r="BOB95" s="120"/>
      <c r="BOC95" s="120"/>
      <c r="BOD95" s="120"/>
      <c r="BOE95" s="440"/>
      <c r="BPA95" s="436"/>
      <c r="BPB95" s="120"/>
      <c r="BPC95" s="120"/>
      <c r="BPD95" s="120"/>
      <c r="BPE95" s="440"/>
      <c r="BQA95" s="436"/>
      <c r="BQB95" s="120"/>
      <c r="BQC95" s="120"/>
      <c r="BQD95" s="120"/>
      <c r="BQE95" s="440"/>
      <c r="BRA95" s="436"/>
      <c r="BRB95" s="120"/>
      <c r="BRC95" s="120"/>
      <c r="BRD95" s="120"/>
      <c r="BRE95" s="440"/>
    </row>
    <row r="96" spans="27:1019 1041:1825">
      <c r="AA96" s="436"/>
      <c r="AB96" s="120"/>
      <c r="AC96" s="120"/>
      <c r="AD96" s="120"/>
      <c r="AE96" s="440"/>
      <c r="BA96" s="436"/>
      <c r="BB96" s="120"/>
      <c r="BC96" s="120"/>
      <c r="BD96" s="120"/>
      <c r="BE96" s="440"/>
      <c r="CA96" s="436"/>
      <c r="CB96" s="120"/>
      <c r="CC96" s="120"/>
      <c r="CD96" s="120"/>
      <c r="CE96" s="440"/>
      <c r="DA96" s="436"/>
      <c r="DB96" s="120"/>
      <c r="DC96" s="120"/>
      <c r="DD96" s="120"/>
      <c r="DE96" s="440"/>
      <c r="EA96" s="436"/>
      <c r="EB96" s="120"/>
      <c r="EC96" s="120"/>
      <c r="ED96" s="120"/>
      <c r="EE96" s="440"/>
      <c r="FA96" s="436"/>
      <c r="FB96" s="120"/>
      <c r="FC96" s="120"/>
      <c r="FD96" s="120"/>
      <c r="FE96" s="440"/>
      <c r="GA96" s="436"/>
      <c r="GB96" s="120"/>
      <c r="GC96" s="120"/>
      <c r="GD96" s="120"/>
      <c r="GE96" s="440"/>
      <c r="HA96" s="436"/>
      <c r="HB96" s="120"/>
      <c r="HC96" s="120"/>
      <c r="HD96" s="120"/>
      <c r="HE96" s="440"/>
      <c r="IA96" s="436"/>
      <c r="IB96" s="120"/>
      <c r="IC96" s="120"/>
      <c r="ID96" s="120"/>
      <c r="IE96" s="440"/>
      <c r="JA96" s="436"/>
      <c r="JB96" s="120"/>
      <c r="JC96" s="120"/>
      <c r="JD96" s="120"/>
      <c r="JE96" s="440"/>
      <c r="KA96" s="436"/>
      <c r="KB96" s="120"/>
      <c r="KC96" s="120"/>
      <c r="KD96" s="120"/>
      <c r="KE96" s="440"/>
      <c r="LA96" s="436"/>
      <c r="LB96" s="120"/>
      <c r="LC96" s="120"/>
      <c r="LD96" s="120"/>
      <c r="LE96" s="440"/>
      <c r="MA96" s="436"/>
      <c r="MB96" s="120"/>
      <c r="MC96" s="120"/>
      <c r="MD96" s="120"/>
      <c r="ME96" s="440"/>
      <c r="NA96" s="436"/>
      <c r="NB96" s="120"/>
      <c r="NC96" s="120"/>
      <c r="ND96" s="120"/>
      <c r="NE96" s="440"/>
      <c r="OA96" s="436"/>
      <c r="OB96" s="120"/>
      <c r="OC96" s="120"/>
      <c r="OD96" s="120"/>
      <c r="OE96" s="440"/>
      <c r="PA96" s="436"/>
      <c r="PB96" s="120"/>
      <c r="PC96" s="120"/>
      <c r="PD96" s="120"/>
      <c r="PE96" s="440"/>
      <c r="QA96" s="436"/>
      <c r="QB96" s="120"/>
      <c r="QC96" s="120"/>
      <c r="QD96" s="120"/>
      <c r="QE96" s="440"/>
      <c r="RA96" s="436"/>
      <c r="RB96" s="120"/>
      <c r="RC96" s="120"/>
      <c r="RD96" s="120"/>
      <c r="RE96" s="440"/>
      <c r="SA96" s="436"/>
      <c r="SB96" s="120"/>
      <c r="SC96" s="120"/>
      <c r="SD96" s="120"/>
      <c r="SE96" s="440"/>
      <c r="TA96" s="436"/>
      <c r="TB96" s="120"/>
      <c r="TC96" s="120"/>
      <c r="TD96" s="120"/>
      <c r="TE96" s="440"/>
      <c r="UA96" s="436"/>
      <c r="UB96" s="120"/>
      <c r="UC96" s="120"/>
      <c r="UD96" s="120"/>
      <c r="UE96" s="440"/>
      <c r="VA96" s="436"/>
      <c r="VB96" s="120"/>
      <c r="VC96" s="120"/>
      <c r="VD96" s="120"/>
      <c r="VE96" s="440"/>
      <c r="WA96" s="436"/>
      <c r="WB96" s="120"/>
      <c r="WC96" s="120"/>
      <c r="WD96" s="120"/>
      <c r="WE96" s="440"/>
      <c r="XA96" s="436"/>
      <c r="XB96" s="120"/>
      <c r="XC96" s="120"/>
      <c r="XD96" s="120"/>
      <c r="XE96" s="440"/>
      <c r="YA96" s="436"/>
      <c r="YB96" s="120"/>
      <c r="YC96" s="120"/>
      <c r="YD96" s="120"/>
      <c r="YE96" s="440"/>
      <c r="ZA96" s="436"/>
      <c r="ZB96" s="120"/>
      <c r="ZC96" s="120"/>
      <c r="ZD96" s="120"/>
      <c r="ZE96" s="440"/>
      <c r="AAA96" s="436"/>
      <c r="AAB96" s="120"/>
      <c r="AAC96" s="120"/>
      <c r="AAD96" s="120"/>
      <c r="AAE96" s="440"/>
      <c r="ABA96" s="436"/>
      <c r="ABB96" s="120"/>
      <c r="ABC96" s="120"/>
      <c r="ABD96" s="120"/>
      <c r="ABE96" s="440"/>
      <c r="ACA96" s="436"/>
      <c r="ACB96" s="120"/>
      <c r="ACC96" s="120"/>
      <c r="ACD96" s="120"/>
      <c r="ACE96" s="440"/>
      <c r="ADA96" s="436"/>
      <c r="ADB96" s="120"/>
      <c r="ADC96" s="120"/>
      <c r="ADD96" s="120"/>
      <c r="ADE96" s="440"/>
      <c r="AEA96" s="436"/>
      <c r="AEB96" s="120"/>
      <c r="AEC96" s="120"/>
      <c r="AED96" s="120"/>
      <c r="AEE96" s="440"/>
      <c r="AFA96" s="436"/>
      <c r="AFB96" s="120"/>
      <c r="AFC96" s="120"/>
      <c r="AFD96" s="120"/>
      <c r="AFE96" s="440"/>
      <c r="AGA96" s="436"/>
      <c r="AGB96" s="120"/>
      <c r="AGC96" s="120"/>
      <c r="AGD96" s="120"/>
      <c r="AGE96" s="440"/>
      <c r="AHA96" s="436"/>
      <c r="AHB96" s="120"/>
      <c r="AHC96" s="120"/>
      <c r="AHD96" s="120"/>
      <c r="AHE96" s="440"/>
      <c r="AIA96" s="436"/>
      <c r="AIB96" s="120"/>
      <c r="AIC96" s="120"/>
      <c r="AID96" s="120"/>
      <c r="AIE96" s="440"/>
      <c r="AJA96" s="436"/>
      <c r="AJB96" s="120"/>
      <c r="AJC96" s="120"/>
      <c r="AJD96" s="120"/>
      <c r="AJE96" s="440"/>
      <c r="AKA96" s="436"/>
      <c r="AKB96" s="120"/>
      <c r="AKC96" s="120"/>
      <c r="AKD96" s="120"/>
      <c r="AKE96" s="440"/>
      <c r="ALA96" s="436"/>
      <c r="ALB96" s="120"/>
      <c r="ALC96" s="120"/>
      <c r="ALD96" s="120"/>
      <c r="ALE96" s="440"/>
      <c r="AMA96" s="436"/>
      <c r="AMB96" s="120"/>
      <c r="AMC96" s="120"/>
      <c r="AMD96" s="120"/>
      <c r="AME96" s="440"/>
      <c r="ANA96" s="436"/>
      <c r="ANB96" s="120"/>
      <c r="ANC96" s="120"/>
      <c r="AND96" s="120"/>
      <c r="ANE96" s="440"/>
      <c r="AOA96" s="436"/>
      <c r="AOB96" s="120"/>
      <c r="AOC96" s="120"/>
      <c r="AOD96" s="120"/>
      <c r="AOE96" s="440"/>
      <c r="APA96" s="436"/>
      <c r="APB96" s="120"/>
      <c r="APC96" s="120"/>
      <c r="APD96" s="120"/>
      <c r="APE96" s="440"/>
      <c r="AQA96" s="436"/>
      <c r="AQB96" s="120"/>
      <c r="AQC96" s="120"/>
      <c r="AQD96" s="120"/>
      <c r="AQE96" s="440"/>
      <c r="ARA96" s="436"/>
      <c r="ARB96" s="120"/>
      <c r="ARC96" s="120"/>
      <c r="ARD96" s="120"/>
      <c r="ARE96" s="440"/>
      <c r="ASA96" s="436"/>
      <c r="ASB96" s="120"/>
      <c r="ASC96" s="120"/>
      <c r="ASD96" s="120"/>
      <c r="ASE96" s="440"/>
      <c r="ATA96" s="436"/>
      <c r="ATB96" s="120"/>
      <c r="ATC96" s="120"/>
      <c r="ATD96" s="120"/>
      <c r="ATE96" s="440"/>
      <c r="AUA96" s="436"/>
      <c r="AUB96" s="120"/>
      <c r="AUC96" s="120"/>
      <c r="AUD96" s="120"/>
      <c r="AUE96" s="440"/>
      <c r="AVA96" s="436"/>
      <c r="AVB96" s="120"/>
      <c r="AVC96" s="120"/>
      <c r="AVD96" s="120"/>
      <c r="AVE96" s="440"/>
      <c r="AWA96" s="436"/>
      <c r="AWB96" s="120"/>
      <c r="AWC96" s="120"/>
      <c r="AWD96" s="120"/>
      <c r="AWE96" s="440"/>
      <c r="AXA96" s="436"/>
      <c r="AXB96" s="120"/>
      <c r="AXC96" s="120"/>
      <c r="AXD96" s="120"/>
      <c r="AXE96" s="440"/>
      <c r="AYA96" s="436"/>
      <c r="AYB96" s="120"/>
      <c r="AYC96" s="120"/>
      <c r="AYD96" s="120"/>
      <c r="AYE96" s="440"/>
      <c r="AZA96" s="436"/>
      <c r="AZB96" s="120"/>
      <c r="AZC96" s="120"/>
      <c r="AZD96" s="120"/>
      <c r="AZE96" s="440"/>
      <c r="BAA96" s="436"/>
      <c r="BAB96" s="120"/>
      <c r="BAC96" s="120"/>
      <c r="BAD96" s="120"/>
      <c r="BAE96" s="440"/>
      <c r="BBA96" s="436"/>
      <c r="BBB96" s="120"/>
      <c r="BBC96" s="120"/>
      <c r="BBD96" s="120"/>
      <c r="BBE96" s="440"/>
      <c r="BCA96" s="436"/>
      <c r="BCB96" s="120"/>
      <c r="BCC96" s="120"/>
      <c r="BCD96" s="120"/>
      <c r="BCE96" s="440"/>
      <c r="BDA96" s="436"/>
      <c r="BDB96" s="120"/>
      <c r="BDC96" s="120"/>
      <c r="BDD96" s="120"/>
      <c r="BDE96" s="440"/>
      <c r="BEA96" s="436"/>
      <c r="BEB96" s="120"/>
      <c r="BEC96" s="120"/>
      <c r="BED96" s="120"/>
      <c r="BEE96" s="440"/>
      <c r="BFA96" s="436"/>
      <c r="BFB96" s="120"/>
      <c r="BFC96" s="120"/>
      <c r="BFD96" s="120"/>
      <c r="BFE96" s="440"/>
      <c r="BGA96" s="436"/>
      <c r="BGB96" s="120"/>
      <c r="BGC96" s="120"/>
      <c r="BGD96" s="120"/>
      <c r="BGE96" s="440"/>
      <c r="BHA96" s="436"/>
      <c r="BHB96" s="120"/>
      <c r="BHC96" s="120"/>
      <c r="BHD96" s="120"/>
      <c r="BHE96" s="440"/>
      <c r="BIA96" s="436"/>
      <c r="BIB96" s="120"/>
      <c r="BIC96" s="120"/>
      <c r="BID96" s="120"/>
      <c r="BIE96" s="440"/>
      <c r="BJA96" s="436"/>
      <c r="BJB96" s="120"/>
      <c r="BJC96" s="120"/>
      <c r="BJD96" s="120"/>
      <c r="BJE96" s="440"/>
      <c r="BKA96" s="436"/>
      <c r="BKB96" s="120"/>
      <c r="BKC96" s="120"/>
      <c r="BKD96" s="120"/>
      <c r="BKE96" s="440"/>
      <c r="BLA96" s="436"/>
      <c r="BLB96" s="120"/>
      <c r="BLC96" s="120"/>
      <c r="BLD96" s="120"/>
      <c r="BLE96" s="440"/>
      <c r="BMA96" s="436"/>
      <c r="BMB96" s="120"/>
      <c r="BMC96" s="120"/>
      <c r="BMD96" s="120"/>
      <c r="BME96" s="440"/>
      <c r="BNA96" s="436"/>
      <c r="BNB96" s="120"/>
      <c r="BNC96" s="120"/>
      <c r="BND96" s="120"/>
      <c r="BNE96" s="440"/>
      <c r="BOA96" s="436"/>
      <c r="BOB96" s="120"/>
      <c r="BOC96" s="120"/>
      <c r="BOD96" s="120"/>
      <c r="BOE96" s="440"/>
      <c r="BPA96" s="436"/>
      <c r="BPB96" s="120"/>
      <c r="BPC96" s="120"/>
      <c r="BPD96" s="120"/>
      <c r="BPE96" s="440"/>
      <c r="BQA96" s="436"/>
      <c r="BQB96" s="120"/>
      <c r="BQC96" s="120"/>
      <c r="BQD96" s="120"/>
      <c r="BQE96" s="440"/>
      <c r="BRA96" s="436"/>
      <c r="BRB96" s="120"/>
      <c r="BRC96" s="120"/>
      <c r="BRD96" s="120"/>
      <c r="BRE96" s="440"/>
    </row>
    <row r="97" spans="27:1019 1041:1825">
      <c r="AA97" s="436"/>
      <c r="AB97" s="120"/>
      <c r="AC97" s="120"/>
      <c r="AD97" s="120"/>
      <c r="AE97" s="440"/>
      <c r="BA97" s="436"/>
      <c r="BB97" s="120"/>
      <c r="BC97" s="120"/>
      <c r="BD97" s="120"/>
      <c r="BE97" s="440"/>
      <c r="CA97" s="436"/>
      <c r="CB97" s="120"/>
      <c r="CC97" s="120"/>
      <c r="CD97" s="120"/>
      <c r="CE97" s="440"/>
      <c r="DA97" s="436"/>
      <c r="DB97" s="120"/>
      <c r="DC97" s="120"/>
      <c r="DD97" s="120"/>
      <c r="DE97" s="440"/>
      <c r="EA97" s="436"/>
      <c r="EB97" s="120"/>
      <c r="EC97" s="120"/>
      <c r="ED97" s="120"/>
      <c r="EE97" s="440"/>
      <c r="FA97" s="436"/>
      <c r="FB97" s="120"/>
      <c r="FC97" s="120"/>
      <c r="FD97" s="120"/>
      <c r="FE97" s="440"/>
      <c r="GA97" s="436"/>
      <c r="GB97" s="120"/>
      <c r="GC97" s="120"/>
      <c r="GD97" s="120"/>
      <c r="GE97" s="440"/>
      <c r="HA97" s="436"/>
      <c r="HB97" s="120"/>
      <c r="HC97" s="120"/>
      <c r="HD97" s="120"/>
      <c r="HE97" s="440"/>
      <c r="IA97" s="436"/>
      <c r="IB97" s="120"/>
      <c r="IC97" s="120"/>
      <c r="ID97" s="120"/>
      <c r="IE97" s="440"/>
      <c r="JA97" s="436"/>
      <c r="JB97" s="120"/>
      <c r="JC97" s="120"/>
      <c r="JD97" s="120"/>
      <c r="JE97" s="440"/>
      <c r="KA97" s="436"/>
      <c r="KB97" s="120"/>
      <c r="KC97" s="120"/>
      <c r="KD97" s="120"/>
      <c r="KE97" s="440"/>
      <c r="LA97" s="436"/>
      <c r="LB97" s="120"/>
      <c r="LC97" s="120"/>
      <c r="LD97" s="120"/>
      <c r="LE97" s="440"/>
      <c r="MA97" s="436"/>
      <c r="MB97" s="120"/>
      <c r="MC97" s="120"/>
      <c r="MD97" s="120"/>
      <c r="ME97" s="440"/>
      <c r="NA97" s="436"/>
      <c r="NB97" s="120"/>
      <c r="NC97" s="120"/>
      <c r="ND97" s="120"/>
      <c r="NE97" s="440"/>
      <c r="OA97" s="436"/>
      <c r="OB97" s="120"/>
      <c r="OC97" s="120"/>
      <c r="OD97" s="120"/>
      <c r="OE97" s="440"/>
      <c r="PA97" s="436"/>
      <c r="PB97" s="120"/>
      <c r="PC97" s="120"/>
      <c r="PD97" s="120"/>
      <c r="PE97" s="440"/>
      <c r="QA97" s="436"/>
      <c r="QB97" s="120"/>
      <c r="QC97" s="120"/>
      <c r="QD97" s="120"/>
      <c r="QE97" s="440"/>
      <c r="RA97" s="436"/>
      <c r="RB97" s="120"/>
      <c r="RC97" s="120"/>
      <c r="RD97" s="120"/>
      <c r="RE97" s="440"/>
      <c r="SA97" s="436"/>
      <c r="SB97" s="120"/>
      <c r="SC97" s="120"/>
      <c r="SD97" s="120"/>
      <c r="SE97" s="440"/>
      <c r="TA97" s="436"/>
      <c r="TB97" s="120"/>
      <c r="TC97" s="120"/>
      <c r="TD97" s="120"/>
      <c r="TE97" s="440"/>
      <c r="UA97" s="436"/>
      <c r="UB97" s="120"/>
      <c r="UC97" s="120"/>
      <c r="UD97" s="120"/>
      <c r="UE97" s="440"/>
      <c r="VA97" s="436"/>
      <c r="VB97" s="120"/>
      <c r="VC97" s="120"/>
      <c r="VD97" s="120"/>
      <c r="VE97" s="440"/>
      <c r="WA97" s="436"/>
      <c r="WB97" s="120"/>
      <c r="WC97" s="120"/>
      <c r="WD97" s="120"/>
      <c r="WE97" s="440"/>
      <c r="XA97" s="436"/>
      <c r="XB97" s="120"/>
      <c r="XC97" s="120"/>
      <c r="XD97" s="120"/>
      <c r="XE97" s="440"/>
      <c r="YA97" s="436"/>
      <c r="YB97" s="120"/>
      <c r="YC97" s="120"/>
      <c r="YD97" s="120"/>
      <c r="YE97" s="440"/>
      <c r="ZA97" s="436"/>
      <c r="ZB97" s="120"/>
      <c r="ZC97" s="120"/>
      <c r="ZD97" s="120"/>
      <c r="ZE97" s="440"/>
      <c r="AAA97" s="436"/>
      <c r="AAB97" s="120"/>
      <c r="AAC97" s="120"/>
      <c r="AAD97" s="120"/>
      <c r="AAE97" s="440"/>
      <c r="ABA97" s="436"/>
      <c r="ABB97" s="120"/>
      <c r="ABC97" s="120"/>
      <c r="ABD97" s="120"/>
      <c r="ABE97" s="440"/>
      <c r="ACA97" s="436"/>
      <c r="ACB97" s="120"/>
      <c r="ACC97" s="120"/>
      <c r="ACD97" s="120"/>
      <c r="ACE97" s="440"/>
      <c r="ADA97" s="436"/>
      <c r="ADB97" s="120"/>
      <c r="ADC97" s="120"/>
      <c r="ADD97" s="120"/>
      <c r="ADE97" s="440"/>
      <c r="AEA97" s="436"/>
      <c r="AEB97" s="120"/>
      <c r="AEC97" s="120"/>
      <c r="AED97" s="120"/>
      <c r="AEE97" s="440"/>
      <c r="AFA97" s="436"/>
      <c r="AFB97" s="120"/>
      <c r="AFC97" s="120"/>
      <c r="AFD97" s="120"/>
      <c r="AFE97" s="440"/>
      <c r="AGA97" s="436"/>
      <c r="AGB97" s="120"/>
      <c r="AGC97" s="120"/>
      <c r="AGD97" s="120"/>
      <c r="AGE97" s="440"/>
      <c r="AHA97" s="436"/>
      <c r="AHB97" s="120"/>
      <c r="AHC97" s="120"/>
      <c r="AHD97" s="120"/>
      <c r="AHE97" s="440"/>
      <c r="AIA97" s="436"/>
      <c r="AIB97" s="120"/>
      <c r="AIC97" s="120"/>
      <c r="AID97" s="120"/>
      <c r="AIE97" s="440"/>
      <c r="AJA97" s="436"/>
      <c r="AJB97" s="120"/>
      <c r="AJC97" s="120"/>
      <c r="AJD97" s="120"/>
      <c r="AJE97" s="440"/>
      <c r="AKA97" s="436"/>
      <c r="AKB97" s="120"/>
      <c r="AKC97" s="120"/>
      <c r="AKD97" s="120"/>
      <c r="AKE97" s="440"/>
      <c r="ALA97" s="436"/>
      <c r="ALB97" s="120"/>
      <c r="ALC97" s="120"/>
      <c r="ALD97" s="120"/>
      <c r="ALE97" s="440"/>
      <c r="AMA97" s="436"/>
      <c r="AMB97" s="120"/>
      <c r="AMC97" s="120"/>
      <c r="AMD97" s="120"/>
      <c r="AME97" s="440"/>
      <c r="ANA97" s="436"/>
      <c r="ANB97" s="120"/>
      <c r="ANC97" s="120"/>
      <c r="AND97" s="120"/>
      <c r="ANE97" s="440"/>
      <c r="AOA97" s="436"/>
      <c r="AOB97" s="120"/>
      <c r="AOC97" s="120"/>
      <c r="AOD97" s="120"/>
      <c r="AOE97" s="440"/>
      <c r="APA97" s="436"/>
      <c r="APB97" s="120"/>
      <c r="APC97" s="120"/>
      <c r="APD97" s="120"/>
      <c r="APE97" s="440"/>
      <c r="AQA97" s="436"/>
      <c r="AQB97" s="120"/>
      <c r="AQC97" s="120"/>
      <c r="AQD97" s="120"/>
      <c r="AQE97" s="440"/>
      <c r="ARA97" s="436"/>
      <c r="ARB97" s="120"/>
      <c r="ARC97" s="120"/>
      <c r="ARD97" s="120"/>
      <c r="ARE97" s="440"/>
      <c r="ASA97" s="436"/>
      <c r="ASB97" s="120"/>
      <c r="ASC97" s="120"/>
      <c r="ASD97" s="120"/>
      <c r="ASE97" s="440"/>
      <c r="ATA97" s="436"/>
      <c r="ATB97" s="120"/>
      <c r="ATC97" s="120"/>
      <c r="ATD97" s="120"/>
      <c r="ATE97" s="440"/>
      <c r="AUA97" s="436"/>
      <c r="AUB97" s="120"/>
      <c r="AUC97" s="120"/>
      <c r="AUD97" s="120"/>
      <c r="AUE97" s="440"/>
      <c r="AVA97" s="436"/>
      <c r="AVB97" s="120"/>
      <c r="AVC97" s="120"/>
      <c r="AVD97" s="120"/>
      <c r="AVE97" s="440"/>
      <c r="AWA97" s="436"/>
      <c r="AWB97" s="120"/>
      <c r="AWC97" s="120"/>
      <c r="AWD97" s="120"/>
      <c r="AWE97" s="440"/>
      <c r="AXA97" s="436"/>
      <c r="AXB97" s="120"/>
      <c r="AXC97" s="120"/>
      <c r="AXD97" s="120"/>
      <c r="AXE97" s="440"/>
      <c r="AYA97" s="436"/>
      <c r="AYB97" s="120"/>
      <c r="AYC97" s="120"/>
      <c r="AYD97" s="120"/>
      <c r="AYE97" s="440"/>
      <c r="AZA97" s="436"/>
      <c r="AZB97" s="120"/>
      <c r="AZC97" s="120"/>
      <c r="AZD97" s="120"/>
      <c r="AZE97" s="440"/>
      <c r="BAA97" s="436"/>
      <c r="BAB97" s="120"/>
      <c r="BAC97" s="120"/>
      <c r="BAD97" s="120"/>
      <c r="BAE97" s="440"/>
      <c r="BBA97" s="436"/>
      <c r="BBB97" s="120"/>
      <c r="BBC97" s="120"/>
      <c r="BBD97" s="120"/>
      <c r="BBE97" s="440"/>
      <c r="BCA97" s="436"/>
      <c r="BCB97" s="120"/>
      <c r="BCC97" s="120"/>
      <c r="BCD97" s="120"/>
      <c r="BCE97" s="440"/>
      <c r="BDA97" s="436"/>
      <c r="BDB97" s="120"/>
      <c r="BDC97" s="120"/>
      <c r="BDD97" s="120"/>
      <c r="BDE97" s="440"/>
      <c r="BEA97" s="436"/>
      <c r="BEB97" s="120"/>
      <c r="BEC97" s="120"/>
      <c r="BED97" s="120"/>
      <c r="BEE97" s="440"/>
      <c r="BFA97" s="436"/>
      <c r="BFB97" s="120"/>
      <c r="BFC97" s="120"/>
      <c r="BFD97" s="120"/>
      <c r="BFE97" s="440"/>
      <c r="BGA97" s="436"/>
      <c r="BGB97" s="120"/>
      <c r="BGC97" s="120"/>
      <c r="BGD97" s="120"/>
      <c r="BGE97" s="440"/>
      <c r="BHA97" s="436"/>
      <c r="BHB97" s="120"/>
      <c r="BHC97" s="120"/>
      <c r="BHD97" s="120"/>
      <c r="BHE97" s="440"/>
      <c r="BIA97" s="436"/>
      <c r="BIB97" s="120"/>
      <c r="BIC97" s="120"/>
      <c r="BID97" s="120"/>
      <c r="BIE97" s="440"/>
      <c r="BJA97" s="436"/>
      <c r="BJB97" s="120"/>
      <c r="BJC97" s="120"/>
      <c r="BJD97" s="120"/>
      <c r="BJE97" s="440"/>
      <c r="BKA97" s="436"/>
      <c r="BKB97" s="120"/>
      <c r="BKC97" s="120"/>
      <c r="BKD97" s="120"/>
      <c r="BKE97" s="440"/>
      <c r="BLA97" s="436"/>
      <c r="BLB97" s="120"/>
      <c r="BLC97" s="120"/>
      <c r="BLD97" s="120"/>
      <c r="BLE97" s="440"/>
      <c r="BMA97" s="436"/>
      <c r="BMB97" s="120"/>
      <c r="BMC97" s="120"/>
      <c r="BMD97" s="120"/>
      <c r="BME97" s="440"/>
      <c r="BNA97" s="436"/>
      <c r="BNB97" s="120"/>
      <c r="BNC97" s="120"/>
      <c r="BND97" s="120"/>
      <c r="BNE97" s="440"/>
      <c r="BOA97" s="436"/>
      <c r="BOB97" s="120"/>
      <c r="BOC97" s="120"/>
      <c r="BOD97" s="120"/>
      <c r="BOE97" s="440"/>
      <c r="BPA97" s="436"/>
      <c r="BPB97" s="120"/>
      <c r="BPC97" s="120"/>
      <c r="BPD97" s="120"/>
      <c r="BPE97" s="440"/>
      <c r="BQA97" s="436"/>
      <c r="BQB97" s="120"/>
      <c r="BQC97" s="120"/>
      <c r="BQD97" s="120"/>
      <c r="BQE97" s="440"/>
      <c r="BRA97" s="436"/>
      <c r="BRB97" s="120"/>
      <c r="BRC97" s="120"/>
      <c r="BRD97" s="120"/>
      <c r="BRE97" s="440"/>
    </row>
    <row r="98" spans="27:1019 1041:1825">
      <c r="AA98" s="436"/>
      <c r="AB98" s="120"/>
      <c r="AC98" s="120"/>
      <c r="AD98" s="120"/>
      <c r="AE98" s="440"/>
      <c r="BA98" s="436"/>
      <c r="BB98" s="120"/>
      <c r="BC98" s="120"/>
      <c r="BD98" s="120"/>
      <c r="BE98" s="440"/>
      <c r="CA98" s="436"/>
      <c r="CB98" s="120"/>
      <c r="CC98" s="120"/>
      <c r="CD98" s="120"/>
      <c r="CE98" s="440"/>
      <c r="DA98" s="436"/>
      <c r="DB98" s="120"/>
      <c r="DC98" s="120"/>
      <c r="DD98" s="120"/>
      <c r="DE98" s="440"/>
      <c r="EA98" s="436"/>
      <c r="EB98" s="120"/>
      <c r="EC98" s="120"/>
      <c r="ED98" s="120"/>
      <c r="EE98" s="440"/>
      <c r="FA98" s="436"/>
      <c r="FB98" s="120"/>
      <c r="FC98" s="120"/>
      <c r="FD98" s="120"/>
      <c r="FE98" s="440"/>
      <c r="GA98" s="436"/>
      <c r="GB98" s="120"/>
      <c r="GC98" s="120"/>
      <c r="GD98" s="120"/>
      <c r="GE98" s="440"/>
      <c r="HA98" s="436"/>
      <c r="HB98" s="120"/>
      <c r="HC98" s="120"/>
      <c r="HD98" s="120"/>
      <c r="HE98" s="440"/>
      <c r="IA98" s="436"/>
      <c r="IB98" s="120"/>
      <c r="IC98" s="120"/>
      <c r="ID98" s="120"/>
      <c r="IE98" s="440"/>
      <c r="JA98" s="436"/>
      <c r="JB98" s="120"/>
      <c r="JC98" s="120"/>
      <c r="JD98" s="120"/>
      <c r="JE98" s="440"/>
      <c r="KA98" s="436"/>
      <c r="KB98" s="120"/>
      <c r="KC98" s="120"/>
      <c r="KD98" s="120"/>
      <c r="KE98" s="440"/>
      <c r="LA98" s="436"/>
      <c r="LB98" s="120"/>
      <c r="LC98" s="120"/>
      <c r="LD98" s="120"/>
      <c r="LE98" s="440"/>
      <c r="MA98" s="436"/>
      <c r="MB98" s="120"/>
      <c r="MC98" s="120"/>
      <c r="MD98" s="120"/>
      <c r="ME98" s="440"/>
      <c r="NA98" s="436"/>
      <c r="NB98" s="120"/>
      <c r="NC98" s="120"/>
      <c r="ND98" s="120"/>
      <c r="NE98" s="440"/>
      <c r="OA98" s="436"/>
      <c r="OB98" s="120"/>
      <c r="OC98" s="120"/>
      <c r="OD98" s="120"/>
      <c r="OE98" s="440"/>
      <c r="PA98" s="436"/>
      <c r="PB98" s="120"/>
      <c r="PC98" s="120"/>
      <c r="PD98" s="120"/>
      <c r="PE98" s="440"/>
      <c r="QA98" s="436"/>
      <c r="QB98" s="120"/>
      <c r="QC98" s="120"/>
      <c r="QD98" s="120"/>
      <c r="QE98" s="440"/>
      <c r="RA98" s="436"/>
      <c r="RB98" s="120"/>
      <c r="RC98" s="120"/>
      <c r="RD98" s="120"/>
      <c r="RE98" s="440"/>
      <c r="SA98" s="436"/>
      <c r="SB98" s="120"/>
      <c r="SC98" s="120"/>
      <c r="SD98" s="120"/>
      <c r="SE98" s="440"/>
      <c r="TA98" s="436"/>
      <c r="TB98" s="120"/>
      <c r="TC98" s="120"/>
      <c r="TD98" s="120"/>
      <c r="TE98" s="440"/>
      <c r="UA98" s="436"/>
      <c r="UB98" s="120"/>
      <c r="UC98" s="120"/>
      <c r="UD98" s="120"/>
      <c r="UE98" s="440"/>
      <c r="VA98" s="436"/>
      <c r="VB98" s="120"/>
      <c r="VC98" s="120"/>
      <c r="VD98" s="120"/>
      <c r="VE98" s="440"/>
      <c r="WA98" s="436"/>
      <c r="WB98" s="120"/>
      <c r="WC98" s="120"/>
      <c r="WD98" s="120"/>
      <c r="WE98" s="440"/>
      <c r="XA98" s="436"/>
      <c r="XB98" s="120"/>
      <c r="XC98" s="120"/>
      <c r="XD98" s="120"/>
      <c r="XE98" s="440"/>
      <c r="YA98" s="436"/>
      <c r="YB98" s="120"/>
      <c r="YC98" s="120"/>
      <c r="YD98" s="120"/>
      <c r="YE98" s="440"/>
      <c r="ZA98" s="436"/>
      <c r="ZB98" s="120"/>
      <c r="ZC98" s="120"/>
      <c r="ZD98" s="120"/>
      <c r="ZE98" s="440"/>
      <c r="AAA98" s="436"/>
      <c r="AAB98" s="120"/>
      <c r="AAC98" s="120"/>
      <c r="AAD98" s="120"/>
      <c r="AAE98" s="440"/>
      <c r="ABA98" s="436"/>
      <c r="ABB98" s="120"/>
      <c r="ABC98" s="120"/>
      <c r="ABD98" s="120"/>
      <c r="ABE98" s="440"/>
      <c r="ACA98" s="436"/>
      <c r="ACB98" s="120"/>
      <c r="ACC98" s="120"/>
      <c r="ACD98" s="120"/>
      <c r="ACE98" s="440"/>
      <c r="ADA98" s="436"/>
      <c r="ADB98" s="120"/>
      <c r="ADC98" s="120"/>
      <c r="ADD98" s="120"/>
      <c r="ADE98" s="440"/>
      <c r="AEA98" s="436"/>
      <c r="AEB98" s="120"/>
      <c r="AEC98" s="120"/>
      <c r="AED98" s="120"/>
      <c r="AEE98" s="440"/>
      <c r="AFA98" s="436"/>
      <c r="AFB98" s="120"/>
      <c r="AFC98" s="120"/>
      <c r="AFD98" s="120"/>
      <c r="AFE98" s="440"/>
      <c r="AGA98" s="436"/>
      <c r="AGB98" s="120"/>
      <c r="AGC98" s="120"/>
      <c r="AGD98" s="120"/>
      <c r="AGE98" s="440"/>
      <c r="AHA98" s="436"/>
      <c r="AHB98" s="120"/>
      <c r="AHC98" s="120"/>
      <c r="AHD98" s="120"/>
      <c r="AHE98" s="440"/>
      <c r="AIA98" s="436"/>
      <c r="AIB98" s="120"/>
      <c r="AIC98" s="120"/>
      <c r="AID98" s="120"/>
      <c r="AIE98" s="440"/>
      <c r="AJA98" s="436"/>
      <c r="AJB98" s="120"/>
      <c r="AJC98" s="120"/>
      <c r="AJD98" s="120"/>
      <c r="AJE98" s="440"/>
      <c r="AKA98" s="436"/>
      <c r="AKB98" s="120"/>
      <c r="AKC98" s="120"/>
      <c r="AKD98" s="120"/>
      <c r="AKE98" s="440"/>
      <c r="ALA98" s="436"/>
      <c r="ALB98" s="120"/>
      <c r="ALC98" s="120"/>
      <c r="ALD98" s="120"/>
      <c r="ALE98" s="440"/>
      <c r="AMA98" s="436"/>
      <c r="AMB98" s="120"/>
      <c r="AMC98" s="120"/>
      <c r="AMD98" s="120"/>
      <c r="AME98" s="440"/>
      <c r="ANA98" s="436"/>
      <c r="ANB98" s="120"/>
      <c r="ANC98" s="120"/>
      <c r="AND98" s="120"/>
      <c r="ANE98" s="440"/>
      <c r="AOA98" s="436"/>
      <c r="AOB98" s="120"/>
      <c r="AOC98" s="120"/>
      <c r="AOD98" s="120"/>
      <c r="AOE98" s="440"/>
      <c r="APA98" s="436"/>
      <c r="APB98" s="120"/>
      <c r="APC98" s="120"/>
      <c r="APD98" s="120"/>
      <c r="APE98" s="440"/>
      <c r="AQA98" s="436"/>
      <c r="AQB98" s="120"/>
      <c r="AQC98" s="120"/>
      <c r="AQD98" s="120"/>
      <c r="AQE98" s="440"/>
      <c r="ARA98" s="436"/>
      <c r="ARB98" s="120"/>
      <c r="ARC98" s="120"/>
      <c r="ARD98" s="120"/>
      <c r="ARE98" s="440"/>
      <c r="ASA98" s="436"/>
      <c r="ASB98" s="120"/>
      <c r="ASC98" s="120"/>
      <c r="ASD98" s="120"/>
      <c r="ASE98" s="440"/>
      <c r="ATA98" s="436"/>
      <c r="ATB98" s="120"/>
      <c r="ATC98" s="120"/>
      <c r="ATD98" s="120"/>
      <c r="ATE98" s="440"/>
      <c r="AUA98" s="436"/>
      <c r="AUB98" s="120"/>
      <c r="AUC98" s="120"/>
      <c r="AUD98" s="120"/>
      <c r="AUE98" s="440"/>
      <c r="AVA98" s="436"/>
      <c r="AVB98" s="120"/>
      <c r="AVC98" s="120"/>
      <c r="AVD98" s="120"/>
      <c r="AVE98" s="440"/>
      <c r="AWA98" s="436"/>
      <c r="AWB98" s="120"/>
      <c r="AWC98" s="120"/>
      <c r="AWD98" s="120"/>
      <c r="AWE98" s="440"/>
      <c r="AXA98" s="436"/>
      <c r="AXB98" s="120"/>
      <c r="AXC98" s="120"/>
      <c r="AXD98" s="120"/>
      <c r="AXE98" s="440"/>
      <c r="AYA98" s="436"/>
      <c r="AYB98" s="120"/>
      <c r="AYC98" s="120"/>
      <c r="AYD98" s="120"/>
      <c r="AYE98" s="440"/>
      <c r="AZA98" s="436"/>
      <c r="AZB98" s="120"/>
      <c r="AZC98" s="120"/>
      <c r="AZD98" s="120"/>
      <c r="AZE98" s="440"/>
      <c r="BAA98" s="436"/>
      <c r="BAB98" s="120"/>
      <c r="BAC98" s="120"/>
      <c r="BAD98" s="120"/>
      <c r="BAE98" s="440"/>
      <c r="BBA98" s="436"/>
      <c r="BBB98" s="120"/>
      <c r="BBC98" s="120"/>
      <c r="BBD98" s="120"/>
      <c r="BBE98" s="440"/>
      <c r="BCA98" s="436"/>
      <c r="BCB98" s="120"/>
      <c r="BCC98" s="120"/>
      <c r="BCD98" s="120"/>
      <c r="BCE98" s="440"/>
      <c r="BDA98" s="436"/>
      <c r="BDB98" s="120"/>
      <c r="BDC98" s="120"/>
      <c r="BDD98" s="120"/>
      <c r="BDE98" s="440"/>
      <c r="BEA98" s="436"/>
      <c r="BEB98" s="120"/>
      <c r="BEC98" s="120"/>
      <c r="BED98" s="120"/>
      <c r="BEE98" s="440"/>
      <c r="BFA98" s="436"/>
      <c r="BFB98" s="120"/>
      <c r="BFC98" s="120"/>
      <c r="BFD98" s="120"/>
      <c r="BFE98" s="440"/>
      <c r="BGA98" s="436"/>
      <c r="BGB98" s="120"/>
      <c r="BGC98" s="120"/>
      <c r="BGD98" s="120"/>
      <c r="BGE98" s="440"/>
      <c r="BHA98" s="436"/>
      <c r="BHB98" s="120"/>
      <c r="BHC98" s="120"/>
      <c r="BHD98" s="120"/>
      <c r="BHE98" s="440"/>
      <c r="BIA98" s="436"/>
      <c r="BIB98" s="120"/>
      <c r="BIC98" s="120"/>
      <c r="BID98" s="120"/>
      <c r="BIE98" s="440"/>
      <c r="BJA98" s="436"/>
      <c r="BJB98" s="120"/>
      <c r="BJC98" s="120"/>
      <c r="BJD98" s="120"/>
      <c r="BJE98" s="440"/>
      <c r="BKA98" s="436"/>
      <c r="BKB98" s="120"/>
      <c r="BKC98" s="120"/>
      <c r="BKD98" s="120"/>
      <c r="BKE98" s="440"/>
      <c r="BLA98" s="436"/>
      <c r="BLB98" s="120"/>
      <c r="BLC98" s="120"/>
      <c r="BLD98" s="120"/>
      <c r="BLE98" s="440"/>
      <c r="BMA98" s="436"/>
      <c r="BMB98" s="120"/>
      <c r="BMC98" s="120"/>
      <c r="BMD98" s="120"/>
      <c r="BME98" s="440"/>
      <c r="BNA98" s="436"/>
      <c r="BNB98" s="120"/>
      <c r="BNC98" s="120"/>
      <c r="BND98" s="120"/>
      <c r="BNE98" s="440"/>
      <c r="BOA98" s="436"/>
      <c r="BOB98" s="120"/>
      <c r="BOC98" s="120"/>
      <c r="BOD98" s="120"/>
      <c r="BOE98" s="440"/>
      <c r="BPA98" s="436"/>
      <c r="BPB98" s="120"/>
      <c r="BPC98" s="120"/>
      <c r="BPD98" s="120"/>
      <c r="BPE98" s="440"/>
      <c r="BQA98" s="436"/>
      <c r="BQB98" s="120"/>
      <c r="BQC98" s="120"/>
      <c r="BQD98" s="120"/>
      <c r="BQE98" s="440"/>
      <c r="BRA98" s="436"/>
      <c r="BRB98" s="120"/>
      <c r="BRC98" s="120"/>
      <c r="BRD98" s="120"/>
      <c r="BRE98" s="440"/>
    </row>
    <row r="99" spans="27:1019 1041:1825">
      <c r="AA99" s="436"/>
      <c r="AB99" s="120"/>
      <c r="AC99" s="120"/>
      <c r="AD99" s="120"/>
      <c r="AE99" s="440"/>
      <c r="BA99" s="436"/>
      <c r="BB99" s="120"/>
      <c r="BC99" s="120"/>
      <c r="BD99" s="120"/>
      <c r="BE99" s="440"/>
      <c r="CA99" s="436"/>
      <c r="CB99" s="120"/>
      <c r="CC99" s="120"/>
      <c r="CD99" s="120"/>
      <c r="CE99" s="440"/>
      <c r="DA99" s="436"/>
      <c r="DB99" s="120"/>
      <c r="DC99" s="120"/>
      <c r="DD99" s="120"/>
      <c r="DE99" s="440"/>
      <c r="EA99" s="436"/>
      <c r="EB99" s="120"/>
      <c r="EC99" s="120"/>
      <c r="ED99" s="120"/>
      <c r="EE99" s="440"/>
      <c r="FA99" s="436"/>
      <c r="FB99" s="120"/>
      <c r="FC99" s="120"/>
      <c r="FD99" s="120"/>
      <c r="FE99" s="440"/>
      <c r="GA99" s="436"/>
      <c r="GB99" s="120"/>
      <c r="GC99" s="120"/>
      <c r="GD99" s="120"/>
      <c r="GE99" s="440"/>
      <c r="HA99" s="436"/>
      <c r="HB99" s="120"/>
      <c r="HC99" s="120"/>
      <c r="HD99" s="120"/>
      <c r="HE99" s="440"/>
      <c r="IA99" s="436"/>
      <c r="IB99" s="120"/>
      <c r="IC99" s="120"/>
      <c r="ID99" s="120"/>
      <c r="IE99" s="440"/>
      <c r="JA99" s="436"/>
      <c r="JB99" s="120"/>
      <c r="JC99" s="120"/>
      <c r="JD99" s="120"/>
      <c r="JE99" s="440"/>
      <c r="KA99" s="436"/>
      <c r="KB99" s="120"/>
      <c r="KC99" s="120"/>
      <c r="KD99" s="120"/>
      <c r="KE99" s="440"/>
      <c r="LA99" s="436"/>
      <c r="LB99" s="120"/>
      <c r="LC99" s="120"/>
      <c r="LD99" s="120"/>
      <c r="LE99" s="440"/>
      <c r="MA99" s="436"/>
      <c r="MB99" s="120"/>
      <c r="MC99" s="120"/>
      <c r="MD99" s="120"/>
      <c r="ME99" s="440"/>
      <c r="NA99" s="436"/>
      <c r="NB99" s="120"/>
      <c r="NC99" s="120"/>
      <c r="ND99" s="120"/>
      <c r="NE99" s="440"/>
      <c r="OA99" s="436"/>
      <c r="OB99" s="120"/>
      <c r="OC99" s="120"/>
      <c r="OD99" s="120"/>
      <c r="OE99" s="440"/>
      <c r="PA99" s="436"/>
      <c r="PB99" s="120"/>
      <c r="PC99" s="120"/>
      <c r="PD99" s="120"/>
      <c r="PE99" s="440"/>
      <c r="QA99" s="436"/>
      <c r="QB99" s="120"/>
      <c r="QC99" s="120"/>
      <c r="QD99" s="120"/>
      <c r="QE99" s="440"/>
      <c r="RA99" s="436"/>
      <c r="RB99" s="120"/>
      <c r="RC99" s="120"/>
      <c r="RD99" s="120"/>
      <c r="RE99" s="440"/>
      <c r="SA99" s="436"/>
      <c r="SB99" s="120"/>
      <c r="SC99" s="120"/>
      <c r="SD99" s="120"/>
      <c r="SE99" s="440"/>
      <c r="TA99" s="436"/>
      <c r="TB99" s="120"/>
      <c r="TC99" s="120"/>
      <c r="TD99" s="120"/>
      <c r="TE99" s="440"/>
      <c r="UA99" s="436"/>
      <c r="UB99" s="120"/>
      <c r="UC99" s="120"/>
      <c r="UD99" s="120"/>
      <c r="UE99" s="440"/>
      <c r="VA99" s="436"/>
      <c r="VB99" s="120"/>
      <c r="VC99" s="120"/>
      <c r="VD99" s="120"/>
      <c r="VE99" s="440"/>
      <c r="WA99" s="436"/>
      <c r="WB99" s="120"/>
      <c r="WC99" s="120"/>
      <c r="WD99" s="120"/>
      <c r="WE99" s="440"/>
      <c r="XA99" s="436"/>
      <c r="XB99" s="120"/>
      <c r="XC99" s="120"/>
      <c r="XD99" s="120"/>
      <c r="XE99" s="440"/>
      <c r="YA99" s="436"/>
      <c r="YB99" s="120"/>
      <c r="YC99" s="120"/>
      <c r="YD99" s="120"/>
      <c r="YE99" s="440"/>
      <c r="ZA99" s="436"/>
      <c r="ZB99" s="120"/>
      <c r="ZC99" s="120"/>
      <c r="ZD99" s="120"/>
      <c r="ZE99" s="440"/>
      <c r="AAA99" s="436"/>
      <c r="AAB99" s="120"/>
      <c r="AAC99" s="120"/>
      <c r="AAD99" s="120"/>
      <c r="AAE99" s="440"/>
      <c r="ABA99" s="436"/>
      <c r="ABB99" s="120"/>
      <c r="ABC99" s="120"/>
      <c r="ABD99" s="120"/>
      <c r="ABE99" s="440"/>
      <c r="ACA99" s="436"/>
      <c r="ACB99" s="120"/>
      <c r="ACC99" s="120"/>
      <c r="ACD99" s="120"/>
      <c r="ACE99" s="440"/>
      <c r="ADA99" s="436"/>
      <c r="ADB99" s="120"/>
      <c r="ADC99" s="120"/>
      <c r="ADD99" s="120"/>
      <c r="ADE99" s="440"/>
      <c r="AEA99" s="436"/>
      <c r="AEB99" s="120"/>
      <c r="AEC99" s="120"/>
      <c r="AED99" s="120"/>
      <c r="AEE99" s="440"/>
      <c r="AFA99" s="436"/>
      <c r="AFB99" s="120"/>
      <c r="AFC99" s="120"/>
      <c r="AFD99" s="120"/>
      <c r="AFE99" s="440"/>
      <c r="AGA99" s="436"/>
      <c r="AGB99" s="120"/>
      <c r="AGC99" s="120"/>
      <c r="AGD99" s="120"/>
      <c r="AGE99" s="440"/>
      <c r="AHA99" s="436"/>
      <c r="AHB99" s="120"/>
      <c r="AHC99" s="120"/>
      <c r="AHD99" s="120"/>
      <c r="AHE99" s="440"/>
      <c r="AIA99" s="436"/>
      <c r="AIB99" s="120"/>
      <c r="AIC99" s="120"/>
      <c r="AID99" s="120"/>
      <c r="AIE99" s="440"/>
      <c r="AJA99" s="436"/>
      <c r="AJB99" s="120"/>
      <c r="AJC99" s="120"/>
      <c r="AJD99" s="120"/>
      <c r="AJE99" s="440"/>
      <c r="AKA99" s="436"/>
      <c r="AKB99" s="120"/>
      <c r="AKC99" s="120"/>
      <c r="AKD99" s="120"/>
      <c r="AKE99" s="440"/>
      <c r="ALA99" s="436"/>
      <c r="ALB99" s="120"/>
      <c r="ALC99" s="120"/>
      <c r="ALD99" s="120"/>
      <c r="ALE99" s="440"/>
      <c r="AMA99" s="436"/>
      <c r="AMB99" s="120"/>
      <c r="AMC99" s="120"/>
      <c r="AMD99" s="120"/>
      <c r="AME99" s="440"/>
      <c r="ANA99" s="436"/>
      <c r="ANB99" s="120"/>
      <c r="ANC99" s="120"/>
      <c r="AND99" s="120"/>
      <c r="ANE99" s="440"/>
      <c r="AOA99" s="436"/>
      <c r="AOB99" s="120"/>
      <c r="AOC99" s="120"/>
      <c r="AOD99" s="120"/>
      <c r="AOE99" s="440"/>
      <c r="APA99" s="436"/>
      <c r="APB99" s="120"/>
      <c r="APC99" s="120"/>
      <c r="APD99" s="120"/>
      <c r="APE99" s="440"/>
      <c r="AQA99" s="436"/>
      <c r="AQB99" s="120"/>
      <c r="AQC99" s="120"/>
      <c r="AQD99" s="120"/>
      <c r="AQE99" s="440"/>
      <c r="ARA99" s="436"/>
      <c r="ARB99" s="120"/>
      <c r="ARC99" s="120"/>
      <c r="ARD99" s="120"/>
      <c r="ARE99" s="440"/>
      <c r="ASA99" s="436"/>
      <c r="ASB99" s="120"/>
      <c r="ASC99" s="120"/>
      <c r="ASD99" s="120"/>
      <c r="ASE99" s="440"/>
      <c r="ATA99" s="436"/>
      <c r="ATB99" s="120"/>
      <c r="ATC99" s="120"/>
      <c r="ATD99" s="120"/>
      <c r="ATE99" s="440"/>
      <c r="AUA99" s="436"/>
      <c r="AUB99" s="120"/>
      <c r="AUC99" s="120"/>
      <c r="AUD99" s="120"/>
      <c r="AUE99" s="440"/>
      <c r="AVA99" s="436"/>
      <c r="AVB99" s="120"/>
      <c r="AVC99" s="120"/>
      <c r="AVD99" s="120"/>
      <c r="AVE99" s="440"/>
      <c r="AWA99" s="436"/>
      <c r="AWB99" s="120"/>
      <c r="AWC99" s="120"/>
      <c r="AWD99" s="120"/>
      <c r="AWE99" s="440"/>
      <c r="AXA99" s="436"/>
      <c r="AXB99" s="120"/>
      <c r="AXC99" s="120"/>
      <c r="AXD99" s="120"/>
      <c r="AXE99" s="440"/>
      <c r="AYA99" s="436"/>
      <c r="AYB99" s="120"/>
      <c r="AYC99" s="120"/>
      <c r="AYD99" s="120"/>
      <c r="AYE99" s="440"/>
      <c r="AZA99" s="436"/>
      <c r="AZB99" s="120"/>
      <c r="AZC99" s="120"/>
      <c r="AZD99" s="120"/>
      <c r="AZE99" s="440"/>
      <c r="BAA99" s="436"/>
      <c r="BAB99" s="120"/>
      <c r="BAC99" s="120"/>
      <c r="BAD99" s="120"/>
      <c r="BAE99" s="440"/>
      <c r="BBA99" s="436"/>
      <c r="BBB99" s="120"/>
      <c r="BBC99" s="120"/>
      <c r="BBD99" s="120"/>
      <c r="BBE99" s="440"/>
      <c r="BCA99" s="436"/>
      <c r="BCB99" s="120"/>
      <c r="BCC99" s="120"/>
      <c r="BCD99" s="120"/>
      <c r="BCE99" s="440"/>
      <c r="BDA99" s="436"/>
      <c r="BDB99" s="120"/>
      <c r="BDC99" s="120"/>
      <c r="BDD99" s="120"/>
      <c r="BDE99" s="440"/>
      <c r="BEA99" s="436"/>
      <c r="BEB99" s="120"/>
      <c r="BEC99" s="120"/>
      <c r="BED99" s="120"/>
      <c r="BEE99" s="440"/>
      <c r="BFA99" s="436"/>
      <c r="BFB99" s="120"/>
      <c r="BFC99" s="120"/>
      <c r="BFD99" s="120"/>
      <c r="BFE99" s="440"/>
      <c r="BGA99" s="436"/>
      <c r="BGB99" s="120"/>
      <c r="BGC99" s="120"/>
      <c r="BGD99" s="120"/>
      <c r="BGE99" s="440"/>
      <c r="BHA99" s="436"/>
      <c r="BHB99" s="120"/>
      <c r="BHC99" s="120"/>
      <c r="BHD99" s="120"/>
      <c r="BHE99" s="440"/>
      <c r="BIA99" s="436"/>
      <c r="BIB99" s="120"/>
      <c r="BIC99" s="120"/>
      <c r="BID99" s="120"/>
      <c r="BIE99" s="440"/>
      <c r="BJA99" s="436"/>
      <c r="BJB99" s="120"/>
      <c r="BJC99" s="120"/>
      <c r="BJD99" s="120"/>
      <c r="BJE99" s="440"/>
      <c r="BKA99" s="436"/>
      <c r="BKB99" s="120"/>
      <c r="BKC99" s="120"/>
      <c r="BKD99" s="120"/>
      <c r="BKE99" s="440"/>
      <c r="BLA99" s="436"/>
      <c r="BLB99" s="120"/>
      <c r="BLC99" s="120"/>
      <c r="BLD99" s="120"/>
      <c r="BLE99" s="440"/>
      <c r="BMA99" s="436"/>
      <c r="BMB99" s="120"/>
      <c r="BMC99" s="120"/>
      <c r="BMD99" s="120"/>
      <c r="BME99" s="440"/>
      <c r="BNA99" s="436"/>
      <c r="BNB99" s="120"/>
      <c r="BNC99" s="120"/>
      <c r="BND99" s="120"/>
      <c r="BNE99" s="440"/>
      <c r="BOA99" s="436"/>
      <c r="BOB99" s="120"/>
      <c r="BOC99" s="120"/>
      <c r="BOD99" s="120"/>
      <c r="BOE99" s="440"/>
      <c r="BPA99" s="436"/>
      <c r="BPB99" s="120"/>
      <c r="BPC99" s="120"/>
      <c r="BPD99" s="120"/>
      <c r="BPE99" s="440"/>
      <c r="BQA99" s="436"/>
      <c r="BQB99" s="120"/>
      <c r="BQC99" s="120"/>
      <c r="BQD99" s="120"/>
      <c r="BQE99" s="440"/>
      <c r="BRA99" s="436"/>
      <c r="BRB99" s="120"/>
      <c r="BRC99" s="120"/>
      <c r="BRD99" s="120"/>
      <c r="BRE99" s="440"/>
    </row>
    <row r="100" spans="27:1019 1041:1825">
      <c r="AA100" s="436"/>
      <c r="AB100" s="120"/>
      <c r="AC100" s="120"/>
      <c r="AD100" s="120"/>
      <c r="AE100" s="440"/>
      <c r="BA100" s="436"/>
      <c r="BB100" s="120"/>
      <c r="BC100" s="120"/>
      <c r="BD100" s="120"/>
      <c r="BE100" s="440"/>
      <c r="CA100" s="436"/>
      <c r="CB100" s="120"/>
      <c r="CC100" s="120"/>
      <c r="CD100" s="120"/>
      <c r="CE100" s="440"/>
      <c r="DA100" s="436"/>
      <c r="DB100" s="120"/>
      <c r="DC100" s="120"/>
      <c r="DD100" s="120"/>
      <c r="DE100" s="440"/>
      <c r="EA100" s="436"/>
      <c r="EB100" s="120"/>
      <c r="EC100" s="120"/>
      <c r="ED100" s="120"/>
      <c r="EE100" s="440"/>
      <c r="FA100" s="436"/>
      <c r="FB100" s="120"/>
      <c r="FC100" s="120"/>
      <c r="FD100" s="120"/>
      <c r="FE100" s="440"/>
      <c r="GA100" s="436"/>
      <c r="GB100" s="120"/>
      <c r="GC100" s="120"/>
      <c r="GD100" s="120"/>
      <c r="GE100" s="440"/>
      <c r="HA100" s="436"/>
      <c r="HB100" s="120"/>
      <c r="HC100" s="120"/>
      <c r="HD100" s="120"/>
      <c r="HE100" s="440"/>
      <c r="IA100" s="436"/>
      <c r="IB100" s="120"/>
      <c r="IC100" s="120"/>
      <c r="ID100" s="120"/>
      <c r="IE100" s="440"/>
      <c r="JA100" s="436"/>
      <c r="JB100" s="120"/>
      <c r="JC100" s="120"/>
      <c r="JD100" s="120"/>
      <c r="JE100" s="440"/>
      <c r="KA100" s="436"/>
      <c r="KB100" s="120"/>
      <c r="KC100" s="120"/>
      <c r="KD100" s="120"/>
      <c r="KE100" s="440"/>
      <c r="LA100" s="436"/>
      <c r="LB100" s="120"/>
      <c r="LC100" s="120"/>
      <c r="LD100" s="120"/>
      <c r="LE100" s="440"/>
      <c r="MA100" s="436"/>
      <c r="MB100" s="120"/>
      <c r="MC100" s="120"/>
      <c r="MD100" s="120"/>
      <c r="ME100" s="440"/>
      <c r="NA100" s="436"/>
      <c r="NB100" s="120"/>
      <c r="NC100" s="120"/>
      <c r="ND100" s="120"/>
      <c r="NE100" s="440"/>
      <c r="OA100" s="436"/>
      <c r="OB100" s="120"/>
      <c r="OC100" s="120"/>
      <c r="OD100" s="120"/>
      <c r="OE100" s="440"/>
      <c r="PA100" s="436"/>
      <c r="PB100" s="120"/>
      <c r="PC100" s="120"/>
      <c r="PD100" s="120"/>
      <c r="PE100" s="440"/>
      <c r="QA100" s="436"/>
      <c r="QB100" s="120"/>
      <c r="QC100" s="120"/>
      <c r="QD100" s="120"/>
      <c r="QE100" s="440"/>
      <c r="RA100" s="436"/>
      <c r="RB100" s="120"/>
      <c r="RC100" s="120"/>
      <c r="RD100" s="120"/>
      <c r="RE100" s="440"/>
      <c r="SA100" s="436"/>
      <c r="SB100" s="120"/>
      <c r="SC100" s="120"/>
      <c r="SD100" s="120"/>
      <c r="SE100" s="440"/>
      <c r="TA100" s="436"/>
      <c r="TB100" s="120"/>
      <c r="TC100" s="120"/>
      <c r="TD100" s="120"/>
      <c r="TE100" s="440"/>
      <c r="UA100" s="436"/>
      <c r="UB100" s="120"/>
      <c r="UC100" s="120"/>
      <c r="UD100" s="120"/>
      <c r="UE100" s="440"/>
      <c r="VA100" s="436"/>
      <c r="VB100" s="120"/>
      <c r="VC100" s="120"/>
      <c r="VD100" s="120"/>
      <c r="VE100" s="440"/>
      <c r="WA100" s="436"/>
      <c r="WB100" s="120"/>
      <c r="WC100" s="120"/>
      <c r="WD100" s="120"/>
      <c r="WE100" s="440"/>
      <c r="XA100" s="436"/>
      <c r="XB100" s="120"/>
      <c r="XC100" s="120"/>
      <c r="XD100" s="120"/>
      <c r="XE100" s="440"/>
      <c r="YA100" s="436"/>
      <c r="YB100" s="120"/>
      <c r="YC100" s="120"/>
      <c r="YD100" s="120"/>
      <c r="YE100" s="440"/>
      <c r="ZA100" s="436"/>
      <c r="ZB100" s="120"/>
      <c r="ZC100" s="120"/>
      <c r="ZD100" s="120"/>
      <c r="ZE100" s="440"/>
      <c r="AAA100" s="436"/>
      <c r="AAB100" s="120"/>
      <c r="AAC100" s="120"/>
      <c r="AAD100" s="120"/>
      <c r="AAE100" s="440"/>
      <c r="ABA100" s="436"/>
      <c r="ABB100" s="120"/>
      <c r="ABC100" s="120"/>
      <c r="ABD100" s="120"/>
      <c r="ABE100" s="440"/>
      <c r="ACA100" s="436"/>
      <c r="ACB100" s="120"/>
      <c r="ACC100" s="120"/>
      <c r="ACD100" s="120"/>
      <c r="ACE100" s="440"/>
      <c r="ADA100" s="436"/>
      <c r="ADB100" s="120"/>
      <c r="ADC100" s="120"/>
      <c r="ADD100" s="120"/>
      <c r="ADE100" s="440"/>
      <c r="AEA100" s="436"/>
      <c r="AEB100" s="120"/>
      <c r="AEC100" s="120"/>
      <c r="AED100" s="120"/>
      <c r="AEE100" s="440"/>
      <c r="AFA100" s="436"/>
      <c r="AFB100" s="120"/>
      <c r="AFC100" s="120"/>
      <c r="AFD100" s="120"/>
      <c r="AFE100" s="440"/>
      <c r="AGA100" s="436"/>
      <c r="AGB100" s="120"/>
      <c r="AGC100" s="120"/>
      <c r="AGD100" s="120"/>
      <c r="AGE100" s="440"/>
      <c r="AHA100" s="436"/>
      <c r="AHB100" s="120"/>
      <c r="AHC100" s="120"/>
      <c r="AHD100" s="120"/>
      <c r="AHE100" s="440"/>
      <c r="AIA100" s="436"/>
      <c r="AIB100" s="120"/>
      <c r="AIC100" s="120"/>
      <c r="AID100" s="120"/>
      <c r="AIE100" s="440"/>
      <c r="AJA100" s="436"/>
      <c r="AJB100" s="120"/>
      <c r="AJC100" s="120"/>
      <c r="AJD100" s="120"/>
      <c r="AJE100" s="440"/>
      <c r="AKA100" s="436"/>
      <c r="AKB100" s="120"/>
      <c r="AKC100" s="120"/>
      <c r="AKD100" s="120"/>
      <c r="AKE100" s="440"/>
      <c r="ALA100" s="436"/>
      <c r="ALB100" s="120"/>
      <c r="ALC100" s="120"/>
      <c r="ALD100" s="120"/>
      <c r="ALE100" s="440"/>
      <c r="AMA100" s="436"/>
      <c r="AMB100" s="120"/>
      <c r="AMC100" s="120"/>
      <c r="AMD100" s="120"/>
      <c r="AME100" s="440"/>
      <c r="ANA100" s="436"/>
      <c r="ANB100" s="120"/>
      <c r="ANC100" s="120"/>
      <c r="AND100" s="120"/>
      <c r="ANE100" s="440"/>
      <c r="AOA100" s="436"/>
      <c r="AOB100" s="120"/>
      <c r="AOC100" s="120"/>
      <c r="AOD100" s="120"/>
      <c r="AOE100" s="440"/>
      <c r="APA100" s="436"/>
      <c r="APB100" s="120"/>
      <c r="APC100" s="120"/>
      <c r="APD100" s="120"/>
      <c r="APE100" s="440"/>
      <c r="AQA100" s="436"/>
      <c r="AQB100" s="120"/>
      <c r="AQC100" s="120"/>
      <c r="AQD100" s="120"/>
      <c r="AQE100" s="440"/>
      <c r="ARA100" s="436"/>
      <c r="ARB100" s="120"/>
      <c r="ARC100" s="120"/>
      <c r="ARD100" s="120"/>
      <c r="ARE100" s="440"/>
      <c r="ASA100" s="436"/>
      <c r="ASB100" s="120"/>
      <c r="ASC100" s="120"/>
      <c r="ASD100" s="120"/>
      <c r="ASE100" s="440"/>
      <c r="ATA100" s="436"/>
      <c r="ATB100" s="120"/>
      <c r="ATC100" s="120"/>
      <c r="ATD100" s="120"/>
      <c r="ATE100" s="440"/>
      <c r="AUA100" s="436"/>
      <c r="AUB100" s="120"/>
      <c r="AUC100" s="120"/>
      <c r="AUD100" s="120"/>
      <c r="AUE100" s="440"/>
      <c r="AVA100" s="436"/>
      <c r="AVB100" s="120"/>
      <c r="AVC100" s="120"/>
      <c r="AVD100" s="120"/>
      <c r="AVE100" s="440"/>
      <c r="AWA100" s="436"/>
      <c r="AWB100" s="120"/>
      <c r="AWC100" s="120"/>
      <c r="AWD100" s="120"/>
      <c r="AWE100" s="440"/>
      <c r="AXA100" s="436"/>
      <c r="AXB100" s="120"/>
      <c r="AXC100" s="120"/>
      <c r="AXD100" s="120"/>
      <c r="AXE100" s="440"/>
      <c r="AYA100" s="436"/>
      <c r="AYB100" s="120"/>
      <c r="AYC100" s="120"/>
      <c r="AYD100" s="120"/>
      <c r="AYE100" s="440"/>
      <c r="AZA100" s="436"/>
      <c r="AZB100" s="120"/>
      <c r="AZC100" s="120"/>
      <c r="AZD100" s="120"/>
      <c r="AZE100" s="440"/>
      <c r="BAA100" s="436"/>
      <c r="BAB100" s="120"/>
      <c r="BAC100" s="120"/>
      <c r="BAD100" s="120"/>
      <c r="BAE100" s="440"/>
      <c r="BBA100" s="436"/>
      <c r="BBB100" s="120"/>
      <c r="BBC100" s="120"/>
      <c r="BBD100" s="120"/>
      <c r="BBE100" s="440"/>
      <c r="BCA100" s="436"/>
      <c r="BCB100" s="120"/>
      <c r="BCC100" s="120"/>
      <c r="BCD100" s="120"/>
      <c r="BCE100" s="440"/>
      <c r="BDA100" s="436"/>
      <c r="BDB100" s="120"/>
      <c r="BDC100" s="120"/>
      <c r="BDD100" s="120"/>
      <c r="BDE100" s="440"/>
      <c r="BEA100" s="436"/>
      <c r="BEB100" s="120"/>
      <c r="BEC100" s="120"/>
      <c r="BED100" s="120"/>
      <c r="BEE100" s="440"/>
      <c r="BFA100" s="436"/>
      <c r="BFB100" s="120"/>
      <c r="BFC100" s="120"/>
      <c r="BFD100" s="120"/>
      <c r="BFE100" s="440"/>
      <c r="BGA100" s="436"/>
      <c r="BGB100" s="120"/>
      <c r="BGC100" s="120"/>
      <c r="BGD100" s="120"/>
      <c r="BGE100" s="440"/>
      <c r="BHA100" s="436"/>
      <c r="BHB100" s="120"/>
      <c r="BHC100" s="120"/>
      <c r="BHD100" s="120"/>
      <c r="BHE100" s="440"/>
      <c r="BIA100" s="436"/>
      <c r="BIB100" s="120"/>
      <c r="BIC100" s="120"/>
      <c r="BID100" s="120"/>
      <c r="BIE100" s="440"/>
      <c r="BJA100" s="436"/>
      <c r="BJB100" s="120"/>
      <c r="BJC100" s="120"/>
      <c r="BJD100" s="120"/>
      <c r="BJE100" s="440"/>
      <c r="BKA100" s="436"/>
      <c r="BKB100" s="120"/>
      <c r="BKC100" s="120"/>
      <c r="BKD100" s="120"/>
      <c r="BKE100" s="440"/>
      <c r="BLA100" s="436"/>
      <c r="BLB100" s="120"/>
      <c r="BLC100" s="120"/>
      <c r="BLD100" s="120"/>
      <c r="BLE100" s="440"/>
      <c r="BMA100" s="436"/>
      <c r="BMB100" s="120"/>
      <c r="BMC100" s="120"/>
      <c r="BMD100" s="120"/>
      <c r="BME100" s="440"/>
      <c r="BNA100" s="436"/>
      <c r="BNB100" s="120"/>
      <c r="BNC100" s="120"/>
      <c r="BND100" s="120"/>
      <c r="BNE100" s="440"/>
      <c r="BOA100" s="436"/>
      <c r="BOB100" s="120"/>
      <c r="BOC100" s="120"/>
      <c r="BOD100" s="120"/>
      <c r="BOE100" s="440"/>
      <c r="BPA100" s="436"/>
      <c r="BPB100" s="120"/>
      <c r="BPC100" s="120"/>
      <c r="BPD100" s="120"/>
      <c r="BPE100" s="440"/>
      <c r="BQA100" s="436"/>
      <c r="BQB100" s="120"/>
      <c r="BQC100" s="120"/>
      <c r="BQD100" s="120"/>
      <c r="BQE100" s="440"/>
      <c r="BRA100" s="436"/>
      <c r="BRB100" s="120"/>
      <c r="BRC100" s="120"/>
      <c r="BRD100" s="120"/>
      <c r="BRE100" s="440"/>
    </row>
    <row r="101" spans="27:1019 1041:1825">
      <c r="AA101" s="436"/>
      <c r="AB101" s="120"/>
      <c r="AC101" s="120"/>
      <c r="AD101" s="120"/>
      <c r="AE101" s="440"/>
      <c r="BA101" s="436"/>
      <c r="BB101" s="120"/>
      <c r="BC101" s="120"/>
      <c r="BD101" s="120"/>
      <c r="BE101" s="440"/>
      <c r="CA101" s="436"/>
      <c r="CB101" s="120"/>
      <c r="CC101" s="120"/>
      <c r="CD101" s="120"/>
      <c r="CE101" s="440"/>
      <c r="DA101" s="436"/>
      <c r="DB101" s="120"/>
      <c r="DC101" s="120"/>
      <c r="DD101" s="120"/>
      <c r="DE101" s="440"/>
      <c r="EA101" s="436"/>
      <c r="EB101" s="120"/>
      <c r="EC101" s="120"/>
      <c r="ED101" s="120"/>
      <c r="EE101" s="440"/>
      <c r="FA101" s="436"/>
      <c r="FB101" s="120"/>
      <c r="FC101" s="120"/>
      <c r="FD101" s="120"/>
      <c r="FE101" s="440"/>
      <c r="GA101" s="436"/>
      <c r="GB101" s="120"/>
      <c r="GC101" s="120"/>
      <c r="GD101" s="120"/>
      <c r="GE101" s="440"/>
      <c r="HA101" s="436"/>
      <c r="HB101" s="120"/>
      <c r="HC101" s="120"/>
      <c r="HD101" s="120"/>
      <c r="HE101" s="440"/>
      <c r="IA101" s="436"/>
      <c r="IB101" s="120"/>
      <c r="IC101" s="120"/>
      <c r="ID101" s="120"/>
      <c r="IE101" s="440"/>
      <c r="JA101" s="436"/>
      <c r="JB101" s="120"/>
      <c r="JC101" s="120"/>
      <c r="JD101" s="120"/>
      <c r="JE101" s="440"/>
      <c r="KA101" s="436"/>
      <c r="KB101" s="120"/>
      <c r="KC101" s="120"/>
      <c r="KD101" s="120"/>
      <c r="KE101" s="440"/>
      <c r="LA101" s="436"/>
      <c r="LB101" s="120"/>
      <c r="LC101" s="120"/>
      <c r="LD101" s="120"/>
      <c r="LE101" s="440"/>
      <c r="MA101" s="436"/>
      <c r="MB101" s="120"/>
      <c r="MC101" s="120"/>
      <c r="MD101" s="120"/>
      <c r="ME101" s="440"/>
      <c r="NA101" s="436"/>
      <c r="NB101" s="120"/>
      <c r="NC101" s="120"/>
      <c r="ND101" s="120"/>
      <c r="NE101" s="440"/>
      <c r="OA101" s="436"/>
      <c r="OB101" s="120"/>
      <c r="OC101" s="120"/>
      <c r="OD101" s="120"/>
      <c r="OE101" s="440"/>
      <c r="PA101" s="436"/>
      <c r="PB101" s="120"/>
      <c r="PC101" s="120"/>
      <c r="PD101" s="120"/>
      <c r="PE101" s="440"/>
      <c r="QA101" s="436"/>
      <c r="QB101" s="120"/>
      <c r="QC101" s="120"/>
      <c r="QD101" s="120"/>
      <c r="QE101" s="440"/>
      <c r="RA101" s="436"/>
      <c r="RB101" s="120"/>
      <c r="RC101" s="120"/>
      <c r="RD101" s="120"/>
      <c r="RE101" s="440"/>
      <c r="SA101" s="436"/>
      <c r="SB101" s="120"/>
      <c r="SC101" s="120"/>
      <c r="SD101" s="120"/>
      <c r="SE101" s="440"/>
      <c r="TA101" s="436"/>
      <c r="TB101" s="120"/>
      <c r="TC101" s="120"/>
      <c r="TD101" s="120"/>
      <c r="TE101" s="440"/>
      <c r="UA101" s="436"/>
      <c r="UB101" s="120"/>
      <c r="UC101" s="120"/>
      <c r="UD101" s="120"/>
      <c r="UE101" s="440"/>
      <c r="VA101" s="436"/>
      <c r="VB101" s="120"/>
      <c r="VC101" s="120"/>
      <c r="VD101" s="120"/>
      <c r="VE101" s="440"/>
      <c r="WA101" s="436"/>
      <c r="WB101" s="120"/>
      <c r="WC101" s="120"/>
      <c r="WD101" s="120"/>
      <c r="WE101" s="440"/>
      <c r="XA101" s="436"/>
      <c r="XB101" s="120"/>
      <c r="XC101" s="120"/>
      <c r="XD101" s="120"/>
      <c r="XE101" s="440"/>
      <c r="YA101" s="436"/>
      <c r="YB101" s="120"/>
      <c r="YC101" s="120"/>
      <c r="YD101" s="120"/>
      <c r="YE101" s="440"/>
      <c r="ZA101" s="436"/>
      <c r="ZB101" s="120"/>
      <c r="ZC101" s="120"/>
      <c r="ZD101" s="120"/>
      <c r="ZE101" s="440"/>
      <c r="AAA101" s="436"/>
      <c r="AAB101" s="120"/>
      <c r="AAC101" s="120"/>
      <c r="AAD101" s="120"/>
      <c r="AAE101" s="440"/>
      <c r="ABA101" s="436"/>
      <c r="ABB101" s="120"/>
      <c r="ABC101" s="120"/>
      <c r="ABD101" s="120"/>
      <c r="ABE101" s="440"/>
      <c r="ACA101" s="436"/>
      <c r="ACB101" s="120"/>
      <c r="ACC101" s="120"/>
      <c r="ACD101" s="120"/>
      <c r="ACE101" s="440"/>
      <c r="ADA101" s="436"/>
      <c r="ADB101" s="120"/>
      <c r="ADC101" s="120"/>
      <c r="ADD101" s="120"/>
      <c r="ADE101" s="440"/>
      <c r="AEA101" s="436"/>
      <c r="AEB101" s="120"/>
      <c r="AEC101" s="120"/>
      <c r="AED101" s="120"/>
      <c r="AEE101" s="440"/>
      <c r="AFA101" s="436"/>
      <c r="AFB101" s="120"/>
      <c r="AFC101" s="120"/>
      <c r="AFD101" s="120"/>
      <c r="AFE101" s="440"/>
      <c r="AGA101" s="436"/>
      <c r="AGB101" s="120"/>
      <c r="AGC101" s="120"/>
      <c r="AGD101" s="120"/>
      <c r="AGE101" s="440"/>
      <c r="AHA101" s="436"/>
      <c r="AHB101" s="120"/>
      <c r="AHC101" s="120"/>
      <c r="AHD101" s="120"/>
      <c r="AHE101" s="440"/>
      <c r="AIA101" s="436"/>
      <c r="AIB101" s="120"/>
      <c r="AIC101" s="120"/>
      <c r="AID101" s="120"/>
      <c r="AIE101" s="440"/>
      <c r="AJA101" s="436"/>
      <c r="AJB101" s="120"/>
      <c r="AJC101" s="120"/>
      <c r="AJD101" s="120"/>
      <c r="AJE101" s="440"/>
      <c r="AKA101" s="436"/>
      <c r="AKB101" s="120"/>
      <c r="AKC101" s="120"/>
      <c r="AKD101" s="120"/>
      <c r="AKE101" s="440"/>
      <c r="ALA101" s="436"/>
      <c r="ALB101" s="120"/>
      <c r="ALC101" s="120"/>
      <c r="ALD101" s="120"/>
      <c r="ALE101" s="440"/>
      <c r="AMA101" s="436"/>
      <c r="AMB101" s="120"/>
      <c r="AMC101" s="120"/>
      <c r="AMD101" s="120"/>
      <c r="AME101" s="440"/>
      <c r="ANA101" s="436"/>
      <c r="ANB101" s="120"/>
      <c r="ANC101" s="120"/>
      <c r="AND101" s="120"/>
      <c r="ANE101" s="440"/>
      <c r="AOA101" s="436"/>
      <c r="AOB101" s="120"/>
      <c r="AOC101" s="120"/>
      <c r="AOD101" s="120"/>
      <c r="AOE101" s="440"/>
      <c r="APA101" s="436"/>
      <c r="APB101" s="120"/>
      <c r="APC101" s="120"/>
      <c r="APD101" s="120"/>
      <c r="APE101" s="440"/>
      <c r="AQA101" s="436"/>
      <c r="AQB101" s="120"/>
      <c r="AQC101" s="120"/>
      <c r="AQD101" s="120"/>
      <c r="AQE101" s="440"/>
      <c r="ARA101" s="436"/>
      <c r="ARB101" s="120"/>
      <c r="ARC101" s="120"/>
      <c r="ARD101" s="120"/>
      <c r="ARE101" s="440"/>
      <c r="ASA101" s="436"/>
      <c r="ASB101" s="120"/>
      <c r="ASC101" s="120"/>
      <c r="ASD101" s="120"/>
      <c r="ASE101" s="440"/>
      <c r="ATA101" s="436"/>
      <c r="ATB101" s="120"/>
      <c r="ATC101" s="120"/>
      <c r="ATD101" s="120"/>
      <c r="ATE101" s="440"/>
      <c r="AUA101" s="436"/>
      <c r="AUB101" s="120"/>
      <c r="AUC101" s="120"/>
      <c r="AUD101" s="120"/>
      <c r="AUE101" s="440"/>
      <c r="AVA101" s="436"/>
      <c r="AVB101" s="120"/>
      <c r="AVC101" s="120"/>
      <c r="AVD101" s="120"/>
      <c r="AVE101" s="440"/>
      <c r="AWA101" s="436"/>
      <c r="AWB101" s="120"/>
      <c r="AWC101" s="120"/>
      <c r="AWD101" s="120"/>
      <c r="AWE101" s="440"/>
      <c r="AXA101" s="436"/>
      <c r="AXB101" s="120"/>
      <c r="AXC101" s="120"/>
      <c r="AXD101" s="120"/>
      <c r="AXE101" s="440"/>
      <c r="AYA101" s="436"/>
      <c r="AYB101" s="120"/>
      <c r="AYC101" s="120"/>
      <c r="AYD101" s="120"/>
      <c r="AYE101" s="440"/>
      <c r="AZA101" s="436"/>
      <c r="AZB101" s="120"/>
      <c r="AZC101" s="120"/>
      <c r="AZD101" s="120"/>
      <c r="AZE101" s="440"/>
      <c r="BAA101" s="436"/>
      <c r="BAB101" s="120"/>
      <c r="BAC101" s="120"/>
      <c r="BAD101" s="120"/>
      <c r="BAE101" s="440"/>
      <c r="BBA101" s="436"/>
      <c r="BBB101" s="120"/>
      <c r="BBC101" s="120"/>
      <c r="BBD101" s="120"/>
      <c r="BBE101" s="440"/>
      <c r="BCA101" s="436"/>
      <c r="BCB101" s="120"/>
      <c r="BCC101" s="120"/>
      <c r="BCD101" s="120"/>
      <c r="BCE101" s="440"/>
      <c r="BDA101" s="436"/>
      <c r="BDB101" s="120"/>
      <c r="BDC101" s="120"/>
      <c r="BDD101" s="120"/>
      <c r="BDE101" s="440"/>
      <c r="BEA101" s="436"/>
      <c r="BEB101" s="120"/>
      <c r="BEC101" s="120"/>
      <c r="BED101" s="120"/>
      <c r="BEE101" s="440"/>
      <c r="BFA101" s="436"/>
      <c r="BFB101" s="120"/>
      <c r="BFC101" s="120"/>
      <c r="BFD101" s="120"/>
      <c r="BFE101" s="440"/>
      <c r="BGA101" s="436"/>
      <c r="BGB101" s="120"/>
      <c r="BGC101" s="120"/>
      <c r="BGD101" s="120"/>
      <c r="BGE101" s="440"/>
      <c r="BHA101" s="436"/>
      <c r="BHB101" s="120"/>
      <c r="BHC101" s="120"/>
      <c r="BHD101" s="120"/>
      <c r="BHE101" s="440"/>
      <c r="BIA101" s="436"/>
      <c r="BIB101" s="120"/>
      <c r="BIC101" s="120"/>
      <c r="BID101" s="120"/>
      <c r="BIE101" s="440"/>
      <c r="BJA101" s="436"/>
      <c r="BJB101" s="120"/>
      <c r="BJC101" s="120"/>
      <c r="BJD101" s="120"/>
      <c r="BJE101" s="440"/>
      <c r="BKA101" s="436"/>
      <c r="BKB101" s="120"/>
      <c r="BKC101" s="120"/>
      <c r="BKD101" s="120"/>
      <c r="BKE101" s="440"/>
      <c r="BLA101" s="436"/>
      <c r="BLB101" s="120"/>
      <c r="BLC101" s="120"/>
      <c r="BLD101" s="120"/>
      <c r="BLE101" s="440"/>
      <c r="BMA101" s="436"/>
      <c r="BMB101" s="120"/>
      <c r="BMC101" s="120"/>
      <c r="BMD101" s="120"/>
      <c r="BME101" s="440"/>
      <c r="BNA101" s="436"/>
      <c r="BNB101" s="120"/>
      <c r="BNC101" s="120"/>
      <c r="BND101" s="120"/>
      <c r="BNE101" s="440"/>
      <c r="BOA101" s="436"/>
      <c r="BOB101" s="120"/>
      <c r="BOC101" s="120"/>
      <c r="BOD101" s="120"/>
      <c r="BOE101" s="440"/>
      <c r="BPA101" s="436"/>
      <c r="BPB101" s="120"/>
      <c r="BPC101" s="120"/>
      <c r="BPD101" s="120"/>
      <c r="BPE101" s="440"/>
      <c r="BQA101" s="436"/>
      <c r="BQB101" s="120"/>
      <c r="BQC101" s="120"/>
      <c r="BQD101" s="120"/>
      <c r="BQE101" s="440"/>
      <c r="BRA101" s="436"/>
      <c r="BRB101" s="120"/>
      <c r="BRC101" s="120"/>
      <c r="BRD101" s="120"/>
      <c r="BRE101" s="440"/>
    </row>
    <row r="102" spans="27:1019 1041:1825">
      <c r="AA102" s="436"/>
      <c r="AB102" s="120"/>
      <c r="AC102" s="120"/>
      <c r="AD102" s="120"/>
      <c r="AE102" s="440"/>
      <c r="BA102" s="436"/>
      <c r="BB102" s="120"/>
      <c r="BC102" s="120"/>
      <c r="BD102" s="120"/>
      <c r="BE102" s="440"/>
      <c r="CA102" s="436"/>
      <c r="CB102" s="120"/>
      <c r="CC102" s="120"/>
      <c r="CD102" s="120"/>
      <c r="CE102" s="440"/>
      <c r="DA102" s="436"/>
      <c r="DB102" s="120"/>
      <c r="DC102" s="120"/>
      <c r="DD102" s="120"/>
      <c r="DE102" s="440"/>
      <c r="EA102" s="436"/>
      <c r="EB102" s="120"/>
      <c r="EC102" s="120"/>
      <c r="ED102" s="120"/>
      <c r="EE102" s="440"/>
      <c r="FA102" s="436"/>
      <c r="FB102" s="120"/>
      <c r="FC102" s="120"/>
      <c r="FD102" s="120"/>
      <c r="FE102" s="440"/>
      <c r="GA102" s="436"/>
      <c r="GB102" s="120"/>
      <c r="GC102" s="120"/>
      <c r="GD102" s="120"/>
      <c r="GE102" s="440"/>
      <c r="HA102" s="436"/>
      <c r="HB102" s="120"/>
      <c r="HC102" s="120"/>
      <c r="HD102" s="120"/>
      <c r="HE102" s="440"/>
      <c r="IA102" s="436"/>
      <c r="IB102" s="120"/>
      <c r="IC102" s="120"/>
      <c r="ID102" s="120"/>
      <c r="IE102" s="440"/>
      <c r="JA102" s="436"/>
      <c r="JB102" s="120"/>
      <c r="JC102" s="120"/>
      <c r="JD102" s="120"/>
      <c r="JE102" s="440"/>
      <c r="KA102" s="436"/>
      <c r="KB102" s="120"/>
      <c r="KC102" s="120"/>
      <c r="KD102" s="120"/>
      <c r="KE102" s="440"/>
      <c r="LA102" s="436"/>
      <c r="LB102" s="120"/>
      <c r="LC102" s="120"/>
      <c r="LD102" s="120"/>
      <c r="LE102" s="440"/>
      <c r="MA102" s="436"/>
      <c r="MB102" s="120"/>
      <c r="MC102" s="120"/>
      <c r="MD102" s="120"/>
      <c r="ME102" s="440"/>
      <c r="NA102" s="436"/>
      <c r="NB102" s="120"/>
      <c r="NC102" s="120"/>
      <c r="ND102" s="120"/>
      <c r="NE102" s="440"/>
      <c r="OA102" s="436"/>
      <c r="OB102" s="120"/>
      <c r="OC102" s="120"/>
      <c r="OD102" s="120"/>
      <c r="OE102" s="440"/>
      <c r="PA102" s="436"/>
      <c r="PB102" s="120"/>
      <c r="PC102" s="120"/>
      <c r="PD102" s="120"/>
      <c r="PE102" s="440"/>
      <c r="QA102" s="436"/>
      <c r="QB102" s="120"/>
      <c r="QC102" s="120"/>
      <c r="QD102" s="120"/>
      <c r="QE102" s="440"/>
      <c r="RA102" s="436"/>
      <c r="RB102" s="120"/>
      <c r="RC102" s="120"/>
      <c r="RD102" s="120"/>
      <c r="RE102" s="440"/>
      <c r="SA102" s="436"/>
      <c r="SB102" s="120"/>
      <c r="SC102" s="120"/>
      <c r="SD102" s="120"/>
      <c r="SE102" s="440"/>
      <c r="TA102" s="436"/>
      <c r="TB102" s="120"/>
      <c r="TC102" s="120"/>
      <c r="TD102" s="120"/>
      <c r="TE102" s="440"/>
      <c r="UA102" s="436"/>
      <c r="UB102" s="120"/>
      <c r="UC102" s="120"/>
      <c r="UD102" s="120"/>
      <c r="UE102" s="440"/>
      <c r="VA102" s="436"/>
      <c r="VB102" s="120"/>
      <c r="VC102" s="120"/>
      <c r="VD102" s="120"/>
      <c r="VE102" s="440"/>
      <c r="WA102" s="436"/>
      <c r="WB102" s="120"/>
      <c r="WC102" s="120"/>
      <c r="WD102" s="120"/>
      <c r="WE102" s="440"/>
      <c r="XA102" s="436"/>
      <c r="XB102" s="120"/>
      <c r="XC102" s="120"/>
      <c r="XD102" s="120"/>
      <c r="XE102" s="440"/>
      <c r="YA102" s="436"/>
      <c r="YB102" s="120"/>
      <c r="YC102" s="120"/>
      <c r="YD102" s="120"/>
      <c r="YE102" s="440"/>
      <c r="ZA102" s="436"/>
      <c r="ZB102" s="120"/>
      <c r="ZC102" s="120"/>
      <c r="ZD102" s="120"/>
      <c r="ZE102" s="440"/>
      <c r="AAA102" s="436"/>
      <c r="AAB102" s="120"/>
      <c r="AAC102" s="120"/>
      <c r="AAD102" s="120"/>
      <c r="AAE102" s="440"/>
      <c r="ABA102" s="436"/>
      <c r="ABB102" s="120"/>
      <c r="ABC102" s="120"/>
      <c r="ABD102" s="120"/>
      <c r="ABE102" s="440"/>
      <c r="ACA102" s="436"/>
      <c r="ACB102" s="120"/>
      <c r="ACC102" s="120"/>
      <c r="ACD102" s="120"/>
      <c r="ACE102" s="440"/>
      <c r="ADA102" s="436"/>
      <c r="ADB102" s="120"/>
      <c r="ADC102" s="120"/>
      <c r="ADD102" s="120"/>
      <c r="ADE102" s="440"/>
      <c r="AEA102" s="436"/>
      <c r="AEB102" s="120"/>
      <c r="AEC102" s="120"/>
      <c r="AED102" s="120"/>
      <c r="AEE102" s="440"/>
      <c r="AFA102" s="436"/>
      <c r="AFB102" s="120"/>
      <c r="AFC102" s="120"/>
      <c r="AFD102" s="120"/>
      <c r="AFE102" s="440"/>
      <c r="AGA102" s="436"/>
      <c r="AGB102" s="120"/>
      <c r="AGC102" s="120"/>
      <c r="AGD102" s="120"/>
      <c r="AGE102" s="440"/>
      <c r="AHA102" s="436"/>
      <c r="AHB102" s="120"/>
      <c r="AHC102" s="120"/>
      <c r="AHD102" s="120"/>
      <c r="AHE102" s="440"/>
      <c r="AIA102" s="436"/>
      <c r="AIB102" s="120"/>
      <c r="AIC102" s="120"/>
      <c r="AID102" s="120"/>
      <c r="AIE102" s="440"/>
      <c r="AJA102" s="436"/>
      <c r="AJB102" s="120"/>
      <c r="AJC102" s="120"/>
      <c r="AJD102" s="120"/>
      <c r="AJE102" s="440"/>
      <c r="AKA102" s="436"/>
      <c r="AKB102" s="120"/>
      <c r="AKC102" s="120"/>
      <c r="AKD102" s="120"/>
      <c r="AKE102" s="440"/>
      <c r="ALA102" s="436"/>
      <c r="ALB102" s="120"/>
      <c r="ALC102" s="120"/>
      <c r="ALD102" s="120"/>
      <c r="ALE102" s="440"/>
      <c r="AMA102" s="436"/>
      <c r="AMB102" s="120"/>
      <c r="AMC102" s="120"/>
      <c r="AMD102" s="120"/>
      <c r="AME102" s="440"/>
      <c r="ANA102" s="436"/>
      <c r="ANB102" s="120"/>
      <c r="ANC102" s="120"/>
      <c r="AND102" s="120"/>
      <c r="ANE102" s="440"/>
      <c r="AOA102" s="436"/>
      <c r="AOB102" s="120"/>
      <c r="AOC102" s="120"/>
      <c r="AOD102" s="120"/>
      <c r="AOE102" s="440"/>
      <c r="APA102" s="436"/>
      <c r="APB102" s="120"/>
      <c r="APC102" s="120"/>
      <c r="APD102" s="120"/>
      <c r="APE102" s="440"/>
      <c r="AQA102" s="436"/>
      <c r="AQB102" s="120"/>
      <c r="AQC102" s="120"/>
      <c r="AQD102" s="120"/>
      <c r="AQE102" s="440"/>
      <c r="ARA102" s="436"/>
      <c r="ARB102" s="120"/>
      <c r="ARC102" s="120"/>
      <c r="ARD102" s="120"/>
      <c r="ARE102" s="440"/>
      <c r="ASA102" s="436"/>
      <c r="ASB102" s="120"/>
      <c r="ASC102" s="120"/>
      <c r="ASD102" s="120"/>
      <c r="ASE102" s="440"/>
      <c r="ATA102" s="436"/>
      <c r="ATB102" s="120"/>
      <c r="ATC102" s="120"/>
      <c r="ATD102" s="120"/>
      <c r="ATE102" s="440"/>
      <c r="AUA102" s="436"/>
      <c r="AUB102" s="120"/>
      <c r="AUC102" s="120"/>
      <c r="AUD102" s="120"/>
      <c r="AUE102" s="440"/>
      <c r="AVA102" s="436"/>
      <c r="AVB102" s="120"/>
      <c r="AVC102" s="120"/>
      <c r="AVD102" s="120"/>
      <c r="AVE102" s="440"/>
      <c r="AWA102" s="436"/>
      <c r="AWB102" s="120"/>
      <c r="AWC102" s="120"/>
      <c r="AWD102" s="120"/>
      <c r="AWE102" s="440"/>
      <c r="AXA102" s="436"/>
      <c r="AXB102" s="120"/>
      <c r="AXC102" s="120"/>
      <c r="AXD102" s="120"/>
      <c r="AXE102" s="440"/>
      <c r="AYA102" s="436"/>
      <c r="AYB102" s="120"/>
      <c r="AYC102" s="120"/>
      <c r="AYD102" s="120"/>
      <c r="AYE102" s="440"/>
      <c r="AZA102" s="436"/>
      <c r="AZB102" s="120"/>
      <c r="AZC102" s="120"/>
      <c r="AZD102" s="120"/>
      <c r="AZE102" s="440"/>
      <c r="BAA102" s="436"/>
      <c r="BAB102" s="120"/>
      <c r="BAC102" s="120"/>
      <c r="BAD102" s="120"/>
      <c r="BAE102" s="440"/>
      <c r="BBA102" s="436"/>
      <c r="BBB102" s="120"/>
      <c r="BBC102" s="120"/>
      <c r="BBD102" s="120"/>
      <c r="BBE102" s="440"/>
      <c r="BCA102" s="436"/>
      <c r="BCB102" s="120"/>
      <c r="BCC102" s="120"/>
      <c r="BCD102" s="120"/>
      <c r="BCE102" s="440"/>
      <c r="BDA102" s="436"/>
      <c r="BDB102" s="120"/>
      <c r="BDC102" s="120"/>
      <c r="BDD102" s="120"/>
      <c r="BDE102" s="440"/>
      <c r="BEA102" s="436"/>
      <c r="BEB102" s="120"/>
      <c r="BEC102" s="120"/>
      <c r="BED102" s="120"/>
      <c r="BEE102" s="440"/>
      <c r="BFA102" s="436"/>
      <c r="BFB102" s="120"/>
      <c r="BFC102" s="120"/>
      <c r="BFD102" s="120"/>
      <c r="BFE102" s="440"/>
      <c r="BGA102" s="436"/>
      <c r="BGB102" s="120"/>
      <c r="BGC102" s="120"/>
      <c r="BGD102" s="120"/>
      <c r="BGE102" s="440"/>
      <c r="BHA102" s="436"/>
      <c r="BHB102" s="120"/>
      <c r="BHC102" s="120"/>
      <c r="BHD102" s="120"/>
      <c r="BHE102" s="440"/>
      <c r="BIA102" s="436"/>
      <c r="BIB102" s="120"/>
      <c r="BIC102" s="120"/>
      <c r="BID102" s="120"/>
      <c r="BIE102" s="440"/>
      <c r="BJA102" s="436"/>
      <c r="BJB102" s="120"/>
      <c r="BJC102" s="120"/>
      <c r="BJD102" s="120"/>
      <c r="BJE102" s="440"/>
      <c r="BKA102" s="436"/>
      <c r="BKB102" s="120"/>
      <c r="BKC102" s="120"/>
      <c r="BKD102" s="120"/>
      <c r="BKE102" s="440"/>
      <c r="BLA102" s="436"/>
      <c r="BLB102" s="120"/>
      <c r="BLC102" s="120"/>
      <c r="BLD102" s="120"/>
      <c r="BLE102" s="440"/>
      <c r="BMA102" s="436"/>
      <c r="BMB102" s="120"/>
      <c r="BMC102" s="120"/>
      <c r="BMD102" s="120"/>
      <c r="BME102" s="440"/>
      <c r="BNA102" s="436"/>
      <c r="BNB102" s="120"/>
      <c r="BNC102" s="120"/>
      <c r="BND102" s="120"/>
      <c r="BNE102" s="440"/>
      <c r="BOA102" s="436"/>
      <c r="BOB102" s="120"/>
      <c r="BOC102" s="120"/>
      <c r="BOD102" s="120"/>
      <c r="BOE102" s="440"/>
      <c r="BPA102" s="436"/>
      <c r="BPB102" s="120"/>
      <c r="BPC102" s="120"/>
      <c r="BPD102" s="120"/>
      <c r="BPE102" s="440"/>
      <c r="BQA102" s="436"/>
      <c r="BQB102" s="120"/>
      <c r="BQC102" s="120"/>
      <c r="BQD102" s="120"/>
      <c r="BQE102" s="440"/>
      <c r="BRA102" s="436"/>
      <c r="BRB102" s="120"/>
      <c r="BRC102" s="120"/>
      <c r="BRD102" s="120"/>
      <c r="BRE102" s="440"/>
    </row>
    <row r="103" spans="27:1019 1041:1825">
      <c r="AA103" s="436"/>
      <c r="AB103" s="120"/>
      <c r="AC103" s="120"/>
      <c r="AD103" s="120"/>
      <c r="AE103" s="440"/>
      <c r="BA103" s="436"/>
      <c r="BB103" s="120"/>
      <c r="BC103" s="120"/>
      <c r="BD103" s="120"/>
      <c r="BE103" s="440"/>
      <c r="CA103" s="436"/>
      <c r="CB103" s="120"/>
      <c r="CC103" s="120"/>
      <c r="CD103" s="120"/>
      <c r="CE103" s="440"/>
      <c r="DA103" s="436"/>
      <c r="DB103" s="120"/>
      <c r="DC103" s="120"/>
      <c r="DD103" s="120"/>
      <c r="DE103" s="440"/>
      <c r="EA103" s="436"/>
      <c r="EB103" s="120"/>
      <c r="EC103" s="120"/>
      <c r="ED103" s="120"/>
      <c r="EE103" s="440"/>
      <c r="FA103" s="436"/>
      <c r="FB103" s="120"/>
      <c r="FC103" s="120"/>
      <c r="FD103" s="120"/>
      <c r="FE103" s="440"/>
      <c r="GA103" s="436"/>
      <c r="GB103" s="120"/>
      <c r="GC103" s="120"/>
      <c r="GD103" s="120"/>
      <c r="GE103" s="440"/>
      <c r="HA103" s="436"/>
      <c r="HB103" s="120"/>
      <c r="HC103" s="120"/>
      <c r="HD103" s="120"/>
      <c r="HE103" s="440"/>
      <c r="IA103" s="436"/>
      <c r="IB103" s="120"/>
      <c r="IC103" s="120"/>
      <c r="ID103" s="120"/>
      <c r="IE103" s="440"/>
      <c r="JA103" s="436"/>
      <c r="JB103" s="120"/>
      <c r="JC103" s="120"/>
      <c r="JD103" s="120"/>
      <c r="JE103" s="440"/>
      <c r="KA103" s="436"/>
      <c r="KB103" s="120"/>
      <c r="KC103" s="120"/>
      <c r="KD103" s="120"/>
      <c r="KE103" s="440"/>
      <c r="LA103" s="436"/>
      <c r="LB103" s="120"/>
      <c r="LC103" s="120"/>
      <c r="LD103" s="120"/>
      <c r="LE103" s="440"/>
      <c r="MA103" s="436"/>
      <c r="MB103" s="120"/>
      <c r="MC103" s="120"/>
      <c r="MD103" s="120"/>
      <c r="ME103" s="440"/>
      <c r="NA103" s="436"/>
      <c r="NB103" s="120"/>
      <c r="NC103" s="120"/>
      <c r="ND103" s="120"/>
      <c r="NE103" s="440"/>
      <c r="OA103" s="436"/>
      <c r="OB103" s="120"/>
      <c r="OC103" s="120"/>
      <c r="OD103" s="120"/>
      <c r="OE103" s="440"/>
      <c r="PA103" s="436"/>
      <c r="PB103" s="120"/>
      <c r="PC103" s="120"/>
      <c r="PD103" s="120"/>
      <c r="PE103" s="440"/>
      <c r="QA103" s="436"/>
      <c r="QB103" s="120"/>
      <c r="QC103" s="120"/>
      <c r="QD103" s="120"/>
      <c r="QE103" s="440"/>
      <c r="RA103" s="436"/>
      <c r="RB103" s="120"/>
      <c r="RC103" s="120"/>
      <c r="RD103" s="120"/>
      <c r="RE103" s="440"/>
      <c r="SA103" s="436"/>
      <c r="SB103" s="120"/>
      <c r="SC103" s="120"/>
      <c r="SD103" s="120"/>
      <c r="SE103" s="440"/>
      <c r="TA103" s="436"/>
      <c r="TB103" s="120"/>
      <c r="TC103" s="120"/>
      <c r="TD103" s="120"/>
      <c r="TE103" s="440"/>
      <c r="UA103" s="436"/>
      <c r="UB103" s="120"/>
      <c r="UC103" s="120"/>
      <c r="UD103" s="120"/>
      <c r="UE103" s="440"/>
      <c r="VA103" s="436"/>
      <c r="VB103" s="120"/>
      <c r="VC103" s="120"/>
      <c r="VD103" s="120"/>
      <c r="VE103" s="440"/>
      <c r="WA103" s="436"/>
      <c r="WB103" s="120"/>
      <c r="WC103" s="120"/>
      <c r="WD103" s="120"/>
      <c r="WE103" s="440"/>
      <c r="XA103" s="436"/>
      <c r="XB103" s="120"/>
      <c r="XC103" s="120"/>
      <c r="XD103" s="120"/>
      <c r="XE103" s="440"/>
      <c r="YA103" s="436"/>
      <c r="YB103" s="120"/>
      <c r="YC103" s="120"/>
      <c r="YD103" s="120"/>
      <c r="YE103" s="440"/>
      <c r="ZA103" s="436"/>
      <c r="ZB103" s="120"/>
      <c r="ZC103" s="120"/>
      <c r="ZD103" s="120"/>
      <c r="ZE103" s="440"/>
      <c r="AAA103" s="436"/>
      <c r="AAB103" s="120"/>
      <c r="AAC103" s="120"/>
      <c r="AAD103" s="120"/>
      <c r="AAE103" s="440"/>
      <c r="ABA103" s="436"/>
      <c r="ABB103" s="120"/>
      <c r="ABC103" s="120"/>
      <c r="ABD103" s="120"/>
      <c r="ABE103" s="440"/>
      <c r="ACA103" s="436"/>
      <c r="ACB103" s="120"/>
      <c r="ACC103" s="120"/>
      <c r="ACD103" s="120"/>
      <c r="ACE103" s="440"/>
      <c r="ADA103" s="436"/>
      <c r="ADB103" s="120"/>
      <c r="ADC103" s="120"/>
      <c r="ADD103" s="120"/>
      <c r="ADE103" s="440"/>
      <c r="AEA103" s="436"/>
      <c r="AEB103" s="120"/>
      <c r="AEC103" s="120"/>
      <c r="AED103" s="120"/>
      <c r="AEE103" s="440"/>
      <c r="AFA103" s="436"/>
      <c r="AFB103" s="120"/>
      <c r="AFC103" s="120"/>
      <c r="AFD103" s="120"/>
      <c r="AFE103" s="440"/>
      <c r="AGA103" s="436"/>
      <c r="AGB103" s="120"/>
      <c r="AGC103" s="120"/>
      <c r="AGD103" s="120"/>
      <c r="AGE103" s="440"/>
      <c r="AHA103" s="436"/>
      <c r="AHB103" s="120"/>
      <c r="AHC103" s="120"/>
      <c r="AHD103" s="120"/>
      <c r="AHE103" s="440"/>
      <c r="AIA103" s="436"/>
      <c r="AIB103" s="120"/>
      <c r="AIC103" s="120"/>
      <c r="AID103" s="120"/>
      <c r="AIE103" s="440"/>
      <c r="AJA103" s="436"/>
      <c r="AJB103" s="120"/>
      <c r="AJC103" s="120"/>
      <c r="AJD103" s="120"/>
      <c r="AJE103" s="440"/>
      <c r="AKA103" s="436"/>
      <c r="AKB103" s="120"/>
      <c r="AKC103" s="120"/>
      <c r="AKD103" s="120"/>
      <c r="AKE103" s="440"/>
      <c r="ALA103" s="436"/>
      <c r="ALB103" s="120"/>
      <c r="ALC103" s="120"/>
      <c r="ALD103" s="120"/>
      <c r="ALE103" s="440"/>
      <c r="AMA103" s="436"/>
      <c r="AMB103" s="120"/>
      <c r="AMC103" s="120"/>
      <c r="AMD103" s="120"/>
      <c r="AME103" s="440"/>
      <c r="ANA103" s="436"/>
      <c r="ANB103" s="120"/>
      <c r="ANC103" s="120"/>
      <c r="AND103" s="120"/>
      <c r="ANE103" s="440"/>
      <c r="AOA103" s="436"/>
      <c r="AOB103" s="120"/>
      <c r="AOC103" s="120"/>
      <c r="AOD103" s="120"/>
      <c r="AOE103" s="440"/>
      <c r="APA103" s="436"/>
      <c r="APB103" s="120"/>
      <c r="APC103" s="120"/>
      <c r="APD103" s="120"/>
      <c r="APE103" s="440"/>
      <c r="AQA103" s="436"/>
      <c r="AQB103" s="120"/>
      <c r="AQC103" s="120"/>
      <c r="AQD103" s="120"/>
      <c r="AQE103" s="440"/>
      <c r="ARA103" s="436"/>
      <c r="ARB103" s="120"/>
      <c r="ARC103" s="120"/>
      <c r="ARD103" s="120"/>
      <c r="ARE103" s="440"/>
      <c r="ASA103" s="436"/>
      <c r="ASB103" s="120"/>
      <c r="ASC103" s="120"/>
      <c r="ASD103" s="120"/>
      <c r="ASE103" s="440"/>
      <c r="ATA103" s="436"/>
      <c r="ATB103" s="120"/>
      <c r="ATC103" s="120"/>
      <c r="ATD103" s="120"/>
      <c r="ATE103" s="440"/>
      <c r="AUA103" s="436"/>
      <c r="AUB103" s="120"/>
      <c r="AUC103" s="120"/>
      <c r="AUD103" s="120"/>
      <c r="AUE103" s="440"/>
      <c r="AVA103" s="436"/>
      <c r="AVB103" s="120"/>
      <c r="AVC103" s="120"/>
      <c r="AVD103" s="120"/>
      <c r="AVE103" s="440"/>
      <c r="AWA103" s="436"/>
      <c r="AWB103" s="120"/>
      <c r="AWC103" s="120"/>
      <c r="AWD103" s="120"/>
      <c r="AWE103" s="440"/>
      <c r="AXA103" s="436"/>
      <c r="AXB103" s="120"/>
      <c r="AXC103" s="120"/>
      <c r="AXD103" s="120"/>
      <c r="AXE103" s="440"/>
      <c r="AYA103" s="436"/>
      <c r="AYB103" s="120"/>
      <c r="AYC103" s="120"/>
      <c r="AYD103" s="120"/>
      <c r="AYE103" s="440"/>
      <c r="AZA103" s="436"/>
      <c r="AZB103" s="120"/>
      <c r="AZC103" s="120"/>
      <c r="AZD103" s="120"/>
      <c r="AZE103" s="440"/>
      <c r="BAA103" s="436"/>
      <c r="BAB103" s="120"/>
      <c r="BAC103" s="120"/>
      <c r="BAD103" s="120"/>
      <c r="BAE103" s="440"/>
      <c r="BBA103" s="436"/>
      <c r="BBB103" s="120"/>
      <c r="BBC103" s="120"/>
      <c r="BBD103" s="120"/>
      <c r="BBE103" s="440"/>
      <c r="BCA103" s="436"/>
      <c r="BCB103" s="120"/>
      <c r="BCC103" s="120"/>
      <c r="BCD103" s="120"/>
      <c r="BCE103" s="440"/>
      <c r="BDA103" s="436"/>
      <c r="BDB103" s="120"/>
      <c r="BDC103" s="120"/>
      <c r="BDD103" s="120"/>
      <c r="BDE103" s="440"/>
      <c r="BEA103" s="436"/>
      <c r="BEB103" s="120"/>
      <c r="BEC103" s="120"/>
      <c r="BED103" s="120"/>
      <c r="BEE103" s="440"/>
      <c r="BFA103" s="436"/>
      <c r="BFB103" s="120"/>
      <c r="BFC103" s="120"/>
      <c r="BFD103" s="120"/>
      <c r="BFE103" s="440"/>
      <c r="BGA103" s="436"/>
      <c r="BGB103" s="120"/>
      <c r="BGC103" s="120"/>
      <c r="BGD103" s="120"/>
      <c r="BGE103" s="440"/>
      <c r="BHA103" s="436"/>
      <c r="BHB103" s="120"/>
      <c r="BHC103" s="120"/>
      <c r="BHD103" s="120"/>
      <c r="BHE103" s="440"/>
      <c r="BIA103" s="436"/>
      <c r="BIB103" s="120"/>
      <c r="BIC103" s="120"/>
      <c r="BID103" s="120"/>
      <c r="BIE103" s="440"/>
      <c r="BJA103" s="436"/>
      <c r="BJB103" s="120"/>
      <c r="BJC103" s="120"/>
      <c r="BJD103" s="120"/>
      <c r="BJE103" s="440"/>
      <c r="BKA103" s="436"/>
      <c r="BKB103" s="120"/>
      <c r="BKC103" s="120"/>
      <c r="BKD103" s="120"/>
      <c r="BKE103" s="440"/>
      <c r="BLA103" s="436"/>
      <c r="BLB103" s="120"/>
      <c r="BLC103" s="120"/>
      <c r="BLD103" s="120"/>
      <c r="BLE103" s="440"/>
      <c r="BMA103" s="436"/>
      <c r="BMB103" s="120"/>
      <c r="BMC103" s="120"/>
      <c r="BMD103" s="120"/>
      <c r="BME103" s="440"/>
      <c r="BNA103" s="436"/>
      <c r="BNB103" s="120"/>
      <c r="BNC103" s="120"/>
      <c r="BND103" s="120"/>
      <c r="BNE103" s="440"/>
      <c r="BOA103" s="436"/>
      <c r="BOB103" s="120"/>
      <c r="BOC103" s="120"/>
      <c r="BOD103" s="120"/>
      <c r="BOE103" s="440"/>
      <c r="BPA103" s="436"/>
      <c r="BPB103" s="120"/>
      <c r="BPC103" s="120"/>
      <c r="BPD103" s="120"/>
      <c r="BPE103" s="440"/>
      <c r="BQA103" s="436"/>
      <c r="BQB103" s="120"/>
      <c r="BQC103" s="120"/>
      <c r="BQD103" s="120"/>
      <c r="BQE103" s="440"/>
      <c r="BRA103" s="436"/>
      <c r="BRB103" s="120"/>
      <c r="BRC103" s="120"/>
      <c r="BRD103" s="120"/>
      <c r="BRE103" s="440"/>
    </row>
    <row r="104" spans="27:1019 1041:1825">
      <c r="AA104" s="436"/>
      <c r="AB104" s="120"/>
      <c r="AC104" s="120"/>
      <c r="AD104" s="120"/>
      <c r="AE104" s="440"/>
      <c r="BA104" s="436"/>
      <c r="BB104" s="120"/>
      <c r="BC104" s="120"/>
      <c r="BD104" s="120"/>
      <c r="BE104" s="440"/>
      <c r="CA104" s="436"/>
      <c r="CB104" s="120"/>
      <c r="CC104" s="120"/>
      <c r="CD104" s="120"/>
      <c r="CE104" s="440"/>
      <c r="DA104" s="436"/>
      <c r="DB104" s="120"/>
      <c r="DC104" s="120"/>
      <c r="DD104" s="120"/>
      <c r="DE104" s="440"/>
      <c r="EA104" s="436"/>
      <c r="EB104" s="120"/>
      <c r="EC104" s="120"/>
      <c r="ED104" s="120"/>
      <c r="EE104" s="440"/>
      <c r="FA104" s="436"/>
      <c r="FB104" s="120"/>
      <c r="FC104" s="120"/>
      <c r="FD104" s="120"/>
      <c r="FE104" s="440"/>
      <c r="GA104" s="436"/>
      <c r="GB104" s="120"/>
      <c r="GC104" s="120"/>
      <c r="GD104" s="120"/>
      <c r="GE104" s="440"/>
      <c r="HA104" s="436"/>
      <c r="HB104" s="120"/>
      <c r="HC104" s="120"/>
      <c r="HD104" s="120"/>
      <c r="HE104" s="440"/>
      <c r="IA104" s="436"/>
      <c r="IB104" s="120"/>
      <c r="IC104" s="120"/>
      <c r="ID104" s="120"/>
      <c r="IE104" s="440"/>
      <c r="JA104" s="436"/>
      <c r="JB104" s="120"/>
      <c r="JC104" s="120"/>
      <c r="JD104" s="120"/>
      <c r="JE104" s="440"/>
      <c r="KA104" s="436"/>
      <c r="KB104" s="120"/>
      <c r="KC104" s="120"/>
      <c r="KD104" s="120"/>
      <c r="KE104" s="440"/>
      <c r="LA104" s="436"/>
      <c r="LB104" s="120"/>
      <c r="LC104" s="120"/>
      <c r="LD104" s="120"/>
      <c r="LE104" s="440"/>
      <c r="MA104" s="436"/>
      <c r="MB104" s="120"/>
      <c r="MC104" s="120"/>
      <c r="MD104" s="120"/>
      <c r="ME104" s="440"/>
      <c r="NA104" s="436"/>
      <c r="NB104" s="120"/>
      <c r="NC104" s="120"/>
      <c r="ND104" s="120"/>
      <c r="NE104" s="440"/>
      <c r="OA104" s="436"/>
      <c r="OB104" s="120"/>
      <c r="OC104" s="120"/>
      <c r="OD104" s="120"/>
      <c r="OE104" s="440"/>
      <c r="PA104" s="436"/>
      <c r="PB104" s="120"/>
      <c r="PC104" s="120"/>
      <c r="PD104" s="120"/>
      <c r="PE104" s="440"/>
      <c r="QA104" s="436"/>
      <c r="QB104" s="120"/>
      <c r="QC104" s="120"/>
      <c r="QD104" s="120"/>
      <c r="QE104" s="440"/>
      <c r="RA104" s="436"/>
      <c r="RB104" s="120"/>
      <c r="RC104" s="120"/>
      <c r="RD104" s="120"/>
      <c r="RE104" s="440"/>
      <c r="SA104" s="436"/>
      <c r="SB104" s="120"/>
      <c r="SC104" s="120"/>
      <c r="SD104" s="120"/>
      <c r="SE104" s="440"/>
      <c r="TA104" s="436"/>
      <c r="TB104" s="120"/>
      <c r="TC104" s="120"/>
      <c r="TD104" s="120"/>
      <c r="TE104" s="440"/>
      <c r="UA104" s="436"/>
      <c r="UB104" s="120"/>
      <c r="UC104" s="120"/>
      <c r="UD104" s="120"/>
      <c r="UE104" s="440"/>
      <c r="VA104" s="436"/>
      <c r="VB104" s="120"/>
      <c r="VC104" s="120"/>
      <c r="VD104" s="120"/>
      <c r="VE104" s="440"/>
      <c r="WA104" s="436"/>
      <c r="WB104" s="120"/>
      <c r="WC104" s="120"/>
      <c r="WD104" s="120"/>
      <c r="WE104" s="440"/>
      <c r="XA104" s="436"/>
      <c r="XB104" s="120"/>
      <c r="XC104" s="120"/>
      <c r="XD104" s="120"/>
      <c r="XE104" s="440"/>
      <c r="YA104" s="436"/>
      <c r="YB104" s="120"/>
      <c r="YC104" s="120"/>
      <c r="YD104" s="120"/>
      <c r="YE104" s="440"/>
      <c r="ZA104" s="436"/>
      <c r="ZB104" s="120"/>
      <c r="ZC104" s="120"/>
      <c r="ZD104" s="120"/>
      <c r="ZE104" s="440"/>
      <c r="AAA104" s="436"/>
      <c r="AAB104" s="120"/>
      <c r="AAC104" s="120"/>
      <c r="AAD104" s="120"/>
      <c r="AAE104" s="440"/>
      <c r="ABA104" s="436"/>
      <c r="ABB104" s="120"/>
      <c r="ABC104" s="120"/>
      <c r="ABD104" s="120"/>
      <c r="ABE104" s="440"/>
      <c r="ACA104" s="436"/>
      <c r="ACB104" s="120"/>
      <c r="ACC104" s="120"/>
      <c r="ACD104" s="120"/>
      <c r="ACE104" s="440"/>
      <c r="ADA104" s="436"/>
      <c r="ADB104" s="120"/>
      <c r="ADC104" s="120"/>
      <c r="ADD104" s="120"/>
      <c r="ADE104" s="440"/>
      <c r="AEA104" s="436"/>
      <c r="AEB104" s="120"/>
      <c r="AEC104" s="120"/>
      <c r="AED104" s="120"/>
      <c r="AEE104" s="440"/>
      <c r="AFA104" s="436"/>
      <c r="AFB104" s="120"/>
      <c r="AFC104" s="120"/>
      <c r="AFD104" s="120"/>
      <c r="AFE104" s="440"/>
      <c r="AGA104" s="436"/>
      <c r="AGB104" s="120"/>
      <c r="AGC104" s="120"/>
      <c r="AGD104" s="120"/>
      <c r="AGE104" s="440"/>
      <c r="AHA104" s="436"/>
      <c r="AHB104" s="120"/>
      <c r="AHC104" s="120"/>
      <c r="AHD104" s="120"/>
      <c r="AHE104" s="440"/>
      <c r="AIA104" s="436"/>
      <c r="AIB104" s="120"/>
      <c r="AIC104" s="120"/>
      <c r="AID104" s="120"/>
      <c r="AIE104" s="440"/>
      <c r="AJA104" s="436"/>
      <c r="AJB104" s="120"/>
      <c r="AJC104" s="120"/>
      <c r="AJD104" s="120"/>
      <c r="AJE104" s="440"/>
      <c r="AKA104" s="436"/>
      <c r="AKB104" s="120"/>
      <c r="AKC104" s="120"/>
      <c r="AKD104" s="120"/>
      <c r="AKE104" s="440"/>
      <c r="ALA104" s="436"/>
      <c r="ALB104" s="120"/>
      <c r="ALC104" s="120"/>
      <c r="ALD104" s="120"/>
      <c r="ALE104" s="440"/>
      <c r="AMA104" s="436"/>
      <c r="AMB104" s="120"/>
      <c r="AMC104" s="120"/>
      <c r="AMD104" s="120"/>
      <c r="AME104" s="440"/>
      <c r="ANA104" s="436"/>
      <c r="ANB104" s="120"/>
      <c r="ANC104" s="120"/>
      <c r="AND104" s="120"/>
      <c r="ANE104" s="440"/>
      <c r="AOA104" s="436"/>
      <c r="AOB104" s="120"/>
      <c r="AOC104" s="120"/>
      <c r="AOD104" s="120"/>
      <c r="AOE104" s="440"/>
      <c r="APA104" s="436"/>
      <c r="APB104" s="120"/>
      <c r="APC104" s="120"/>
      <c r="APD104" s="120"/>
      <c r="APE104" s="440"/>
      <c r="AQA104" s="436"/>
      <c r="AQB104" s="120"/>
      <c r="AQC104" s="120"/>
      <c r="AQD104" s="120"/>
      <c r="AQE104" s="440"/>
      <c r="ARA104" s="436"/>
      <c r="ARB104" s="120"/>
      <c r="ARC104" s="120"/>
      <c r="ARD104" s="120"/>
      <c r="ARE104" s="440"/>
      <c r="ASA104" s="436"/>
      <c r="ASB104" s="120"/>
      <c r="ASC104" s="120"/>
      <c r="ASD104" s="120"/>
      <c r="ASE104" s="440"/>
      <c r="ATA104" s="436"/>
      <c r="ATB104" s="120"/>
      <c r="ATC104" s="120"/>
      <c r="ATD104" s="120"/>
      <c r="ATE104" s="440"/>
      <c r="AUA104" s="436"/>
      <c r="AUB104" s="120"/>
      <c r="AUC104" s="120"/>
      <c r="AUD104" s="120"/>
      <c r="AUE104" s="440"/>
      <c r="AVA104" s="436"/>
      <c r="AVB104" s="120"/>
      <c r="AVC104" s="120"/>
      <c r="AVD104" s="120"/>
      <c r="AVE104" s="440"/>
      <c r="AWA104" s="436"/>
      <c r="AWB104" s="120"/>
      <c r="AWC104" s="120"/>
      <c r="AWD104" s="120"/>
      <c r="AWE104" s="440"/>
      <c r="AXA104" s="436"/>
      <c r="AXB104" s="120"/>
      <c r="AXC104" s="120"/>
      <c r="AXD104" s="120"/>
      <c r="AXE104" s="440"/>
      <c r="AYA104" s="436"/>
      <c r="AYB104" s="120"/>
      <c r="AYC104" s="120"/>
      <c r="AYD104" s="120"/>
      <c r="AYE104" s="440"/>
      <c r="AZA104" s="436"/>
      <c r="AZB104" s="120"/>
      <c r="AZC104" s="120"/>
      <c r="AZD104" s="120"/>
      <c r="AZE104" s="440"/>
      <c r="BAA104" s="436"/>
      <c r="BAB104" s="120"/>
      <c r="BAC104" s="120"/>
      <c r="BAD104" s="120"/>
      <c r="BAE104" s="440"/>
      <c r="BBA104" s="436"/>
      <c r="BBB104" s="120"/>
      <c r="BBC104" s="120"/>
      <c r="BBD104" s="120"/>
      <c r="BBE104" s="440"/>
      <c r="BCA104" s="436"/>
      <c r="BCB104" s="120"/>
      <c r="BCC104" s="120"/>
      <c r="BCD104" s="120"/>
      <c r="BCE104" s="440"/>
      <c r="BDA104" s="436"/>
      <c r="BDB104" s="120"/>
      <c r="BDC104" s="120"/>
      <c r="BDD104" s="120"/>
      <c r="BDE104" s="440"/>
      <c r="BEA104" s="436"/>
      <c r="BEB104" s="120"/>
      <c r="BEC104" s="120"/>
      <c r="BED104" s="120"/>
      <c r="BEE104" s="440"/>
      <c r="BFA104" s="436"/>
      <c r="BFB104" s="120"/>
      <c r="BFC104" s="120"/>
      <c r="BFD104" s="120"/>
      <c r="BFE104" s="440"/>
      <c r="BGA104" s="436"/>
      <c r="BGB104" s="120"/>
      <c r="BGC104" s="120"/>
      <c r="BGD104" s="120"/>
      <c r="BGE104" s="440"/>
      <c r="BHA104" s="436"/>
      <c r="BHB104" s="120"/>
      <c r="BHC104" s="120"/>
      <c r="BHD104" s="120"/>
      <c r="BHE104" s="440"/>
      <c r="BIA104" s="436"/>
      <c r="BIB104" s="120"/>
      <c r="BIC104" s="120"/>
      <c r="BID104" s="120"/>
      <c r="BIE104" s="440"/>
      <c r="BJA104" s="436"/>
      <c r="BJB104" s="120"/>
      <c r="BJC104" s="120"/>
      <c r="BJD104" s="120"/>
      <c r="BJE104" s="440"/>
      <c r="BKA104" s="436"/>
      <c r="BKB104" s="120"/>
      <c r="BKC104" s="120"/>
      <c r="BKD104" s="120"/>
      <c r="BKE104" s="440"/>
      <c r="BLA104" s="436"/>
      <c r="BLB104" s="120"/>
      <c r="BLC104" s="120"/>
      <c r="BLD104" s="120"/>
      <c r="BLE104" s="440"/>
      <c r="BMA104" s="436"/>
      <c r="BMB104" s="120"/>
      <c r="BMC104" s="120"/>
      <c r="BMD104" s="120"/>
      <c r="BME104" s="440"/>
      <c r="BNA104" s="436"/>
      <c r="BNB104" s="120"/>
      <c r="BNC104" s="120"/>
      <c r="BND104" s="120"/>
      <c r="BNE104" s="440"/>
      <c r="BOA104" s="436"/>
      <c r="BOB104" s="120"/>
      <c r="BOC104" s="120"/>
      <c r="BOD104" s="120"/>
      <c r="BOE104" s="440"/>
      <c r="BPA104" s="436"/>
      <c r="BPB104" s="120"/>
      <c r="BPC104" s="120"/>
      <c r="BPD104" s="120"/>
      <c r="BPE104" s="440"/>
      <c r="BQA104" s="436"/>
      <c r="BQB104" s="120"/>
      <c r="BQC104" s="120"/>
      <c r="BQD104" s="120"/>
      <c r="BQE104" s="440"/>
      <c r="BRA104" s="436"/>
      <c r="BRB104" s="120"/>
      <c r="BRC104" s="120"/>
      <c r="BRD104" s="120"/>
      <c r="BRE104" s="440"/>
    </row>
    <row r="105" spans="27:1019 1041:1825">
      <c r="AA105" s="436"/>
      <c r="AB105" s="120"/>
      <c r="AC105" s="120"/>
      <c r="AD105" s="120"/>
      <c r="AE105" s="440"/>
      <c r="BA105" s="436"/>
      <c r="BB105" s="120"/>
      <c r="BC105" s="120"/>
      <c r="BD105" s="120"/>
      <c r="BE105" s="440"/>
      <c r="CA105" s="436"/>
      <c r="CB105" s="120"/>
      <c r="CC105" s="120"/>
      <c r="CD105" s="120"/>
      <c r="CE105" s="440"/>
      <c r="DA105" s="436"/>
      <c r="DB105" s="120"/>
      <c r="DC105" s="120"/>
      <c r="DD105" s="120"/>
      <c r="DE105" s="440"/>
      <c r="EA105" s="436"/>
      <c r="EB105" s="120"/>
      <c r="EC105" s="120"/>
      <c r="ED105" s="120"/>
      <c r="EE105" s="440"/>
      <c r="FA105" s="436"/>
      <c r="FB105" s="120"/>
      <c r="FC105" s="120"/>
      <c r="FD105" s="120"/>
      <c r="FE105" s="440"/>
      <c r="GA105" s="436"/>
      <c r="GB105" s="120"/>
      <c r="GC105" s="120"/>
      <c r="GD105" s="120"/>
      <c r="GE105" s="440"/>
      <c r="HA105" s="436"/>
      <c r="HB105" s="120"/>
      <c r="HC105" s="120"/>
      <c r="HD105" s="120"/>
      <c r="HE105" s="440"/>
      <c r="IA105" s="436"/>
      <c r="IB105" s="120"/>
      <c r="IC105" s="120"/>
      <c r="ID105" s="120"/>
      <c r="IE105" s="440"/>
      <c r="JA105" s="436"/>
      <c r="JB105" s="120"/>
      <c r="JC105" s="120"/>
      <c r="JD105" s="120"/>
      <c r="JE105" s="440"/>
      <c r="KA105" s="436"/>
      <c r="KB105" s="120"/>
      <c r="KC105" s="120"/>
      <c r="KD105" s="120"/>
      <c r="KE105" s="440"/>
      <c r="LA105" s="436"/>
      <c r="LB105" s="120"/>
      <c r="LC105" s="120"/>
      <c r="LD105" s="120"/>
      <c r="LE105" s="440"/>
      <c r="MA105" s="436"/>
      <c r="MB105" s="120"/>
      <c r="MC105" s="120"/>
      <c r="MD105" s="120"/>
      <c r="ME105" s="440"/>
      <c r="NA105" s="436"/>
      <c r="NB105" s="120"/>
      <c r="NC105" s="120"/>
      <c r="ND105" s="120"/>
      <c r="NE105" s="440"/>
      <c r="OA105" s="436"/>
      <c r="OB105" s="120"/>
      <c r="OC105" s="120"/>
      <c r="OD105" s="120"/>
      <c r="OE105" s="440"/>
      <c r="PA105" s="436"/>
      <c r="PB105" s="120"/>
      <c r="PC105" s="120"/>
      <c r="PD105" s="120"/>
      <c r="PE105" s="440"/>
      <c r="QA105" s="436"/>
      <c r="QB105" s="120"/>
      <c r="QC105" s="120"/>
      <c r="QD105" s="120"/>
      <c r="QE105" s="440"/>
      <c r="RA105" s="436"/>
      <c r="RB105" s="120"/>
      <c r="RC105" s="120"/>
      <c r="RD105" s="120"/>
      <c r="RE105" s="440"/>
      <c r="SA105" s="436"/>
      <c r="SB105" s="120"/>
      <c r="SC105" s="120"/>
      <c r="SD105" s="120"/>
      <c r="SE105" s="440"/>
      <c r="TA105" s="436"/>
      <c r="TB105" s="120"/>
      <c r="TC105" s="120"/>
      <c r="TD105" s="120"/>
      <c r="TE105" s="440"/>
      <c r="UA105" s="436"/>
      <c r="UB105" s="120"/>
      <c r="UC105" s="120"/>
      <c r="UD105" s="120"/>
      <c r="UE105" s="440"/>
      <c r="VA105" s="436"/>
      <c r="VB105" s="120"/>
      <c r="VC105" s="120"/>
      <c r="VD105" s="120"/>
      <c r="VE105" s="440"/>
      <c r="WA105" s="436"/>
      <c r="WB105" s="120"/>
      <c r="WC105" s="120"/>
      <c r="WD105" s="120"/>
      <c r="WE105" s="440"/>
      <c r="XA105" s="436"/>
      <c r="XB105" s="120"/>
      <c r="XC105" s="120"/>
      <c r="XD105" s="120"/>
      <c r="XE105" s="440"/>
      <c r="YA105" s="436"/>
      <c r="YB105" s="120"/>
      <c r="YC105" s="120"/>
      <c r="YD105" s="120"/>
      <c r="YE105" s="440"/>
      <c r="ZA105" s="436"/>
      <c r="ZB105" s="120"/>
      <c r="ZC105" s="120"/>
      <c r="ZD105" s="120"/>
      <c r="ZE105" s="440"/>
      <c r="AAA105" s="436"/>
      <c r="AAB105" s="120"/>
      <c r="AAC105" s="120"/>
      <c r="AAD105" s="120"/>
      <c r="AAE105" s="440"/>
      <c r="ABA105" s="436"/>
      <c r="ABB105" s="120"/>
      <c r="ABC105" s="120"/>
      <c r="ABD105" s="120"/>
      <c r="ABE105" s="440"/>
      <c r="ACA105" s="436"/>
      <c r="ACB105" s="120"/>
      <c r="ACC105" s="120"/>
      <c r="ACD105" s="120"/>
      <c r="ACE105" s="440"/>
      <c r="ADA105" s="436"/>
      <c r="ADB105" s="120"/>
      <c r="ADC105" s="120"/>
      <c r="ADD105" s="120"/>
      <c r="ADE105" s="440"/>
      <c r="AEA105" s="436"/>
      <c r="AEB105" s="120"/>
      <c r="AEC105" s="120"/>
      <c r="AED105" s="120"/>
      <c r="AEE105" s="440"/>
      <c r="AFA105" s="436"/>
      <c r="AFB105" s="120"/>
      <c r="AFC105" s="120"/>
      <c r="AFD105" s="120"/>
      <c r="AFE105" s="440"/>
      <c r="AGA105" s="436"/>
      <c r="AGB105" s="120"/>
      <c r="AGC105" s="120"/>
      <c r="AGD105" s="120"/>
      <c r="AGE105" s="440"/>
      <c r="AHA105" s="436"/>
      <c r="AHB105" s="120"/>
      <c r="AHC105" s="120"/>
      <c r="AHD105" s="120"/>
      <c r="AHE105" s="440"/>
      <c r="AIA105" s="436"/>
      <c r="AIB105" s="120"/>
      <c r="AIC105" s="120"/>
      <c r="AID105" s="120"/>
      <c r="AIE105" s="440"/>
      <c r="AJA105" s="436"/>
      <c r="AJB105" s="120"/>
      <c r="AJC105" s="120"/>
      <c r="AJD105" s="120"/>
      <c r="AJE105" s="440"/>
      <c r="AKA105" s="436"/>
      <c r="AKB105" s="120"/>
      <c r="AKC105" s="120"/>
      <c r="AKD105" s="120"/>
      <c r="AKE105" s="440"/>
      <c r="ALA105" s="436"/>
      <c r="ALB105" s="120"/>
      <c r="ALC105" s="120"/>
      <c r="ALD105" s="120"/>
      <c r="ALE105" s="440"/>
      <c r="AMA105" s="436"/>
      <c r="AMB105" s="120"/>
      <c r="AMC105" s="120"/>
      <c r="AMD105" s="120"/>
      <c r="AME105" s="440"/>
      <c r="ANA105" s="436"/>
      <c r="ANB105" s="120"/>
      <c r="ANC105" s="120"/>
      <c r="AND105" s="120"/>
      <c r="ANE105" s="440"/>
      <c r="AOA105" s="436"/>
      <c r="AOB105" s="120"/>
      <c r="AOC105" s="120"/>
      <c r="AOD105" s="120"/>
      <c r="AOE105" s="440"/>
      <c r="APA105" s="436"/>
      <c r="APB105" s="120"/>
      <c r="APC105" s="120"/>
      <c r="APD105" s="120"/>
      <c r="APE105" s="440"/>
      <c r="AQA105" s="436"/>
      <c r="AQB105" s="120"/>
      <c r="AQC105" s="120"/>
      <c r="AQD105" s="120"/>
      <c r="AQE105" s="440"/>
      <c r="ARA105" s="436"/>
      <c r="ARB105" s="120"/>
      <c r="ARC105" s="120"/>
      <c r="ARD105" s="120"/>
      <c r="ARE105" s="440"/>
      <c r="ASA105" s="436"/>
      <c r="ASB105" s="120"/>
      <c r="ASC105" s="120"/>
      <c r="ASD105" s="120"/>
      <c r="ASE105" s="440"/>
      <c r="ATA105" s="436"/>
      <c r="ATB105" s="120"/>
      <c r="ATC105" s="120"/>
      <c r="ATD105" s="120"/>
      <c r="ATE105" s="440"/>
      <c r="AUA105" s="436"/>
      <c r="AUB105" s="120"/>
      <c r="AUC105" s="120"/>
      <c r="AUD105" s="120"/>
      <c r="AUE105" s="440"/>
      <c r="AVA105" s="436"/>
      <c r="AVB105" s="120"/>
      <c r="AVC105" s="120"/>
      <c r="AVD105" s="120"/>
      <c r="AVE105" s="440"/>
      <c r="AWA105" s="436"/>
      <c r="AWB105" s="120"/>
      <c r="AWC105" s="120"/>
      <c r="AWD105" s="120"/>
      <c r="AWE105" s="440"/>
      <c r="AXA105" s="436"/>
      <c r="AXB105" s="120"/>
      <c r="AXC105" s="120"/>
      <c r="AXD105" s="120"/>
      <c r="AXE105" s="440"/>
      <c r="AYA105" s="436"/>
      <c r="AYB105" s="120"/>
      <c r="AYC105" s="120"/>
      <c r="AYD105" s="120"/>
      <c r="AYE105" s="440"/>
      <c r="AZA105" s="436"/>
      <c r="AZB105" s="120"/>
      <c r="AZC105" s="120"/>
      <c r="AZD105" s="120"/>
      <c r="AZE105" s="440"/>
      <c r="BAA105" s="436"/>
      <c r="BAB105" s="120"/>
      <c r="BAC105" s="120"/>
      <c r="BAD105" s="120"/>
      <c r="BAE105" s="440"/>
      <c r="BBA105" s="436"/>
      <c r="BBB105" s="120"/>
      <c r="BBC105" s="120"/>
      <c r="BBD105" s="120"/>
      <c r="BBE105" s="440"/>
      <c r="BCA105" s="436"/>
      <c r="BCB105" s="120"/>
      <c r="BCC105" s="120"/>
      <c r="BCD105" s="120"/>
      <c r="BCE105" s="440"/>
      <c r="BDA105" s="436"/>
      <c r="BDB105" s="120"/>
      <c r="BDC105" s="120"/>
      <c r="BDD105" s="120"/>
      <c r="BDE105" s="440"/>
      <c r="BEA105" s="436"/>
      <c r="BEB105" s="120"/>
      <c r="BEC105" s="120"/>
      <c r="BED105" s="120"/>
      <c r="BEE105" s="440"/>
      <c r="BFA105" s="436"/>
      <c r="BFB105" s="120"/>
      <c r="BFC105" s="120"/>
      <c r="BFD105" s="120"/>
      <c r="BFE105" s="440"/>
      <c r="BGA105" s="436"/>
      <c r="BGB105" s="120"/>
      <c r="BGC105" s="120"/>
      <c r="BGD105" s="120"/>
      <c r="BGE105" s="440"/>
      <c r="BHA105" s="436"/>
      <c r="BHB105" s="120"/>
      <c r="BHC105" s="120"/>
      <c r="BHD105" s="120"/>
      <c r="BHE105" s="440"/>
      <c r="BIA105" s="436"/>
      <c r="BIB105" s="120"/>
      <c r="BIC105" s="120"/>
      <c r="BID105" s="120"/>
      <c r="BIE105" s="440"/>
      <c r="BJA105" s="436"/>
      <c r="BJB105" s="120"/>
      <c r="BJC105" s="120"/>
      <c r="BJD105" s="120"/>
      <c r="BJE105" s="440"/>
      <c r="BKA105" s="436"/>
      <c r="BKB105" s="120"/>
      <c r="BKC105" s="120"/>
      <c r="BKD105" s="120"/>
      <c r="BKE105" s="440"/>
      <c r="BLA105" s="436"/>
      <c r="BLB105" s="120"/>
      <c r="BLC105" s="120"/>
      <c r="BLD105" s="120"/>
      <c r="BLE105" s="440"/>
      <c r="BMA105" s="436"/>
      <c r="BMB105" s="120"/>
      <c r="BMC105" s="120"/>
      <c r="BMD105" s="120"/>
      <c r="BME105" s="440"/>
      <c r="BNA105" s="436"/>
      <c r="BNB105" s="120"/>
      <c r="BNC105" s="120"/>
      <c r="BND105" s="120"/>
      <c r="BNE105" s="440"/>
      <c r="BOA105" s="436"/>
      <c r="BOB105" s="120"/>
      <c r="BOC105" s="120"/>
      <c r="BOD105" s="120"/>
      <c r="BOE105" s="440"/>
      <c r="BPA105" s="436"/>
      <c r="BPB105" s="120"/>
      <c r="BPC105" s="120"/>
      <c r="BPD105" s="120"/>
      <c r="BPE105" s="440"/>
      <c r="BQA105" s="436"/>
      <c r="BQB105" s="120"/>
      <c r="BQC105" s="120"/>
      <c r="BQD105" s="120"/>
      <c r="BQE105" s="440"/>
      <c r="BRA105" s="436"/>
      <c r="BRB105" s="120"/>
      <c r="BRC105" s="120"/>
      <c r="BRD105" s="120"/>
      <c r="BRE105" s="440"/>
    </row>
    <row r="106" spans="27:1019 1041:1825" ht="14.5" thickBot="1">
      <c r="AA106" s="492"/>
      <c r="AB106" s="493"/>
      <c r="AC106" s="493"/>
      <c r="AD106" s="493"/>
      <c r="AE106" s="453"/>
      <c r="BA106" s="492"/>
      <c r="BB106" s="493"/>
      <c r="BC106" s="493"/>
      <c r="BD106" s="493"/>
      <c r="BE106" s="453"/>
      <c r="CA106" s="492"/>
      <c r="CB106" s="493"/>
      <c r="CC106" s="493"/>
      <c r="CD106" s="493"/>
      <c r="CE106" s="453"/>
      <c r="DA106" s="492"/>
      <c r="DB106" s="493"/>
      <c r="DC106" s="493"/>
      <c r="DD106" s="493"/>
      <c r="DE106" s="453"/>
      <c r="EA106" s="492"/>
      <c r="EB106" s="493"/>
      <c r="EC106" s="493"/>
      <c r="ED106" s="493"/>
      <c r="EE106" s="453"/>
      <c r="FA106" s="492"/>
      <c r="FB106" s="493"/>
      <c r="FC106" s="493"/>
      <c r="FD106" s="493"/>
      <c r="FE106" s="453"/>
      <c r="GA106" s="492"/>
      <c r="GB106" s="493"/>
      <c r="GC106" s="493"/>
      <c r="GD106" s="493"/>
      <c r="GE106" s="453"/>
      <c r="HA106" s="492"/>
      <c r="HB106" s="493"/>
      <c r="HC106" s="493"/>
      <c r="HD106" s="493"/>
      <c r="HE106" s="453"/>
      <c r="IA106" s="492"/>
      <c r="IB106" s="493"/>
      <c r="IC106" s="493"/>
      <c r="ID106" s="493"/>
      <c r="IE106" s="453"/>
      <c r="JA106" s="492"/>
      <c r="JB106" s="493"/>
      <c r="JC106" s="493"/>
      <c r="JD106" s="493"/>
      <c r="JE106" s="453"/>
      <c r="KA106" s="492"/>
      <c r="KB106" s="493"/>
      <c r="KC106" s="493"/>
      <c r="KD106" s="493"/>
      <c r="KE106" s="453"/>
      <c r="LA106" s="492"/>
      <c r="LB106" s="493"/>
      <c r="LC106" s="493"/>
      <c r="LD106" s="493"/>
      <c r="LE106" s="453"/>
      <c r="MA106" s="492"/>
      <c r="MB106" s="493"/>
      <c r="MC106" s="493"/>
      <c r="MD106" s="493"/>
      <c r="ME106" s="453"/>
      <c r="NA106" s="492"/>
      <c r="NB106" s="493"/>
      <c r="NC106" s="493"/>
      <c r="ND106" s="493"/>
      <c r="NE106" s="453"/>
      <c r="OA106" s="492"/>
      <c r="OB106" s="493"/>
      <c r="OC106" s="493"/>
      <c r="OD106" s="493"/>
      <c r="OE106" s="453"/>
      <c r="PA106" s="492"/>
      <c r="PB106" s="493"/>
      <c r="PC106" s="493"/>
      <c r="PD106" s="493"/>
      <c r="PE106" s="453"/>
      <c r="QA106" s="492"/>
      <c r="QB106" s="493"/>
      <c r="QC106" s="493"/>
      <c r="QD106" s="493"/>
      <c r="QE106" s="453"/>
      <c r="RA106" s="492"/>
      <c r="RB106" s="493"/>
      <c r="RC106" s="493"/>
      <c r="RD106" s="493"/>
      <c r="RE106" s="453"/>
      <c r="SA106" s="492"/>
      <c r="SB106" s="493"/>
      <c r="SC106" s="493"/>
      <c r="SD106" s="493"/>
      <c r="SE106" s="453"/>
      <c r="TA106" s="492"/>
      <c r="TB106" s="493"/>
      <c r="TC106" s="493"/>
      <c r="TD106" s="493"/>
      <c r="TE106" s="453"/>
      <c r="UA106" s="492"/>
      <c r="UB106" s="493"/>
      <c r="UC106" s="493"/>
      <c r="UD106" s="493"/>
      <c r="UE106" s="453"/>
      <c r="VA106" s="492"/>
      <c r="VB106" s="493"/>
      <c r="VC106" s="493"/>
      <c r="VD106" s="493"/>
      <c r="VE106" s="453"/>
      <c r="WA106" s="492"/>
      <c r="WB106" s="493"/>
      <c r="WC106" s="493"/>
      <c r="WD106" s="493"/>
      <c r="WE106" s="453"/>
      <c r="XA106" s="492"/>
      <c r="XB106" s="493"/>
      <c r="XC106" s="493"/>
      <c r="XD106" s="493"/>
      <c r="XE106" s="453"/>
      <c r="YA106" s="492"/>
      <c r="YB106" s="493"/>
      <c r="YC106" s="493"/>
      <c r="YD106" s="493"/>
      <c r="YE106" s="453"/>
      <c r="ZA106" s="492"/>
      <c r="ZB106" s="493"/>
      <c r="ZC106" s="493"/>
      <c r="ZD106" s="493"/>
      <c r="ZE106" s="453"/>
      <c r="AAA106" s="492"/>
      <c r="AAB106" s="493"/>
      <c r="AAC106" s="493"/>
      <c r="AAD106" s="493"/>
      <c r="AAE106" s="453"/>
      <c r="ABA106" s="492"/>
      <c r="ABB106" s="493"/>
      <c r="ABC106" s="493"/>
      <c r="ABD106" s="493"/>
      <c r="ABE106" s="453"/>
      <c r="ACA106" s="492"/>
      <c r="ACB106" s="493"/>
      <c r="ACC106" s="493"/>
      <c r="ACD106" s="493"/>
      <c r="ACE106" s="453"/>
      <c r="ADA106" s="492"/>
      <c r="ADB106" s="493"/>
      <c r="ADC106" s="493"/>
      <c r="ADD106" s="493"/>
      <c r="ADE106" s="453"/>
      <c r="AEA106" s="492"/>
      <c r="AEB106" s="493"/>
      <c r="AEC106" s="493"/>
      <c r="AED106" s="493"/>
      <c r="AEE106" s="453"/>
      <c r="AFA106" s="492"/>
      <c r="AFB106" s="493"/>
      <c r="AFC106" s="493"/>
      <c r="AFD106" s="493"/>
      <c r="AFE106" s="453"/>
      <c r="AGA106" s="492"/>
      <c r="AGB106" s="493"/>
      <c r="AGC106" s="493"/>
      <c r="AGD106" s="493"/>
      <c r="AGE106" s="453"/>
      <c r="AHA106" s="492"/>
      <c r="AHB106" s="493"/>
      <c r="AHC106" s="493"/>
      <c r="AHD106" s="493"/>
      <c r="AHE106" s="453"/>
      <c r="AIA106" s="492"/>
      <c r="AIB106" s="493"/>
      <c r="AIC106" s="493"/>
      <c r="AID106" s="493"/>
      <c r="AIE106" s="453"/>
      <c r="AJA106" s="492"/>
      <c r="AJB106" s="493"/>
      <c r="AJC106" s="493"/>
      <c r="AJD106" s="493"/>
      <c r="AJE106" s="453"/>
      <c r="AKA106" s="492"/>
      <c r="AKB106" s="493"/>
      <c r="AKC106" s="493"/>
      <c r="AKD106" s="493"/>
      <c r="AKE106" s="453"/>
      <c r="ALA106" s="492"/>
      <c r="ALB106" s="493"/>
      <c r="ALC106" s="493"/>
      <c r="ALD106" s="493"/>
      <c r="ALE106" s="453"/>
      <c r="AMA106" s="492"/>
      <c r="AMB106" s="493"/>
      <c r="AMC106" s="493"/>
      <c r="AMD106" s="493"/>
      <c r="AME106" s="453"/>
      <c r="ANA106" s="492"/>
      <c r="ANB106" s="493"/>
      <c r="ANC106" s="493"/>
      <c r="AND106" s="493"/>
      <c r="ANE106" s="453"/>
      <c r="AOA106" s="492"/>
      <c r="AOB106" s="493"/>
      <c r="AOC106" s="493"/>
      <c r="AOD106" s="493"/>
      <c r="AOE106" s="453"/>
      <c r="APA106" s="492"/>
      <c r="APB106" s="493"/>
      <c r="APC106" s="493"/>
      <c r="APD106" s="493"/>
      <c r="APE106" s="453"/>
      <c r="AQA106" s="492"/>
      <c r="AQB106" s="493"/>
      <c r="AQC106" s="493"/>
      <c r="AQD106" s="493"/>
      <c r="AQE106" s="453"/>
      <c r="ARA106" s="492"/>
      <c r="ARB106" s="493"/>
      <c r="ARC106" s="493"/>
      <c r="ARD106" s="493"/>
      <c r="ARE106" s="453"/>
      <c r="ASA106" s="492"/>
      <c r="ASB106" s="493"/>
      <c r="ASC106" s="493"/>
      <c r="ASD106" s="493"/>
      <c r="ASE106" s="453"/>
      <c r="ATA106" s="492"/>
      <c r="ATB106" s="493"/>
      <c r="ATC106" s="493"/>
      <c r="ATD106" s="493"/>
      <c r="ATE106" s="453"/>
      <c r="AUA106" s="492"/>
      <c r="AUB106" s="493"/>
      <c r="AUC106" s="493"/>
      <c r="AUD106" s="493"/>
      <c r="AUE106" s="453"/>
      <c r="AVA106" s="492"/>
      <c r="AVB106" s="493"/>
      <c r="AVC106" s="493"/>
      <c r="AVD106" s="493"/>
      <c r="AVE106" s="453"/>
      <c r="AWA106" s="492"/>
      <c r="AWB106" s="493"/>
      <c r="AWC106" s="493"/>
      <c r="AWD106" s="493"/>
      <c r="AWE106" s="453"/>
      <c r="AXA106" s="492"/>
      <c r="AXB106" s="493"/>
      <c r="AXC106" s="493"/>
      <c r="AXD106" s="493"/>
      <c r="AXE106" s="453"/>
      <c r="AYA106" s="492"/>
      <c r="AYB106" s="493"/>
      <c r="AYC106" s="493"/>
      <c r="AYD106" s="493"/>
      <c r="AYE106" s="453"/>
      <c r="AZA106" s="492"/>
      <c r="AZB106" s="493"/>
      <c r="AZC106" s="493"/>
      <c r="AZD106" s="493"/>
      <c r="AZE106" s="453"/>
      <c r="BAA106" s="492"/>
      <c r="BAB106" s="493"/>
      <c r="BAC106" s="493"/>
      <c r="BAD106" s="493"/>
      <c r="BAE106" s="453"/>
      <c r="BBA106" s="492"/>
      <c r="BBB106" s="493"/>
      <c r="BBC106" s="493"/>
      <c r="BBD106" s="493"/>
      <c r="BBE106" s="453"/>
      <c r="BCA106" s="492"/>
      <c r="BCB106" s="493"/>
      <c r="BCC106" s="493"/>
      <c r="BCD106" s="493"/>
      <c r="BCE106" s="453"/>
      <c r="BDA106" s="492"/>
      <c r="BDB106" s="493"/>
      <c r="BDC106" s="493"/>
      <c r="BDD106" s="493"/>
      <c r="BDE106" s="453"/>
      <c r="BEA106" s="492"/>
      <c r="BEB106" s="493"/>
      <c r="BEC106" s="493"/>
      <c r="BED106" s="493"/>
      <c r="BEE106" s="453"/>
      <c r="BFA106" s="492"/>
      <c r="BFB106" s="493"/>
      <c r="BFC106" s="493"/>
      <c r="BFD106" s="493"/>
      <c r="BFE106" s="453"/>
      <c r="BGA106" s="492"/>
      <c r="BGB106" s="493"/>
      <c r="BGC106" s="493"/>
      <c r="BGD106" s="493"/>
      <c r="BGE106" s="453"/>
      <c r="BHA106" s="492"/>
      <c r="BHB106" s="493"/>
      <c r="BHC106" s="493"/>
      <c r="BHD106" s="493"/>
      <c r="BHE106" s="453"/>
      <c r="BIA106" s="492"/>
      <c r="BIB106" s="493"/>
      <c r="BIC106" s="493"/>
      <c r="BID106" s="493"/>
      <c r="BIE106" s="453"/>
      <c r="BJA106" s="492"/>
      <c r="BJB106" s="493"/>
      <c r="BJC106" s="493"/>
      <c r="BJD106" s="493"/>
      <c r="BJE106" s="453"/>
      <c r="BKA106" s="492"/>
      <c r="BKB106" s="493"/>
      <c r="BKC106" s="493"/>
      <c r="BKD106" s="493"/>
      <c r="BKE106" s="453"/>
      <c r="BLA106" s="492"/>
      <c r="BLB106" s="493"/>
      <c r="BLC106" s="493"/>
      <c r="BLD106" s="493"/>
      <c r="BLE106" s="453"/>
      <c r="BMA106" s="492"/>
      <c r="BMB106" s="493"/>
      <c r="BMC106" s="493"/>
      <c r="BMD106" s="493"/>
      <c r="BME106" s="453"/>
      <c r="BNA106" s="492"/>
      <c r="BNB106" s="493"/>
      <c r="BNC106" s="493"/>
      <c r="BND106" s="493"/>
      <c r="BNE106" s="453"/>
      <c r="BOA106" s="492"/>
      <c r="BOB106" s="493"/>
      <c r="BOC106" s="493"/>
      <c r="BOD106" s="493"/>
      <c r="BOE106" s="453"/>
      <c r="BPA106" s="492"/>
      <c r="BPB106" s="493"/>
      <c r="BPC106" s="493"/>
      <c r="BPD106" s="493"/>
      <c r="BPE106" s="453"/>
      <c r="BQA106" s="492"/>
      <c r="BQB106" s="493"/>
      <c r="BQC106" s="493"/>
      <c r="BQD106" s="493"/>
      <c r="BQE106" s="453"/>
      <c r="BRA106" s="492"/>
      <c r="BRB106" s="493"/>
      <c r="BRC106" s="493"/>
      <c r="BRD106" s="493"/>
      <c r="BRE106" s="453"/>
    </row>
    <row r="107" spans="27:1019 1041:1825">
      <c r="KA107" s="111" t="s">
        <v>1134</v>
      </c>
      <c r="LA107" s="111" t="s">
        <v>1415</v>
      </c>
      <c r="LB107" s="111" t="s">
        <v>1416</v>
      </c>
      <c r="NA107" s="111" t="s">
        <v>1930</v>
      </c>
      <c r="NB107" s="111" t="s">
        <v>1934</v>
      </c>
      <c r="PA107" s="111" t="s">
        <v>1420</v>
      </c>
      <c r="PB107" s="111" t="s">
        <v>1416</v>
      </c>
      <c r="ZB107" s="111" t="s">
        <v>1145</v>
      </c>
      <c r="BAA107" s="111" t="s">
        <v>1444</v>
      </c>
    </row>
    <row r="108" spans="27:1019 1041:1825">
      <c r="IA108" s="111" t="s">
        <v>1102</v>
      </c>
      <c r="KB108" s="111" t="s">
        <v>1135</v>
      </c>
      <c r="KC108" s="1788" t="s">
        <v>1137</v>
      </c>
      <c r="KD108" s="1788"/>
      <c r="KE108" s="111" t="s">
        <v>1138</v>
      </c>
      <c r="LA108" s="111" t="s">
        <v>1417</v>
      </c>
      <c r="LB108" s="111" t="s">
        <v>1409</v>
      </c>
      <c r="LC108" s="111" t="s">
        <v>1418</v>
      </c>
      <c r="MA108" s="111" t="s">
        <v>1149</v>
      </c>
      <c r="NA108" s="111" t="s">
        <v>1421</v>
      </c>
      <c r="NB108" s="111" t="s">
        <v>1409</v>
      </c>
      <c r="NC108" s="111" t="s">
        <v>1933</v>
      </c>
      <c r="OA108" s="111" t="s">
        <v>1157</v>
      </c>
      <c r="OB108" s="111" t="s">
        <v>1158</v>
      </c>
      <c r="PA108" s="111" t="s">
        <v>1421</v>
      </c>
      <c r="PB108" s="111" t="s">
        <v>1409</v>
      </c>
      <c r="PC108" s="111" t="s">
        <v>1418</v>
      </c>
      <c r="SA108" s="111" t="s">
        <v>1163</v>
      </c>
      <c r="VA108" s="111" t="s">
        <v>1160</v>
      </c>
      <c r="ZA108" s="111" t="s">
        <v>1936</v>
      </c>
      <c r="ZB108" s="111" t="s">
        <v>1937</v>
      </c>
      <c r="ZC108" s="111" t="s">
        <v>1935</v>
      </c>
      <c r="AAA108" s="111" t="s">
        <v>1928</v>
      </c>
      <c r="AAB108" s="111" t="s">
        <v>1172</v>
      </c>
      <c r="ACA108" s="111" t="s">
        <v>1168</v>
      </c>
      <c r="ACB108" s="111" t="s">
        <v>1169</v>
      </c>
      <c r="AGA108" s="111" t="s">
        <v>1171</v>
      </c>
      <c r="AIA108" s="111" t="s">
        <v>1176</v>
      </c>
      <c r="AIC108" s="111" t="s">
        <v>1177</v>
      </c>
      <c r="AJA108" s="111" t="s">
        <v>1181</v>
      </c>
      <c r="AJD108" s="111" t="s">
        <v>1182</v>
      </c>
      <c r="AQA108" s="111" t="s">
        <v>1797</v>
      </c>
      <c r="ARA108" s="111" t="s">
        <v>1165</v>
      </c>
      <c r="ARB108" s="111" t="s">
        <v>1167</v>
      </c>
      <c r="ATA108" s="111" t="s">
        <v>1185</v>
      </c>
      <c r="AXA108" s="111" t="s">
        <v>1191</v>
      </c>
      <c r="BAA108" s="111" t="s">
        <v>1445</v>
      </c>
      <c r="BAB108" s="111" t="s">
        <v>1409</v>
      </c>
      <c r="BAC108" s="111" t="s">
        <v>1418</v>
      </c>
      <c r="BCA108" s="111" t="s">
        <v>1194</v>
      </c>
      <c r="BCB108" s="111" t="s">
        <v>1410</v>
      </c>
      <c r="BIA108" s="111" t="s">
        <v>1188</v>
      </c>
      <c r="BLA108" t="s">
        <v>1436</v>
      </c>
      <c r="BLB108" t="s">
        <v>1437</v>
      </c>
      <c r="BLC108" t="s">
        <v>1438</v>
      </c>
      <c r="BLE108" t="s">
        <v>1441</v>
      </c>
    </row>
    <row r="109" spans="27:1019 1041:1825">
      <c r="IA109" s="111" t="s">
        <v>1104</v>
      </c>
      <c r="IB109" s="111" t="s">
        <v>1116</v>
      </c>
      <c r="IC109" s="111" t="s">
        <v>1118</v>
      </c>
      <c r="ID109" s="111" t="s">
        <v>1103</v>
      </c>
      <c r="IE109" s="111" t="s">
        <v>1121</v>
      </c>
      <c r="IF109" s="111" t="s">
        <v>1122</v>
      </c>
      <c r="IG109" s="111" t="s">
        <v>1123</v>
      </c>
      <c r="KA109" s="111" t="s">
        <v>1139</v>
      </c>
      <c r="KB109" s="111">
        <v>140</v>
      </c>
      <c r="KC109" s="111">
        <v>90</v>
      </c>
      <c r="KD109" s="111">
        <v>50</v>
      </c>
      <c r="KE109" s="111">
        <v>50</v>
      </c>
      <c r="LA109" s="111">
        <v>1</v>
      </c>
      <c r="LB109" s="111">
        <f>LA109*3600/1000</f>
        <v>3.6</v>
      </c>
      <c r="LC109" s="111">
        <v>16048</v>
      </c>
      <c r="MA109" s="111" t="s">
        <v>1150</v>
      </c>
      <c r="MB109" s="111" t="s">
        <v>1409</v>
      </c>
      <c r="MC109" s="111" t="s">
        <v>1147</v>
      </c>
      <c r="NA109" s="111">
        <v>1.26</v>
      </c>
      <c r="NB109" s="111">
        <f>NA109*3600/1000</f>
        <v>4.5359999999999996</v>
      </c>
      <c r="NC109" s="111">
        <v>186335</v>
      </c>
      <c r="OB109" s="111" t="s">
        <v>1159</v>
      </c>
      <c r="PA109" s="111">
        <v>1</v>
      </c>
      <c r="PB109" s="111">
        <f t="shared" ref="PB109:PB114" si="0">PA109*3600/1000</f>
        <v>3.6</v>
      </c>
      <c r="PC109" s="111">
        <v>17636</v>
      </c>
      <c r="SA109" s="111" t="s">
        <v>1754</v>
      </c>
      <c r="VA109" s="111" t="s">
        <v>1525</v>
      </c>
      <c r="VB109" s="111">
        <f>1190*2.2046</f>
        <v>2623.4740000000002</v>
      </c>
      <c r="ZA109" s="111">
        <v>30</v>
      </c>
      <c r="ZB109" s="111">
        <f>ZA109*3.78541/ZD$109*1.24/1000</f>
        <v>3.974680500000001E-3</v>
      </c>
      <c r="ZC109" s="111">
        <v>41500</v>
      </c>
      <c r="ZD109" s="111">
        <f>1.24/0.035</f>
        <v>35.428571428571423</v>
      </c>
      <c r="AAA109" s="111">
        <v>150</v>
      </c>
      <c r="AAB109" s="111">
        <v>420600</v>
      </c>
      <c r="ACB109" s="111" t="s">
        <v>1170</v>
      </c>
      <c r="AGA109" s="111" t="s">
        <v>1173</v>
      </c>
      <c r="AGB109" s="111" t="s">
        <v>1409</v>
      </c>
      <c r="AGC109" s="111" t="s">
        <v>1172</v>
      </c>
      <c r="AIA109" s="111" t="s">
        <v>1178</v>
      </c>
      <c r="AIB109" s="111" t="s">
        <v>1409</v>
      </c>
      <c r="AIC109" s="111" t="s">
        <v>1179</v>
      </c>
      <c r="AJA109" s="111" t="s">
        <v>1180</v>
      </c>
      <c r="AJB109" s="111" t="s">
        <v>1409</v>
      </c>
      <c r="AJC109" s="111" t="s">
        <v>1103</v>
      </c>
      <c r="AJD109" s="111" t="s">
        <v>1179</v>
      </c>
      <c r="AQA109" s="111" t="s">
        <v>1150</v>
      </c>
      <c r="AQB109" s="111" t="s">
        <v>1409</v>
      </c>
      <c r="AQC109" s="111" t="s">
        <v>1147</v>
      </c>
      <c r="ARA109" s="111" t="s">
        <v>1166</v>
      </c>
      <c r="ATA109" s="111" t="s">
        <v>1173</v>
      </c>
      <c r="ATB109" s="111" t="s">
        <v>1409</v>
      </c>
      <c r="ATC109" s="111" t="s">
        <v>1172</v>
      </c>
      <c r="AXA109" s="111" t="s">
        <v>1189</v>
      </c>
      <c r="AXB109" s="111" t="s">
        <v>1409</v>
      </c>
      <c r="AXC109" s="111" t="s">
        <v>1172</v>
      </c>
      <c r="BAA109" s="111">
        <v>8.9999999999999993E-3</v>
      </c>
      <c r="BAB109" s="111">
        <f>BAA109*1000*0.1*3600/1000</f>
        <v>3.24</v>
      </c>
      <c r="BAC109" s="111">
        <v>3009</v>
      </c>
      <c r="BIA109" s="111" t="s">
        <v>1189</v>
      </c>
      <c r="BIB109" s="111" t="s">
        <v>1409</v>
      </c>
      <c r="BIC109" s="111" t="s">
        <v>1172</v>
      </c>
      <c r="BLA109"/>
      <c r="BLB109"/>
      <c r="BLC109"/>
      <c r="BLE109" t="s">
        <v>1442</v>
      </c>
    </row>
    <row r="110" spans="27:1019 1041:1825">
      <c r="IA110" s="111" t="s">
        <v>1105</v>
      </c>
      <c r="ID110" s="111">
        <v>10</v>
      </c>
      <c r="KA110" s="111" t="s">
        <v>1136</v>
      </c>
      <c r="KB110" s="111">
        <v>2700</v>
      </c>
      <c r="KC110" s="111">
        <v>1200</v>
      </c>
      <c r="KD110" s="111">
        <v>665</v>
      </c>
      <c r="KE110" s="111">
        <v>335</v>
      </c>
      <c r="LA110" s="111">
        <v>2</v>
      </c>
      <c r="LB110" s="111">
        <f>LA110*3600/1000</f>
        <v>7.2</v>
      </c>
      <c r="LC110" s="111">
        <v>21111</v>
      </c>
      <c r="MA110" s="111">
        <v>10</v>
      </c>
      <c r="MB110" s="111">
        <f>MA110/20</f>
        <v>0.5</v>
      </c>
      <c r="MC110" s="272">
        <v>921300</v>
      </c>
      <c r="NA110" s="111">
        <v>1.5</v>
      </c>
      <c r="NB110" s="111">
        <f>NA110*3600/1000</f>
        <v>5.4</v>
      </c>
      <c r="NC110" s="111">
        <v>194025</v>
      </c>
      <c r="PA110" s="111">
        <v>2</v>
      </c>
      <c r="PB110" s="111">
        <f t="shared" si="0"/>
        <v>7.2</v>
      </c>
      <c r="PC110" s="111">
        <v>21470</v>
      </c>
      <c r="SA110" s="111" t="s">
        <v>1755</v>
      </c>
      <c r="VA110" s="111" t="s">
        <v>1524</v>
      </c>
      <c r="VB110" s="111">
        <f>0.4/(0.3048)^2</f>
        <v>4.3055641666838893</v>
      </c>
      <c r="ZA110" s="111">
        <v>50</v>
      </c>
      <c r="ZB110" s="111">
        <f t="shared" ref="ZB110:ZB115" si="1">ZA110*3.78541/ZD$109*1.24/1000</f>
        <v>6.6244675000000017E-3</v>
      </c>
      <c r="ZC110" s="111">
        <v>53800</v>
      </c>
      <c r="AAA110" s="111">
        <v>200</v>
      </c>
      <c r="AAB110" s="111">
        <v>479900</v>
      </c>
      <c r="AGA110" s="111">
        <v>500</v>
      </c>
      <c r="AGB110" s="111">
        <f t="shared" ref="AGB110:AGB115" si="2">AGA110/1000</f>
        <v>0.5</v>
      </c>
      <c r="AGC110" s="111">
        <v>91000</v>
      </c>
      <c r="AIA110" s="111">
        <v>70000</v>
      </c>
      <c r="AIB110" s="111">
        <f>AIA110*(0.3048)^3/60*1/1000*3600</f>
        <v>118.93075568640002</v>
      </c>
      <c r="AIC110" s="111">
        <v>322100</v>
      </c>
      <c r="AJA110" s="111">
        <v>3.25</v>
      </c>
      <c r="AJB110" s="111">
        <v>0.5</v>
      </c>
      <c r="AJC110" s="111">
        <v>1</v>
      </c>
      <c r="AJD110" s="111">
        <v>19800</v>
      </c>
      <c r="AQA110" s="111">
        <v>1</v>
      </c>
      <c r="AQB110" s="111">
        <f>AQA110/2</f>
        <v>0.5</v>
      </c>
      <c r="AQC110" s="272">
        <v>325400</v>
      </c>
      <c r="ATA110" s="111">
        <v>200</v>
      </c>
      <c r="ATB110" s="111">
        <f>ATA110/1000</f>
        <v>0.2</v>
      </c>
      <c r="ATC110" s="272">
        <v>230400</v>
      </c>
      <c r="AXA110" s="111">
        <v>5</v>
      </c>
      <c r="AXB110" s="111">
        <f t="shared" ref="AXB110:AXB115" si="3">AXA110/20</f>
        <v>0.25</v>
      </c>
      <c r="AXC110" s="111">
        <v>172300</v>
      </c>
      <c r="BCA110" s="111" t="s">
        <v>1196</v>
      </c>
      <c r="BIA110" s="111">
        <v>10</v>
      </c>
      <c r="BIB110" s="111">
        <f>BIA110/20</f>
        <v>0.5</v>
      </c>
      <c r="BIC110" s="111">
        <v>4400800</v>
      </c>
      <c r="BLA110" t="s">
        <v>1439</v>
      </c>
      <c r="BLB110"/>
      <c r="BLC110"/>
    </row>
    <row r="111" spans="27:1019 1041:1825">
      <c r="IA111" s="111" t="s">
        <v>1106</v>
      </c>
      <c r="ID111" s="111">
        <v>15</v>
      </c>
      <c r="KA111" s="111" t="s">
        <v>1411</v>
      </c>
      <c r="KB111" s="119">
        <f>KB110*(0.3048)^3*3</f>
        <v>229.36645739520003</v>
      </c>
      <c r="KC111" s="119">
        <f>KC110*(0.3048)^3*3</f>
        <v>101.94064773120002</v>
      </c>
      <c r="KD111" s="119">
        <f>KD110*(0.3048)^3*3</f>
        <v>56.492108951040009</v>
      </c>
      <c r="KE111" s="119">
        <f>KE110*(0.3048)^3*3</f>
        <v>28.458430824960004</v>
      </c>
      <c r="LA111" s="111">
        <v>5</v>
      </c>
      <c r="LB111" s="111">
        <f>LA111*3600/1000</f>
        <v>18</v>
      </c>
      <c r="LC111" s="111">
        <v>36300</v>
      </c>
      <c r="MA111" s="111">
        <v>25</v>
      </c>
      <c r="MB111" s="111">
        <f t="shared" ref="MB111:MB116" si="4">MA111/20</f>
        <v>1.25</v>
      </c>
      <c r="MC111" s="272">
        <v>1472900</v>
      </c>
      <c r="NA111"/>
      <c r="NB111"/>
      <c r="NC111"/>
      <c r="PA111" s="111">
        <v>5</v>
      </c>
      <c r="PB111" s="111">
        <f t="shared" si="0"/>
        <v>18</v>
      </c>
      <c r="PC111" s="111">
        <v>30709</v>
      </c>
      <c r="SA111" s="111" t="s">
        <v>1164</v>
      </c>
      <c r="ZA111" s="111">
        <v>80</v>
      </c>
      <c r="ZB111" s="111">
        <f t="shared" si="1"/>
        <v>1.0599148000000003E-2</v>
      </c>
      <c r="ZC111" s="111">
        <v>68200</v>
      </c>
      <c r="AAA111" s="111">
        <v>500</v>
      </c>
      <c r="AAB111" s="111">
        <v>855400</v>
      </c>
      <c r="AGA111" s="111">
        <v>1000</v>
      </c>
      <c r="AGB111" s="111">
        <f t="shared" si="2"/>
        <v>1</v>
      </c>
      <c r="AGC111" s="111">
        <v>131400</v>
      </c>
      <c r="AJA111" s="111">
        <v>6</v>
      </c>
      <c r="AJB111" s="111">
        <v>3</v>
      </c>
      <c r="AJC111" s="111">
        <v>3</v>
      </c>
      <c r="AJD111" s="111">
        <v>51100</v>
      </c>
      <c r="AQA111" s="111">
        <v>2</v>
      </c>
      <c r="AQB111" s="111">
        <f t="shared" ref="AQB111:AQB116" si="5">AQA111/2</f>
        <v>1</v>
      </c>
      <c r="AQC111" s="272">
        <v>507000</v>
      </c>
      <c r="ATA111" s="111">
        <v>400</v>
      </c>
      <c r="ATB111" s="111">
        <f t="shared" ref="ATB111:ATB117" si="6">ATA111/1000</f>
        <v>0.4</v>
      </c>
      <c r="ATC111" s="272">
        <v>314300</v>
      </c>
      <c r="AXA111" s="111">
        <v>10</v>
      </c>
      <c r="AXB111" s="111">
        <f t="shared" si="3"/>
        <v>0.5</v>
      </c>
      <c r="AXC111" s="111">
        <v>291900</v>
      </c>
      <c r="BCA111" s="111" t="s">
        <v>1195</v>
      </c>
      <c r="BCB111" s="111" t="s">
        <v>1409</v>
      </c>
      <c r="BCC111" s="111" t="s">
        <v>1197</v>
      </c>
      <c r="BIA111" s="111">
        <v>20</v>
      </c>
      <c r="BIB111" s="111">
        <f t="shared" ref="BIB111:BIB117" si="7">BIA111/20</f>
        <v>1</v>
      </c>
      <c r="BIC111" s="111">
        <v>6138000</v>
      </c>
      <c r="BLA111" t="s">
        <v>1440</v>
      </c>
      <c r="BLB111"/>
      <c r="BLC111"/>
    </row>
    <row r="112" spans="27:1019 1041:1825">
      <c r="IA112" s="111" t="s">
        <v>1107</v>
      </c>
      <c r="IB112" s="111">
        <v>7</v>
      </c>
      <c r="IC112" s="119">
        <f t="shared" ref="IC112:IC120" si="8">IB112/24</f>
        <v>0.29166666666666669</v>
      </c>
      <c r="ID112" s="111">
        <v>15</v>
      </c>
      <c r="IE112" s="1026">
        <f>61*IC112^0.69*1000</f>
        <v>26067.640671030927</v>
      </c>
      <c r="LA112" s="111">
        <v>7</v>
      </c>
      <c r="LB112" s="111">
        <f>LA112*3600/1000</f>
        <v>25.2</v>
      </c>
      <c r="LC112" s="111">
        <v>46427</v>
      </c>
      <c r="MA112" s="111">
        <v>40</v>
      </c>
      <c r="MB112" s="111">
        <f t="shared" si="4"/>
        <v>2</v>
      </c>
      <c r="MC112" s="272">
        <v>1873600</v>
      </c>
      <c r="NA112"/>
      <c r="NB112"/>
      <c r="NC112"/>
      <c r="PA112" s="111">
        <v>10</v>
      </c>
      <c r="PB112" s="111">
        <f t="shared" si="0"/>
        <v>36</v>
      </c>
      <c r="PC112" s="111">
        <v>43351</v>
      </c>
      <c r="VA112" s="111" t="s">
        <v>1161</v>
      </c>
      <c r="ZA112" s="111">
        <v>100</v>
      </c>
      <c r="ZB112" s="111">
        <f t="shared" si="1"/>
        <v>1.3248935000000003E-2</v>
      </c>
      <c r="ZC112" s="111">
        <v>76400</v>
      </c>
      <c r="AAA112" s="111">
        <v>1000</v>
      </c>
      <c r="AAB112" s="111">
        <v>1521700</v>
      </c>
      <c r="AGA112" s="111">
        <v>2000</v>
      </c>
      <c r="AGB112" s="111">
        <f t="shared" si="2"/>
        <v>2</v>
      </c>
      <c r="AGC112" s="111">
        <v>189800</v>
      </c>
      <c r="AJA112" s="111">
        <v>9</v>
      </c>
      <c r="AJB112" s="111">
        <v>5</v>
      </c>
      <c r="AJC112" s="111">
        <v>6</v>
      </c>
      <c r="AJD112" s="111">
        <v>95600</v>
      </c>
      <c r="AQA112" s="111">
        <v>5</v>
      </c>
      <c r="AQB112" s="111">
        <f t="shared" si="5"/>
        <v>2.5</v>
      </c>
      <c r="AQC112" s="272">
        <v>911400</v>
      </c>
      <c r="ATA112" s="111">
        <v>500</v>
      </c>
      <c r="ATB112" s="111">
        <f t="shared" si="6"/>
        <v>0.5</v>
      </c>
      <c r="ATC112" s="272">
        <v>347400</v>
      </c>
      <c r="AXA112" s="111">
        <v>15</v>
      </c>
      <c r="AXB112" s="111">
        <f t="shared" si="3"/>
        <v>0.75</v>
      </c>
      <c r="AXC112" s="111">
        <v>397200</v>
      </c>
      <c r="BAA112" s="111" t="s">
        <v>1446</v>
      </c>
      <c r="BAC112" s="111">
        <v>4900</v>
      </c>
      <c r="BAD112" s="1261">
        <v>2014</v>
      </c>
      <c r="BCA112" s="111">
        <v>3</v>
      </c>
      <c r="BCB112" s="111">
        <f t="shared" ref="BCB112:BCB117" si="9">BCA112/2</f>
        <v>1.5</v>
      </c>
      <c r="BCC112" s="111">
        <v>5800</v>
      </c>
      <c r="BIA112" s="111">
        <v>25</v>
      </c>
      <c r="BIB112" s="111">
        <f t="shared" si="7"/>
        <v>1.25</v>
      </c>
      <c r="BIC112" s="111">
        <v>6831900</v>
      </c>
    </row>
    <row r="113" spans="235:940 1119:1589">
      <c r="IA113" s="111" t="s">
        <v>1108</v>
      </c>
      <c r="IB113" s="111">
        <v>9</v>
      </c>
      <c r="IC113" s="119">
        <f t="shared" si="8"/>
        <v>0.375</v>
      </c>
      <c r="ID113" s="111">
        <v>20</v>
      </c>
      <c r="IE113" s="1026">
        <f t="shared" ref="IE113:IE120" si="10">61*IC113^0.69*1000</f>
        <v>31003.548931540587</v>
      </c>
      <c r="KA113" s="111" t="s">
        <v>1140</v>
      </c>
      <c r="KB113" s="111" t="s">
        <v>1141</v>
      </c>
      <c r="LA113" s="111">
        <v>10</v>
      </c>
      <c r="LB113" s="111">
        <f>LA113*3600/1000</f>
        <v>36</v>
      </c>
      <c r="LC113" s="111">
        <v>61616</v>
      </c>
      <c r="MA113" s="111">
        <v>50</v>
      </c>
      <c r="MB113" s="111">
        <f t="shared" si="4"/>
        <v>2.5</v>
      </c>
      <c r="MC113" s="272">
        <v>2100300</v>
      </c>
      <c r="NA113"/>
      <c r="NB113"/>
      <c r="NC113"/>
      <c r="PA113" s="111">
        <v>50</v>
      </c>
      <c r="PB113" s="111">
        <f t="shared" si="0"/>
        <v>180</v>
      </c>
      <c r="PC113" s="111">
        <v>123445</v>
      </c>
      <c r="VA113" s="111" t="s">
        <v>1162</v>
      </c>
      <c r="ZA113" s="111">
        <v>200</v>
      </c>
      <c r="ZB113" s="111">
        <f t="shared" si="1"/>
        <v>2.6497870000000007E-2</v>
      </c>
      <c r="ZC113" s="111">
        <v>108600</v>
      </c>
      <c r="AAA113" s="111">
        <v>2000</v>
      </c>
      <c r="AAB113" s="111">
        <v>2931400</v>
      </c>
      <c r="AGA113" s="111">
        <v>2800</v>
      </c>
      <c r="AGB113" s="111">
        <f t="shared" si="2"/>
        <v>2.8</v>
      </c>
      <c r="AGC113" s="111">
        <v>226800</v>
      </c>
      <c r="AJA113" s="111">
        <v>12</v>
      </c>
      <c r="AJB113" s="111">
        <v>10</v>
      </c>
      <c r="AJC113" s="111">
        <v>12</v>
      </c>
      <c r="AJD113" s="111">
        <v>149100</v>
      </c>
      <c r="AQA113" s="111">
        <v>10</v>
      </c>
      <c r="AQB113" s="111">
        <f t="shared" si="5"/>
        <v>5</v>
      </c>
      <c r="AQC113" s="272">
        <v>1420300</v>
      </c>
      <c r="ATA113" s="111">
        <v>700</v>
      </c>
      <c r="ATB113" s="111">
        <f t="shared" si="6"/>
        <v>0.7</v>
      </c>
      <c r="ATC113" s="272">
        <v>403900</v>
      </c>
      <c r="AXA113" s="111">
        <v>20</v>
      </c>
      <c r="AXB113" s="111">
        <f t="shared" si="3"/>
        <v>1</v>
      </c>
      <c r="AXC113" s="111">
        <v>494300</v>
      </c>
      <c r="BCA113" s="111">
        <v>5</v>
      </c>
      <c r="BCB113" s="111">
        <f t="shared" si="9"/>
        <v>2.5</v>
      </c>
      <c r="BCC113" s="111">
        <v>6900</v>
      </c>
      <c r="BIA113" s="111">
        <v>30</v>
      </c>
      <c r="BIB113" s="111">
        <f t="shared" si="7"/>
        <v>1.5</v>
      </c>
      <c r="BIC113" s="111">
        <v>7456700</v>
      </c>
    </row>
    <row r="114" spans="235:940 1119:1589">
      <c r="IA114" s="111" t="s">
        <v>1109</v>
      </c>
      <c r="IB114" s="111">
        <v>13</v>
      </c>
      <c r="IC114" s="119">
        <f t="shared" si="8"/>
        <v>0.54166666666666663</v>
      </c>
      <c r="ID114" s="111">
        <v>25</v>
      </c>
      <c r="IE114" s="1026">
        <f t="shared" si="10"/>
        <v>39958.114895555496</v>
      </c>
      <c r="IF114" s="1026">
        <v>92100</v>
      </c>
      <c r="IG114" s="647">
        <f>IF114/576.1*402</f>
        <v>64266.967540357575</v>
      </c>
      <c r="IH114"/>
      <c r="MA114" s="111">
        <v>65</v>
      </c>
      <c r="MB114" s="111">
        <f t="shared" si="4"/>
        <v>3.25</v>
      </c>
      <c r="MC114" s="272">
        <v>2402300</v>
      </c>
      <c r="PA114" s="111">
        <v>100</v>
      </c>
      <c r="PB114" s="111">
        <f t="shared" si="0"/>
        <v>360</v>
      </c>
      <c r="PC114" s="111">
        <v>215377</v>
      </c>
      <c r="ZA114" s="111">
        <v>500</v>
      </c>
      <c r="ZB114" s="111">
        <f t="shared" si="1"/>
        <v>6.6244675000000017E-2</v>
      </c>
      <c r="ZC114" s="111">
        <v>172800</v>
      </c>
      <c r="AGA114" s="111">
        <v>3500</v>
      </c>
      <c r="AGB114" s="111">
        <f t="shared" si="2"/>
        <v>3.5</v>
      </c>
      <c r="AGC114" s="111">
        <v>255300</v>
      </c>
      <c r="AJA114" s="111">
        <v>15</v>
      </c>
      <c r="AJB114" s="111">
        <v>18</v>
      </c>
      <c r="AJC114" s="111">
        <v>25</v>
      </c>
      <c r="AJD114" s="111">
        <v>210500</v>
      </c>
      <c r="AQA114" s="111">
        <v>20</v>
      </c>
      <c r="AQB114" s="111">
        <f t="shared" si="5"/>
        <v>10</v>
      </c>
      <c r="AQC114" s="272">
        <v>2213300</v>
      </c>
      <c r="ATA114" s="111">
        <v>800</v>
      </c>
      <c r="ATB114" s="111">
        <f t="shared" si="6"/>
        <v>0.8</v>
      </c>
      <c r="ATC114" s="272">
        <v>428800</v>
      </c>
      <c r="AXA114" s="111">
        <v>25</v>
      </c>
      <c r="AXB114" s="111">
        <f t="shared" si="3"/>
        <v>1.25</v>
      </c>
      <c r="AXC114" s="111">
        <v>585600</v>
      </c>
      <c r="BAA114" s="111" t="s">
        <v>1448</v>
      </c>
      <c r="BAB114" s="111" t="s">
        <v>1449</v>
      </c>
      <c r="BCA114" s="111">
        <v>7</v>
      </c>
      <c r="BCB114" s="111">
        <f t="shared" si="9"/>
        <v>3.5</v>
      </c>
      <c r="BCC114" s="111">
        <v>8000</v>
      </c>
      <c r="BIA114" s="111">
        <v>35</v>
      </c>
      <c r="BIB114" s="111">
        <f t="shared" si="7"/>
        <v>1.75</v>
      </c>
      <c r="BIC114" s="111">
        <v>8029400</v>
      </c>
    </row>
    <row r="115" spans="235:940 1119:1589">
      <c r="IA115" s="111" t="s">
        <v>1110</v>
      </c>
      <c r="IB115" s="111">
        <v>12</v>
      </c>
      <c r="IC115" s="119">
        <f t="shared" si="8"/>
        <v>0.5</v>
      </c>
      <c r="ID115" s="111">
        <v>20</v>
      </c>
      <c r="IE115" s="1026">
        <f t="shared" si="10"/>
        <v>37811.084848139093</v>
      </c>
      <c r="IG115" s="647"/>
      <c r="IH115"/>
      <c r="KA115" s="111" t="s">
        <v>1142</v>
      </c>
      <c r="KB115" s="111" t="s">
        <v>1144</v>
      </c>
      <c r="LA115" s="111" t="s">
        <v>1419</v>
      </c>
      <c r="MA115" s="111">
        <v>75</v>
      </c>
      <c r="MB115" s="111">
        <f t="shared" si="4"/>
        <v>3.75</v>
      </c>
      <c r="MC115" s="272">
        <v>2584900</v>
      </c>
      <c r="ZA115" s="111">
        <v>900</v>
      </c>
      <c r="ZB115" s="111">
        <f t="shared" si="1"/>
        <v>0.11924041500000002</v>
      </c>
      <c r="ZC115" s="111">
        <v>232800</v>
      </c>
      <c r="AGA115" s="111">
        <v>5000</v>
      </c>
      <c r="AGB115" s="111">
        <f t="shared" si="2"/>
        <v>5</v>
      </c>
      <c r="AGC115" s="111">
        <v>308400</v>
      </c>
      <c r="AJA115" s="111">
        <v>18</v>
      </c>
      <c r="AJB115" s="111">
        <v>30</v>
      </c>
      <c r="AJC115" s="111">
        <v>40</v>
      </c>
      <c r="AJD115" s="111">
        <v>279000</v>
      </c>
      <c r="AQA115" s="111">
        <v>50</v>
      </c>
      <c r="AQB115" s="111">
        <f t="shared" si="5"/>
        <v>25</v>
      </c>
      <c r="AQC115" s="272">
        <v>3978600</v>
      </c>
      <c r="ATA115" s="111">
        <v>1000</v>
      </c>
      <c r="ATB115" s="111">
        <f t="shared" si="6"/>
        <v>1</v>
      </c>
      <c r="ATC115" s="272">
        <v>473900</v>
      </c>
      <c r="AXA115" s="111">
        <v>30</v>
      </c>
      <c r="AXB115" s="111">
        <f t="shared" si="3"/>
        <v>1.5</v>
      </c>
      <c r="AXC115" s="111">
        <v>672700</v>
      </c>
      <c r="BAA115" s="111" t="s">
        <v>1450</v>
      </c>
      <c r="BCA115" s="111">
        <v>10</v>
      </c>
      <c r="BCB115" s="111">
        <f t="shared" si="9"/>
        <v>5</v>
      </c>
      <c r="BCC115" s="111">
        <v>9700</v>
      </c>
      <c r="BIA115" s="111">
        <v>40</v>
      </c>
      <c r="BIB115" s="111">
        <f t="shared" si="7"/>
        <v>2</v>
      </c>
      <c r="BIC115" s="111">
        <v>8560900</v>
      </c>
    </row>
    <row r="116" spans="235:940 1119:1589">
      <c r="IA116" s="111" t="s">
        <v>1111</v>
      </c>
      <c r="IB116" s="111">
        <v>16</v>
      </c>
      <c r="IC116" s="119">
        <f t="shared" si="8"/>
        <v>0.66666666666666663</v>
      </c>
      <c r="ID116" s="111">
        <v>30</v>
      </c>
      <c r="IE116" s="1026">
        <f t="shared" si="10"/>
        <v>46113.370458010089</v>
      </c>
      <c r="IG116" s="647"/>
      <c r="IH116"/>
      <c r="KA116" s="111" t="s">
        <v>1143</v>
      </c>
      <c r="KB116" s="111" t="s">
        <v>1146</v>
      </c>
      <c r="KC116" s="111" t="s">
        <v>1147</v>
      </c>
      <c r="KD116" s="111" t="s">
        <v>1148</v>
      </c>
      <c r="MA116" s="111">
        <v>90</v>
      </c>
      <c r="MB116" s="111">
        <f t="shared" si="4"/>
        <v>4.5</v>
      </c>
      <c r="MC116" s="272">
        <v>2837800</v>
      </c>
      <c r="AGA116" s="111" t="s">
        <v>1174</v>
      </c>
      <c r="AQA116" s="111">
        <v>100</v>
      </c>
      <c r="AQB116" s="111">
        <f t="shared" si="5"/>
        <v>50</v>
      </c>
      <c r="AQC116" s="272">
        <v>6200000</v>
      </c>
      <c r="ATA116" s="111">
        <v>1300</v>
      </c>
      <c r="ATB116" s="111">
        <f t="shared" si="6"/>
        <v>1.3</v>
      </c>
      <c r="ATC116" s="272">
        <v>533000</v>
      </c>
      <c r="BAA116" s="111" t="s">
        <v>1451</v>
      </c>
      <c r="BCA116" s="111">
        <v>20</v>
      </c>
      <c r="BCB116" s="111">
        <f t="shared" si="9"/>
        <v>10</v>
      </c>
      <c r="BCC116" s="111">
        <v>15600</v>
      </c>
      <c r="BIA116" s="111">
        <v>50</v>
      </c>
      <c r="BIB116" s="111">
        <f t="shared" si="7"/>
        <v>2.5</v>
      </c>
      <c r="BIC116" s="111">
        <v>9528800</v>
      </c>
    </row>
    <row r="117" spans="235:940 1119:1589">
      <c r="IA117" s="111" t="s">
        <v>1112</v>
      </c>
      <c r="IB117" s="111">
        <v>26</v>
      </c>
      <c r="IC117" s="119">
        <f t="shared" si="8"/>
        <v>1.0833333333333333</v>
      </c>
      <c r="ID117" s="111">
        <v>50</v>
      </c>
      <c r="IE117" s="1026">
        <f t="shared" si="10"/>
        <v>64463.768189101473</v>
      </c>
      <c r="IF117" s="1026">
        <v>168900</v>
      </c>
      <c r="IG117" s="647">
        <f>IF117/576.1*402</f>
        <v>117857.66360006943</v>
      </c>
      <c r="IH117"/>
      <c r="KA117" s="111">
        <v>25</v>
      </c>
      <c r="KB117" s="272">
        <f t="shared" ref="KB117:KB122" si="11">0.85*1000*KA117^0.78</f>
        <v>10466.756781426047</v>
      </c>
      <c r="KC117" s="272">
        <v>6700</v>
      </c>
      <c r="KD117" s="646">
        <f t="shared" ref="KD117:KD122" si="12">KC117/$J$133*$U$133</f>
        <v>4675.2299947925703</v>
      </c>
      <c r="AGA117" s="111" t="s">
        <v>1175</v>
      </c>
      <c r="AJA117" s="111" t="s">
        <v>1183</v>
      </c>
      <c r="ATA117" s="111">
        <v>1500</v>
      </c>
      <c r="ATB117" s="111">
        <f t="shared" si="6"/>
        <v>1.5</v>
      </c>
      <c r="ATC117" s="272">
        <v>568300</v>
      </c>
      <c r="AXA117" s="111" t="s">
        <v>1192</v>
      </c>
      <c r="BCA117" s="111">
        <v>40</v>
      </c>
      <c r="BCB117" s="111">
        <f t="shared" si="9"/>
        <v>20</v>
      </c>
      <c r="BCC117" s="111">
        <v>28300</v>
      </c>
      <c r="BIA117" s="111">
        <v>100</v>
      </c>
      <c r="BIB117" s="111">
        <f t="shared" si="7"/>
        <v>5</v>
      </c>
      <c r="BIC117" s="111">
        <v>13290200</v>
      </c>
    </row>
    <row r="118" spans="235:940 1119:1589">
      <c r="IA118" s="111" t="s">
        <v>1113</v>
      </c>
      <c r="IB118" s="111">
        <v>22</v>
      </c>
      <c r="IC118" s="119">
        <f t="shared" si="8"/>
        <v>0.91666666666666663</v>
      </c>
      <c r="ID118" s="111">
        <v>40</v>
      </c>
      <c r="IE118" s="1026">
        <f t="shared" si="10"/>
        <v>57445.462189688813</v>
      </c>
      <c r="IG118" s="647"/>
      <c r="IH118"/>
      <c r="KA118" s="111">
        <v>40</v>
      </c>
      <c r="KB118" s="272">
        <f t="shared" si="11"/>
        <v>15101.695838662587</v>
      </c>
      <c r="KC118" s="272">
        <v>8800</v>
      </c>
      <c r="KD118" s="646">
        <f t="shared" si="12"/>
        <v>6140.600590175316</v>
      </c>
      <c r="MA118" s="111" t="s">
        <v>1155</v>
      </c>
      <c r="AJA118" s="111" t="s">
        <v>1184</v>
      </c>
    </row>
    <row r="119" spans="235:940 1119:1589">
      <c r="IA119" s="111" t="s">
        <v>1114</v>
      </c>
      <c r="IB119" s="111">
        <v>33</v>
      </c>
      <c r="IC119" s="119">
        <f t="shared" si="8"/>
        <v>1.375</v>
      </c>
      <c r="ID119" s="111">
        <v>60</v>
      </c>
      <c r="IE119" s="1026">
        <f t="shared" si="10"/>
        <v>75990.394082381114</v>
      </c>
      <c r="IG119" s="647"/>
      <c r="IH119"/>
      <c r="KA119" s="111">
        <v>50</v>
      </c>
      <c r="KB119" s="272">
        <f t="shared" si="11"/>
        <v>17972.791208265753</v>
      </c>
      <c r="KC119" s="272">
        <v>10000</v>
      </c>
      <c r="KD119" s="646">
        <f t="shared" si="12"/>
        <v>6977.9552161083138</v>
      </c>
      <c r="ATA119" s="111" t="s">
        <v>1186</v>
      </c>
      <c r="BCA119" s="111" t="s">
        <v>1198</v>
      </c>
      <c r="BIA119" s="111" t="s">
        <v>1190</v>
      </c>
    </row>
    <row r="120" spans="235:940 1119:1589">
      <c r="IA120" s="111" t="s">
        <v>1115</v>
      </c>
      <c r="IB120" s="111">
        <v>54</v>
      </c>
      <c r="IC120" s="119">
        <f t="shared" si="8"/>
        <v>2.25</v>
      </c>
      <c r="ID120" s="111">
        <v>125</v>
      </c>
      <c r="IE120" s="1026">
        <f t="shared" si="10"/>
        <v>106742.10733063851</v>
      </c>
      <c r="IF120" s="1026">
        <v>270500</v>
      </c>
      <c r="IG120" s="647">
        <f>IF120/576.1*402</f>
        <v>188753.68859572991</v>
      </c>
      <c r="IH120"/>
      <c r="KA120" s="111">
        <v>70</v>
      </c>
      <c r="KB120" s="272">
        <f t="shared" si="11"/>
        <v>23366.593153573365</v>
      </c>
      <c r="KC120" s="272">
        <v>12200</v>
      </c>
      <c r="KD120" s="646">
        <f t="shared" si="12"/>
        <v>8513.1053636521447</v>
      </c>
      <c r="MA120"/>
      <c r="ATA120" s="111" t="s">
        <v>1187</v>
      </c>
      <c r="BCA120" s="111" t="s">
        <v>1187</v>
      </c>
    </row>
    <row r="121" spans="235:940 1119:1589">
      <c r="KA121" s="111">
        <v>80</v>
      </c>
      <c r="KB121" s="272">
        <f t="shared" si="11"/>
        <v>25931.588157343096</v>
      </c>
      <c r="KC121" s="272">
        <v>13200</v>
      </c>
      <c r="KD121" s="646">
        <f t="shared" si="12"/>
        <v>9210.900885262974</v>
      </c>
    </row>
    <row r="122" spans="235:940 1119:1589">
      <c r="IA122" s="111" t="s">
        <v>1117</v>
      </c>
      <c r="IB122" s="111" t="s">
        <v>1124</v>
      </c>
      <c r="KA122" s="1030">
        <v>100</v>
      </c>
      <c r="KB122" s="1031">
        <f t="shared" si="11"/>
        <v>30861.634655458631</v>
      </c>
      <c r="KC122" s="272">
        <v>15000</v>
      </c>
      <c r="KD122" s="646">
        <f t="shared" si="12"/>
        <v>10466.932824162472</v>
      </c>
    </row>
    <row r="123" spans="235:940 1119:1589">
      <c r="IA123" s="111" t="s">
        <v>1119</v>
      </c>
      <c r="IB123" s="111" t="s">
        <v>1120</v>
      </c>
    </row>
    <row r="125" spans="235:940 1119:1589">
      <c r="BCD125" s="111">
        <f>0.3048^2</f>
        <v>9.2903040000000006E-2</v>
      </c>
    </row>
    <row r="131" spans="1:28">
      <c r="B131" s="111" t="s">
        <v>1125</v>
      </c>
    </row>
    <row r="132" spans="1:28">
      <c r="B132" s="1028">
        <v>2022</v>
      </c>
      <c r="C132" s="1028">
        <v>2021</v>
      </c>
      <c r="D132" s="1028">
        <v>2020</v>
      </c>
      <c r="E132" s="1028">
        <v>2019</v>
      </c>
      <c r="F132" s="1028">
        <v>2018</v>
      </c>
      <c r="G132" s="1028">
        <v>2017</v>
      </c>
      <c r="H132" s="1028">
        <v>2016</v>
      </c>
      <c r="I132" s="1028">
        <v>2015</v>
      </c>
      <c r="J132" s="1028">
        <v>2014</v>
      </c>
      <c r="K132" s="1028">
        <v>2013</v>
      </c>
      <c r="L132" s="1028">
        <v>2012</v>
      </c>
      <c r="M132" s="1028">
        <v>2011</v>
      </c>
      <c r="N132" s="1028">
        <v>2010</v>
      </c>
      <c r="O132" s="1028">
        <v>2009</v>
      </c>
      <c r="P132" s="1029">
        <v>2008</v>
      </c>
      <c r="Q132" s="1028">
        <v>2007</v>
      </c>
      <c r="R132" s="1028">
        <v>2006</v>
      </c>
      <c r="S132" s="1028">
        <v>2005</v>
      </c>
      <c r="T132" s="1028">
        <v>2004</v>
      </c>
      <c r="U132" s="1028">
        <v>2003</v>
      </c>
      <c r="V132" s="1028">
        <v>2002</v>
      </c>
      <c r="W132" s="1028">
        <v>2001</v>
      </c>
      <c r="X132"/>
      <c r="Y132"/>
      <c r="Z132"/>
      <c r="AB132" s="411">
        <v>2022</v>
      </c>
    </row>
    <row r="133" spans="1:28">
      <c r="B133" s="1028">
        <v>816</v>
      </c>
      <c r="C133" s="1028">
        <v>708.8</v>
      </c>
      <c r="D133" s="1028">
        <v>596.20000000000005</v>
      </c>
      <c r="E133" s="1028">
        <v>607.5</v>
      </c>
      <c r="F133" s="1028">
        <v>603.1</v>
      </c>
      <c r="G133" s="1028">
        <v>567.5</v>
      </c>
      <c r="H133" s="1028">
        <v>541.70000000000005</v>
      </c>
      <c r="I133" s="1028">
        <v>556.79999999999995</v>
      </c>
      <c r="J133" s="1028">
        <v>576.1</v>
      </c>
      <c r="K133" s="1028">
        <v>567.29999999999995</v>
      </c>
      <c r="L133" s="1028">
        <v>584.6</v>
      </c>
      <c r="M133" s="1028">
        <v>585.70000000000005</v>
      </c>
      <c r="N133" s="1028">
        <v>550.79999999999995</v>
      </c>
      <c r="O133" s="1028">
        <v>521.9</v>
      </c>
      <c r="P133" s="1029">
        <v>575.4</v>
      </c>
      <c r="Q133" s="1028">
        <v>525.4</v>
      </c>
      <c r="R133" s="1028">
        <v>499.6</v>
      </c>
      <c r="S133" s="1028">
        <v>468.2</v>
      </c>
      <c r="T133" s="1028">
        <v>444.2</v>
      </c>
      <c r="U133" s="1028">
        <v>402</v>
      </c>
      <c r="V133" s="1028">
        <v>395.6</v>
      </c>
      <c r="W133" s="1028">
        <v>394.3</v>
      </c>
      <c r="X133"/>
      <c r="Y133"/>
      <c r="Z133"/>
      <c r="AB133" s="411">
        <v>2021</v>
      </c>
    </row>
    <row r="134" spans="1:28">
      <c r="AB134" s="411">
        <v>2020</v>
      </c>
    </row>
    <row r="135" spans="1:28">
      <c r="D135" s="111" t="s">
        <v>1412</v>
      </c>
      <c r="J135" s="111"/>
      <c r="K135" s="110"/>
      <c r="AB135" s="411">
        <v>2019</v>
      </c>
    </row>
    <row r="136" spans="1:28">
      <c r="D136" s="1788" t="s">
        <v>1538</v>
      </c>
      <c r="E136" s="1788"/>
      <c r="F136" s="1788"/>
      <c r="G136" s="1788"/>
      <c r="H136" s="1790" t="s">
        <v>1156</v>
      </c>
      <c r="I136" s="1790"/>
      <c r="J136" s="1790"/>
      <c r="K136" s="111" t="s">
        <v>461</v>
      </c>
      <c r="L136" s="111" t="s">
        <v>1534</v>
      </c>
      <c r="M136" s="1245" t="s">
        <v>388</v>
      </c>
      <c r="S136" s="1032"/>
      <c r="T136" s="111" t="s">
        <v>1154</v>
      </c>
    </row>
    <row r="137" spans="1:28">
      <c r="B137" s="1028"/>
      <c r="C137" s="1038" t="s">
        <v>1222</v>
      </c>
      <c r="D137" s="1789" t="s">
        <v>1126</v>
      </c>
      <c r="E137" s="1789"/>
      <c r="F137" s="1789"/>
      <c r="G137" s="1789"/>
      <c r="H137" s="1791" t="s">
        <v>1130</v>
      </c>
      <c r="I137" s="1792"/>
      <c r="J137" s="1793"/>
      <c r="K137" s="1249" t="s">
        <v>1422</v>
      </c>
      <c r="L137" s="1249" t="s">
        <v>1533</v>
      </c>
      <c r="S137" s="1030"/>
      <c r="T137" s="111" t="s">
        <v>1145</v>
      </c>
    </row>
    <row r="138" spans="1:28">
      <c r="B138" s="1028"/>
      <c r="C138" s="1038"/>
      <c r="D138" s="1028" t="s">
        <v>1127</v>
      </c>
      <c r="E138" s="1028" t="s">
        <v>1128</v>
      </c>
      <c r="F138" s="1028" t="s">
        <v>1129</v>
      </c>
      <c r="G138" s="1033" t="s">
        <v>1151</v>
      </c>
      <c r="H138" s="1028" t="s">
        <v>1131</v>
      </c>
      <c r="I138" s="1028" t="s">
        <v>1132</v>
      </c>
      <c r="J138" s="1028" t="s">
        <v>1133</v>
      </c>
      <c r="K138" s="1249"/>
      <c r="L138" s="1249"/>
      <c r="S138" s="1244"/>
      <c r="T138" s="111" t="s">
        <v>1416</v>
      </c>
    </row>
    <row r="139" spans="1:28">
      <c r="B139" s="1028" t="s">
        <v>389</v>
      </c>
      <c r="C139" s="1038"/>
      <c r="D139" s="1028"/>
      <c r="E139" s="1028"/>
      <c r="F139" s="1028"/>
      <c r="G139" s="1033"/>
      <c r="H139" s="1028"/>
      <c r="I139" s="1028"/>
      <c r="J139" s="1028"/>
      <c r="K139" s="1249"/>
      <c r="L139" s="1249"/>
    </row>
    <row r="140" spans="1:28">
      <c r="A140"/>
      <c r="B140" s="1028" t="str">
        <f>B4</f>
        <v>Air classifier</v>
      </c>
      <c r="C140" s="1038">
        <v>0.3</v>
      </c>
      <c r="D140" s="1028">
        <v>51600</v>
      </c>
      <c r="E140" s="1028">
        <v>1</v>
      </c>
      <c r="F140" s="1028">
        <v>0</v>
      </c>
      <c r="G140" s="1033">
        <f>1/$J$133*HLOOKUP('CM Rec Par.'!$C$7,'Unit Ops'!$B$132:$E$133,2,FALSE)</f>
        <v>1.4164207602846728</v>
      </c>
      <c r="H140" s="1028">
        <f>100*0.7457</f>
        <v>74.570000000000007</v>
      </c>
      <c r="I140" s="1028">
        <v>0</v>
      </c>
      <c r="J140" s="1028">
        <v>0</v>
      </c>
      <c r="K140" s="1249">
        <v>6</v>
      </c>
      <c r="L140" s="1249">
        <v>2</v>
      </c>
      <c r="M140" s="1030" t="s">
        <v>1763</v>
      </c>
      <c r="N140" s="1030"/>
      <c r="O140" s="1030"/>
      <c r="P140" s="1030"/>
      <c r="Q140" s="1030"/>
      <c r="R140" s="1030"/>
      <c r="S140" s="1242" t="s">
        <v>1407</v>
      </c>
    </row>
    <row r="141" spans="1:28">
      <c r="A141"/>
      <c r="B141" s="1028" t="str">
        <f t="shared" ref="B141:B204" si="13">B5</f>
        <v>Aspirator</v>
      </c>
      <c r="C141" s="1038">
        <v>1</v>
      </c>
      <c r="D141" s="1028">
        <v>1</v>
      </c>
      <c r="E141" s="1028">
        <v>0</v>
      </c>
      <c r="F141" s="1028">
        <v>0</v>
      </c>
      <c r="G141" s="1033">
        <v>0</v>
      </c>
      <c r="H141" s="1028">
        <v>0</v>
      </c>
      <c r="I141" s="1028">
        <v>0</v>
      </c>
      <c r="J141" s="1028">
        <v>0</v>
      </c>
      <c r="K141" s="1249"/>
      <c r="L141" s="1249">
        <v>2</v>
      </c>
    </row>
    <row r="142" spans="1:28">
      <c r="A142"/>
      <c r="B142" s="1028" t="str">
        <f t="shared" si="13"/>
        <v>Automated disassembly of battery</v>
      </c>
      <c r="C142" s="1038">
        <v>1</v>
      </c>
      <c r="D142" s="1028">
        <v>1</v>
      </c>
      <c r="E142" s="1028">
        <v>0</v>
      </c>
      <c r="F142" s="1028">
        <v>0</v>
      </c>
      <c r="G142" s="1033">
        <v>0</v>
      </c>
      <c r="H142" s="1028">
        <v>0</v>
      </c>
      <c r="I142" s="1028">
        <v>0</v>
      </c>
      <c r="J142" s="1028">
        <v>0</v>
      </c>
      <c r="K142" s="1249"/>
      <c r="L142" s="1249">
        <v>2</v>
      </c>
    </row>
    <row r="143" spans="1:28">
      <c r="A143"/>
      <c r="B143" s="1028" t="str">
        <f t="shared" si="13"/>
        <v>Automated disassembly of cell</v>
      </c>
      <c r="C143" s="1038">
        <v>1</v>
      </c>
      <c r="D143" s="1028">
        <v>1</v>
      </c>
      <c r="E143" s="1028">
        <v>0</v>
      </c>
      <c r="F143" s="1028">
        <v>0</v>
      </c>
      <c r="G143" s="1033">
        <v>0</v>
      </c>
      <c r="H143" s="1028">
        <v>0</v>
      </c>
      <c r="I143" s="1028">
        <v>0</v>
      </c>
      <c r="J143" s="1028">
        <v>0</v>
      </c>
      <c r="K143" s="1249"/>
      <c r="L143" s="1249">
        <v>2</v>
      </c>
    </row>
    <row r="144" spans="1:28">
      <c r="A144"/>
      <c r="B144" s="1028" t="str">
        <f t="shared" si="13"/>
        <v>Automated disassembly of module</v>
      </c>
      <c r="C144" s="1038">
        <v>1</v>
      </c>
      <c r="D144" s="1028">
        <v>1</v>
      </c>
      <c r="E144" s="1028">
        <v>0</v>
      </c>
      <c r="F144" s="1028">
        <v>0</v>
      </c>
      <c r="G144" s="1033">
        <v>0</v>
      </c>
      <c r="H144" s="1028">
        <v>0</v>
      </c>
      <c r="I144" s="1028">
        <v>0</v>
      </c>
      <c r="J144" s="1028">
        <v>0</v>
      </c>
      <c r="K144" s="1249"/>
      <c r="L144" s="1249">
        <v>2</v>
      </c>
    </row>
    <row r="145" spans="1:19">
      <c r="A145"/>
      <c r="B145" s="1028" t="str">
        <f t="shared" si="13"/>
        <v>Automated sorting of battery</v>
      </c>
      <c r="C145" s="1038">
        <v>1</v>
      </c>
      <c r="D145" s="1028">
        <v>1</v>
      </c>
      <c r="E145" s="1028">
        <v>0</v>
      </c>
      <c r="F145" s="1028">
        <v>0</v>
      </c>
      <c r="G145" s="1033">
        <v>0</v>
      </c>
      <c r="H145" s="1028">
        <v>0</v>
      </c>
      <c r="I145" s="1028">
        <v>0</v>
      </c>
      <c r="J145" s="1028">
        <v>0</v>
      </c>
      <c r="K145" s="1249"/>
      <c r="L145" s="1249">
        <v>2</v>
      </c>
    </row>
    <row r="146" spans="1:19">
      <c r="A146"/>
      <c r="B146" s="1028" t="str">
        <f t="shared" si="13"/>
        <v>Automated sorting of cell</v>
      </c>
      <c r="C146" s="1038">
        <v>1</v>
      </c>
      <c r="D146" s="1028">
        <v>1</v>
      </c>
      <c r="E146" s="1028">
        <v>0</v>
      </c>
      <c r="F146" s="1028">
        <v>0</v>
      </c>
      <c r="G146" s="1033">
        <v>0</v>
      </c>
      <c r="H146" s="1028">
        <v>0</v>
      </c>
      <c r="I146" s="1028">
        <v>0</v>
      </c>
      <c r="J146" s="1028">
        <v>0</v>
      </c>
      <c r="K146" s="1249"/>
      <c r="L146" s="1249">
        <v>2</v>
      </c>
    </row>
    <row r="147" spans="1:19">
      <c r="A147"/>
      <c r="B147" s="1028" t="str">
        <f t="shared" si="13"/>
        <v>Automated sorting of module</v>
      </c>
      <c r="C147" s="1038">
        <v>1</v>
      </c>
      <c r="D147" s="1028">
        <v>1</v>
      </c>
      <c r="E147" s="1028">
        <v>0</v>
      </c>
      <c r="F147" s="1028">
        <v>0</v>
      </c>
      <c r="G147" s="1033">
        <v>0</v>
      </c>
      <c r="H147" s="1028">
        <v>0</v>
      </c>
      <c r="I147" s="1028">
        <v>0</v>
      </c>
      <c r="J147" s="1028">
        <v>0</v>
      </c>
      <c r="K147" s="1249"/>
      <c r="L147" s="1249">
        <v>2</v>
      </c>
    </row>
    <row r="148" spans="1:19">
      <c r="A148"/>
      <c r="B148" s="1028" t="str">
        <f t="shared" si="13"/>
        <v>Ball mill</v>
      </c>
      <c r="C148" s="1243">
        <v>0.4</v>
      </c>
      <c r="D148" s="1035">
        <f>61000*(1/0.9072)^E148</f>
        <v>65240.117769166551</v>
      </c>
      <c r="E148" s="1028">
        <v>0.69</v>
      </c>
      <c r="F148" s="1028">
        <v>0</v>
      </c>
      <c r="G148" s="1033">
        <f>1/$U$133*HLOOKUP('CM Rec Par.'!$C$7,'Unit Ops'!$B$132:$E$133,2,FALSE)</f>
        <v>2.0298507462686568</v>
      </c>
      <c r="H148" s="1262">
        <f>47.058*0.7457^(1/0.9072)^I148</f>
        <v>33.98638438123654</v>
      </c>
      <c r="I148" s="1028">
        <v>1.0061</v>
      </c>
      <c r="J148" s="1028">
        <v>0</v>
      </c>
      <c r="K148" s="1250">
        <v>6</v>
      </c>
      <c r="L148" s="1250">
        <v>2</v>
      </c>
      <c r="M148" s="1032" t="s">
        <v>1102</v>
      </c>
      <c r="N148" s="1032"/>
      <c r="O148" s="1032"/>
      <c r="P148" s="1032"/>
      <c r="Q148" s="1032"/>
      <c r="R148" s="1032"/>
      <c r="S148" s="1242" t="s">
        <v>1406</v>
      </c>
    </row>
    <row r="149" spans="1:19">
      <c r="A149"/>
      <c r="B149" s="1028" t="str">
        <f t="shared" si="13"/>
        <v>Battery/Cell discharger</v>
      </c>
      <c r="C149" s="1038">
        <v>1</v>
      </c>
      <c r="D149" s="1028">
        <v>1</v>
      </c>
      <c r="E149" s="1028">
        <v>0</v>
      </c>
      <c r="F149" s="1028">
        <v>0</v>
      </c>
      <c r="G149" s="1033">
        <v>0</v>
      </c>
      <c r="H149" s="1028">
        <v>0</v>
      </c>
      <c r="I149" s="1028">
        <v>0</v>
      </c>
      <c r="J149" s="1028">
        <v>0</v>
      </c>
      <c r="K149" s="1249"/>
      <c r="L149" s="1249">
        <v>2</v>
      </c>
    </row>
    <row r="150" spans="1:19">
      <c r="A150"/>
      <c r="B150" s="1028" t="str">
        <f t="shared" si="13"/>
        <v>Brine soak</v>
      </c>
      <c r="C150" s="1243">
        <v>1</v>
      </c>
      <c r="D150" s="1028">
        <v>31862</v>
      </c>
      <c r="E150" s="1028">
        <v>0</v>
      </c>
      <c r="F150" s="1028">
        <v>0</v>
      </c>
      <c r="G150" s="1033">
        <f>1/$U$133*HLOOKUP('CM Rec Par.'!$C$7,'Unit Ops'!$B$132:$E$133,2,FALSE)</f>
        <v>2.0298507462686568</v>
      </c>
      <c r="H150" s="1028">
        <f>10*0.7457</f>
        <v>7.4570000000000007</v>
      </c>
      <c r="I150" s="1028">
        <v>0</v>
      </c>
      <c r="J150" s="1028">
        <v>0</v>
      </c>
      <c r="K150" s="1250">
        <v>6</v>
      </c>
      <c r="L150" s="1250">
        <v>2</v>
      </c>
      <c r="M150" s="1032" t="s">
        <v>1152</v>
      </c>
      <c r="N150" s="1032"/>
      <c r="O150" s="1032"/>
      <c r="P150" s="1032"/>
      <c r="Q150" s="1032"/>
      <c r="R150" s="1032"/>
    </row>
    <row r="151" spans="1:19" ht="14.5" thickBot="1">
      <c r="A151"/>
      <c r="B151" s="1028" t="str">
        <f t="shared" si="13"/>
        <v>Briquetter</v>
      </c>
      <c r="C151" s="1038">
        <v>1</v>
      </c>
      <c r="D151" s="1028">
        <v>16048</v>
      </c>
      <c r="E151" s="1028">
        <v>0</v>
      </c>
      <c r="F151" s="1028">
        <v>0</v>
      </c>
      <c r="G151" s="1033">
        <f>1/$V$133*HLOOKUP('CM Rec Par.'!$C$7,'Unit Ops'!$B$132:$E$133,2,FALSE)</f>
        <v>2.0626895854398382</v>
      </c>
      <c r="H151" s="1028">
        <f>100*0.7457</f>
        <v>74.570000000000007</v>
      </c>
      <c r="I151" s="1028">
        <v>0</v>
      </c>
      <c r="J151" s="1028">
        <v>0</v>
      </c>
      <c r="K151" s="1250">
        <v>6</v>
      </c>
      <c r="L151" s="1250">
        <v>2</v>
      </c>
      <c r="M151" s="1246" t="s">
        <v>1415</v>
      </c>
      <c r="N151" s="1244"/>
      <c r="O151" s="1244"/>
      <c r="P151" s="1244"/>
      <c r="Q151" s="1244"/>
      <c r="R151" s="1244"/>
      <c r="S151" s="1242" t="s">
        <v>1414</v>
      </c>
    </row>
    <row r="152" spans="1:19" ht="16.5" thickTop="1" thickBot="1">
      <c r="A152"/>
      <c r="B152" s="1028" t="str">
        <f t="shared" si="13"/>
        <v>Calciner</v>
      </c>
      <c r="C152" s="1039">
        <v>0.4</v>
      </c>
      <c r="D152" s="1028">
        <v>1313832</v>
      </c>
      <c r="E152" s="1028">
        <v>0.51200000000000001</v>
      </c>
      <c r="F152" s="1028">
        <v>0</v>
      </c>
      <c r="G152" s="1033">
        <f>1/$J$133*HLOOKUP('CM Rec Par.'!$C$7,'Unit Ops'!$B$132:$E$133,2,FALSE)</f>
        <v>1.4164207602846728</v>
      </c>
      <c r="H152" s="1264">
        <f>20*1055*1000/3600</f>
        <v>5861.1111111111113</v>
      </c>
      <c r="I152" s="1037">
        <v>0</v>
      </c>
      <c r="J152" s="1037">
        <v>0</v>
      </c>
      <c r="K152" s="1250">
        <v>12</v>
      </c>
      <c r="L152" s="1250">
        <v>2</v>
      </c>
      <c r="M152" s="1030" t="s">
        <v>1153</v>
      </c>
      <c r="N152" s="1030"/>
      <c r="O152" s="1030"/>
      <c r="P152" s="1030"/>
      <c r="Q152" s="1030"/>
      <c r="R152" s="1030"/>
      <c r="S152" s="1242" t="s">
        <v>1407</v>
      </c>
    </row>
    <row r="153" spans="1:19" ht="14.5" thickTop="1">
      <c r="A153"/>
      <c r="B153" s="1028" t="str">
        <f>B17</f>
        <v>Centrifuge</v>
      </c>
      <c r="C153" s="1038">
        <v>1</v>
      </c>
      <c r="D153" s="1028">
        <v>186335</v>
      </c>
      <c r="E153" s="1028">
        <v>0</v>
      </c>
      <c r="F153" s="1028">
        <v>0</v>
      </c>
      <c r="G153" s="1033">
        <f>1/$U$133*HLOOKUP('CM Rec Par.'!$C$7,'Unit Ops'!$B$132:$E$133,2,FALSE)</f>
        <v>2.0298507462686568</v>
      </c>
      <c r="H153" s="1028">
        <v>0</v>
      </c>
      <c r="I153" s="1028">
        <v>0</v>
      </c>
      <c r="J153" s="1028">
        <v>0</v>
      </c>
      <c r="K153" s="1250"/>
      <c r="L153" s="1250">
        <v>2</v>
      </c>
      <c r="M153" s="1032" t="s">
        <v>1931</v>
      </c>
      <c r="N153" s="1032"/>
      <c r="O153" s="1032"/>
      <c r="P153" s="1032"/>
      <c r="Q153" s="1032"/>
      <c r="R153" s="1032"/>
      <c r="S153" s="1242" t="s">
        <v>1406</v>
      </c>
    </row>
    <row r="154" spans="1:19">
      <c r="A154"/>
      <c r="B154" s="1028" t="str">
        <f t="shared" si="13"/>
        <v>Conveyor</v>
      </c>
      <c r="C154" s="1039">
        <v>1</v>
      </c>
      <c r="D154" s="1028">
        <v>20500</v>
      </c>
      <c r="E154" s="1028">
        <v>0</v>
      </c>
      <c r="F154" s="1028">
        <v>0</v>
      </c>
      <c r="G154" s="1033">
        <f>1/$J$133*HLOOKUP('CM Rec Par.'!$C$7,'Unit Ops'!$B$132:$E$133,2,FALSE)</f>
        <v>1.4164207602846728</v>
      </c>
      <c r="H154" s="1262">
        <f>20*0.7457</f>
        <v>14.914000000000001</v>
      </c>
      <c r="I154" s="1028">
        <v>0</v>
      </c>
      <c r="J154" s="1028">
        <v>0</v>
      </c>
      <c r="K154" s="1250">
        <v>2</v>
      </c>
      <c r="L154" s="1250">
        <v>2</v>
      </c>
      <c r="M154" s="1030" t="s">
        <v>1794</v>
      </c>
      <c r="N154" s="1030"/>
      <c r="O154" s="1030"/>
      <c r="P154" s="1030"/>
      <c r="Q154" s="1030"/>
      <c r="R154" s="1030"/>
    </row>
    <row r="155" spans="1:19">
      <c r="A155"/>
      <c r="B155" s="1028" t="str">
        <f t="shared" si="13"/>
        <v>Crusher</v>
      </c>
      <c r="C155" s="1038">
        <v>1</v>
      </c>
      <c r="D155" s="1028">
        <v>7242.4</v>
      </c>
      <c r="E155" s="1028">
        <v>0.54969999999999997</v>
      </c>
      <c r="F155" s="1028">
        <v>0</v>
      </c>
      <c r="G155" s="1033">
        <f>1/$V$133*HLOOKUP('CM Rec Par.'!$C$7,'Unit Ops'!$B$132:$E$133,2,FALSE)</f>
        <v>2.0626895854398382</v>
      </c>
      <c r="H155" s="1028">
        <f>100*0.7457</f>
        <v>74.570000000000007</v>
      </c>
      <c r="I155" s="1028">
        <v>0</v>
      </c>
      <c r="J155" s="1028">
        <v>0</v>
      </c>
      <c r="K155" s="1249">
        <v>6</v>
      </c>
      <c r="L155" s="1249">
        <v>2</v>
      </c>
      <c r="M155" s="1246" t="s">
        <v>1420</v>
      </c>
      <c r="N155" s="1244"/>
      <c r="O155" s="1244"/>
      <c r="P155" s="1244"/>
      <c r="Q155" s="1244"/>
      <c r="R155" s="1244"/>
      <c r="S155" s="1242"/>
    </row>
    <row r="156" spans="1:19">
      <c r="A156"/>
      <c r="B156" s="1028" t="str">
        <f t="shared" si="13"/>
        <v>Cryo shredder</v>
      </c>
      <c r="C156" s="1038">
        <v>1</v>
      </c>
      <c r="D156" s="1028">
        <v>1</v>
      </c>
      <c r="E156" s="1028">
        <v>0</v>
      </c>
      <c r="F156" s="1028">
        <v>0</v>
      </c>
      <c r="G156" s="1033">
        <v>0</v>
      </c>
      <c r="H156" s="1028">
        <v>0</v>
      </c>
      <c r="I156" s="1028">
        <v>0</v>
      </c>
      <c r="J156" s="1028">
        <v>0</v>
      </c>
      <c r="K156" s="1249"/>
      <c r="L156" s="1249">
        <v>2</v>
      </c>
    </row>
    <row r="157" spans="1:19">
      <c r="A157"/>
      <c r="B157" s="1028" t="str">
        <f t="shared" si="13"/>
        <v>Crystallizer</v>
      </c>
      <c r="C157" s="1038">
        <v>1</v>
      </c>
      <c r="D157" s="1028">
        <v>1</v>
      </c>
      <c r="E157" s="1028">
        <v>0</v>
      </c>
      <c r="F157" s="1028">
        <v>0</v>
      </c>
      <c r="G157" s="1033">
        <v>0</v>
      </c>
      <c r="H157" s="1028">
        <v>0</v>
      </c>
      <c r="I157" s="1028">
        <v>0</v>
      </c>
      <c r="J157" s="1028">
        <v>0</v>
      </c>
      <c r="K157" s="1249"/>
      <c r="L157" s="1249">
        <v>2</v>
      </c>
    </row>
    <row r="158" spans="1:19">
      <c r="A158"/>
      <c r="B158" s="1028" t="str">
        <f t="shared" si="13"/>
        <v>Cyclone</v>
      </c>
      <c r="C158" s="1038">
        <v>1</v>
      </c>
      <c r="D158" s="1035">
        <f>2240*(1000/0.5/60)^0.96</f>
        <v>64895.056338904804</v>
      </c>
      <c r="E158" s="1028">
        <v>0.96</v>
      </c>
      <c r="F158" s="1028">
        <v>0</v>
      </c>
      <c r="G158" s="1033">
        <f>1/$U$133*HLOOKUP('CM Rec Par.'!$C$7,'Unit Ops'!$B$132:$E$133,2,FALSE)</f>
        <v>2.0298507462686568</v>
      </c>
      <c r="H158" s="1028">
        <f>100*0.7457</f>
        <v>74.570000000000007</v>
      </c>
      <c r="I158" s="1028">
        <v>0</v>
      </c>
      <c r="J158" s="1028">
        <v>0</v>
      </c>
      <c r="K158" s="1249">
        <v>6</v>
      </c>
      <c r="L158" s="1249">
        <v>2</v>
      </c>
      <c r="M158" s="1032" t="s">
        <v>1163</v>
      </c>
      <c r="N158" s="1032"/>
      <c r="O158" s="1032"/>
      <c r="P158" s="1032"/>
      <c r="Q158" s="1032"/>
      <c r="R158" s="1032"/>
    </row>
    <row r="159" spans="1:19">
      <c r="A159"/>
      <c r="B159" s="1028" t="str">
        <f t="shared" si="13"/>
        <v>Density separator</v>
      </c>
      <c r="C159" s="1243">
        <v>1</v>
      </c>
      <c r="D159" s="1028">
        <v>1</v>
      </c>
      <c r="E159" s="1028">
        <v>0</v>
      </c>
      <c r="F159" s="1028">
        <v>0</v>
      </c>
      <c r="G159" s="1033">
        <v>0</v>
      </c>
      <c r="H159" s="1028">
        <v>0</v>
      </c>
      <c r="I159" s="1028">
        <v>0</v>
      </c>
      <c r="J159" s="1028">
        <v>0</v>
      </c>
      <c r="K159" s="1250"/>
      <c r="L159" s="1250">
        <v>2</v>
      </c>
    </row>
    <row r="160" spans="1:19">
      <c r="A160"/>
      <c r="B160" s="1028" t="str">
        <f t="shared" si="13"/>
        <v>Distillation</v>
      </c>
      <c r="C160" s="1038">
        <v>1</v>
      </c>
      <c r="D160" s="1028">
        <v>1</v>
      </c>
      <c r="E160" s="1028">
        <v>0</v>
      </c>
      <c r="F160" s="1028">
        <v>0</v>
      </c>
      <c r="G160" s="1033">
        <v>0</v>
      </c>
      <c r="H160" s="1028">
        <v>0</v>
      </c>
      <c r="I160" s="1028">
        <v>0</v>
      </c>
      <c r="J160" s="1028">
        <v>0</v>
      </c>
      <c r="K160" s="1249"/>
      <c r="L160" s="1249">
        <v>2</v>
      </c>
    </row>
    <row r="161" spans="1:19">
      <c r="A161"/>
      <c r="B161" s="1028" t="str">
        <f t="shared" si="13"/>
        <v>Dryer</v>
      </c>
      <c r="C161" s="1243">
        <v>0.4</v>
      </c>
      <c r="D161" s="1035">
        <v>591236.11060000001</v>
      </c>
      <c r="E161" s="1028">
        <v>0.6</v>
      </c>
      <c r="F161" s="1028">
        <v>0</v>
      </c>
      <c r="G161" s="1033">
        <f>1/$U$133*HLOOKUP('CM Rec Par.'!$C$7,'Unit Ops'!$B$132:$E$133,2,FALSE)</f>
        <v>2.0298507462686568</v>
      </c>
      <c r="H161" s="1265">
        <f>2623.474*1000/3600</f>
        <v>728.74277777777775</v>
      </c>
      <c r="I161" s="1028">
        <v>1</v>
      </c>
      <c r="J161" s="1028">
        <v>0</v>
      </c>
      <c r="K161" s="1250">
        <v>6</v>
      </c>
      <c r="L161" s="1250">
        <v>1</v>
      </c>
      <c r="M161" s="1032" t="s">
        <v>1160</v>
      </c>
      <c r="N161" s="1032"/>
      <c r="O161" s="1032"/>
      <c r="P161" s="1032"/>
      <c r="Q161" s="1032"/>
      <c r="R161" s="1032"/>
    </row>
    <row r="162" spans="1:19">
      <c r="A162"/>
      <c r="B162" s="1028" t="str">
        <f t="shared" si="13"/>
        <v>Dust collector</v>
      </c>
      <c r="C162" s="1038">
        <v>1</v>
      </c>
      <c r="D162" s="1028">
        <v>1</v>
      </c>
      <c r="E162" s="1028">
        <v>0</v>
      </c>
      <c r="F162" s="1028">
        <v>0</v>
      </c>
      <c r="G162" s="1033">
        <v>0</v>
      </c>
      <c r="H162" s="1028">
        <v>0</v>
      </c>
      <c r="I162" s="1028">
        <v>0</v>
      </c>
      <c r="J162" s="1028">
        <v>0</v>
      </c>
      <c r="K162" s="1249"/>
      <c r="L162" s="1249">
        <v>2</v>
      </c>
    </row>
    <row r="163" spans="1:19">
      <c r="A163"/>
      <c r="B163" s="1028" t="str">
        <f t="shared" si="13"/>
        <v>Eddy current separator</v>
      </c>
      <c r="C163" s="1038">
        <v>0.5</v>
      </c>
      <c r="D163" s="1028">
        <v>160000</v>
      </c>
      <c r="E163" s="1028">
        <v>0</v>
      </c>
      <c r="F163" s="1028">
        <v>0</v>
      </c>
      <c r="G163" s="1033">
        <f>1/$W$133*HLOOKUP('CM Rec Par.'!$C$7,'Unit Ops'!$B$132:$E$133,2,FALSE)</f>
        <v>2.0694902358610192</v>
      </c>
      <c r="H163" s="1028">
        <v>0</v>
      </c>
      <c r="I163" s="1028">
        <v>0</v>
      </c>
      <c r="J163" s="1028">
        <v>0</v>
      </c>
      <c r="K163" s="1249"/>
      <c r="L163" s="1249">
        <v>2</v>
      </c>
      <c r="M163" s="120" t="s">
        <v>1757</v>
      </c>
      <c r="N163" s="120"/>
      <c r="O163" s="120"/>
      <c r="P163" s="120"/>
      <c r="Q163" s="120"/>
      <c r="R163" s="120"/>
      <c r="S163" s="1242" t="s">
        <v>1756</v>
      </c>
    </row>
    <row r="164" spans="1:19">
      <c r="A164"/>
      <c r="B164" s="1028" t="str">
        <f t="shared" si="13"/>
        <v>Electrodeposition</v>
      </c>
      <c r="C164" s="1038">
        <v>1</v>
      </c>
      <c r="D164" s="1028">
        <v>1</v>
      </c>
      <c r="E164" s="1028">
        <v>0</v>
      </c>
      <c r="F164" s="1028">
        <v>0</v>
      </c>
      <c r="G164" s="1033">
        <v>0</v>
      </c>
      <c r="H164" s="1028">
        <v>0</v>
      </c>
      <c r="I164" s="1028">
        <v>0</v>
      </c>
      <c r="J164" s="1028">
        <v>0</v>
      </c>
      <c r="K164" s="1249"/>
      <c r="L164" s="1249">
        <v>2</v>
      </c>
    </row>
    <row r="165" spans="1:19">
      <c r="A165"/>
      <c r="B165" s="1028" t="str">
        <f t="shared" si="13"/>
        <v>Electrowinning cell</v>
      </c>
      <c r="C165" s="1038">
        <v>1</v>
      </c>
      <c r="D165" s="1028">
        <v>684243</v>
      </c>
      <c r="E165" s="1028">
        <v>0.50700000000000001</v>
      </c>
      <c r="F165" s="1028">
        <v>0</v>
      </c>
      <c r="G165" s="1033">
        <f>1/$J$133*HLOOKUP('CM Rec Par.'!$C$7,'Unit Ops'!$B$132:$E$133,2,FALSE)</f>
        <v>1.4164207602846728</v>
      </c>
      <c r="H165" s="1028">
        <v>0</v>
      </c>
      <c r="I165" s="1028">
        <v>0</v>
      </c>
      <c r="J165" s="1028">
        <v>0</v>
      </c>
      <c r="K165" s="1249"/>
      <c r="L165" s="1249">
        <v>2</v>
      </c>
      <c r="M165" s="1030" t="s">
        <v>1938</v>
      </c>
      <c r="N165" s="1030"/>
      <c r="O165" s="1030"/>
      <c r="P165" s="1030"/>
      <c r="Q165" s="1030"/>
      <c r="R165" s="1030"/>
      <c r="S165" s="1242" t="s">
        <v>1407</v>
      </c>
    </row>
    <row r="166" spans="1:19">
      <c r="A166"/>
      <c r="B166" s="1028" t="str">
        <f t="shared" si="13"/>
        <v>Evaporator</v>
      </c>
      <c r="C166" s="1038">
        <v>1</v>
      </c>
      <c r="D166" s="1028">
        <v>500000</v>
      </c>
      <c r="E166" s="1028">
        <v>0</v>
      </c>
      <c r="F166" s="1028">
        <v>0</v>
      </c>
      <c r="G166" s="1033">
        <f>1/$J$133*HLOOKUP('CM Rec Par.'!$C$7,'Unit Ops'!$B$132:$E$133,2,FALSE)</f>
        <v>1.4164207602846728</v>
      </c>
      <c r="H166" s="1028">
        <v>0</v>
      </c>
      <c r="I166" s="1028">
        <v>0</v>
      </c>
      <c r="J166" s="1028">
        <v>0</v>
      </c>
      <c r="K166" s="1249">
        <v>6</v>
      </c>
      <c r="L166" s="1249">
        <v>2</v>
      </c>
      <c r="M166" s="1030" t="s">
        <v>1929</v>
      </c>
      <c r="N166" s="1030"/>
      <c r="O166" s="1030"/>
      <c r="P166" s="1030"/>
      <c r="Q166" s="1030"/>
      <c r="R166" s="1030"/>
      <c r="S166" s="1242" t="s">
        <v>1407</v>
      </c>
    </row>
    <row r="167" spans="1:19">
      <c r="A167"/>
      <c r="B167" s="1028" t="str">
        <f t="shared" si="13"/>
        <v>Feeder</v>
      </c>
      <c r="C167" s="1038">
        <v>1</v>
      </c>
      <c r="D167" s="1028">
        <v>1</v>
      </c>
      <c r="E167" s="1028">
        <v>0</v>
      </c>
      <c r="F167" s="1028">
        <v>0</v>
      </c>
      <c r="G167" s="1033">
        <v>0</v>
      </c>
      <c r="H167" s="1028">
        <v>0</v>
      </c>
      <c r="I167" s="1028">
        <v>0</v>
      </c>
      <c r="J167" s="1028">
        <v>0</v>
      </c>
      <c r="K167" s="1249"/>
      <c r="L167" s="1249">
        <v>2</v>
      </c>
    </row>
    <row r="168" spans="1:19">
      <c r="A168"/>
      <c r="B168" s="1028" t="str">
        <f t="shared" si="13"/>
        <v>Filter press</v>
      </c>
      <c r="C168" s="1039">
        <v>0.5</v>
      </c>
      <c r="D168" s="1028">
        <v>173000</v>
      </c>
      <c r="E168" s="1028">
        <v>0</v>
      </c>
      <c r="F168" s="1028">
        <v>0</v>
      </c>
      <c r="G168" s="1033">
        <f>1/$J$133*HLOOKUP('CM Rec Par.'!$C$7,'Unit Ops'!$B$132:$E$133,2,FALSE)</f>
        <v>1.4164207602846728</v>
      </c>
      <c r="H168" s="1262">
        <f>20*0.7457</f>
        <v>14.914000000000001</v>
      </c>
      <c r="I168" s="1028">
        <v>0</v>
      </c>
      <c r="J168" s="1028">
        <v>0</v>
      </c>
      <c r="K168" s="1250">
        <v>6</v>
      </c>
      <c r="L168" s="1250">
        <v>1</v>
      </c>
      <c r="M168" s="1030" t="s">
        <v>1168</v>
      </c>
      <c r="N168" s="1030"/>
      <c r="O168" s="1030"/>
      <c r="P168" s="1030"/>
      <c r="Q168" s="1030"/>
      <c r="R168" s="1030"/>
    </row>
    <row r="169" spans="1:19">
      <c r="A169"/>
      <c r="B169" s="1028" t="str">
        <f t="shared" si="13"/>
        <v>Filter tank</v>
      </c>
      <c r="C169" s="1038">
        <v>1</v>
      </c>
      <c r="D169" s="1028">
        <v>1</v>
      </c>
      <c r="E169" s="1028">
        <v>0</v>
      </c>
      <c r="F169" s="1028">
        <v>0</v>
      </c>
      <c r="G169" s="1033">
        <v>0</v>
      </c>
      <c r="H169" s="1028">
        <v>0</v>
      </c>
      <c r="I169" s="1028">
        <v>0</v>
      </c>
      <c r="J169" s="1028">
        <v>0</v>
      </c>
      <c r="K169" s="1249"/>
      <c r="L169" s="1249">
        <v>2</v>
      </c>
    </row>
    <row r="170" spans="1:19">
      <c r="A170"/>
      <c r="B170" s="1028" t="str">
        <f t="shared" si="13"/>
        <v>Flash tank</v>
      </c>
      <c r="C170" s="1038">
        <v>1</v>
      </c>
      <c r="D170" s="1028">
        <v>1</v>
      </c>
      <c r="E170" s="1028">
        <v>0</v>
      </c>
      <c r="F170" s="1028">
        <v>0</v>
      </c>
      <c r="G170" s="1033">
        <v>0</v>
      </c>
      <c r="H170" s="1028">
        <v>0</v>
      </c>
      <c r="I170" s="1028">
        <v>0</v>
      </c>
      <c r="J170" s="1028">
        <v>0</v>
      </c>
      <c r="K170" s="1249"/>
      <c r="L170" s="1249">
        <v>2</v>
      </c>
    </row>
    <row r="171" spans="1:19">
      <c r="A171"/>
      <c r="B171" s="1028" t="str">
        <f t="shared" si="13"/>
        <v>Fork truck</v>
      </c>
      <c r="C171" s="1038">
        <v>1</v>
      </c>
      <c r="D171" s="1028">
        <v>1</v>
      </c>
      <c r="E171" s="1028">
        <v>0</v>
      </c>
      <c r="F171" s="1028">
        <v>0</v>
      </c>
      <c r="G171" s="1033">
        <v>0</v>
      </c>
      <c r="H171" s="1028">
        <v>0</v>
      </c>
      <c r="I171" s="1028">
        <v>0</v>
      </c>
      <c r="J171" s="1028">
        <v>0</v>
      </c>
      <c r="K171" s="1249"/>
      <c r="L171" s="1249">
        <v>2</v>
      </c>
    </row>
    <row r="172" spans="1:19" ht="14.5" thickBot="1">
      <c r="A172"/>
      <c r="B172" s="1028" t="str">
        <f t="shared" si="13"/>
        <v>Froth flotation cell</v>
      </c>
      <c r="C172" s="1039">
        <v>1</v>
      </c>
      <c r="D172" s="1028">
        <f>763.81*5</f>
        <v>3819.0499999999997</v>
      </c>
      <c r="E172" s="1028">
        <v>1.0285</v>
      </c>
      <c r="F172" s="1028">
        <v>0</v>
      </c>
      <c r="G172" s="1654">
        <f>1/$E$133*HLOOKUP('CM Rec Par.'!$C$7,'Unit Ops'!$B$132:$E$133,2,FALSE)</f>
        <v>1.3432098765432099</v>
      </c>
      <c r="H172" s="1655">
        <v>0.45129999999999998</v>
      </c>
      <c r="I172" s="1028">
        <v>0.69130000000000003</v>
      </c>
      <c r="J172" s="1028">
        <v>0</v>
      </c>
      <c r="K172" s="1250">
        <v>6</v>
      </c>
      <c r="L172" s="1250">
        <v>2</v>
      </c>
      <c r="M172" s="1653" t="s">
        <v>1939</v>
      </c>
      <c r="N172" s="1653"/>
      <c r="O172" s="1653"/>
      <c r="P172" s="1653"/>
      <c r="Q172" s="1653"/>
      <c r="R172" s="1653"/>
      <c r="S172" s="1242" t="s">
        <v>1940</v>
      </c>
    </row>
    <row r="173" spans="1:19" ht="16.5" thickTop="1" thickBot="1">
      <c r="A173"/>
      <c r="B173" s="1028" t="str">
        <f t="shared" si="13"/>
        <v>Furnace+saggar handling system</v>
      </c>
      <c r="C173" s="1250">
        <v>1</v>
      </c>
      <c r="D173" s="1037">
        <v>3800000</v>
      </c>
      <c r="E173" s="1028">
        <v>0</v>
      </c>
      <c r="F173" s="1028">
        <v>0</v>
      </c>
      <c r="G173" s="1250">
        <v>1</v>
      </c>
      <c r="H173" s="1028">
        <v>0</v>
      </c>
      <c r="I173" s="1028">
        <v>0</v>
      </c>
      <c r="J173" s="1028">
        <v>0</v>
      </c>
      <c r="K173" s="1249">
        <v>24</v>
      </c>
      <c r="L173" s="1249">
        <v>1</v>
      </c>
      <c r="S173" s="1242"/>
    </row>
    <row r="174" spans="1:19" ht="16.5" thickTop="1" thickBot="1">
      <c r="A174"/>
      <c r="B174" s="1028" t="str">
        <f t="shared" si="13"/>
        <v>Gas treatment</v>
      </c>
      <c r="C174" s="1038">
        <v>1</v>
      </c>
      <c r="D174" s="1037">
        <v>1000000</v>
      </c>
      <c r="E174" s="1028">
        <v>0</v>
      </c>
      <c r="F174" s="1028">
        <v>0</v>
      </c>
      <c r="G174" s="1033">
        <v>1</v>
      </c>
      <c r="H174" s="1037">
        <v>1000</v>
      </c>
      <c r="I174" s="1028">
        <v>0</v>
      </c>
      <c r="J174" s="1028">
        <v>0</v>
      </c>
      <c r="K174" s="1249">
        <v>12</v>
      </c>
      <c r="L174" s="1249">
        <v>1</v>
      </c>
    </row>
    <row r="175" spans="1:19" ht="15" thickTop="1" thickBot="1">
      <c r="A175"/>
      <c r="B175" s="1028" t="str">
        <f t="shared" si="13"/>
        <v>Granulator</v>
      </c>
      <c r="C175" s="1039">
        <v>1</v>
      </c>
      <c r="D175" s="1028">
        <v>29902</v>
      </c>
      <c r="E175" s="1028">
        <v>0.66710000000000003</v>
      </c>
      <c r="F175" s="1028">
        <v>0</v>
      </c>
      <c r="G175" s="1033">
        <f>1/$J$133*HLOOKUP('CM Rec Par.'!$C$7,'Unit Ops'!$B$132:$E$133,2,FALSE)</f>
        <v>1.4164207602846728</v>
      </c>
      <c r="H175" s="1263">
        <v>1.3607</v>
      </c>
      <c r="I175" s="1028">
        <v>1</v>
      </c>
      <c r="J175" s="1028">
        <v>-0.5806</v>
      </c>
      <c r="K175" s="1250">
        <v>6</v>
      </c>
      <c r="L175" s="1250">
        <v>2</v>
      </c>
      <c r="M175" s="1030" t="s">
        <v>1182</v>
      </c>
      <c r="N175" s="1030"/>
      <c r="O175" s="1030"/>
      <c r="P175" s="1030"/>
      <c r="Q175" s="1030"/>
      <c r="R175" s="1030"/>
      <c r="S175" s="1242" t="s">
        <v>1407</v>
      </c>
    </row>
    <row r="176" spans="1:19" ht="16.5" thickTop="1" thickBot="1">
      <c r="A176"/>
      <c r="B176" s="1028" t="str">
        <f>B46</f>
        <v>Heat treatment furnace</v>
      </c>
      <c r="C176" s="1039">
        <v>1</v>
      </c>
      <c r="D176" s="1028">
        <v>507038</v>
      </c>
      <c r="E176" s="1028">
        <v>0.64</v>
      </c>
      <c r="F176" s="1028">
        <v>0</v>
      </c>
      <c r="G176" s="1033">
        <f>1/$J$133*HLOOKUP('CM Rec Par.'!$C$7,'Unit Ops'!$B$132:$E$133,2,FALSE)</f>
        <v>1.4164207602846728</v>
      </c>
      <c r="H176" s="1264">
        <f>20*1055*1000/3600</f>
        <v>5861.1111111111113</v>
      </c>
      <c r="I176" s="1037">
        <v>0</v>
      </c>
      <c r="J176" s="1037">
        <v>0</v>
      </c>
      <c r="K176" s="1250">
        <v>12</v>
      </c>
      <c r="L176" s="1250">
        <v>1</v>
      </c>
      <c r="M176" s="1030" t="s">
        <v>1796</v>
      </c>
      <c r="N176" s="1030"/>
      <c r="O176" s="1030"/>
      <c r="P176" s="1030"/>
      <c r="Q176" s="1030"/>
      <c r="R176" s="1030"/>
    </row>
    <row r="177" spans="1:19" ht="14.5" thickTop="1">
      <c r="A177"/>
      <c r="B177" s="1028" t="str">
        <f>B47</f>
        <v>Hopper</v>
      </c>
      <c r="C177" s="1039">
        <v>1</v>
      </c>
      <c r="D177" s="1028">
        <v>38700</v>
      </c>
      <c r="E177" s="1028">
        <v>0</v>
      </c>
      <c r="F177" s="1028">
        <v>0</v>
      </c>
      <c r="G177" s="1033">
        <f>1/$J$133*HLOOKUP('CM Rec Par.'!$C$7,'Unit Ops'!$B$132:$E$133,2,FALSE)</f>
        <v>1.4164207602846728</v>
      </c>
      <c r="H177" s="1262">
        <f>20*0.7457</f>
        <v>14.914000000000001</v>
      </c>
      <c r="I177" s="1028">
        <v>0</v>
      </c>
      <c r="J177" s="1028">
        <v>0</v>
      </c>
      <c r="K177" s="1250">
        <v>6</v>
      </c>
      <c r="L177" s="1250">
        <v>2</v>
      </c>
      <c r="M177" s="1030" t="s">
        <v>1193</v>
      </c>
      <c r="N177" s="1030"/>
      <c r="O177" s="1030"/>
      <c r="P177" s="1030"/>
      <c r="Q177" s="1030"/>
      <c r="R177" s="1030"/>
    </row>
    <row r="178" spans="1:19">
      <c r="A178"/>
      <c r="B178" s="1028" t="str">
        <f>B48</f>
        <v>Hydrocyclone</v>
      </c>
      <c r="C178" s="1039">
        <v>1</v>
      </c>
      <c r="D178" s="1028">
        <v>50300</v>
      </c>
      <c r="E178" s="1028">
        <v>0</v>
      </c>
      <c r="F178" s="1028">
        <v>0</v>
      </c>
      <c r="G178" s="1033">
        <f>1/$J$133*HLOOKUP('CM Rec Par.'!$C$7,'Unit Ops'!$B$132:$E$133,2,FALSE)</f>
        <v>1.4164207602846728</v>
      </c>
      <c r="H178" s="1262">
        <f>100*0.7457</f>
        <v>74.570000000000007</v>
      </c>
      <c r="I178" s="1028">
        <v>0</v>
      </c>
      <c r="J178" s="1028">
        <v>0</v>
      </c>
      <c r="K178" s="1250">
        <v>6</v>
      </c>
      <c r="L178" s="1250">
        <v>2</v>
      </c>
      <c r="M178" s="1030" t="s">
        <v>1165</v>
      </c>
      <c r="N178" s="1030"/>
      <c r="O178" s="1030"/>
      <c r="P178" s="1030"/>
      <c r="Q178" s="1030"/>
      <c r="R178" s="1030"/>
    </row>
    <row r="179" spans="1:19">
      <c r="A179"/>
      <c r="B179" s="1028" t="str">
        <f>B49</f>
        <v>Leaching tank</v>
      </c>
      <c r="C179" s="1039">
        <v>0.3</v>
      </c>
      <c r="D179" s="1028">
        <v>473892</v>
      </c>
      <c r="E179" s="1028">
        <v>0.4481</v>
      </c>
      <c r="F179" s="1028">
        <v>0</v>
      </c>
      <c r="G179" s="1033">
        <f>1/$J$133*HLOOKUP('CM Rec Par.'!$C$7,'Unit Ops'!$B$132:$E$133,2,FALSE)</f>
        <v>1.4164207602846728</v>
      </c>
      <c r="H179" s="1028">
        <f>20*0.7457</f>
        <v>14.914000000000001</v>
      </c>
      <c r="I179" s="1028">
        <v>1</v>
      </c>
      <c r="J179" s="1028">
        <v>0</v>
      </c>
      <c r="K179" s="1250">
        <v>12</v>
      </c>
      <c r="L179" s="1250">
        <v>2</v>
      </c>
      <c r="M179" s="1030" t="s">
        <v>1185</v>
      </c>
      <c r="N179" s="1030"/>
      <c r="O179" s="1030"/>
      <c r="P179" s="1030"/>
      <c r="Q179" s="1030"/>
      <c r="R179" s="1030"/>
    </row>
    <row r="180" spans="1:19">
      <c r="A180"/>
      <c r="B180" s="1028" t="str">
        <f>B50</f>
        <v>Magnetic separator</v>
      </c>
      <c r="C180" s="1038">
        <v>1</v>
      </c>
      <c r="D180" s="1028">
        <v>1</v>
      </c>
      <c r="E180" s="1028">
        <v>0</v>
      </c>
      <c r="F180" s="1028">
        <v>0</v>
      </c>
      <c r="G180" s="1033">
        <v>0</v>
      </c>
      <c r="H180" s="1028">
        <v>0</v>
      </c>
      <c r="I180" s="1028">
        <v>0</v>
      </c>
      <c r="J180" s="1028">
        <v>0</v>
      </c>
      <c r="K180" s="1249"/>
      <c r="L180" s="1249">
        <v>2</v>
      </c>
    </row>
    <row r="181" spans="1:19">
      <c r="A181"/>
      <c r="B181" s="1028" t="str">
        <f t="shared" ref="B181:B186" si="14">B40</f>
        <v>Manual disassembly of battery</v>
      </c>
      <c r="C181" s="1038">
        <v>1</v>
      </c>
      <c r="D181" s="1028">
        <v>0</v>
      </c>
      <c r="E181" s="1028">
        <v>0</v>
      </c>
      <c r="F181" s="1028">
        <v>0</v>
      </c>
      <c r="G181" s="1033">
        <v>0</v>
      </c>
      <c r="H181" s="1028">
        <v>0</v>
      </c>
      <c r="I181" s="1028">
        <v>0</v>
      </c>
      <c r="J181" s="1028">
        <v>0</v>
      </c>
      <c r="K181" s="1249"/>
      <c r="L181" s="1249">
        <v>2</v>
      </c>
    </row>
    <row r="182" spans="1:19">
      <c r="A182"/>
      <c r="B182" s="1028" t="str">
        <f t="shared" si="14"/>
        <v>Manual Disassembly of cell</v>
      </c>
      <c r="C182" s="1038">
        <v>1</v>
      </c>
      <c r="D182" s="1028">
        <v>0</v>
      </c>
      <c r="E182" s="1028">
        <v>0</v>
      </c>
      <c r="F182" s="1028">
        <v>0</v>
      </c>
      <c r="G182" s="1033">
        <v>0</v>
      </c>
      <c r="H182" s="1028">
        <v>0</v>
      </c>
      <c r="I182" s="1028">
        <v>0</v>
      </c>
      <c r="J182" s="1028">
        <v>0</v>
      </c>
      <c r="K182" s="1249"/>
      <c r="L182" s="1249">
        <v>2</v>
      </c>
    </row>
    <row r="183" spans="1:19">
      <c r="A183"/>
      <c r="B183" s="1028" t="str">
        <f t="shared" si="14"/>
        <v>Manual disassembly of module</v>
      </c>
      <c r="C183" s="1038">
        <v>1</v>
      </c>
      <c r="D183" s="1028">
        <v>0</v>
      </c>
      <c r="E183" s="1028">
        <v>0</v>
      </c>
      <c r="F183" s="1028">
        <v>0</v>
      </c>
      <c r="G183" s="1033">
        <v>0</v>
      </c>
      <c r="H183" s="1028">
        <v>0</v>
      </c>
      <c r="I183" s="1028">
        <v>0</v>
      </c>
      <c r="J183" s="1028">
        <v>0</v>
      </c>
      <c r="K183" s="1249"/>
      <c r="L183" s="1249">
        <v>2</v>
      </c>
    </row>
    <row r="184" spans="1:19">
      <c r="A184"/>
      <c r="B184" s="1028" t="str">
        <f t="shared" si="14"/>
        <v>Manual sorting of battery</v>
      </c>
      <c r="C184" s="1038">
        <v>1</v>
      </c>
      <c r="D184" s="1028">
        <v>0</v>
      </c>
      <c r="E184" s="1028">
        <v>0</v>
      </c>
      <c r="F184" s="1028">
        <v>0</v>
      </c>
      <c r="G184" s="1033">
        <v>0</v>
      </c>
      <c r="H184" s="1028">
        <v>0</v>
      </c>
      <c r="I184" s="1028">
        <v>0</v>
      </c>
      <c r="J184" s="1028">
        <v>0</v>
      </c>
      <c r="K184" s="1249"/>
      <c r="L184" s="1249">
        <v>2</v>
      </c>
    </row>
    <row r="185" spans="1:19">
      <c r="A185"/>
      <c r="B185" s="1028" t="str">
        <f t="shared" si="14"/>
        <v>Manual sorting of cell</v>
      </c>
      <c r="C185" s="1038">
        <v>1</v>
      </c>
      <c r="D185" s="1028">
        <v>0</v>
      </c>
      <c r="E185" s="1028">
        <v>0</v>
      </c>
      <c r="F185" s="1028">
        <v>0</v>
      </c>
      <c r="G185" s="1033">
        <v>0</v>
      </c>
      <c r="H185" s="1028">
        <v>0</v>
      </c>
      <c r="I185" s="1028">
        <v>0</v>
      </c>
      <c r="J185" s="1028">
        <v>0</v>
      </c>
      <c r="K185" s="1249"/>
      <c r="L185" s="1249">
        <v>2</v>
      </c>
    </row>
    <row r="186" spans="1:19">
      <c r="A186"/>
      <c r="B186" s="1028" t="str">
        <f t="shared" si="14"/>
        <v>Manual sorting of module</v>
      </c>
      <c r="C186" s="1038">
        <v>1</v>
      </c>
      <c r="D186" s="1028">
        <v>0</v>
      </c>
      <c r="E186" s="1028">
        <v>0</v>
      </c>
      <c r="F186" s="1028">
        <v>0</v>
      </c>
      <c r="G186" s="1033">
        <v>0</v>
      </c>
      <c r="H186" s="1028">
        <v>0</v>
      </c>
      <c r="I186" s="1028">
        <v>0</v>
      </c>
      <c r="J186" s="1028">
        <v>0</v>
      </c>
      <c r="K186" s="1249"/>
      <c r="L186" s="1249">
        <v>2</v>
      </c>
    </row>
    <row r="187" spans="1:19">
      <c r="A187"/>
      <c r="B187" s="1028" t="str">
        <f t="shared" si="13"/>
        <v>Membrane separator</v>
      </c>
      <c r="C187" s="1038">
        <v>1</v>
      </c>
      <c r="D187" s="1028">
        <v>1</v>
      </c>
      <c r="E187" s="1028">
        <v>0</v>
      </c>
      <c r="F187" s="1028">
        <v>0</v>
      </c>
      <c r="G187" s="1033">
        <v>0</v>
      </c>
      <c r="H187" s="1028">
        <v>0</v>
      </c>
      <c r="I187" s="1028">
        <v>0</v>
      </c>
      <c r="J187" s="1028">
        <v>0</v>
      </c>
      <c r="K187" s="1249"/>
      <c r="L187" s="1249">
        <v>2</v>
      </c>
    </row>
    <row r="188" spans="1:19" ht="14.5" thickBot="1">
      <c r="A188"/>
      <c r="B188" s="1028" t="str">
        <f t="shared" si="13"/>
        <v>Mixing tank</v>
      </c>
      <c r="C188" s="1039">
        <v>0.3</v>
      </c>
      <c r="D188" s="1028">
        <v>473892</v>
      </c>
      <c r="E188" s="1028">
        <v>0.4481</v>
      </c>
      <c r="F188" s="1028">
        <v>0</v>
      </c>
      <c r="G188" s="1033">
        <f>1/$J$133*HLOOKUP('CM Rec Par.'!$C$7,'Unit Ops'!$B$132:$E$133,2,FALSE)</f>
        <v>1.4164207602846728</v>
      </c>
      <c r="H188" s="1028">
        <f>20*0.7457</f>
        <v>14.914000000000001</v>
      </c>
      <c r="I188" s="1028">
        <v>1</v>
      </c>
      <c r="J188" s="1028">
        <v>0</v>
      </c>
      <c r="K188" s="1250">
        <v>6</v>
      </c>
      <c r="L188" s="1250">
        <v>2</v>
      </c>
      <c r="M188" s="1030" t="s">
        <v>1185</v>
      </c>
      <c r="N188" s="1030"/>
      <c r="O188" s="1030"/>
      <c r="P188" s="1030"/>
      <c r="Q188" s="1030"/>
      <c r="R188" s="1030"/>
    </row>
    <row r="189" spans="1:19" ht="16.5" thickTop="1" thickBot="1">
      <c r="A189"/>
      <c r="B189" s="1028" t="str">
        <f t="shared" si="13"/>
        <v>Oxidizer</v>
      </c>
      <c r="C189" s="1039">
        <v>0.4</v>
      </c>
      <c r="D189" s="1028">
        <v>494284</v>
      </c>
      <c r="E189" s="1028">
        <v>0.7601</v>
      </c>
      <c r="F189" s="1028">
        <v>0</v>
      </c>
      <c r="G189" s="1033">
        <f>1/$J$133*HLOOKUP('CM Rec Par.'!$C$7,'Unit Ops'!$B$132:$E$133,2,FALSE)</f>
        <v>1.4164207602846728</v>
      </c>
      <c r="H189" s="1264">
        <f>20*1055*1000/3600</f>
        <v>5861.1111111111113</v>
      </c>
      <c r="I189" s="1037">
        <v>0</v>
      </c>
      <c r="J189" s="1037">
        <v>0</v>
      </c>
      <c r="K189" s="1250">
        <v>12</v>
      </c>
      <c r="L189" s="1250">
        <v>2</v>
      </c>
      <c r="M189" s="1030" t="s">
        <v>1191</v>
      </c>
      <c r="N189" s="1030"/>
      <c r="O189" s="1030"/>
      <c r="P189" s="1030"/>
      <c r="Q189" s="1030"/>
      <c r="R189" s="1030"/>
    </row>
    <row r="190" spans="1:19" ht="14.5" thickTop="1">
      <c r="A190"/>
      <c r="B190" s="1028" t="str">
        <f t="shared" si="13"/>
        <v>Pelletizer</v>
      </c>
      <c r="C190" s="1038">
        <v>1</v>
      </c>
      <c r="D190" s="1028">
        <v>1</v>
      </c>
      <c r="E190" s="1028">
        <v>0</v>
      </c>
      <c r="F190" s="1028">
        <v>0</v>
      </c>
      <c r="G190" s="1033">
        <v>0</v>
      </c>
      <c r="H190" s="1028">
        <v>0</v>
      </c>
      <c r="I190" s="1028">
        <v>0</v>
      </c>
      <c r="J190" s="1028">
        <v>0</v>
      </c>
      <c r="K190" s="1249"/>
      <c r="L190" s="1249">
        <v>2</v>
      </c>
    </row>
    <row r="191" spans="1:19">
      <c r="A191"/>
      <c r="B191" s="1028" t="str">
        <f t="shared" si="13"/>
        <v>Precipitation tank</v>
      </c>
      <c r="C191" s="1039">
        <v>1</v>
      </c>
      <c r="D191" s="1028">
        <v>473892</v>
      </c>
      <c r="E191" s="1028">
        <v>0.4481</v>
      </c>
      <c r="F191" s="1028">
        <v>0</v>
      </c>
      <c r="G191" s="1033">
        <f>1/$J$133*HLOOKUP('CM Rec Par.'!$C$7,'Unit Ops'!$B$132:$E$133,2,FALSE)</f>
        <v>1.4164207602846728</v>
      </c>
      <c r="H191" s="1262">
        <f>20*0.7457</f>
        <v>14.914000000000001</v>
      </c>
      <c r="I191" s="1028">
        <v>1</v>
      </c>
      <c r="J191" s="1028">
        <v>0</v>
      </c>
      <c r="K191" s="1250">
        <v>12</v>
      </c>
      <c r="L191" s="1250">
        <v>2</v>
      </c>
      <c r="M191" s="1030" t="s">
        <v>1185</v>
      </c>
      <c r="N191" s="1030"/>
      <c r="O191" s="1030"/>
      <c r="P191" s="1030"/>
      <c r="Q191" s="1030"/>
      <c r="R191" s="1030"/>
    </row>
    <row r="192" spans="1:19">
      <c r="A192"/>
      <c r="B192" s="1028" t="str">
        <f t="shared" si="13"/>
        <v>Pump</v>
      </c>
      <c r="C192" s="1038">
        <v>1</v>
      </c>
      <c r="D192" s="1028">
        <v>3009</v>
      </c>
      <c r="E192" s="1028">
        <v>0</v>
      </c>
      <c r="F192" s="1028">
        <v>0</v>
      </c>
      <c r="G192" s="1033">
        <f>1/$V$133*HLOOKUP('CM Rec Par.'!$C$7,'Unit Ops'!$B$132:$E$133,2,FALSE)</f>
        <v>2.0626895854398382</v>
      </c>
      <c r="H192" s="1263">
        <f>4.28*0.7457</f>
        <v>3.1915960000000001</v>
      </c>
      <c r="I192" s="1028">
        <v>1</v>
      </c>
      <c r="J192" s="1028">
        <v>0</v>
      </c>
      <c r="K192" s="1249">
        <v>4</v>
      </c>
      <c r="L192" s="1249">
        <v>2</v>
      </c>
      <c r="M192" s="1246" t="s">
        <v>1447</v>
      </c>
      <c r="N192" s="1244"/>
      <c r="O192" s="1244"/>
      <c r="P192" s="1244"/>
      <c r="Q192" s="1244"/>
      <c r="R192" s="1244"/>
      <c r="S192" s="1242"/>
    </row>
    <row r="193" spans="1:19">
      <c r="A193"/>
      <c r="B193" s="1028" t="str">
        <f t="shared" si="13"/>
        <v>Pyrolyzer</v>
      </c>
      <c r="C193" s="1038">
        <v>1</v>
      </c>
      <c r="D193" s="1028">
        <v>1</v>
      </c>
      <c r="E193" s="1028">
        <v>0</v>
      </c>
      <c r="F193" s="1028">
        <v>0</v>
      </c>
      <c r="G193" s="1033">
        <v>0</v>
      </c>
      <c r="H193" s="1028">
        <v>0</v>
      </c>
      <c r="I193" s="1028">
        <v>0</v>
      </c>
      <c r="J193" s="1028">
        <v>0</v>
      </c>
      <c r="K193" s="1249"/>
      <c r="L193" s="1249">
        <v>2</v>
      </c>
    </row>
    <row r="194" spans="1:19">
      <c r="A194"/>
      <c r="B194" s="1028" t="str">
        <f>B58</f>
        <v>Screen, DSM</v>
      </c>
      <c r="C194" s="1039">
        <v>1</v>
      </c>
      <c r="D194" s="1028">
        <v>11000</v>
      </c>
      <c r="E194" s="1028">
        <v>1</v>
      </c>
      <c r="F194" s="1028">
        <v>0</v>
      </c>
      <c r="G194" s="1033">
        <f>1/$J$133*HLOOKUP('CM Rec Par.'!$C$7,'Unit Ops'!$B$132:$E$133,2,FALSE)</f>
        <v>1.4164207602846728</v>
      </c>
      <c r="H194" s="1262">
        <f>20*0.7457</f>
        <v>14.914000000000001</v>
      </c>
      <c r="I194" s="1028">
        <v>1</v>
      </c>
      <c r="J194" s="1028">
        <v>0</v>
      </c>
      <c r="K194" s="1250">
        <v>6</v>
      </c>
      <c r="L194" s="1250">
        <v>2</v>
      </c>
      <c r="M194" s="1030" t="s">
        <v>1760</v>
      </c>
      <c r="N194" s="1030"/>
      <c r="O194" s="1030"/>
      <c r="P194" s="1030"/>
      <c r="Q194" s="1030"/>
      <c r="R194" s="1030"/>
    </row>
    <row r="195" spans="1:19">
      <c r="A195"/>
      <c r="B195" s="1028" t="str">
        <f>B59</f>
        <v>Screen, vibrating</v>
      </c>
      <c r="C195" s="1038">
        <v>1</v>
      </c>
      <c r="D195" s="1028">
        <v>18800</v>
      </c>
      <c r="E195" s="1028">
        <v>1</v>
      </c>
      <c r="F195" s="1028">
        <v>0</v>
      </c>
      <c r="G195" s="1033">
        <f>1/$J$133*HLOOKUP('CM Rec Par.'!$C$7,'Unit Ops'!$B$132:$E$133,2,FALSE)</f>
        <v>1.4164207602846728</v>
      </c>
      <c r="H195" s="1262">
        <f>20*0.7457</f>
        <v>14.914000000000001</v>
      </c>
      <c r="I195" s="1028">
        <v>1</v>
      </c>
      <c r="J195" s="1028">
        <v>0</v>
      </c>
      <c r="K195" s="1249">
        <v>6</v>
      </c>
      <c r="L195" s="1249">
        <v>2</v>
      </c>
      <c r="M195" s="1030" t="s">
        <v>1761</v>
      </c>
      <c r="N195" s="1030"/>
      <c r="O195" s="1030"/>
      <c r="P195" s="1030"/>
      <c r="Q195" s="1030"/>
      <c r="R195" s="1030"/>
    </row>
    <row r="196" spans="1:19">
      <c r="A196"/>
      <c r="B196" s="1028" t="str">
        <f t="shared" si="13"/>
        <v xml:space="preserve">Shredder  </v>
      </c>
      <c r="C196" s="1038">
        <v>1</v>
      </c>
      <c r="D196" s="1028">
        <v>1</v>
      </c>
      <c r="E196" s="1028">
        <v>0</v>
      </c>
      <c r="F196" s="1028">
        <v>0</v>
      </c>
      <c r="G196" s="1033">
        <v>0</v>
      </c>
      <c r="H196" s="1028">
        <v>0</v>
      </c>
      <c r="I196" s="1028">
        <v>0</v>
      </c>
      <c r="J196" s="1028">
        <v>0</v>
      </c>
      <c r="K196" s="1249"/>
      <c r="L196" s="1249">
        <v>2</v>
      </c>
    </row>
    <row r="197" spans="1:19">
      <c r="A197"/>
      <c r="B197" s="1028" t="str">
        <f t="shared" si="13"/>
        <v>Shredder with water</v>
      </c>
      <c r="C197" s="1038">
        <v>1</v>
      </c>
      <c r="D197" s="1028">
        <v>1</v>
      </c>
      <c r="E197" s="1028">
        <v>0</v>
      </c>
      <c r="F197" s="1028">
        <v>0</v>
      </c>
      <c r="G197" s="1033">
        <v>0</v>
      </c>
      <c r="H197" s="1028">
        <v>0</v>
      </c>
      <c r="I197" s="1028">
        <v>0</v>
      </c>
      <c r="J197" s="1028">
        <v>0</v>
      </c>
      <c r="K197" s="1249"/>
      <c r="L197" s="1249">
        <v>2</v>
      </c>
    </row>
    <row r="198" spans="1:19" ht="14.5" thickBot="1">
      <c r="A198"/>
      <c r="B198" s="1028" t="str">
        <f t="shared" si="13"/>
        <v>Shredder with inert gas</v>
      </c>
      <c r="C198" s="1038">
        <v>1</v>
      </c>
      <c r="D198" s="1028">
        <v>1</v>
      </c>
      <c r="E198" s="1028">
        <v>0</v>
      </c>
      <c r="F198" s="1028">
        <v>0</v>
      </c>
      <c r="G198" s="1033">
        <v>0</v>
      </c>
      <c r="H198" s="1028">
        <v>0</v>
      </c>
      <c r="I198" s="1028">
        <v>0</v>
      </c>
      <c r="J198" s="1028">
        <v>0</v>
      </c>
      <c r="K198" s="1249"/>
      <c r="L198" s="1249">
        <v>2</v>
      </c>
    </row>
    <row r="199" spans="1:19" ht="16.5" thickTop="1" thickBot="1">
      <c r="A199"/>
      <c r="B199" s="1028" t="str">
        <f t="shared" si="13"/>
        <v>Skid steer</v>
      </c>
      <c r="C199" s="1038">
        <v>1</v>
      </c>
      <c r="D199" s="1037">
        <v>40000</v>
      </c>
      <c r="E199" s="1028">
        <v>0</v>
      </c>
      <c r="F199" s="1028">
        <v>0</v>
      </c>
      <c r="G199" s="1033">
        <v>1</v>
      </c>
      <c r="H199" s="1028">
        <v>0</v>
      </c>
      <c r="I199" s="1028">
        <v>0</v>
      </c>
      <c r="J199" s="1028">
        <v>0</v>
      </c>
      <c r="K199" s="1250">
        <v>4</v>
      </c>
      <c r="L199" s="1250">
        <v>2</v>
      </c>
      <c r="M199" s="1245" t="s">
        <v>1413</v>
      </c>
    </row>
    <row r="200" spans="1:19" ht="14.5" thickTop="1">
      <c r="A200"/>
      <c r="B200" s="1028" t="str">
        <f t="shared" si="13"/>
        <v>Smelter</v>
      </c>
      <c r="C200" s="1039">
        <v>1</v>
      </c>
      <c r="D200" s="1028">
        <v>6137979</v>
      </c>
      <c r="E200" s="1028">
        <v>0.48</v>
      </c>
      <c r="F200" s="1028">
        <v>0</v>
      </c>
      <c r="G200" s="1033">
        <f>1/$J$133*HLOOKUP('CM Rec Par.'!$C$7,'Unit Ops'!$B$132:$E$133,2,FALSE)</f>
        <v>1.4164207602846728</v>
      </c>
      <c r="H200" s="1028">
        <v>0</v>
      </c>
      <c r="I200" s="1028">
        <v>0</v>
      </c>
      <c r="J200" s="1028">
        <v>0</v>
      </c>
      <c r="K200" s="1250">
        <v>24</v>
      </c>
      <c r="L200" s="1250">
        <v>2</v>
      </c>
      <c r="M200" s="1030" t="s">
        <v>1188</v>
      </c>
      <c r="N200" s="1030"/>
      <c r="O200" s="1030"/>
      <c r="P200" s="1030"/>
      <c r="Q200" s="1030"/>
      <c r="R200" s="1030"/>
    </row>
    <row r="201" spans="1:19">
      <c r="A201"/>
      <c r="B201" s="1028" t="str">
        <f t="shared" si="13"/>
        <v>Solvent extraction unit</v>
      </c>
      <c r="C201" s="1039">
        <v>1</v>
      </c>
      <c r="D201" s="1028">
        <v>473892</v>
      </c>
      <c r="E201" s="1028">
        <v>0.4481</v>
      </c>
      <c r="F201" s="1028">
        <v>0</v>
      </c>
      <c r="G201" s="1033">
        <f>1/$J$133*HLOOKUP('CM Rec Par.'!$C$7,'Unit Ops'!$B$132:$E$133,2,FALSE)</f>
        <v>1.4164207602846728</v>
      </c>
      <c r="H201" s="1262">
        <f>20*0.7457</f>
        <v>14.914000000000001</v>
      </c>
      <c r="I201" s="1028">
        <v>1</v>
      </c>
      <c r="J201" s="1028">
        <v>0</v>
      </c>
      <c r="K201" s="1250">
        <v>12</v>
      </c>
      <c r="L201" s="1250">
        <v>2</v>
      </c>
      <c r="M201" s="1030" t="s">
        <v>1185</v>
      </c>
      <c r="N201" s="1030"/>
      <c r="O201" s="1030"/>
      <c r="P201" s="1030"/>
      <c r="Q201" s="1030"/>
      <c r="R201" s="1030"/>
    </row>
    <row r="202" spans="1:19">
      <c r="A202"/>
      <c r="B202" s="1028" t="str">
        <f t="shared" si="13"/>
        <v>Storage tank</v>
      </c>
      <c r="C202" s="1038">
        <v>1</v>
      </c>
      <c r="D202" s="1028">
        <v>1</v>
      </c>
      <c r="E202" s="1028">
        <v>0</v>
      </c>
      <c r="F202" s="1028">
        <v>0</v>
      </c>
      <c r="G202" s="1033">
        <v>0</v>
      </c>
      <c r="H202" s="1028">
        <v>0</v>
      </c>
      <c r="I202" s="1028">
        <v>0</v>
      </c>
      <c r="J202" s="1028">
        <v>0</v>
      </c>
      <c r="K202" s="1249"/>
      <c r="L202" s="1249">
        <v>2</v>
      </c>
    </row>
    <row r="203" spans="1:19">
      <c r="A203"/>
      <c r="B203" s="1028" t="str">
        <f t="shared" si="13"/>
        <v>Supercritical CO2 system</v>
      </c>
      <c r="C203" s="1038">
        <v>1</v>
      </c>
      <c r="D203" s="1028">
        <v>6088158</v>
      </c>
      <c r="E203" s="1028">
        <v>0.69089999999999996</v>
      </c>
      <c r="F203" s="1028">
        <v>0</v>
      </c>
      <c r="G203" s="1033">
        <f>HLOOKUP('CM Rec Par.'!$C$7,'Unit Ops'!$B$132:$E$133,2,FALSE)/$O$133</f>
        <v>1.5635179153094463</v>
      </c>
      <c r="H203" s="1028">
        <v>1000</v>
      </c>
      <c r="I203" s="1028">
        <v>0</v>
      </c>
      <c r="J203" s="1028">
        <v>0</v>
      </c>
      <c r="K203" s="1250">
        <v>12</v>
      </c>
      <c r="L203" s="1250">
        <v>2</v>
      </c>
      <c r="M203" s="1247" t="s">
        <v>1405</v>
      </c>
      <c r="N203" s="1248"/>
      <c r="O203" s="1248"/>
      <c r="P203" s="1248"/>
      <c r="Q203" s="1248"/>
      <c r="R203" s="1248"/>
      <c r="S203" s="1242" t="s">
        <v>1408</v>
      </c>
    </row>
    <row r="204" spans="1:19">
      <c r="A204"/>
      <c r="B204" s="1028" t="str">
        <f t="shared" si="13"/>
        <v>Ultrasonic bath</v>
      </c>
      <c r="C204" s="1038">
        <v>1</v>
      </c>
      <c r="D204" s="1028">
        <v>1</v>
      </c>
      <c r="E204" s="1028">
        <v>0</v>
      </c>
      <c r="F204" s="1028">
        <v>0</v>
      </c>
      <c r="G204" s="1033">
        <v>0</v>
      </c>
      <c r="H204" s="1028">
        <v>0</v>
      </c>
      <c r="I204" s="1028">
        <v>0</v>
      </c>
      <c r="J204" s="1028">
        <v>0</v>
      </c>
      <c r="K204" s="1249"/>
      <c r="L204" s="1249">
        <v>2</v>
      </c>
    </row>
    <row r="205" spans="1:19" ht="14.5" thickBot="1">
      <c r="A205"/>
      <c r="B205" s="1028" t="str">
        <f>B69</f>
        <v>Vacuum distillation</v>
      </c>
      <c r="C205" s="1038">
        <v>1</v>
      </c>
      <c r="D205" s="1028">
        <v>1</v>
      </c>
      <c r="E205" s="1028">
        <v>0</v>
      </c>
      <c r="F205" s="1028">
        <v>0</v>
      </c>
      <c r="G205" s="1033">
        <v>0</v>
      </c>
      <c r="H205" s="1028">
        <v>0</v>
      </c>
      <c r="I205" s="1028">
        <v>0</v>
      </c>
      <c r="J205" s="1028">
        <v>0</v>
      </c>
      <c r="K205" s="1249"/>
      <c r="L205" s="1249">
        <v>2</v>
      </c>
    </row>
    <row r="206" spans="1:19" ht="16.5" thickTop="1" thickBot="1">
      <c r="A206"/>
      <c r="B206" s="1028" t="str">
        <f>B70</f>
        <v>Water treatment</v>
      </c>
      <c r="C206" s="1038">
        <v>1</v>
      </c>
      <c r="D206" s="1037">
        <v>1000000</v>
      </c>
      <c r="E206" s="1028">
        <v>0</v>
      </c>
      <c r="F206" s="1028">
        <v>0</v>
      </c>
      <c r="G206" s="1033">
        <v>1</v>
      </c>
      <c r="H206" s="1037">
        <v>1000</v>
      </c>
      <c r="I206" s="1028">
        <v>0</v>
      </c>
      <c r="J206" s="1028">
        <v>0</v>
      </c>
      <c r="K206" s="1249">
        <v>12</v>
      </c>
      <c r="L206" s="1249">
        <v>1</v>
      </c>
    </row>
    <row r="207" spans="1:19" ht="15" thickTop="1" thickBot="1">
      <c r="A207"/>
      <c r="B207" s="1028" t="str">
        <f>B71</f>
        <v>Wet granulator</v>
      </c>
      <c r="C207" s="1039">
        <v>1</v>
      </c>
      <c r="D207" s="1028">
        <v>29902</v>
      </c>
      <c r="E207" s="1028">
        <v>0.66710000000000003</v>
      </c>
      <c r="F207" s="1028">
        <v>0</v>
      </c>
      <c r="G207" s="1033">
        <f>1/$J$133*HLOOKUP('CM Rec Par.'!$C$7,'Unit Ops'!$B$132:$E$133,2,FALSE)</f>
        <v>1.4164207602846728</v>
      </c>
      <c r="H207" s="1263">
        <v>1.3607</v>
      </c>
      <c r="I207" s="1028">
        <v>1</v>
      </c>
      <c r="J207" s="1028">
        <v>-0.5806</v>
      </c>
      <c r="K207" s="1250">
        <v>6</v>
      </c>
      <c r="L207" s="1250">
        <v>2</v>
      </c>
      <c r="M207" s="1030" t="s">
        <v>1182</v>
      </c>
      <c r="N207" s="1030"/>
      <c r="O207" s="1030"/>
      <c r="P207" s="1030"/>
      <c r="Q207" s="1030"/>
      <c r="R207" s="1030"/>
    </row>
    <row r="208" spans="1:19" ht="16.5" thickTop="1" thickBot="1">
      <c r="A208"/>
      <c r="B208" s="1028" t="str">
        <f>B72</f>
        <v>Wheel loader</v>
      </c>
      <c r="C208" s="1038">
        <v>1</v>
      </c>
      <c r="D208" s="1037">
        <v>150000</v>
      </c>
      <c r="E208" s="1028">
        <v>0</v>
      </c>
      <c r="F208" s="1028">
        <v>0</v>
      </c>
      <c r="G208" s="1033">
        <v>1</v>
      </c>
      <c r="H208" s="1028">
        <v>0</v>
      </c>
      <c r="I208" s="1028">
        <v>0</v>
      </c>
      <c r="J208" s="1028">
        <v>0</v>
      </c>
      <c r="K208" s="1250">
        <v>20</v>
      </c>
      <c r="L208" s="1250">
        <v>2</v>
      </c>
      <c r="M208" s="1245" t="s">
        <v>1413</v>
      </c>
    </row>
    <row r="209" spans="1:12" ht="14.5" thickTop="1">
      <c r="A209"/>
      <c r="B209" s="1028" t="s">
        <v>386</v>
      </c>
      <c r="C209" s="1250">
        <v>1</v>
      </c>
      <c r="D209" s="1028">
        <v>0</v>
      </c>
      <c r="E209" s="1028">
        <v>1</v>
      </c>
      <c r="F209" s="1028">
        <v>0</v>
      </c>
      <c r="G209" s="1250">
        <v>0</v>
      </c>
      <c r="H209" s="1028">
        <v>0</v>
      </c>
      <c r="I209" s="1028">
        <v>0</v>
      </c>
      <c r="J209" s="1028">
        <v>0</v>
      </c>
      <c r="K209" s="1249">
        <v>0</v>
      </c>
      <c r="L209" s="1249">
        <v>0</v>
      </c>
    </row>
    <row r="210" spans="1:12">
      <c r="B210" s="111">
        <v>1</v>
      </c>
      <c r="C210" s="111">
        <v>2</v>
      </c>
      <c r="D210" s="111">
        <v>3</v>
      </c>
      <c r="E210" s="111">
        <v>4</v>
      </c>
      <c r="F210" s="111">
        <v>5</v>
      </c>
      <c r="G210" s="111">
        <v>6</v>
      </c>
      <c r="H210" s="111">
        <v>7</v>
      </c>
      <c r="I210" s="111">
        <v>8</v>
      </c>
      <c r="J210" s="110">
        <v>9</v>
      </c>
      <c r="K210" s="111">
        <v>10</v>
      </c>
      <c r="L210" s="111">
        <v>11</v>
      </c>
    </row>
    <row r="300" spans="2:2">
      <c r="B300" s="111" t="s">
        <v>386</v>
      </c>
    </row>
    <row r="301" spans="2:2">
      <c r="B301" s="111" t="s">
        <v>1762</v>
      </c>
    </row>
    <row r="302" spans="2:2" ht="15.5">
      <c r="B302" s="1274" t="s">
        <v>1499</v>
      </c>
    </row>
    <row r="303" spans="2:2">
      <c r="B303" s="111" t="s">
        <v>31</v>
      </c>
    </row>
    <row r="304" spans="2:2">
      <c r="B304" s="111" t="s">
        <v>28</v>
      </c>
    </row>
    <row r="305" spans="2:2">
      <c r="B305" s="111" t="s">
        <v>1930</v>
      </c>
    </row>
    <row r="306" spans="2:2">
      <c r="B306" s="111" t="s">
        <v>26</v>
      </c>
    </row>
    <row r="307" spans="2:2">
      <c r="B307" s="111" t="s">
        <v>1433</v>
      </c>
    </row>
    <row r="308" spans="2:2">
      <c r="B308" s="111" t="s">
        <v>23</v>
      </c>
    </row>
    <row r="309" spans="2:2">
      <c r="B309" s="111" t="s">
        <v>611</v>
      </c>
    </row>
    <row r="310" spans="2:2">
      <c r="B310" s="111" t="s">
        <v>1505</v>
      </c>
    </row>
    <row r="311" spans="2:2">
      <c r="B311" s="111" t="s">
        <v>1932</v>
      </c>
    </row>
    <row r="312" spans="2:2">
      <c r="B312" s="111" t="s">
        <v>601</v>
      </c>
    </row>
    <row r="313" spans="2:2">
      <c r="B313" s="111" t="s">
        <v>1506</v>
      </c>
    </row>
    <row r="314" spans="2:2">
      <c r="B314" s="111" t="s">
        <v>1523</v>
      </c>
    </row>
    <row r="315" spans="2:2">
      <c r="B315" s="111" t="s">
        <v>1537</v>
      </c>
    </row>
    <row r="316" spans="2:2">
      <c r="B316" s="111" t="s">
        <v>1510</v>
      </c>
    </row>
    <row r="317" spans="2:2">
      <c r="B317" s="111" t="s">
        <v>656</v>
      </c>
    </row>
    <row r="318" spans="2:2">
      <c r="B318" s="111" t="s">
        <v>1536</v>
      </c>
    </row>
    <row r="319" spans="2:2">
      <c r="B319" s="111" t="s">
        <v>397</v>
      </c>
    </row>
    <row r="320" spans="2:2">
      <c r="B320" s="111" t="s">
        <v>22</v>
      </c>
    </row>
    <row r="321" spans="2:2">
      <c r="B321" s="111" t="s">
        <v>1511</v>
      </c>
    </row>
    <row r="322" spans="2:2">
      <c r="B322" s="111" t="s">
        <v>1513</v>
      </c>
    </row>
    <row r="323" spans="2:2">
      <c r="B323" s="111" t="s">
        <v>37</v>
      </c>
    </row>
    <row r="324" spans="2:2">
      <c r="B324" s="111" t="s">
        <v>1514</v>
      </c>
    </row>
    <row r="325" spans="2:2">
      <c r="B325" s="111" t="s">
        <v>387</v>
      </c>
    </row>
    <row r="326" spans="2:2">
      <c r="B326" s="111" t="s">
        <v>1758</v>
      </c>
    </row>
    <row r="327" spans="2:2">
      <c r="B327" s="111" t="s">
        <v>1515</v>
      </c>
    </row>
    <row r="328" spans="2:2">
      <c r="B328" s="111" t="s">
        <v>24</v>
      </c>
    </row>
    <row r="329" spans="2:2">
      <c r="B329" s="111" t="s">
        <v>1516</v>
      </c>
    </row>
    <row r="330" spans="2:2">
      <c r="B330" s="111" t="s">
        <v>1518</v>
      </c>
    </row>
    <row r="331" spans="2:2">
      <c r="B331" s="111" t="s">
        <v>1521</v>
      </c>
    </row>
    <row r="332" spans="2:2">
      <c r="B332" s="111" t="s">
        <v>1522</v>
      </c>
    </row>
    <row r="333" spans="2:2">
      <c r="B333" s="111" t="s">
        <v>435</v>
      </c>
    </row>
  </sheetData>
  <mergeCells count="75">
    <mergeCell ref="BQA21:BQE24"/>
    <mergeCell ref="BRA21:BRE24"/>
    <mergeCell ref="BLA21:BLE24"/>
    <mergeCell ref="BMA21:BME24"/>
    <mergeCell ref="BNA21:BNE24"/>
    <mergeCell ref="BOA21:BOE24"/>
    <mergeCell ref="BPA21:BPE24"/>
    <mergeCell ref="BCA21:BCE24"/>
    <mergeCell ref="BDA21:BDE24"/>
    <mergeCell ref="BIA21:BIE24"/>
    <mergeCell ref="BJA21:BJE24"/>
    <mergeCell ref="BKA21:BKE24"/>
    <mergeCell ref="BEA21:BEE24"/>
    <mergeCell ref="BFA21:BFE24"/>
    <mergeCell ref="BGA21:BGE24"/>
    <mergeCell ref="BHA21:BHE24"/>
    <mergeCell ref="AQA21:AQE24"/>
    <mergeCell ref="ARA21:ARE24"/>
    <mergeCell ref="ASA21:ASE24"/>
    <mergeCell ref="ATA21:ATE24"/>
    <mergeCell ref="AUA21:AUE24"/>
    <mergeCell ref="BAA21:BAE24"/>
    <mergeCell ref="BBA21:BBE24"/>
    <mergeCell ref="AHA21:AHE24"/>
    <mergeCell ref="AIA21:AIE24"/>
    <mergeCell ref="AJA21:AJE24"/>
    <mergeCell ref="AKA21:AKE24"/>
    <mergeCell ref="ALA21:ALE24"/>
    <mergeCell ref="AMA21:AME24"/>
    <mergeCell ref="ANA21:ANE24"/>
    <mergeCell ref="AOA21:AOE24"/>
    <mergeCell ref="APA21:APE24"/>
    <mergeCell ref="AVA21:AVE24"/>
    <mergeCell ref="AWA21:AWE24"/>
    <mergeCell ref="AXA21:AXE24"/>
    <mergeCell ref="AYA21:AYE24"/>
    <mergeCell ref="AZA21:AZE24"/>
    <mergeCell ref="PA21:PE24"/>
    <mergeCell ref="QA21:QE24"/>
    <mergeCell ref="WA21:WE24"/>
    <mergeCell ref="XA21:XE24"/>
    <mergeCell ref="ACA21:ACE24"/>
    <mergeCell ref="RA21:RE24"/>
    <mergeCell ref="SA21:SE24"/>
    <mergeCell ref="ADA21:ADE24"/>
    <mergeCell ref="AEA21:AEE24"/>
    <mergeCell ref="AFA21:AFE24"/>
    <mergeCell ref="AGA21:AGE24"/>
    <mergeCell ref="ZA21:ZE24"/>
    <mergeCell ref="KA21:KE24"/>
    <mergeCell ref="ABA21:ABE24"/>
    <mergeCell ref="LA21:LE24"/>
    <mergeCell ref="FA21:FE24"/>
    <mergeCell ref="GA21:GE24"/>
    <mergeCell ref="HA21:HE24"/>
    <mergeCell ref="IA21:IE24"/>
    <mergeCell ref="JA21:JE24"/>
    <mergeCell ref="MA21:ME24"/>
    <mergeCell ref="NA21:NE24"/>
    <mergeCell ref="OA21:OE24"/>
    <mergeCell ref="TA21:TE24"/>
    <mergeCell ref="UA21:UE24"/>
    <mergeCell ref="VA21:VE24"/>
    <mergeCell ref="YA21:YE24"/>
    <mergeCell ref="AAA21:AAE24"/>
    <mergeCell ref="AA21:AE24"/>
    <mergeCell ref="BA21:BE24"/>
    <mergeCell ref="CA21:CE24"/>
    <mergeCell ref="DA21:DE24"/>
    <mergeCell ref="EA21:EE24"/>
    <mergeCell ref="D136:G136"/>
    <mergeCell ref="D137:G137"/>
    <mergeCell ref="H136:J136"/>
    <mergeCell ref="H137:J137"/>
    <mergeCell ref="KC108:KD108"/>
  </mergeCells>
  <phoneticPr fontId="153" type="noConversion"/>
  <dataValidations disablePrompts="1" count="2">
    <dataValidation type="list" allowBlank="1" showInputMessage="1" showErrorMessage="1" sqref="L25:L36" xr:uid="{00000000-0002-0000-0A00-000000000000}">
      <formula1>"Consumed, Converted, Landfilled, Product"</formula1>
    </dataValidation>
    <dataValidation type="list" allowBlank="1" showInputMessage="1" showErrorMessage="1" sqref="K46" xr:uid="{00000000-0002-0000-0A00-000001000000}">
      <formula1>"Batch, Continuous, Semi-Batch"</formula1>
    </dataValidation>
  </dataValidations>
  <hyperlinks>
    <hyperlink ref="B4" location="'Unit Ops'!AO1" tooltip="Go to details of afterburner" display="Afterburner" xr:uid="{00000000-0004-0000-0A00-000000000000}"/>
    <hyperlink ref="B5" location="'Unit Ops'!BO1" tooltip="Go to details of aspirator" display="Aspirator" xr:uid="{00000000-0004-0000-0A00-000001000000}"/>
    <hyperlink ref="B6" location="'Unit Ops'!CO1" tooltip="Go to details of automated dismantle of battery" display="Automated dismantle of battery" xr:uid="{00000000-0004-0000-0A00-000002000000}"/>
    <hyperlink ref="B7" location="'Unit Ops'!DO1" tooltip="Go to details of automated dismantle of cell" display="Automated dismantle of cell" xr:uid="{00000000-0004-0000-0A00-000003000000}"/>
    <hyperlink ref="B8" location="'Unit Ops'!EO1" tooltip="Go to details of automated dismantle of module" display="Automated dismantle of module" xr:uid="{00000000-0004-0000-0A00-000004000000}"/>
    <hyperlink ref="B9" location="'Unit Ops'!FO1" tooltip="Go to details of automated sort of battery" display="Automated sort of battery" xr:uid="{00000000-0004-0000-0A00-000005000000}"/>
    <hyperlink ref="B10" location="'Unit Ops'!GO1" tooltip="Go to details of automated sort of cell" display="Automated sort of cell" xr:uid="{00000000-0004-0000-0A00-000006000000}"/>
    <hyperlink ref="B11" location="'Unit Ops'!HO1" tooltip="Go to details of automated sort of module" display="Automated sort of module" xr:uid="{00000000-0004-0000-0A00-000007000000}"/>
    <hyperlink ref="B12" location="'Unit Ops'!IO1" tooltip="Go to details of ball mill" display="Ball Mill" xr:uid="{00000000-0004-0000-0A00-000008000000}"/>
    <hyperlink ref="B13" location="'Unit Ops'!JO1" tooltip="Go to details of battery/cell discharger" display="Battery/Cell discharger" xr:uid="{00000000-0004-0000-0A00-000009000000}"/>
    <hyperlink ref="B14" location="'Unit Ops'!KO1" tooltip="Go to details of brine soak" display="Brine Soak" xr:uid="{00000000-0004-0000-0A00-00000A000000}"/>
    <hyperlink ref="B15" location="'Unit Ops'!LO1" tooltip="Go to details of briquetter" display="Briquetter" xr:uid="{00000000-0004-0000-0A00-00000B000000}"/>
    <hyperlink ref="B16" location="'Unit Ops'!MO1" tooltip="Go to details of calciner" display="Calciner" xr:uid="{00000000-0004-0000-0A00-00000C000000}"/>
    <hyperlink ref="B17" location="'Unit Ops'!NO1" tooltip="Go to details of cell perforator" display="Cell Perforator" xr:uid="{00000000-0004-0000-0A00-00000D000000}"/>
    <hyperlink ref="B18" location="'Unit Ops'!OO1" tooltip="Go to details of conveyor" display="Conveyor" xr:uid="{00000000-0004-0000-0A00-00000E000000}"/>
    <hyperlink ref="B19" location="'Unit Ops'!PO1" tooltip="Go to details of crusher" display="Crusher" xr:uid="{00000000-0004-0000-0A00-00000F000000}"/>
    <hyperlink ref="B20" location="'Unit Ops'!QO1" tooltip="Go to details of cyro shredder" display="Cryo Shredder" xr:uid="{00000000-0004-0000-0A00-000010000000}"/>
    <hyperlink ref="B21" location="'Unit Ops'!RO1" tooltip="Go to details of crystallizer" display="Crystallizer" xr:uid="{00000000-0004-0000-0A00-000011000000}"/>
    <hyperlink ref="B22" location="'Unit Ops'!SO1" tooltip="Go to details of cyclone" display="Cyclone" xr:uid="{00000000-0004-0000-0A00-000012000000}"/>
    <hyperlink ref="B23" location="'Unit Ops'!TO1" tooltip="Go to details of density separator" display="Density Separator" xr:uid="{00000000-0004-0000-0A00-000013000000}"/>
    <hyperlink ref="B24" location="'Unit Ops'!UO1" tooltip="Go to details of distillation" display="Distillation" xr:uid="{00000000-0004-0000-0A00-000014000000}"/>
    <hyperlink ref="B25" location="'Unit Ops'!VO1" tooltip="Go to details of dryer" display="Dryer" xr:uid="{00000000-0004-0000-0A00-000015000000}"/>
    <hyperlink ref="B26" location="'Unit Ops'!WO1" tooltip="Go to details of dust collector" display="Dust Collector" xr:uid="{00000000-0004-0000-0A00-000016000000}"/>
    <hyperlink ref="B27" location="'Unit Ops'!XO1" tooltip="Go to details of eddy current separator" display="Eddy Current Separator" xr:uid="{00000000-0004-0000-0A00-000017000000}"/>
    <hyperlink ref="B28" location="'Unit Ops'!YO1" tooltip="Go to details of electrodeposition" display="Electrodeposition" xr:uid="{00000000-0004-0000-0A00-000018000000}"/>
    <hyperlink ref="B29" location="'Unit Ops'!ZO1" tooltip="Go to details of electrostatic separator" display="Electrostatic Separator" xr:uid="{00000000-0004-0000-0A00-000019000000}"/>
    <hyperlink ref="ZA9" location="'Unit Ops'!A1" tooltip="Go back to list of equipment" display="Back to Menu" xr:uid="{00000000-0004-0000-0A00-00001A000000}"/>
    <hyperlink ref="AAA9" location="'Unit Ops'!A1" tooltip="Go back to list of equipment" display="Back to Menu" xr:uid="{00000000-0004-0000-0A00-00001B000000}"/>
    <hyperlink ref="YA9" location="'Unit Ops'!A1" tooltip="Go back to list of equipment" display="Back to Menu" xr:uid="{00000000-0004-0000-0A00-00001C000000}"/>
    <hyperlink ref="XA9" location="'Unit Ops'!A1" tooltip="Go back to list of equipment" display="Back to Menu" xr:uid="{00000000-0004-0000-0A00-00001D000000}"/>
    <hyperlink ref="WA9" location="'Unit Ops'!A1" tooltip="Go back to list of equipment" display="Back to Menu" xr:uid="{00000000-0004-0000-0A00-00001E000000}"/>
    <hyperlink ref="VA9" location="'Unit Ops'!A1" tooltip="Go back to list of equipment" display="Back to Menu" xr:uid="{00000000-0004-0000-0A00-00001F000000}"/>
    <hyperlink ref="UA9" location="'Unit Ops'!A1" tooltip="Go back to list of equipment" display="Back to Menu" xr:uid="{00000000-0004-0000-0A00-000020000000}"/>
    <hyperlink ref="TA9" location="'Unit Ops'!A1" tooltip="Go back to list of equipment" display="Back to Menu" xr:uid="{00000000-0004-0000-0A00-000021000000}"/>
    <hyperlink ref="SA9" location="'Unit Ops'!A1" tooltip="Go back to list of equipment" display="Back to Menu" xr:uid="{00000000-0004-0000-0A00-000022000000}"/>
    <hyperlink ref="RA9" location="'Unit Ops'!A1" tooltip="Go back to list of equipment" display="Back to Menu" xr:uid="{00000000-0004-0000-0A00-000023000000}"/>
    <hyperlink ref="QA9" location="'Unit Ops'!A1" tooltip="Go back to list of equipment" display="Back to Menu" xr:uid="{00000000-0004-0000-0A00-000024000000}"/>
    <hyperlink ref="PA9" location="'Unit Ops'!A1" tooltip="Go back to list of equipment" display="Back to Menu" xr:uid="{00000000-0004-0000-0A00-000025000000}"/>
    <hyperlink ref="OA9" location="'Unit Ops'!A1" tooltip="Go back to list of equipment" display="Back to Menu" xr:uid="{00000000-0004-0000-0A00-000026000000}"/>
    <hyperlink ref="NA9" location="'Unit Ops'!A1" tooltip="Go back to list of equipment" display="Back to Menu" xr:uid="{00000000-0004-0000-0A00-000027000000}"/>
    <hyperlink ref="MA9" location="'Unit Ops'!A1" tooltip="Go back to list of equipment" display="Back to Menu" xr:uid="{00000000-0004-0000-0A00-000028000000}"/>
    <hyperlink ref="LA9" location="'Unit Ops'!A1" tooltip="Go back to list of equipment" display="Back to Menu" xr:uid="{00000000-0004-0000-0A00-000029000000}"/>
    <hyperlink ref="KA9" location="'Unit Ops'!A1" tooltip="Go back to list of equipment" display="Back to Menu" xr:uid="{00000000-0004-0000-0A00-00002A000000}"/>
    <hyperlink ref="JA9" location="'Unit Ops'!A1" tooltip="Go back to list of equipment" display="Back to Menu" xr:uid="{00000000-0004-0000-0A00-00002B000000}"/>
    <hyperlink ref="IA9" location="'Unit Ops'!A1" tooltip="Go back to list of equipment" display="Back to Menu" xr:uid="{00000000-0004-0000-0A00-00002C000000}"/>
    <hyperlink ref="HA9" location="'Unit Ops'!A1" tooltip="Go back to list of equipment" display="Back to Menu" xr:uid="{00000000-0004-0000-0A00-00002D000000}"/>
    <hyperlink ref="GA9" location="'Unit Ops'!A1" tooltip="Go back to list of equipment" display="Back to Menu" xr:uid="{00000000-0004-0000-0A00-00002E000000}"/>
    <hyperlink ref="FA9" location="'Unit Ops'!A1" tooltip="Go back to list of equipment" display="Back to Menu" xr:uid="{00000000-0004-0000-0A00-00002F000000}"/>
    <hyperlink ref="EA9" location="'Unit Ops'!A1" tooltip="Go back to list of equipment" display="Back to Menu" xr:uid="{00000000-0004-0000-0A00-000030000000}"/>
    <hyperlink ref="DA9" location="'Unit Ops'!A1" tooltip="Go back to list of equipment" display="Back to Menu" xr:uid="{00000000-0004-0000-0A00-000031000000}"/>
    <hyperlink ref="CA9" location="'Unit Ops'!A1" tooltip="Go back to list of equipment" display="Back to Menu" xr:uid="{00000000-0004-0000-0A00-000032000000}"/>
    <hyperlink ref="BA9" location="'Unit Ops'!A1" tooltip="Go back to list of equipment" display="Back to Menu" xr:uid="{00000000-0004-0000-0A00-000033000000}"/>
    <hyperlink ref="AA9" location="'Unit Ops'!A1" tooltip="Go back to list of equipment" display="Back to Menu" xr:uid="{00000000-0004-0000-0A00-000034000000}"/>
    <hyperlink ref="B30" location="'Unit Ops'!AAO1" tooltip="Go to details of evaporator" display="Evaporator" xr:uid="{00000000-0004-0000-0A00-000035000000}"/>
    <hyperlink ref="ABA9" location="'Unit Ops'!A1" tooltip="Go back to list of equipment" display="Back to Menu" xr:uid="{00000000-0004-0000-0A00-000036000000}"/>
    <hyperlink ref="B31" location="'Unit Ops'!ABO1" tooltip="Go to details of feeder" display="Feeder" xr:uid="{00000000-0004-0000-0A00-000037000000}"/>
    <hyperlink ref="ACA9" location="'Unit Ops'!A1" tooltip="Go back to list of equipment" display="Back to Menu" xr:uid="{00000000-0004-0000-0A00-000038000000}"/>
    <hyperlink ref="B32" location="'Unit Ops'!ACO1" tooltip="Go to details of filter press" display="Filter Press" xr:uid="{00000000-0004-0000-0A00-000039000000}"/>
    <hyperlink ref="ADA9" location="'Unit Ops'!A1" tooltip="Go back to list of equipment" display="Back to Menu" xr:uid="{00000000-0004-0000-0A00-00003A000000}"/>
    <hyperlink ref="B33" location="'Unit Ops'!ADO1" tooltip="Go to details of filter tank" display="Filter Tank" xr:uid="{00000000-0004-0000-0A00-00003B000000}"/>
    <hyperlink ref="AEA9" location="'Unit Ops'!A1" tooltip="Go back to list of equipment" display="Back to Menu" xr:uid="{00000000-0004-0000-0A00-00003C000000}"/>
    <hyperlink ref="B34" location="'Unit Ops'!AEO1" tooltip="Go to details of flash tank" display="Flash tank" xr:uid="{00000000-0004-0000-0A00-00003D000000}"/>
    <hyperlink ref="AFA9" location="'Unit Ops'!A1" tooltip="Go back to list of equipment" display="Back to Menu" xr:uid="{00000000-0004-0000-0A00-00003E000000}"/>
    <hyperlink ref="B35" location="'Unit Ops'!AFO1" tooltip="Go to details of fork truck" display="Fork Truck" xr:uid="{00000000-0004-0000-0A00-00003F000000}"/>
    <hyperlink ref="AGA9" location="'Unit Ops'!A1" tooltip="Go back to list of equipment" display="Back to Menu" xr:uid="{00000000-0004-0000-0A00-000040000000}"/>
    <hyperlink ref="B36" location="'Unit Ops'!AGO1" tooltip="Go to details of froth flotation cell(s)" display="Froth Flotation Cell(s)" xr:uid="{00000000-0004-0000-0A00-000041000000}"/>
    <hyperlink ref="AHA9" location="'Unit Ops'!A1" tooltip="Go back to list of equipment" display="Back to Menu" xr:uid="{00000000-0004-0000-0A00-000042000000}"/>
    <hyperlink ref="B37" location="'Unit Ops'!AHO1" tooltip="Go to details of furnace/oven" display="Furnace/Oven" xr:uid="{00000000-0004-0000-0A00-000043000000}"/>
    <hyperlink ref="AIA9" location="'Unit Ops'!A1" tooltip="Go back to list of equipment" display="Back to Menu" xr:uid="{00000000-0004-0000-0A00-000044000000}"/>
    <hyperlink ref="B38" location="'Unit Ops'!AIO1" tooltip="Go to details of gas treatment" display="Gas Treatment" xr:uid="{00000000-0004-0000-0A00-000045000000}"/>
    <hyperlink ref="AJA9" location="'Unit Ops'!A1" tooltip="Go back to list of equipment" display="Back to Menu" xr:uid="{00000000-0004-0000-0A00-000046000000}"/>
    <hyperlink ref="B39" location="'Unit Ops'!AJO1" tooltip="Go to details of granulator" display="Granulator" xr:uid="{00000000-0004-0000-0A00-000047000000}"/>
    <hyperlink ref="AKA9" location="'Unit Ops'!A1" tooltip="Go back to list of equipment" display="Back to Menu" xr:uid="{00000000-0004-0000-0A00-000048000000}"/>
    <hyperlink ref="B40" location="'Unit Ops'!AKO1" tooltip="Go to details of hand dismantle of battery" display="Hand dismantle of battery" xr:uid="{00000000-0004-0000-0A00-000049000000}"/>
    <hyperlink ref="ALA9" location="'Unit Ops'!A1" tooltip="Go back to list of equipment" display="Back to Menu" xr:uid="{00000000-0004-0000-0A00-00004A000000}"/>
    <hyperlink ref="B41" location="'Unit Ops'!ALO1" tooltip="Go to details of hand dismantle of cell" display="Hand dismantle of cell" xr:uid="{00000000-0004-0000-0A00-00004B000000}"/>
    <hyperlink ref="AMA9" location="'Unit Ops'!A1" tooltip="Go back to list of equipment" display="Back to Menu" xr:uid="{00000000-0004-0000-0A00-00004C000000}"/>
    <hyperlink ref="B42" location="'Unit Ops'!AMO1" tooltip="Go to details of hand dismantle of module" display="Hand dismantle of module" xr:uid="{00000000-0004-0000-0A00-00004D000000}"/>
    <hyperlink ref="ANA9" location="'Unit Ops'!A1" tooltip="Go back to list of equipment" display="Back to Menu" xr:uid="{00000000-0004-0000-0A00-00004E000000}"/>
    <hyperlink ref="B43" location="'Unit Ops'!ANO1" tooltip="Go to details of hand sort of battery" display="Hand sort of battery" xr:uid="{00000000-0004-0000-0A00-00004F000000}"/>
    <hyperlink ref="AOA9" location="'Unit Ops'!A1" tooltip="Go back to list of equipment" display="Back to Menu" xr:uid="{00000000-0004-0000-0A00-000050000000}"/>
    <hyperlink ref="B44" location="'Unit Ops'!AOO1" tooltip="Go to details of hand sort of cell" display="Hand sort of cell" xr:uid="{00000000-0004-0000-0A00-000051000000}"/>
    <hyperlink ref="APA9" location="'Unit Ops'!A1" tooltip="Go back to list of equipment" display="Back to Menu" xr:uid="{00000000-0004-0000-0A00-000052000000}"/>
    <hyperlink ref="B45" location="'Unit Ops'!APO1" tooltip="Go to details of hand sort of module" display="Hand sort of module" xr:uid="{00000000-0004-0000-0A00-000053000000}"/>
    <hyperlink ref="AQA9" location="'Unit Ops'!A80" tooltip="Go back to list of equipment" display="Back to Menu" xr:uid="{00000000-0004-0000-0A00-000054000000}"/>
    <hyperlink ref="ARA9" location="'Unit Ops'!A80" tooltip="Go back to list of equipment" display="Back to Menu" xr:uid="{00000000-0004-0000-0A00-000056000000}"/>
    <hyperlink ref="B47" location="'Unit Ops'!ARO1" tooltip="Go to details of hydrocyclone" display="Hydrocyclone" xr:uid="{00000000-0004-0000-0A00-000057000000}"/>
    <hyperlink ref="ASA9" location="'Unit Ops'!A80" tooltip="Go back to list of equipment" display="Back to Menu" xr:uid="{00000000-0004-0000-0A00-000058000000}"/>
    <hyperlink ref="ATA9" location="'Unit Ops'!A80" tooltip="Go back to list of equipment" display="Back to Menu" xr:uid="{00000000-0004-0000-0A00-00005A000000}"/>
    <hyperlink ref="B49" location="'Unit Ops'!ATO1" tooltip="Go to details of leaching tank(s)" display="Leaching tank(s)" xr:uid="{00000000-0004-0000-0A00-00005B000000}"/>
    <hyperlink ref="AUA9" location="'Unit Ops'!A80" tooltip="Go back to list of equipment" display="Back to Menu" xr:uid="{00000000-0004-0000-0A00-00005C000000}"/>
    <hyperlink ref="B50" location="'Unit Ops'!AUO1" tooltip="Go to details of magnetic separator" display="Magnetic Separator" xr:uid="{00000000-0004-0000-0A00-00005D000000}"/>
    <hyperlink ref="AVA9" location="'Unit Ops'!A80" tooltip="Go back to list of equipment" display="Back to Menu" xr:uid="{00000000-0004-0000-0A00-00005E000000}"/>
    <hyperlink ref="B51" location="'Unit Ops'!AVO1" tooltip="Go to details of membrane separator" display="Membrane separator" xr:uid="{00000000-0004-0000-0A00-00005F000000}"/>
    <hyperlink ref="AWA9" location="'Unit Ops'!A80" tooltip="Go back to list of equipment" display="Back to Menu" xr:uid="{00000000-0004-0000-0A00-000060000000}"/>
    <hyperlink ref="B52" location="'Unit Ops'!AWO1" tooltip="Go to details of mixing tank" display="Mixing tank" xr:uid="{00000000-0004-0000-0A00-000061000000}"/>
    <hyperlink ref="AXA9" location="'Unit Ops'!A80" tooltip="Go back to list of equipment" display="Back to Menu" xr:uid="{00000000-0004-0000-0A00-000062000000}"/>
    <hyperlink ref="B53" location="'Unit Ops'!AXO1" tooltip="Go to details of oxidizer" display="Oxidizer" xr:uid="{00000000-0004-0000-0A00-000063000000}"/>
    <hyperlink ref="AYA9" location="'Unit Ops'!A80" tooltip="Go back to list of equipment" display="Back to Menu" xr:uid="{00000000-0004-0000-0A00-000064000000}"/>
    <hyperlink ref="B54" location="'Unit Ops'!AYO1" tooltip="Go to details of pelletizer" display="Pelletizer" xr:uid="{00000000-0004-0000-0A00-000065000000}"/>
    <hyperlink ref="AZA9" location="'Unit Ops'!A80" tooltip="Go back to list of equipment" display="Back to Menu" xr:uid="{00000000-0004-0000-0A00-000066000000}"/>
    <hyperlink ref="B55" location="'Unit Ops'!AZO1" tooltip="Go to details of precipitation tank(s)" display="Precipitation tank(s)" xr:uid="{00000000-0004-0000-0A00-000067000000}"/>
    <hyperlink ref="BAA9" location="'Unit Ops'!A80" tooltip="Go back to list of equipment" display="Back to Menu" xr:uid="{00000000-0004-0000-0A00-000068000000}"/>
    <hyperlink ref="B56" location="'Unit Ops'!BAO1" tooltip="Go to details of pump" display="Pump" xr:uid="{00000000-0004-0000-0A00-000069000000}"/>
    <hyperlink ref="BBA9" location="'Unit Ops'!A80" tooltip="Go back to list of equipment" display="Back to Menu" xr:uid="{00000000-0004-0000-0A00-00006A000000}"/>
    <hyperlink ref="B57" location="'Unit Ops'!BBO1" tooltip="Go to details of pyrolyzer" display="Pyrolyzer" xr:uid="{00000000-0004-0000-0A00-00006B000000}"/>
    <hyperlink ref="BCA9" location="'Unit Ops'!A80" tooltip="Go back to list of equipment" display="Back to Menu" xr:uid="{00000000-0004-0000-0A00-00006C000000}"/>
    <hyperlink ref="BDA9" location="'Unit Ops'!A80" tooltip="Go back to list of equipment" display="Back to Menu" xr:uid="{00000000-0004-0000-0A00-00006D000000}"/>
    <hyperlink ref="B59" location="'Unit Ops'!BDO1" tooltip="Go to details of scrubber" display="Scrubber" xr:uid="{00000000-0004-0000-0A00-00006E000000}"/>
    <hyperlink ref="B58" location="'Unit Ops'!BCO1" tooltip="Go to details of screener" display="Screener" xr:uid="{00000000-0004-0000-0A00-00006F000000}"/>
    <hyperlink ref="BEA9" location="'Unit Ops'!A80" tooltip="Go back to list of equipment" display="Back to Menu" xr:uid="{00000000-0004-0000-0A00-000070000000}"/>
    <hyperlink ref="B60" location="'Unit Ops'!BEO1" tooltip="Go to details of shredder" display="Shredder  " xr:uid="{00000000-0004-0000-0A00-000071000000}"/>
    <hyperlink ref="BFA9" location="'Unit Ops'!A80" tooltip="Go back to list of equipment" display="Back to Menu" xr:uid="{00000000-0004-0000-0A00-000072000000}"/>
    <hyperlink ref="B61" location="'Unit Ops'!BFO1" tooltip="Go to details of shredder with water" display="Shredder with water" xr:uid="{00000000-0004-0000-0A00-000073000000}"/>
    <hyperlink ref="BGA9" location="'Unit Ops'!A80" tooltip="Go back to list of equipment" display="Back to Menu" xr:uid="{00000000-0004-0000-0A00-000074000000}"/>
    <hyperlink ref="B62" location="'Unit Ops'!BGO1" tooltip="Go to details of shredder with inert gas" display="Shredder with inert gas" xr:uid="{00000000-0004-0000-0A00-000075000000}"/>
    <hyperlink ref="BHA9" location="'Unit Ops'!A80" tooltip="Go back to list of equipment" display="Back to Menu" xr:uid="{00000000-0004-0000-0A00-000076000000}"/>
    <hyperlink ref="B63" location="'Unit Ops'!BHO1" tooltip="Go to details of skid steer" display="Skid Steer" xr:uid="{00000000-0004-0000-0A00-000077000000}"/>
    <hyperlink ref="BIA9" location="'Unit Ops'!A80" tooltip="Go back to list of equipment" display="Back to Menu" xr:uid="{00000000-0004-0000-0A00-000078000000}"/>
    <hyperlink ref="B64" location="'Unit Ops'!BIO1" tooltip="Go to details of smelter" display="Smelter" xr:uid="{00000000-0004-0000-0A00-000079000000}"/>
    <hyperlink ref="BJA9" location="'Unit Ops'!A80" tooltip="Go back to list of equipment" display="Back to Menu" xr:uid="{00000000-0004-0000-0A00-00007A000000}"/>
    <hyperlink ref="B65" location="'Unit Ops'!BJO1" tooltip="Go to details of solvent extraction unit" display="Solvent Extraction Unit" xr:uid="{00000000-0004-0000-0A00-00007B000000}"/>
    <hyperlink ref="BKA9" location="'Unit Ops'!A80" tooltip="Go back to list of equipment" display="Back to Menu" xr:uid="{00000000-0004-0000-0A00-00007C000000}"/>
    <hyperlink ref="B66" location="'Unit Ops'!BKO1" tooltip="Go to details of storage tank" display="Storage Tank" xr:uid="{00000000-0004-0000-0A00-00007D000000}"/>
    <hyperlink ref="BLA9" location="'Unit Ops'!A80" tooltip="Go back to list of equipment" display="Back to Menu" xr:uid="{00000000-0004-0000-0A00-00007E000000}"/>
    <hyperlink ref="B67" location="'Unit Ops'!BLO1" tooltip="Go to details of super-critical CO2 system" display="Super Critical CO2 System" xr:uid="{00000000-0004-0000-0A00-00007F000000}"/>
    <hyperlink ref="BMA9" location="'Unit Ops'!A80" tooltip="Go back to list of equipment" display="Back to Menu" xr:uid="{00000000-0004-0000-0A00-000080000000}"/>
    <hyperlink ref="B68" location="'Unit Ops'!BMO1" tooltip="Go to details of ultrasonic bath" display="Ultrasonic Bath" xr:uid="{00000000-0004-0000-0A00-000081000000}"/>
    <hyperlink ref="BNA9" location="'Unit Ops'!A80" tooltip="Go back to list of equipment" display="Back to Menu" xr:uid="{00000000-0004-0000-0A00-000082000000}"/>
    <hyperlink ref="B69" location="'Unit Ops'!BNO1" tooltip="Go to details of vacuum distillation" display="Vacuum Distillation" xr:uid="{00000000-0004-0000-0A00-000083000000}"/>
    <hyperlink ref="BOA9" location="'Unit Ops'!A80" tooltip="Go back to list of equipment" display="Back to Menu" xr:uid="{00000000-0004-0000-0A00-000084000000}"/>
    <hyperlink ref="B70" location="'Unit Ops'!BOO1" tooltip="Go to details of water treatment" display="Water Treatment" xr:uid="{00000000-0004-0000-0A00-000085000000}"/>
    <hyperlink ref="BPA9" location="'Unit Ops'!A80" tooltip="Go back to list of equipment" display="Back to Menu" xr:uid="{00000000-0004-0000-0A00-000086000000}"/>
    <hyperlink ref="B71" location="'Unit Ops'!BPO1" tooltip="Go to details of wet granulator" display="Wet Granulator" xr:uid="{00000000-0004-0000-0A00-000087000000}"/>
    <hyperlink ref="BQA9" location="'Unit Ops'!A80" tooltip="Go back to list of equipment" display="Back to Menu" xr:uid="{00000000-0004-0000-0A00-000088000000}"/>
    <hyperlink ref="B72" location="'Unit Ops'!BQO1" tooltip="Go to details of wet screener" display="Wet Screener" xr:uid="{00000000-0004-0000-0A00-000089000000}"/>
    <hyperlink ref="BRA9" location="'Unit Ops'!A80" tooltip="Go back to list of equipment" display="Back to Menu" xr:uid="{00000000-0004-0000-0A00-00008A000000}"/>
    <hyperlink ref="B48" location="'Unit Ops'!ASO1" tooltip="Go to details of ion exchange" display="Ion Exchange" xr:uid="{00000000-0004-0000-0A00-000059000000}"/>
    <hyperlink ref="B46" location="'Unit Ops'!AQO1" display="Heat treatment furnace" xr:uid="{908DCFD3-6EF6-4188-BC67-8D0841F2B2AB}"/>
  </hyperlinks>
  <pageMargins left="0.7" right="0.7" top="0.75" bottom="0.75" header="0.3" footer="0.3"/>
  <pageSetup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tabColor rgb="FF92D050"/>
  </sheetPr>
  <dimension ref="A1:AI266"/>
  <sheetViews>
    <sheetView topLeftCell="A49" zoomScaleNormal="100" workbookViewId="0">
      <selection activeCell="C107" sqref="C107"/>
    </sheetView>
  </sheetViews>
  <sheetFormatPr defaultColWidth="8.83203125" defaultRowHeight="14"/>
  <cols>
    <col min="1" max="1" width="31.25" customWidth="1"/>
    <col min="2" max="2" width="30.4140625" customWidth="1"/>
    <col min="3" max="3" width="20.75" customWidth="1"/>
    <col min="4" max="4" width="13.25" customWidth="1"/>
    <col min="5" max="5" width="14.4140625" customWidth="1"/>
    <col min="6" max="14" width="14.25" customWidth="1"/>
    <col min="26" max="26" width="29.75" customWidth="1"/>
    <col min="30" max="30" width="10.1640625" customWidth="1"/>
    <col min="33" max="33" width="9.75" customWidth="1"/>
    <col min="35" max="35" width="20.83203125" customWidth="1"/>
  </cols>
  <sheetData>
    <row r="1" spans="1:35" ht="15" customHeight="1">
      <c r="A1" s="2" t="s">
        <v>1100</v>
      </c>
      <c r="Z1" t="s">
        <v>390</v>
      </c>
      <c r="AA1" t="s">
        <v>403</v>
      </c>
      <c r="AD1" t="s">
        <v>677</v>
      </c>
      <c r="AE1" t="s">
        <v>426</v>
      </c>
      <c r="AF1" t="s">
        <v>672</v>
      </c>
      <c r="AG1" t="s">
        <v>36</v>
      </c>
      <c r="AH1" t="s">
        <v>1790</v>
      </c>
      <c r="AI1" t="s">
        <v>36</v>
      </c>
    </row>
    <row r="2" spans="1:35" ht="15" customHeight="1">
      <c r="A2" s="2" t="s">
        <v>1264</v>
      </c>
      <c r="Z2" t="s">
        <v>258</v>
      </c>
      <c r="AA2" t="s">
        <v>534</v>
      </c>
      <c r="AD2" t="s">
        <v>444</v>
      </c>
      <c r="AE2" t="s">
        <v>444</v>
      </c>
      <c r="AF2" t="s">
        <v>444</v>
      </c>
      <c r="AG2" t="s">
        <v>444</v>
      </c>
      <c r="AH2" t="s">
        <v>444</v>
      </c>
      <c r="AI2" t="s">
        <v>444</v>
      </c>
    </row>
    <row r="3" spans="1:35" ht="15" customHeight="1">
      <c r="A3" s="1021" t="s">
        <v>460</v>
      </c>
      <c r="B3" s="144" t="s">
        <v>51</v>
      </c>
      <c r="C3" s="144" t="s">
        <v>63</v>
      </c>
      <c r="D3" s="146" t="s">
        <v>52</v>
      </c>
      <c r="Z3" t="s">
        <v>396</v>
      </c>
      <c r="AA3" t="s">
        <v>1302</v>
      </c>
      <c r="AD3" t="s">
        <v>1914</v>
      </c>
      <c r="AE3" t="s">
        <v>41</v>
      </c>
      <c r="AF3" t="s">
        <v>41</v>
      </c>
      <c r="AG3" t="s">
        <v>41</v>
      </c>
      <c r="AH3" t="s">
        <v>398</v>
      </c>
      <c r="AI3" t="s">
        <v>398</v>
      </c>
    </row>
    <row r="4" spans="1:35" ht="15" customHeight="1">
      <c r="A4" s="558" t="s">
        <v>77</v>
      </c>
      <c r="B4" s="1236">
        <f>IF(D4&gt;0,D4,C4)</f>
        <v>50.353520799999998</v>
      </c>
      <c r="C4" s="272">
        <v>50.353520799999998</v>
      </c>
      <c r="D4" s="274"/>
      <c r="Z4" t="s">
        <v>395</v>
      </c>
      <c r="AA4" t="s">
        <v>540</v>
      </c>
      <c r="AD4" t="s">
        <v>439</v>
      </c>
      <c r="AE4" t="s">
        <v>439</v>
      </c>
      <c r="AF4" t="s">
        <v>439</v>
      </c>
      <c r="AG4" t="s">
        <v>439</v>
      </c>
      <c r="AH4" t="s">
        <v>1713</v>
      </c>
      <c r="AI4" t="s">
        <v>1713</v>
      </c>
    </row>
    <row r="5" spans="1:35" ht="15" customHeight="1">
      <c r="A5" s="159" t="s">
        <v>75</v>
      </c>
      <c r="B5" s="1236">
        <f>IF(D5&gt;0,D5,C5)</f>
        <v>16.853000000000002</v>
      </c>
      <c r="C5" s="258">
        <v>16.853000000000002</v>
      </c>
      <c r="D5" s="274"/>
      <c r="Z5" t="s">
        <v>259</v>
      </c>
      <c r="AA5" t="s">
        <v>645</v>
      </c>
      <c r="AD5" t="s">
        <v>1398</v>
      </c>
      <c r="AE5" t="s">
        <v>398</v>
      </c>
      <c r="AF5" t="s">
        <v>398</v>
      </c>
      <c r="AG5" t="s">
        <v>398</v>
      </c>
      <c r="AH5" t="s">
        <v>41</v>
      </c>
      <c r="AI5" t="s">
        <v>41</v>
      </c>
    </row>
    <row r="6" spans="1:35" ht="15" customHeight="1">
      <c r="A6" s="1122" t="s">
        <v>76</v>
      </c>
      <c r="B6" s="1237">
        <f>IF(D6&gt;0,D6,C6)</f>
        <v>3.1492555776</v>
      </c>
      <c r="C6" s="973">
        <v>3.1492555776</v>
      </c>
      <c r="D6" s="1123"/>
      <c r="Z6" t="s">
        <v>400</v>
      </c>
      <c r="AA6" t="s">
        <v>258</v>
      </c>
      <c r="AD6" t="s">
        <v>1400</v>
      </c>
      <c r="AE6" t="s">
        <v>54</v>
      </c>
      <c r="AF6" t="s">
        <v>54</v>
      </c>
      <c r="AG6" t="s">
        <v>54</v>
      </c>
      <c r="AH6" t="s">
        <v>1906</v>
      </c>
      <c r="AI6" t="s">
        <v>1906</v>
      </c>
    </row>
    <row r="7" spans="1:35" ht="15" customHeight="1">
      <c r="A7" s="2"/>
      <c r="Z7" t="s">
        <v>38</v>
      </c>
      <c r="AA7" t="s">
        <v>396</v>
      </c>
      <c r="AE7" t="s">
        <v>298</v>
      </c>
      <c r="AF7" t="s">
        <v>298</v>
      </c>
      <c r="AG7" t="s">
        <v>298</v>
      </c>
      <c r="AH7" t="s">
        <v>298</v>
      </c>
      <c r="AI7" t="s">
        <v>298</v>
      </c>
    </row>
    <row r="8" spans="1:35" ht="15" customHeight="1">
      <c r="A8" s="2" t="s">
        <v>1394</v>
      </c>
      <c r="C8" s="1280" t="s">
        <v>1539</v>
      </c>
      <c r="Z8" t="s">
        <v>399</v>
      </c>
      <c r="AA8" t="s">
        <v>395</v>
      </c>
      <c r="AE8" t="s">
        <v>1924</v>
      </c>
      <c r="AF8" t="s">
        <v>42</v>
      </c>
      <c r="AG8" t="s">
        <v>399</v>
      </c>
      <c r="AH8" t="s">
        <v>439</v>
      </c>
      <c r="AI8" t="s">
        <v>439</v>
      </c>
    </row>
    <row r="9" spans="1:35" ht="15" customHeight="1">
      <c r="A9" s="1021" t="s">
        <v>460</v>
      </c>
      <c r="B9" s="144" t="s">
        <v>51</v>
      </c>
      <c r="C9" s="144" t="s">
        <v>63</v>
      </c>
      <c r="D9" s="146" t="s">
        <v>52</v>
      </c>
      <c r="Z9" t="s">
        <v>67</v>
      </c>
      <c r="AA9" t="s">
        <v>259</v>
      </c>
      <c r="AE9" t="s">
        <v>1398</v>
      </c>
      <c r="AF9" t="s">
        <v>1029</v>
      </c>
      <c r="AG9" t="s">
        <v>42</v>
      </c>
      <c r="AI9" t="s">
        <v>488</v>
      </c>
    </row>
    <row r="10" spans="1:35" ht="15" customHeight="1">
      <c r="A10" s="147" t="s">
        <v>534</v>
      </c>
      <c r="B10" s="1267">
        <f t="shared" ref="B10:B22" si="0">IF(D10&gt;0,D10,C10)</f>
        <v>0.52999404748781942</v>
      </c>
      <c r="C10" s="275">
        <v>0.52999404748781942</v>
      </c>
      <c r="D10" s="231"/>
      <c r="Z10" t="s">
        <v>39</v>
      </c>
      <c r="AA10" t="s">
        <v>400</v>
      </c>
      <c r="AE10" t="s">
        <v>1400</v>
      </c>
      <c r="AF10" t="s">
        <v>667</v>
      </c>
      <c r="AG10" t="s">
        <v>1029</v>
      </c>
      <c r="AI10" t="s">
        <v>489</v>
      </c>
    </row>
    <row r="11" spans="1:35" ht="15" customHeight="1">
      <c r="A11" s="147" t="s">
        <v>1302</v>
      </c>
      <c r="B11" s="1267">
        <f t="shared" si="0"/>
        <v>0.52999404748781942</v>
      </c>
      <c r="C11" s="275">
        <f>C10</f>
        <v>0.52999404748781942</v>
      </c>
      <c r="D11" s="231"/>
      <c r="Z11" t="s">
        <v>402</v>
      </c>
      <c r="AA11" t="s">
        <v>38</v>
      </c>
      <c r="AE11" t="s">
        <v>1399</v>
      </c>
      <c r="AF11" t="s">
        <v>669</v>
      </c>
      <c r="AG11" t="s">
        <v>667</v>
      </c>
      <c r="AI11" t="s">
        <v>547</v>
      </c>
    </row>
    <row r="12" spans="1:35" ht="15" customHeight="1">
      <c r="A12" s="147" t="s">
        <v>540</v>
      </c>
      <c r="B12" s="1267">
        <f t="shared" si="0"/>
        <v>0.52999404748781942</v>
      </c>
      <c r="C12" s="275">
        <f>C10</f>
        <v>0.52999404748781942</v>
      </c>
      <c r="D12" s="231"/>
      <c r="Z12" t="s">
        <v>401</v>
      </c>
      <c r="AA12" t="s">
        <v>399</v>
      </c>
      <c r="AE12" t="s">
        <v>1906</v>
      </c>
      <c r="AF12" t="s">
        <v>73</v>
      </c>
      <c r="AG12" t="s">
        <v>669</v>
      </c>
    </row>
    <row r="13" spans="1:35" ht="15" customHeight="1">
      <c r="A13" s="147" t="s">
        <v>645</v>
      </c>
      <c r="B13" s="1266">
        <f t="shared" si="0"/>
        <v>0.27006172839506171</v>
      </c>
      <c r="C13" s="258">
        <f>245/907.2</f>
        <v>0.27006172839506171</v>
      </c>
      <c r="D13" s="259"/>
      <c r="Z13" t="s">
        <v>391</v>
      </c>
      <c r="AA13" t="s">
        <v>546</v>
      </c>
      <c r="AF13" t="s">
        <v>148</v>
      </c>
      <c r="AG13" t="s">
        <v>73</v>
      </c>
    </row>
    <row r="14" spans="1:35" ht="15" customHeight="1">
      <c r="A14" s="147" t="s">
        <v>258</v>
      </c>
      <c r="B14" s="1266">
        <f t="shared" si="0"/>
        <v>1.9504980000000001</v>
      </c>
      <c r="C14" s="258">
        <v>1.9504980000000001</v>
      </c>
      <c r="D14" s="259"/>
      <c r="Z14" t="s">
        <v>42</v>
      </c>
      <c r="AA14" t="s">
        <v>1769</v>
      </c>
      <c r="AF14" t="s">
        <v>149</v>
      </c>
      <c r="AG14" t="s">
        <v>148</v>
      </c>
    </row>
    <row r="15" spans="1:35" ht="15" customHeight="1">
      <c r="A15" s="147" t="s">
        <v>396</v>
      </c>
      <c r="B15" s="1266">
        <f t="shared" si="0"/>
        <v>0.3066358024691358</v>
      </c>
      <c r="C15" s="258">
        <f>278.18/907.2</f>
        <v>0.3066358024691358</v>
      </c>
      <c r="D15" s="259"/>
      <c r="Z15" t="s">
        <v>147</v>
      </c>
      <c r="AA15" t="s">
        <v>67</v>
      </c>
      <c r="AF15" t="s">
        <v>1906</v>
      </c>
      <c r="AG15" t="s">
        <v>149</v>
      </c>
    </row>
    <row r="16" spans="1:35" ht="15" customHeight="1">
      <c r="A16" s="147" t="s">
        <v>395</v>
      </c>
      <c r="B16" s="1266">
        <f t="shared" si="0"/>
        <v>0.56550992912642917</v>
      </c>
      <c r="C16" s="275">
        <v>0.56550992912642917</v>
      </c>
      <c r="D16" s="259"/>
      <c r="Z16" t="s">
        <v>54</v>
      </c>
      <c r="AA16" t="s">
        <v>525</v>
      </c>
      <c r="AG16" t="s">
        <v>1398</v>
      </c>
    </row>
    <row r="17" spans="1:33" ht="15" customHeight="1">
      <c r="A17" s="147" t="s">
        <v>259</v>
      </c>
      <c r="B17" s="1266">
        <f t="shared" si="0"/>
        <v>1.4594</v>
      </c>
      <c r="C17" s="275">
        <v>1.4594</v>
      </c>
      <c r="D17" s="259"/>
      <c r="Z17" t="s">
        <v>56</v>
      </c>
      <c r="AA17" t="s">
        <v>544</v>
      </c>
      <c r="AG17" t="s">
        <v>1400</v>
      </c>
    </row>
    <row r="18" spans="1:33" ht="15" customHeight="1">
      <c r="A18" s="147" t="s">
        <v>400</v>
      </c>
      <c r="B18" s="1266">
        <f t="shared" si="0"/>
        <v>0.13166</v>
      </c>
      <c r="C18" s="275">
        <v>0.13166</v>
      </c>
      <c r="D18" s="259"/>
      <c r="S18" s="111"/>
      <c r="Z18" t="s">
        <v>41</v>
      </c>
      <c r="AA18" t="s">
        <v>39</v>
      </c>
      <c r="AG18" t="s">
        <v>1399</v>
      </c>
    </row>
    <row r="19" spans="1:33" ht="15" customHeight="1">
      <c r="A19" s="147" t="s">
        <v>38</v>
      </c>
      <c r="B19" s="1266">
        <f t="shared" si="0"/>
        <v>0.13166</v>
      </c>
      <c r="C19" s="275">
        <f>C18</f>
        <v>0.13166</v>
      </c>
      <c r="D19" s="259"/>
      <c r="Z19" t="s">
        <v>398</v>
      </c>
      <c r="AA19" t="s">
        <v>402</v>
      </c>
      <c r="AG19" t="s">
        <v>1906</v>
      </c>
    </row>
    <row r="20" spans="1:33" ht="15" customHeight="1">
      <c r="A20" s="147" t="s">
        <v>399</v>
      </c>
      <c r="B20" s="1266">
        <f t="shared" si="0"/>
        <v>17.14</v>
      </c>
      <c r="C20" s="275">
        <v>17.14</v>
      </c>
      <c r="D20" s="259"/>
      <c r="Z20" t="s">
        <v>57</v>
      </c>
      <c r="AA20" t="s">
        <v>401</v>
      </c>
      <c r="AG20" t="s">
        <v>447</v>
      </c>
    </row>
    <row r="21" spans="1:33" ht="15" customHeight="1">
      <c r="A21" s="147" t="s">
        <v>546</v>
      </c>
      <c r="B21" s="1267">
        <f t="shared" si="0"/>
        <v>34.893805309734518</v>
      </c>
      <c r="C21" s="275">
        <v>34.893805309734518</v>
      </c>
      <c r="D21" s="259"/>
      <c r="Z21" t="s">
        <v>58</v>
      </c>
      <c r="AA21" t="s">
        <v>391</v>
      </c>
      <c r="AG21" t="s">
        <v>488</v>
      </c>
    </row>
    <row r="22" spans="1:33" ht="15" customHeight="1">
      <c r="A22" s="147" t="s">
        <v>1769</v>
      </c>
      <c r="B22" s="1267">
        <f t="shared" si="0"/>
        <v>0.2975336446534036</v>
      </c>
      <c r="C22" s="275">
        <v>0.2975336446534036</v>
      </c>
      <c r="D22" s="259"/>
      <c r="Z22" t="s">
        <v>59</v>
      </c>
      <c r="AA22" t="s">
        <v>539</v>
      </c>
      <c r="AG22" t="s">
        <v>489</v>
      </c>
    </row>
    <row r="23" spans="1:33" ht="15" customHeight="1">
      <c r="A23" s="147" t="s">
        <v>67</v>
      </c>
      <c r="B23" s="1266">
        <f t="shared" ref="B23:B31" si="1">IF(D23&gt;0,D23,C23)</f>
        <v>2.7</v>
      </c>
      <c r="C23" s="258">
        <f>'BatPaC IO'!E5</f>
        <v>2.7</v>
      </c>
      <c r="D23" s="259"/>
      <c r="Z23" t="s">
        <v>60</v>
      </c>
      <c r="AA23" t="s">
        <v>538</v>
      </c>
      <c r="AG23" t="s">
        <v>547</v>
      </c>
    </row>
    <row r="24" spans="1:33" ht="15" customHeight="1">
      <c r="A24" s="147" t="s">
        <v>525</v>
      </c>
      <c r="B24" s="1267">
        <f t="shared" si="1"/>
        <v>0.2</v>
      </c>
      <c r="C24" s="275">
        <v>0.2</v>
      </c>
      <c r="D24" s="231"/>
      <c r="Z24" t="s">
        <v>61</v>
      </c>
    </row>
    <row r="25" spans="1:33" ht="15" customHeight="1">
      <c r="A25" s="147" t="s">
        <v>544</v>
      </c>
      <c r="B25" s="1267">
        <f t="shared" si="1"/>
        <v>1.1419999999999999</v>
      </c>
      <c r="C25" s="275">
        <v>1.1419999999999999</v>
      </c>
      <c r="D25" s="231"/>
      <c r="Z25" t="s">
        <v>62</v>
      </c>
    </row>
    <row r="26" spans="1:33" ht="15" customHeight="1">
      <c r="A26" s="147" t="s">
        <v>39</v>
      </c>
      <c r="B26" s="1266">
        <f t="shared" si="1"/>
        <v>4.6420000000000003E-2</v>
      </c>
      <c r="C26" s="258">
        <v>4.6420000000000003E-2</v>
      </c>
      <c r="D26" s="259"/>
      <c r="Z26" t="s">
        <v>439</v>
      </c>
      <c r="AD26" t="s">
        <v>1874</v>
      </c>
      <c r="AF26" t="s">
        <v>1899</v>
      </c>
    </row>
    <row r="27" spans="1:33" ht="15" customHeight="1">
      <c r="A27" s="147" t="s">
        <v>402</v>
      </c>
      <c r="B27" s="1266">
        <f t="shared" si="1"/>
        <v>0.02</v>
      </c>
      <c r="C27" s="258">
        <v>0.02</v>
      </c>
      <c r="D27" s="259"/>
      <c r="Z27" t="s">
        <v>73</v>
      </c>
      <c r="AD27" t="s">
        <v>1875</v>
      </c>
      <c r="AF27" t="s">
        <v>1900</v>
      </c>
    </row>
    <row r="28" spans="1:33" ht="15" customHeight="1">
      <c r="A28" s="147" t="s">
        <v>401</v>
      </c>
      <c r="B28" s="1268">
        <f t="shared" si="1"/>
        <v>0.02</v>
      </c>
      <c r="C28" s="258">
        <v>0.02</v>
      </c>
      <c r="D28" s="260"/>
      <c r="Z28" t="s">
        <v>148</v>
      </c>
      <c r="AD28" t="s">
        <v>1876</v>
      </c>
      <c r="AF28" t="s">
        <v>36</v>
      </c>
    </row>
    <row r="29" spans="1:33" ht="15" customHeight="1">
      <c r="A29" s="147" t="s">
        <v>391</v>
      </c>
      <c r="B29" s="1266">
        <f>IF(D29&gt;0,D29,C29)</f>
        <v>0.14319999999999999</v>
      </c>
      <c r="C29" s="258">
        <v>0.14319999999999999</v>
      </c>
      <c r="D29" s="259"/>
      <c r="Z29" t="s">
        <v>149</v>
      </c>
    </row>
    <row r="30" spans="1:33" ht="15" customHeight="1">
      <c r="A30" s="147" t="s">
        <v>539</v>
      </c>
      <c r="B30" s="1267">
        <f>IF(D30&gt;0,D30,C30)</f>
        <v>0.45</v>
      </c>
      <c r="C30" s="275">
        <v>0.45</v>
      </c>
      <c r="D30" s="231"/>
      <c r="Z30" s="82" t="s">
        <v>535</v>
      </c>
    </row>
    <row r="31" spans="1:33" ht="15" customHeight="1">
      <c r="A31" s="1183" t="s">
        <v>538</v>
      </c>
      <c r="B31" s="1269">
        <f t="shared" si="1"/>
        <v>8.3358565256891184E-2</v>
      </c>
      <c r="C31" s="973">
        <v>8.3358565256891184E-2</v>
      </c>
      <c r="D31" s="1235"/>
      <c r="Z31" s="82" t="s">
        <v>536</v>
      </c>
    </row>
    <row r="32" spans="1:33" ht="15" customHeight="1">
      <c r="Z32" s="82" t="s">
        <v>537</v>
      </c>
    </row>
    <row r="33" spans="1:26" ht="15" customHeight="1">
      <c r="Z33" s="82" t="s">
        <v>538</v>
      </c>
    </row>
    <row r="34" spans="1:26" ht="15" customHeight="1">
      <c r="A34" s="133" t="s">
        <v>1265</v>
      </c>
      <c r="C34" s="1280" t="s">
        <v>1539</v>
      </c>
      <c r="Z34" s="82" t="s">
        <v>539</v>
      </c>
    </row>
    <row r="35" spans="1:26" ht="15" customHeight="1">
      <c r="A35" s="1022" t="s">
        <v>460</v>
      </c>
      <c r="B35" s="557" t="s">
        <v>51</v>
      </c>
      <c r="C35" s="557" t="s">
        <v>63</v>
      </c>
      <c r="D35" s="556" t="s">
        <v>52</v>
      </c>
      <c r="Z35" s="82" t="s">
        <v>540</v>
      </c>
    </row>
    <row r="36" spans="1:26" ht="15" customHeight="1">
      <c r="A36" s="147" t="s">
        <v>535</v>
      </c>
      <c r="B36" s="632">
        <f>IF(D36&gt;0,D36,C36)</f>
        <v>0.4</v>
      </c>
      <c r="C36" s="565">
        <v>0.4</v>
      </c>
      <c r="D36" s="249"/>
      <c r="Z36" s="82" t="s">
        <v>541</v>
      </c>
    </row>
    <row r="37" spans="1:26">
      <c r="A37" s="147" t="s">
        <v>534</v>
      </c>
      <c r="B37" s="632">
        <f t="shared" ref="B37:B56" si="2">IF(D37&gt;0,D37,C37)</f>
        <v>0.52999404748781942</v>
      </c>
      <c r="C37" s="275">
        <v>0.52999404748781942</v>
      </c>
      <c r="D37" s="231"/>
      <c r="Z37" s="82" t="s">
        <v>542</v>
      </c>
    </row>
    <row r="38" spans="1:26">
      <c r="A38" s="147" t="s">
        <v>1302</v>
      </c>
      <c r="B38" s="632">
        <f t="shared" si="2"/>
        <v>0.52999404748781942</v>
      </c>
      <c r="C38" s="275">
        <f>C37</f>
        <v>0.52999404748781942</v>
      </c>
      <c r="D38" s="231"/>
      <c r="Z38" s="82" t="s">
        <v>543</v>
      </c>
    </row>
    <row r="39" spans="1:26">
      <c r="A39" s="147" t="s">
        <v>540</v>
      </c>
      <c r="B39" s="632">
        <f t="shared" si="2"/>
        <v>0.52999404748781942</v>
      </c>
      <c r="C39" s="275">
        <f>C37</f>
        <v>0.52999404748781942</v>
      </c>
      <c r="D39" s="231"/>
      <c r="Z39" s="82" t="s">
        <v>525</v>
      </c>
    </row>
    <row r="40" spans="1:26">
      <c r="A40" s="147" t="s">
        <v>705</v>
      </c>
      <c r="B40" s="632">
        <f t="shared" si="2"/>
        <v>36.964965207145823</v>
      </c>
      <c r="C40" s="275">
        <f>'BatPaC IO'!$D$8*'Mat. Conv Par.'!$H$43/'Mat. Conv Par.'!$L$43</f>
        <v>36.964965207145823</v>
      </c>
      <c r="D40" s="231"/>
      <c r="Z40" s="82" t="s">
        <v>544</v>
      </c>
    </row>
    <row r="41" spans="1:26">
      <c r="A41" s="147" t="s">
        <v>542</v>
      </c>
      <c r="B41" s="632">
        <f t="shared" si="2"/>
        <v>19.146690607617817</v>
      </c>
      <c r="C41" s="275">
        <f>'BatPaC IO'!$D$8*'Mat. Conv Par.'!$H$43/'Mat. Conv Par.'!$J$43</f>
        <v>19.146690607617817</v>
      </c>
      <c r="D41" s="231"/>
      <c r="Z41" s="82" t="s">
        <v>545</v>
      </c>
    </row>
    <row r="42" spans="1:26">
      <c r="A42" s="147" t="s">
        <v>395</v>
      </c>
      <c r="B42" s="632">
        <f t="shared" si="2"/>
        <v>0.56550992912642917</v>
      </c>
      <c r="C42" s="275">
        <v>0.56550992912642917</v>
      </c>
      <c r="D42" s="231"/>
      <c r="Z42" s="82" t="s">
        <v>534</v>
      </c>
    </row>
    <row r="43" spans="1:26">
      <c r="A43" s="147" t="s">
        <v>259</v>
      </c>
      <c r="B43" s="632">
        <f t="shared" si="2"/>
        <v>1.4594</v>
      </c>
      <c r="C43" s="275">
        <v>1.4594</v>
      </c>
      <c r="D43" s="231"/>
    </row>
    <row r="44" spans="1:26" ht="15" customHeight="1">
      <c r="A44" s="147" t="s">
        <v>536</v>
      </c>
      <c r="B44" s="632">
        <f t="shared" si="2"/>
        <v>0.64575421009730638</v>
      </c>
      <c r="C44" s="1241">
        <f>2.2/3.78541/1.5/0.6</f>
        <v>0.64575421009730638</v>
      </c>
      <c r="D44" s="231"/>
    </row>
    <row r="45" spans="1:26" ht="15" customHeight="1">
      <c r="A45" s="147" t="s">
        <v>400</v>
      </c>
      <c r="B45" s="632">
        <f t="shared" si="2"/>
        <v>0.13166</v>
      </c>
      <c r="C45" s="275">
        <v>0.13166</v>
      </c>
      <c r="D45" s="231"/>
    </row>
    <row r="46" spans="1:26" ht="15" customHeight="1">
      <c r="A46" s="147" t="s">
        <v>38</v>
      </c>
      <c r="B46" s="632">
        <f t="shared" si="2"/>
        <v>0.13166</v>
      </c>
      <c r="C46" s="275">
        <f>C45</f>
        <v>0.13166</v>
      </c>
      <c r="D46" s="231"/>
    </row>
    <row r="47" spans="1:26" ht="15" customHeight="1">
      <c r="A47" s="147" t="s">
        <v>399</v>
      </c>
      <c r="B47" s="632">
        <f t="shared" si="2"/>
        <v>17.14</v>
      </c>
      <c r="C47" s="275">
        <v>17.14</v>
      </c>
      <c r="D47" s="231"/>
    </row>
    <row r="48" spans="1:26" ht="15" customHeight="1">
      <c r="A48" s="147" t="s">
        <v>546</v>
      </c>
      <c r="B48" s="632">
        <f t="shared" si="2"/>
        <v>34.893805309734518</v>
      </c>
      <c r="C48" s="275">
        <v>34.893805309734518</v>
      </c>
      <c r="D48" s="231"/>
    </row>
    <row r="49" spans="1:4" ht="15" customHeight="1">
      <c r="A49" s="147" t="s">
        <v>541</v>
      </c>
      <c r="B49" s="632">
        <f t="shared" si="2"/>
        <v>2.1913071129307982</v>
      </c>
      <c r="C49" s="275">
        <f>'BatPaC IO'!$C$8*'Mat. Conv Par.'!$G$150*2/'Mat. Conv Par.'!$H$150</f>
        <v>2.1913071129307982</v>
      </c>
      <c r="D49" s="231"/>
    </row>
    <row r="50" spans="1:4" ht="15" customHeight="1">
      <c r="A50" s="147" t="s">
        <v>537</v>
      </c>
      <c r="B50" s="632">
        <f t="shared" si="2"/>
        <v>1.1449942464254306</v>
      </c>
      <c r="C50" s="275">
        <f>'BatPaC IO'!$C$8*'Mat. Conv Par.'!$G$150/'Mat. Conv Par.'!$I$150</f>
        <v>1.1449942464254306</v>
      </c>
      <c r="D50" s="231"/>
    </row>
    <row r="51" spans="1:4" ht="15" customHeight="1">
      <c r="A51" s="147" t="s">
        <v>543</v>
      </c>
      <c r="B51" s="632">
        <f t="shared" si="2"/>
        <v>6.3947711700064653</v>
      </c>
      <c r="C51" s="275">
        <f>'BatPaC IO'!$B$8*'Mat. Conv Par.'!$H$45/'Mat. Conv Par.'!$J$45</f>
        <v>6.3947711700064653</v>
      </c>
      <c r="D51" s="231"/>
    </row>
    <row r="52" spans="1:4" ht="15" customHeight="1">
      <c r="A52" s="147" t="s">
        <v>525</v>
      </c>
      <c r="B52" s="632">
        <f t="shared" si="2"/>
        <v>0.2</v>
      </c>
      <c r="C52" s="275">
        <v>0.2</v>
      </c>
      <c r="D52" s="231"/>
    </row>
    <row r="53" spans="1:4" ht="15" customHeight="1">
      <c r="A53" s="147" t="s">
        <v>544</v>
      </c>
      <c r="B53" s="632">
        <f t="shared" si="2"/>
        <v>1.1419999999999999</v>
      </c>
      <c r="C53" s="275">
        <v>1.1419999999999999</v>
      </c>
      <c r="D53" s="231"/>
    </row>
    <row r="54" spans="1:4" ht="15" customHeight="1">
      <c r="A54" s="147" t="s">
        <v>545</v>
      </c>
      <c r="B54" s="632">
        <f t="shared" si="2"/>
        <v>0.68</v>
      </c>
      <c r="C54" s="275">
        <v>0.68</v>
      </c>
      <c r="D54" s="231"/>
    </row>
    <row r="55" spans="1:4" ht="15" customHeight="1">
      <c r="A55" s="147" t="s">
        <v>539</v>
      </c>
      <c r="B55" s="632">
        <f t="shared" si="2"/>
        <v>0.45</v>
      </c>
      <c r="C55" s="275">
        <v>0.45</v>
      </c>
      <c r="D55" s="231"/>
    </row>
    <row r="56" spans="1:4" ht="15" customHeight="1">
      <c r="A56" s="253" t="s">
        <v>538</v>
      </c>
      <c r="B56" s="633">
        <f t="shared" si="2"/>
        <v>8.3358565256891184E-2</v>
      </c>
      <c r="C56" s="973">
        <v>8.3358565256891184E-2</v>
      </c>
      <c r="D56" s="151"/>
    </row>
    <row r="57" spans="1:4" ht="15" customHeight="1"/>
    <row r="58" spans="1:4">
      <c r="A58" s="133" t="s">
        <v>1266</v>
      </c>
      <c r="C58" s="1280" t="s">
        <v>1993</v>
      </c>
    </row>
    <row r="59" spans="1:4">
      <c r="A59" s="1022" t="s">
        <v>460</v>
      </c>
      <c r="B59" s="557" t="s">
        <v>51</v>
      </c>
      <c r="C59" s="557" t="s">
        <v>63</v>
      </c>
      <c r="D59" s="556" t="s">
        <v>52</v>
      </c>
    </row>
    <row r="60" spans="1:4">
      <c r="A60" s="147" t="s">
        <v>535</v>
      </c>
      <c r="B60" s="632">
        <f>IF(D60&gt;0,D60,C60)</f>
        <v>0.4</v>
      </c>
      <c r="C60" s="565">
        <v>0.4</v>
      </c>
      <c r="D60" s="901"/>
    </row>
    <row r="61" spans="1:4">
      <c r="A61" s="147" t="s">
        <v>534</v>
      </c>
      <c r="B61" s="632">
        <f t="shared" ref="B61:B77" si="3">IF(D61&gt;0,D61,C61)</f>
        <v>0.52999404748781942</v>
      </c>
      <c r="C61" s="275">
        <v>0.52999404748781942</v>
      </c>
      <c r="D61" s="901"/>
    </row>
    <row r="62" spans="1:4">
      <c r="A62" s="147" t="s">
        <v>540</v>
      </c>
      <c r="B62" s="632">
        <f t="shared" si="3"/>
        <v>0.52999404748781942</v>
      </c>
      <c r="C62" s="275">
        <f>C61</f>
        <v>0.52999404748781942</v>
      </c>
      <c r="D62" s="901"/>
    </row>
    <row r="63" spans="1:4">
      <c r="A63" s="147" t="s">
        <v>705</v>
      </c>
      <c r="B63" s="632">
        <f t="shared" si="3"/>
        <v>36.964965207145823</v>
      </c>
      <c r="C63" s="275">
        <f>'BatPaC IO'!$D$8*'Mat. Conv Par.'!$H$43/'Mat. Conv Par.'!$L$43</f>
        <v>36.964965207145823</v>
      </c>
      <c r="D63" s="901"/>
    </row>
    <row r="64" spans="1:4">
      <c r="A64" s="147" t="s">
        <v>542</v>
      </c>
      <c r="B64" s="632">
        <f t="shared" si="3"/>
        <v>19.146690607617817</v>
      </c>
      <c r="C64" s="275">
        <f>'BatPaC IO'!$D$8*'Mat. Conv Par.'!$H$43/'Mat. Conv Par.'!$J$43</f>
        <v>19.146690607617817</v>
      </c>
      <c r="D64" s="901"/>
    </row>
    <row r="65" spans="1:4">
      <c r="A65" s="147" t="s">
        <v>395</v>
      </c>
      <c r="B65" s="632">
        <f t="shared" si="3"/>
        <v>0.56550992912642917</v>
      </c>
      <c r="C65" s="275">
        <v>0.56550992912642917</v>
      </c>
      <c r="D65" s="901"/>
    </row>
    <row r="66" spans="1:4">
      <c r="A66" s="147" t="s">
        <v>259</v>
      </c>
      <c r="B66" s="632">
        <f t="shared" si="3"/>
        <v>1.4594</v>
      </c>
      <c r="C66" s="275">
        <v>1.4594</v>
      </c>
      <c r="D66" s="901"/>
    </row>
    <row r="67" spans="1:4">
      <c r="A67" s="147" t="s">
        <v>536</v>
      </c>
      <c r="B67" s="632">
        <f t="shared" si="3"/>
        <v>0.64575421009730638</v>
      </c>
      <c r="C67" s="1241">
        <f>2.2/3.78541/1.5/0.6</f>
        <v>0.64575421009730638</v>
      </c>
      <c r="D67" s="901"/>
    </row>
    <row r="68" spans="1:4">
      <c r="A68" s="147" t="s">
        <v>400</v>
      </c>
      <c r="B68" s="632">
        <f t="shared" si="3"/>
        <v>0.13166</v>
      </c>
      <c r="C68" s="275">
        <v>0.13166</v>
      </c>
      <c r="D68" s="901"/>
    </row>
    <row r="69" spans="1:4">
      <c r="A69" s="147" t="s">
        <v>38</v>
      </c>
      <c r="B69" s="632">
        <f t="shared" si="3"/>
        <v>0.13166</v>
      </c>
      <c r="C69" s="275">
        <f>C68</f>
        <v>0.13166</v>
      </c>
      <c r="D69" s="901"/>
    </row>
    <row r="70" spans="1:4">
      <c r="A70" s="147" t="s">
        <v>399</v>
      </c>
      <c r="B70" s="632">
        <f t="shared" si="3"/>
        <v>17.14</v>
      </c>
      <c r="C70" s="275">
        <v>17.14</v>
      </c>
      <c r="D70" s="901"/>
    </row>
    <row r="71" spans="1:4">
      <c r="A71" s="147" t="s">
        <v>546</v>
      </c>
      <c r="B71" s="632">
        <f t="shared" si="3"/>
        <v>34.893805309734518</v>
      </c>
      <c r="C71" s="275">
        <v>34.893805309734518</v>
      </c>
      <c r="D71" s="901"/>
    </row>
    <row r="72" spans="1:4">
      <c r="A72" s="147" t="s">
        <v>541</v>
      </c>
      <c r="B72" s="632">
        <f t="shared" si="3"/>
        <v>2.1913071129307982</v>
      </c>
      <c r="C72" s="275">
        <f>'BatPaC IO'!$C$8*'Mat. Conv Par.'!$G$150*2/'Mat. Conv Par.'!$H$150</f>
        <v>2.1913071129307982</v>
      </c>
      <c r="D72" s="901"/>
    </row>
    <row r="73" spans="1:4">
      <c r="A73" s="147" t="s">
        <v>1992</v>
      </c>
      <c r="B73" s="632">
        <f t="shared" si="3"/>
        <v>1.1449942464254306</v>
      </c>
      <c r="C73" s="275">
        <f>'BatPaC IO'!$C$8*'Mat. Conv Par.'!$G$150/'Mat. Conv Par.'!$I$150</f>
        <v>1.1449942464254306</v>
      </c>
      <c r="D73" s="901"/>
    </row>
    <row r="74" spans="1:4">
      <c r="A74" s="147" t="s">
        <v>543</v>
      </c>
      <c r="B74" s="632">
        <f t="shared" si="3"/>
        <v>6.3947711700064653</v>
      </c>
      <c r="C74" s="275">
        <f>'BatPaC IO'!$B$8*'Mat. Conv Par.'!$H$45/'Mat. Conv Par.'!$J$45</f>
        <v>6.3947711700064653</v>
      </c>
      <c r="D74" s="901"/>
    </row>
    <row r="75" spans="1:4">
      <c r="A75" s="147" t="s">
        <v>525</v>
      </c>
      <c r="B75" s="632">
        <f t="shared" si="3"/>
        <v>0.2</v>
      </c>
      <c r="C75" s="275">
        <v>0.2</v>
      </c>
      <c r="D75" s="901"/>
    </row>
    <row r="76" spans="1:4">
      <c r="A76" s="147" t="s">
        <v>544</v>
      </c>
      <c r="B76" s="632">
        <f t="shared" si="3"/>
        <v>1.1419999999999999</v>
      </c>
      <c r="C76" s="275">
        <v>1.1419999999999999</v>
      </c>
      <c r="D76" s="901"/>
    </row>
    <row r="77" spans="1:4">
      <c r="A77" s="147" t="s">
        <v>391</v>
      </c>
      <c r="B77" s="632">
        <f t="shared" si="3"/>
        <v>0.14319999999999999</v>
      </c>
      <c r="C77" s="258">
        <v>0.14319999999999999</v>
      </c>
      <c r="D77" s="901"/>
    </row>
    <row r="78" spans="1:4">
      <c r="A78" s="147" t="s">
        <v>545</v>
      </c>
      <c r="B78" s="632">
        <f>IF(D78&gt;0,D78,C78)</f>
        <v>0.68</v>
      </c>
      <c r="C78" s="275">
        <v>0.68</v>
      </c>
      <c r="D78" s="901"/>
    </row>
    <row r="79" spans="1:4">
      <c r="A79" s="147" t="s">
        <v>539</v>
      </c>
      <c r="B79" s="632">
        <f>IF(D79&gt;0,D79,C79)</f>
        <v>0.45</v>
      </c>
      <c r="C79" s="275">
        <v>0.45</v>
      </c>
      <c r="D79" s="901"/>
    </row>
    <row r="80" spans="1:4">
      <c r="A80" s="253" t="s">
        <v>538</v>
      </c>
      <c r="B80" s="633">
        <f>IF(D80&gt;0,D80,C80)</f>
        <v>8.3358565256891184E-2</v>
      </c>
      <c r="C80" s="973">
        <v>8.3358565256891184E-2</v>
      </c>
      <c r="D80" s="902"/>
    </row>
    <row r="82" spans="1:4">
      <c r="A82" s="133" t="s">
        <v>1101</v>
      </c>
    </row>
    <row r="83" spans="1:4">
      <c r="A83" s="143"/>
      <c r="B83" s="144" t="s">
        <v>51</v>
      </c>
      <c r="C83" s="144" t="s">
        <v>63</v>
      </c>
      <c r="D83" s="146" t="s">
        <v>52</v>
      </c>
    </row>
    <row r="84" spans="1:4">
      <c r="A84" s="167" t="s">
        <v>398</v>
      </c>
      <c r="B84" s="612">
        <f>IF(D84&gt;0,D84,C84)</f>
        <v>1.1174777856</v>
      </c>
      <c r="C84" s="256">
        <v>1.1174777856</v>
      </c>
      <c r="D84" s="257"/>
    </row>
    <row r="85" spans="1:4">
      <c r="A85" s="147" t="s">
        <v>41</v>
      </c>
      <c r="B85" s="613">
        <f>IF(D85&gt;0,D85,C85)</f>
        <v>7.1116191035999989</v>
      </c>
      <c r="C85" s="258">
        <v>7.1116191035999989</v>
      </c>
      <c r="D85" s="259"/>
    </row>
    <row r="86" spans="1:4">
      <c r="A86" s="147" t="s">
        <v>439</v>
      </c>
      <c r="B86" s="613">
        <f>IF(D86&gt;0,D86,C86)</f>
        <v>0.32719999999999999</v>
      </c>
      <c r="C86" s="258">
        <v>0.32719999999999999</v>
      </c>
      <c r="D86" s="259"/>
    </row>
    <row r="87" spans="1:4">
      <c r="A87" s="147" t="s">
        <v>298</v>
      </c>
      <c r="B87" s="613">
        <f>IF(D87&gt;0,D87,C87)</f>
        <v>0.2</v>
      </c>
      <c r="C87" s="258">
        <v>0.2</v>
      </c>
      <c r="D87" s="259"/>
    </row>
    <row r="88" spans="1:4">
      <c r="A88" s="147" t="s">
        <v>42</v>
      </c>
      <c r="B88" s="613">
        <f ca="1">IF(D88&gt;0,D88,C88)</f>
        <v>50</v>
      </c>
      <c r="C88" s="258">
        <f ca="1">'BatPaC IO'!$K$5</f>
        <v>50</v>
      </c>
      <c r="D88" s="259"/>
    </row>
    <row r="89" spans="1:4">
      <c r="A89" s="147" t="s">
        <v>1029</v>
      </c>
      <c r="B89" s="613">
        <f t="shared" ref="B89:B102" ca="1" si="4">IF(D89&gt;0,D89,C89)</f>
        <v>25.5</v>
      </c>
      <c r="C89" s="258">
        <f ca="1">'BatPaC IO'!$B$5</f>
        <v>25.5</v>
      </c>
      <c r="D89" s="259"/>
    </row>
    <row r="90" spans="1:4">
      <c r="A90" s="147" t="s">
        <v>1540</v>
      </c>
      <c r="B90" s="613">
        <f t="shared" ca="1" si="4"/>
        <v>24</v>
      </c>
      <c r="C90" s="258">
        <f ca="1">'BatPaC IO'!$O$5</f>
        <v>24</v>
      </c>
      <c r="D90" s="259"/>
    </row>
    <row r="91" spans="1:4">
      <c r="A91" s="147" t="s">
        <v>667</v>
      </c>
      <c r="B91" s="613">
        <f t="shared" ca="1" si="4"/>
        <v>25</v>
      </c>
      <c r="C91" s="258">
        <f ca="1">'BatPaC IO'!$P$5</f>
        <v>25</v>
      </c>
      <c r="D91" s="259"/>
    </row>
    <row r="92" spans="1:4">
      <c r="A92" s="147" t="s">
        <v>669</v>
      </c>
      <c r="B92" s="613">
        <f t="shared" ca="1" si="4"/>
        <v>26</v>
      </c>
      <c r="C92" s="258">
        <f ca="1">'BatPaC IO'!$Q$5</f>
        <v>26</v>
      </c>
      <c r="D92" s="259"/>
    </row>
    <row r="93" spans="1:4">
      <c r="A93" s="147" t="s">
        <v>1923</v>
      </c>
      <c r="B93" s="613">
        <f t="shared" si="4"/>
        <v>8.57</v>
      </c>
      <c r="C93" s="275">
        <f>C70*0.5</f>
        <v>8.57</v>
      </c>
      <c r="D93" s="259"/>
    </row>
    <row r="94" spans="1:4">
      <c r="A94" s="147" t="s">
        <v>549</v>
      </c>
      <c r="B94" s="614">
        <f t="shared" si="4"/>
        <v>16.853000000000002</v>
      </c>
      <c r="C94" s="258">
        <f>'BatPaC IO'!$B$8</f>
        <v>16.853000000000002</v>
      </c>
      <c r="D94" s="260"/>
    </row>
    <row r="95" spans="1:4">
      <c r="A95" s="147" t="s">
        <v>548</v>
      </c>
      <c r="B95" s="614">
        <f t="shared" si="4"/>
        <v>50.353520799999998</v>
      </c>
      <c r="C95" s="258">
        <f>'BatPaC IO'!$D$8</f>
        <v>50.353520799999998</v>
      </c>
      <c r="D95" s="260"/>
    </row>
    <row r="96" spans="1:4">
      <c r="A96" s="147" t="s">
        <v>1395</v>
      </c>
      <c r="B96" s="614">
        <f t="shared" si="4"/>
        <v>3.1492555776</v>
      </c>
      <c r="C96" s="258">
        <f>'BatPaC IO'!$C$8</f>
        <v>3.1492555776</v>
      </c>
      <c r="D96" s="260"/>
    </row>
    <row r="97" spans="1:14">
      <c r="A97" s="147" t="s">
        <v>148</v>
      </c>
      <c r="B97" s="614">
        <f t="shared" si="4"/>
        <v>9</v>
      </c>
      <c r="C97" s="258">
        <f>'BatPaC IO'!$N$5</f>
        <v>9</v>
      </c>
      <c r="D97" s="260"/>
    </row>
    <row r="98" spans="1:14">
      <c r="A98" s="147" t="s">
        <v>73</v>
      </c>
      <c r="B98" s="614">
        <f t="shared" ca="1" si="4"/>
        <v>26</v>
      </c>
      <c r="C98" s="258">
        <f ca="1">'BatPaC IO'!$R$5</f>
        <v>26</v>
      </c>
      <c r="D98" s="260"/>
    </row>
    <row r="99" spans="1:14">
      <c r="A99" s="147" t="s">
        <v>149</v>
      </c>
      <c r="B99" s="614">
        <f t="shared" si="4"/>
        <v>10</v>
      </c>
      <c r="C99" s="258">
        <f>'BatPaC IO'!$S$5</f>
        <v>10</v>
      </c>
      <c r="D99" s="260"/>
    </row>
    <row r="100" spans="1:14">
      <c r="A100" s="147" t="s">
        <v>299</v>
      </c>
      <c r="B100" s="614">
        <f t="shared" si="4"/>
        <v>0.15</v>
      </c>
      <c r="C100" s="258">
        <v>0.15</v>
      </c>
      <c r="D100" s="260"/>
    </row>
    <row r="101" spans="1:14">
      <c r="A101" s="147" t="s">
        <v>54</v>
      </c>
      <c r="B101" s="614">
        <f t="shared" si="4"/>
        <v>0.2</v>
      </c>
      <c r="C101" s="258">
        <v>0.2</v>
      </c>
      <c r="D101" s="260"/>
    </row>
    <row r="102" spans="1:14">
      <c r="A102" s="267" t="s">
        <v>1914</v>
      </c>
      <c r="B102" s="1557">
        <f t="shared" si="4"/>
        <v>7.3665172679999991</v>
      </c>
      <c r="C102" s="268">
        <v>7.3665172679999991</v>
      </c>
      <c r="D102" s="269"/>
    </row>
    <row r="104" spans="1:14">
      <c r="A104" s="2" t="s">
        <v>1099</v>
      </c>
    </row>
    <row r="105" spans="1:14">
      <c r="C105" t="s">
        <v>405</v>
      </c>
      <c r="D105" t="s">
        <v>415</v>
      </c>
      <c r="E105" t="s">
        <v>416</v>
      </c>
      <c r="F105" t="s">
        <v>417</v>
      </c>
      <c r="G105" t="s">
        <v>418</v>
      </c>
      <c r="H105" t="s">
        <v>419</v>
      </c>
      <c r="I105" t="s">
        <v>420</v>
      </c>
      <c r="J105" t="s">
        <v>421</v>
      </c>
      <c r="K105" t="s">
        <v>1765</v>
      </c>
      <c r="L105" t="s">
        <v>1766</v>
      </c>
      <c r="M105" t="s">
        <v>1784</v>
      </c>
      <c r="N105" t="s">
        <v>1785</v>
      </c>
    </row>
    <row r="106" spans="1:14">
      <c r="A106" s="3"/>
      <c r="B106" s="4" t="s">
        <v>406</v>
      </c>
      <c r="C106" s="1121">
        <f>'Preproc. Par.'!AB74</f>
        <v>0</v>
      </c>
      <c r="D106" s="1121">
        <f>'Preproc. Par.'!AB75</f>
        <v>0</v>
      </c>
      <c r="E106" s="1578">
        <f>'Preproc. Par.'!BB74</f>
        <v>0</v>
      </c>
      <c r="F106" s="1578">
        <f>'Preproc. Par.'!BB75</f>
        <v>0</v>
      </c>
      <c r="G106" s="1121">
        <f>'CM Rec Par.'!BB99</f>
        <v>0</v>
      </c>
      <c r="H106" s="1121">
        <f>'CM Rec Par.'!BB100</f>
        <v>0</v>
      </c>
      <c r="I106" s="1121">
        <f>'CM Rec Par.'!CB99</f>
        <v>0</v>
      </c>
      <c r="J106" s="1121">
        <f>'CM Rec Par.'!CB100</f>
        <v>0</v>
      </c>
      <c r="K106" s="1121">
        <f>'CM Rec Par.'!DB99</f>
        <v>0</v>
      </c>
      <c r="L106" s="1121">
        <f>'CM Rec Par.'!DB100</f>
        <v>0</v>
      </c>
      <c r="M106" s="1121">
        <f>'CM Rec Par.'!EB100</f>
        <v>0</v>
      </c>
      <c r="N106" s="1121">
        <f>'CM Rec Par.'!EB101</f>
        <v>0</v>
      </c>
    </row>
    <row r="107" spans="1:14" ht="15" customHeight="1">
      <c r="A107" s="1797" t="s">
        <v>407</v>
      </c>
      <c r="B107" s="11" t="s">
        <v>412</v>
      </c>
      <c r="C107" s="69"/>
      <c r="D107" s="69"/>
      <c r="E107" s="1579"/>
      <c r="F107" s="1579"/>
      <c r="G107" s="69"/>
      <c r="H107" s="69"/>
      <c r="I107" s="76"/>
      <c r="J107" s="76"/>
      <c r="K107" s="76"/>
      <c r="L107" s="76"/>
      <c r="M107" s="76"/>
      <c r="N107" s="64"/>
    </row>
    <row r="108" spans="1:14">
      <c r="A108" s="1798"/>
      <c r="B108" s="28" t="s">
        <v>413</v>
      </c>
      <c r="C108" s="68"/>
      <c r="D108" s="68"/>
      <c r="E108" s="68"/>
      <c r="F108" s="68"/>
      <c r="G108" s="68"/>
      <c r="H108" s="68"/>
      <c r="I108" s="72"/>
      <c r="J108" s="72"/>
      <c r="K108" s="72"/>
      <c r="L108" s="72"/>
      <c r="M108" s="72"/>
      <c r="N108" s="30"/>
    </row>
    <row r="109" spans="1:14">
      <c r="A109" s="1799"/>
      <c r="B109" s="7" t="s">
        <v>414</v>
      </c>
      <c r="C109" s="71"/>
      <c r="D109" s="71"/>
      <c r="E109" s="71"/>
      <c r="F109" s="71"/>
      <c r="G109" s="71"/>
      <c r="H109" s="71"/>
      <c r="I109" s="73"/>
      <c r="J109" s="73"/>
      <c r="K109" s="73"/>
      <c r="L109" s="73"/>
      <c r="M109" s="73"/>
      <c r="N109" s="31"/>
    </row>
    <row r="110" spans="1:14">
      <c r="A110" s="33" t="s">
        <v>408</v>
      </c>
      <c r="B110" s="34" t="s">
        <v>409</v>
      </c>
      <c r="C110" s="74"/>
      <c r="D110" s="74"/>
      <c r="E110" s="1580"/>
      <c r="F110" s="1580"/>
      <c r="G110" s="74"/>
      <c r="H110" s="74"/>
      <c r="I110" s="75"/>
      <c r="J110" s="75"/>
      <c r="K110" s="75"/>
      <c r="L110" s="75"/>
      <c r="M110" s="75"/>
      <c r="N110" s="66"/>
    </row>
    <row r="111" spans="1:14">
      <c r="A111" s="33" t="s">
        <v>410</v>
      </c>
      <c r="B111" s="34" t="s">
        <v>411</v>
      </c>
      <c r="C111" s="1640"/>
      <c r="D111" s="1640"/>
      <c r="E111" s="1641"/>
      <c r="F111" s="1641"/>
      <c r="G111" s="1640"/>
      <c r="H111" s="1640"/>
      <c r="I111" s="1642"/>
      <c r="J111" s="1642"/>
      <c r="K111" s="1642"/>
      <c r="L111" s="1642"/>
      <c r="M111" s="1642"/>
      <c r="N111" s="1643"/>
    </row>
    <row r="112" spans="1:14">
      <c r="A112" s="1800" t="s">
        <v>1985</v>
      </c>
      <c r="B112" s="28" t="s">
        <v>1966</v>
      </c>
      <c r="N112" s="28"/>
    </row>
    <row r="113" spans="1:14">
      <c r="A113" s="1801"/>
      <c r="B113" s="28" t="s">
        <v>173</v>
      </c>
      <c r="C113" s="68"/>
      <c r="D113" s="68"/>
      <c r="E113" s="68"/>
      <c r="F113" s="68"/>
      <c r="G113" s="68"/>
      <c r="H113" s="68"/>
      <c r="I113" s="72"/>
      <c r="J113" s="72"/>
      <c r="K113" s="72"/>
      <c r="L113" s="72"/>
      <c r="M113" s="72"/>
      <c r="N113" s="30"/>
    </row>
    <row r="114" spans="1:14">
      <c r="A114" s="1801"/>
      <c r="B114" s="28" t="s">
        <v>174</v>
      </c>
      <c r="C114" s="68"/>
      <c r="D114" s="68"/>
      <c r="E114" s="68"/>
      <c r="F114" s="68"/>
      <c r="G114" s="68"/>
      <c r="H114" s="68"/>
      <c r="I114" s="72"/>
      <c r="J114" s="72"/>
      <c r="K114" s="72"/>
      <c r="L114" s="72"/>
      <c r="M114" s="72"/>
      <c r="N114" s="30"/>
    </row>
    <row r="115" spans="1:14">
      <c r="A115" s="1801"/>
      <c r="B115" s="28" t="s">
        <v>175</v>
      </c>
      <c r="C115" s="68"/>
      <c r="D115" s="68"/>
      <c r="E115" s="68"/>
      <c r="F115" s="68"/>
      <c r="G115" s="68"/>
      <c r="H115" s="68"/>
      <c r="I115" s="72"/>
      <c r="J115" s="72"/>
      <c r="K115" s="72"/>
      <c r="L115" s="72"/>
      <c r="M115" s="72"/>
      <c r="N115" s="30"/>
    </row>
    <row r="116" spans="1:14">
      <c r="A116" s="1801"/>
      <c r="B116" s="28" t="s">
        <v>176</v>
      </c>
      <c r="C116" s="68"/>
      <c r="D116" s="68"/>
      <c r="E116" s="68"/>
      <c r="F116" s="68"/>
      <c r="G116" s="68"/>
      <c r="H116" s="68"/>
      <c r="I116" s="72"/>
      <c r="J116" s="72"/>
      <c r="K116" s="72"/>
      <c r="L116" s="72"/>
      <c r="M116" s="72"/>
      <c r="N116" s="30"/>
    </row>
    <row r="117" spans="1:14">
      <c r="A117" s="1801"/>
      <c r="B117" s="28" t="s">
        <v>177</v>
      </c>
      <c r="C117" s="68"/>
      <c r="D117" s="68"/>
      <c r="E117" s="68"/>
      <c r="F117" s="68"/>
      <c r="G117" s="68"/>
      <c r="H117" s="68"/>
      <c r="I117" s="72"/>
      <c r="J117" s="72"/>
      <c r="K117" s="72"/>
      <c r="L117" s="72"/>
      <c r="M117" s="72"/>
      <c r="N117" s="30"/>
    </row>
    <row r="118" spans="1:14">
      <c r="A118" s="1801"/>
      <c r="B118" s="28" t="s">
        <v>1967</v>
      </c>
      <c r="C118" s="68"/>
      <c r="D118" s="68"/>
      <c r="E118" s="68"/>
      <c r="F118" s="68"/>
      <c r="G118" s="68"/>
      <c r="H118" s="68"/>
      <c r="I118" s="72"/>
      <c r="J118" s="72"/>
      <c r="K118" s="72"/>
      <c r="L118" s="72"/>
      <c r="M118" s="72"/>
      <c r="N118" s="30"/>
    </row>
    <row r="119" spans="1:14">
      <c r="A119" s="1801"/>
      <c r="B119" s="28" t="s">
        <v>1968</v>
      </c>
      <c r="N119" s="28"/>
    </row>
    <row r="120" spans="1:14">
      <c r="A120" s="1801"/>
      <c r="B120" s="28" t="s">
        <v>180</v>
      </c>
      <c r="C120" s="68"/>
      <c r="D120" s="68"/>
      <c r="E120" s="68"/>
      <c r="F120" s="68"/>
      <c r="G120" s="68"/>
      <c r="H120" s="68"/>
      <c r="I120" s="72"/>
      <c r="J120" s="72"/>
      <c r="K120" s="72"/>
      <c r="L120" s="72"/>
      <c r="M120" s="72"/>
      <c r="N120" s="30"/>
    </row>
    <row r="121" spans="1:14">
      <c r="A121" s="1801"/>
      <c r="B121" s="28" t="s">
        <v>181</v>
      </c>
      <c r="C121" s="68"/>
      <c r="D121" s="68"/>
      <c r="E121" s="68"/>
      <c r="F121" s="68"/>
      <c r="G121" s="68"/>
      <c r="H121" s="68"/>
      <c r="I121" s="72"/>
      <c r="J121" s="72"/>
      <c r="K121" s="72"/>
      <c r="L121" s="72"/>
      <c r="M121" s="72"/>
      <c r="N121" s="30"/>
    </row>
    <row r="122" spans="1:14">
      <c r="A122" s="1801"/>
      <c r="B122" s="28" t="s">
        <v>392</v>
      </c>
      <c r="C122" s="68"/>
      <c r="D122" s="68"/>
      <c r="E122" s="68"/>
      <c r="F122" s="68"/>
      <c r="G122" s="68"/>
      <c r="H122" s="68"/>
      <c r="I122" s="72"/>
      <c r="J122" s="72"/>
      <c r="K122" s="72"/>
      <c r="L122" s="72"/>
      <c r="M122" s="72"/>
      <c r="N122" s="30"/>
    </row>
    <row r="123" spans="1:14">
      <c r="A123" s="1801"/>
      <c r="B123" s="28" t="s">
        <v>183</v>
      </c>
      <c r="C123" s="68"/>
      <c r="D123" s="68"/>
      <c r="E123" s="68"/>
      <c r="F123" s="68"/>
      <c r="G123" s="68"/>
      <c r="H123" s="68"/>
      <c r="I123" s="72"/>
      <c r="J123" s="72"/>
      <c r="K123" s="72"/>
      <c r="L123" s="72"/>
      <c r="M123" s="72"/>
      <c r="N123" s="30"/>
    </row>
    <row r="124" spans="1:14">
      <c r="A124" s="1801"/>
      <c r="B124" s="28" t="s">
        <v>184</v>
      </c>
      <c r="C124" s="68"/>
      <c r="D124" s="68"/>
      <c r="E124" s="68"/>
      <c r="F124" s="68"/>
      <c r="G124" s="68"/>
      <c r="H124" s="68"/>
      <c r="I124" s="72"/>
      <c r="J124" s="72"/>
      <c r="K124" s="72"/>
      <c r="L124" s="72"/>
      <c r="M124" s="72"/>
      <c r="N124" s="30"/>
    </row>
    <row r="125" spans="1:14">
      <c r="A125" s="1801"/>
      <c r="B125" s="28" t="s">
        <v>185</v>
      </c>
      <c r="C125" s="68"/>
      <c r="D125" s="68"/>
      <c r="E125" s="68"/>
      <c r="F125" s="68"/>
      <c r="G125" s="68"/>
      <c r="H125" s="68"/>
      <c r="I125" s="72"/>
      <c r="J125" s="72"/>
      <c r="K125" s="72"/>
      <c r="L125" s="72"/>
      <c r="M125" s="72"/>
      <c r="N125" s="30"/>
    </row>
    <row r="126" spans="1:14">
      <c r="A126" s="1801"/>
      <c r="B126" s="28" t="s">
        <v>186</v>
      </c>
      <c r="C126" s="68"/>
      <c r="D126" s="68"/>
      <c r="E126" s="68"/>
      <c r="F126" s="68"/>
      <c r="G126" s="68"/>
      <c r="H126" s="68"/>
      <c r="I126" s="72"/>
      <c r="J126" s="72"/>
      <c r="K126" s="72"/>
      <c r="L126" s="72"/>
      <c r="M126" s="72"/>
      <c r="N126" s="30"/>
    </row>
    <row r="127" spans="1:14">
      <c r="A127" s="1801"/>
      <c r="B127" s="28" t="s">
        <v>187</v>
      </c>
      <c r="C127" s="68"/>
      <c r="D127" s="68"/>
      <c r="E127" s="68"/>
      <c r="F127" s="68"/>
      <c r="G127" s="68"/>
      <c r="H127" s="68"/>
      <c r="I127" s="72"/>
      <c r="J127" s="72"/>
      <c r="K127" s="72"/>
      <c r="L127" s="72"/>
      <c r="M127" s="72"/>
      <c r="N127" s="30"/>
    </row>
    <row r="128" spans="1:14">
      <c r="A128" s="1801"/>
      <c r="B128" s="28" t="s">
        <v>188</v>
      </c>
      <c r="C128" s="68"/>
      <c r="D128" s="68"/>
      <c r="E128" s="68"/>
      <c r="F128" s="68"/>
      <c r="G128" s="68"/>
      <c r="H128" s="68"/>
      <c r="I128" s="72"/>
      <c r="J128" s="72"/>
      <c r="K128" s="72"/>
      <c r="L128" s="72"/>
      <c r="M128" s="72"/>
      <c r="N128" s="30"/>
    </row>
    <row r="129" spans="1:14">
      <c r="A129" s="1801"/>
      <c r="B129" s="28" t="s">
        <v>189</v>
      </c>
      <c r="C129" s="68"/>
      <c r="D129" s="68"/>
      <c r="E129" s="68"/>
      <c r="F129" s="68"/>
      <c r="G129" s="68"/>
      <c r="H129" s="68"/>
      <c r="I129" s="72"/>
      <c r="J129" s="72"/>
      <c r="K129" s="72"/>
      <c r="L129" s="72"/>
      <c r="M129" s="72"/>
      <c r="N129" s="30"/>
    </row>
    <row r="130" spans="1:14">
      <c r="A130" s="1801"/>
      <c r="B130" s="28" t="s">
        <v>190</v>
      </c>
      <c r="C130" s="68"/>
      <c r="D130" s="68"/>
      <c r="E130" s="68"/>
      <c r="F130" s="68"/>
      <c r="G130" s="68"/>
      <c r="H130" s="68"/>
      <c r="I130" s="72"/>
      <c r="J130" s="72"/>
      <c r="K130" s="72"/>
      <c r="L130" s="72"/>
      <c r="M130" s="72"/>
      <c r="N130" s="30"/>
    </row>
    <row r="131" spans="1:14">
      <c r="A131" s="1801"/>
      <c r="B131" s="28" t="s">
        <v>393</v>
      </c>
      <c r="C131" s="68"/>
      <c r="D131" s="68"/>
      <c r="E131" s="68"/>
      <c r="F131" s="68"/>
      <c r="G131" s="68"/>
      <c r="H131" s="68"/>
      <c r="I131" s="72"/>
      <c r="J131" s="72"/>
      <c r="K131" s="72"/>
      <c r="L131" s="72"/>
      <c r="M131" s="72"/>
      <c r="N131" s="30"/>
    </row>
    <row r="132" spans="1:14">
      <c r="A132" s="1802"/>
      <c r="B132" s="7" t="s">
        <v>199</v>
      </c>
      <c r="C132" s="70"/>
      <c r="D132" s="71"/>
      <c r="E132" s="1581"/>
      <c r="F132" s="1581"/>
      <c r="G132" s="70"/>
      <c r="H132" s="71"/>
      <c r="I132" s="73"/>
      <c r="J132" s="73"/>
      <c r="K132" s="73"/>
      <c r="L132" s="73"/>
      <c r="M132" s="73"/>
      <c r="N132" s="31"/>
    </row>
    <row r="211" spans="1:35" ht="19.5" thickBot="1">
      <c r="Z211" s="26"/>
      <c r="AA211" s="26"/>
      <c r="AB211" s="26"/>
      <c r="AC211" s="26"/>
      <c r="AD211" s="26"/>
      <c r="AE211" s="26"/>
      <c r="AF211" s="26"/>
      <c r="AG211" s="26"/>
      <c r="AH211" s="26"/>
      <c r="AI211" s="26"/>
    </row>
    <row r="212" spans="1:35" ht="14.5" thickTop="1"/>
    <row r="217" spans="1:35" s="26" customFormat="1" ht="19.5" thickBot="1">
      <c r="A217" s="26" t="s">
        <v>407</v>
      </c>
      <c r="Z217"/>
      <c r="AA217"/>
      <c r="AB217"/>
      <c r="AC217"/>
      <c r="AD217"/>
      <c r="AE217"/>
      <c r="AF217"/>
      <c r="AG217"/>
      <c r="AH217"/>
      <c r="AI217"/>
    </row>
    <row r="218" spans="1:35" ht="14.5" thickTop="1">
      <c r="B218" s="1803" t="s">
        <v>1200</v>
      </c>
      <c r="C218" s="1803"/>
      <c r="D218" s="1803"/>
      <c r="E218" s="1803"/>
      <c r="F218" s="1803"/>
    </row>
    <row r="219" spans="1:35">
      <c r="B219" s="800" t="s">
        <v>1201</v>
      </c>
      <c r="C219" s="800" t="s">
        <v>1202</v>
      </c>
      <c r="D219" s="800" t="s">
        <v>1203</v>
      </c>
      <c r="E219" s="800" t="s">
        <v>1204</v>
      </c>
      <c r="F219" s="800"/>
    </row>
    <row r="220" spans="1:35" ht="16">
      <c r="B220" s="800" t="s">
        <v>1205</v>
      </c>
      <c r="C220" s="800" t="s">
        <v>1206</v>
      </c>
      <c r="D220" s="800" t="s">
        <v>1207</v>
      </c>
      <c r="E220" s="800" t="s">
        <v>1208</v>
      </c>
      <c r="F220" s="800" t="s">
        <v>1209</v>
      </c>
    </row>
    <row r="221" spans="1:35">
      <c r="B221" s="800" t="s">
        <v>1210</v>
      </c>
      <c r="C221" s="800" t="s">
        <v>1211</v>
      </c>
      <c r="D221" s="800" t="s">
        <v>1210</v>
      </c>
      <c r="E221" s="800" t="s">
        <v>1211</v>
      </c>
      <c r="F221" s="800" t="s">
        <v>1212</v>
      </c>
    </row>
    <row r="222" spans="1:35" ht="16">
      <c r="A222" t="s">
        <v>1213</v>
      </c>
      <c r="B222">
        <v>-68.13</v>
      </c>
      <c r="C222">
        <v>-38.42</v>
      </c>
      <c r="D222">
        <v>-55.71</v>
      </c>
      <c r="E222">
        <v>18.09</v>
      </c>
    </row>
    <row r="223" spans="1:35" ht="16">
      <c r="A223" t="s">
        <v>738</v>
      </c>
      <c r="B223">
        <v>-208.63</v>
      </c>
      <c r="C223">
        <v>-88.64</v>
      </c>
      <c r="D223">
        <v>-182.2</v>
      </c>
      <c r="E223">
        <v>23.33</v>
      </c>
      <c r="F223">
        <v>4.01</v>
      </c>
    </row>
    <row r="224" spans="1:35" ht="16">
      <c r="A224" t="s">
        <v>743</v>
      </c>
      <c r="B224">
        <v>-254.601</v>
      </c>
      <c r="C224">
        <v>-86.64</v>
      </c>
      <c r="D224">
        <v>-228.77</v>
      </c>
      <c r="E224">
        <v>23.94</v>
      </c>
      <c r="F224">
        <v>3.25</v>
      </c>
    </row>
    <row r="225" spans="1:15" ht="16">
      <c r="A225" t="s">
        <v>746</v>
      </c>
      <c r="B225">
        <v>-212.3</v>
      </c>
      <c r="C225">
        <v>-84.86</v>
      </c>
      <c r="D225">
        <v>-187</v>
      </c>
      <c r="E225">
        <v>24.67</v>
      </c>
      <c r="F225">
        <v>3.71</v>
      </c>
    </row>
    <row r="226" spans="1:15" ht="16">
      <c r="A226" t="s">
        <v>1037</v>
      </c>
      <c r="B226" s="744">
        <f>-3442/4.184</f>
        <v>-822.65774378585081</v>
      </c>
      <c r="C226" s="1040">
        <f>239.2/4.184</f>
        <v>57.170172084130016</v>
      </c>
      <c r="D226" s="744">
        <f>-3101/4.184</f>
        <v>-741.15678776290633</v>
      </c>
      <c r="E226" s="744">
        <f>259/4.184</f>
        <v>61.902485659655831</v>
      </c>
      <c r="F226">
        <v>2.71</v>
      </c>
      <c r="G226" t="s">
        <v>1215</v>
      </c>
    </row>
    <row r="227" spans="1:15" ht="16">
      <c r="A227" t="s">
        <v>1214</v>
      </c>
      <c r="B227">
        <v>-270.26</v>
      </c>
      <c r="C227">
        <v>-66.27</v>
      </c>
      <c r="D227">
        <v>-301.18</v>
      </c>
      <c r="E227">
        <v>26.3</v>
      </c>
      <c r="F227">
        <v>2.532</v>
      </c>
    </row>
    <row r="228" spans="1:15" ht="16">
      <c r="A228" t="s">
        <v>1216</v>
      </c>
      <c r="B228">
        <v>-166</v>
      </c>
      <c r="C228">
        <v>-61.44</v>
      </c>
      <c r="D228">
        <v>-147.68</v>
      </c>
      <c r="E228">
        <v>20.6</v>
      </c>
      <c r="F228">
        <v>4.3899999999999997</v>
      </c>
    </row>
    <row r="229" spans="1:15" ht="16">
      <c r="A229" t="s">
        <v>1217</v>
      </c>
      <c r="B229">
        <v>-213.69499999999999</v>
      </c>
      <c r="C229">
        <v>-62.11</v>
      </c>
      <c r="D229">
        <v>-195.18</v>
      </c>
      <c r="E229">
        <v>19.489999999999998</v>
      </c>
      <c r="F229">
        <v>3.7</v>
      </c>
    </row>
    <row r="230" spans="1:15" ht="16">
      <c r="A230" t="s">
        <v>1218</v>
      </c>
      <c r="B230">
        <v>-170.411</v>
      </c>
      <c r="C230">
        <v>-61.1</v>
      </c>
      <c r="D230">
        <v>-152.19</v>
      </c>
      <c r="E230">
        <v>19.14</v>
      </c>
      <c r="F230">
        <v>4.2</v>
      </c>
    </row>
    <row r="231" spans="1:15" ht="16">
      <c r="A231" t="s">
        <v>1220</v>
      </c>
      <c r="B231" s="1041">
        <f>B226</f>
        <v>-822.65774378585081</v>
      </c>
      <c r="C231" s="1041">
        <f>C226</f>
        <v>57.170172084130016</v>
      </c>
      <c r="D231" s="1041">
        <f>D226</f>
        <v>-741.15678776290633</v>
      </c>
      <c r="E231" s="1041">
        <f>E226</f>
        <v>61.902485659655831</v>
      </c>
      <c r="F231" s="1041">
        <f>F226</f>
        <v>2.71</v>
      </c>
      <c r="G231" t="s">
        <v>1221</v>
      </c>
    </row>
    <row r="232" spans="1:15" ht="16">
      <c r="A232" t="s">
        <v>1219</v>
      </c>
      <c r="B232">
        <v>-331.71600000000001</v>
      </c>
      <c r="C232">
        <v>-94.5</v>
      </c>
      <c r="D232">
        <v>-303.54000000000002</v>
      </c>
      <c r="E232">
        <v>30.62</v>
      </c>
      <c r="F232">
        <v>2.68</v>
      </c>
    </row>
    <row r="233" spans="1:15" ht="16">
      <c r="A233" t="s">
        <v>343</v>
      </c>
      <c r="B233">
        <v>-290.60000000000002</v>
      </c>
      <c r="E233">
        <v>35.595999999999997</v>
      </c>
      <c r="F233">
        <v>2.11</v>
      </c>
      <c r="G233" t="s">
        <v>1223</v>
      </c>
      <c r="O233">
        <v>600</v>
      </c>
    </row>
    <row r="234" spans="1:15">
      <c r="A234" t="s">
        <v>1243</v>
      </c>
      <c r="B234">
        <v>-57.29</v>
      </c>
      <c r="E234" s="740">
        <f>11.18+0.00202*O233</f>
        <v>12.391999999999999</v>
      </c>
      <c r="G234" t="s">
        <v>1248</v>
      </c>
    </row>
    <row r="235" spans="1:15">
      <c r="A235" t="s">
        <v>1244</v>
      </c>
      <c r="B235">
        <v>-92.07</v>
      </c>
      <c r="E235" s="740">
        <f>11.11+0.00194*O233-88000/(O233^2)</f>
        <v>12.029555555555556</v>
      </c>
      <c r="G235" t="s">
        <v>1249</v>
      </c>
    </row>
    <row r="236" spans="1:15">
      <c r="A236" t="s">
        <v>1245</v>
      </c>
      <c r="B236">
        <v>-56.87</v>
      </c>
      <c r="E236" s="740">
        <f>11.54+0.00204*O233+40000/(O233^2)</f>
        <v>12.87511111111111</v>
      </c>
      <c r="G236" t="s">
        <v>1250</v>
      </c>
    </row>
    <row r="237" spans="1:15" ht="16">
      <c r="A237" t="s">
        <v>1246</v>
      </c>
      <c r="B237">
        <v>-142.9</v>
      </c>
      <c r="E237" s="740">
        <v>18.32</v>
      </c>
      <c r="G237" t="s">
        <v>1247</v>
      </c>
    </row>
    <row r="238" spans="1:15" ht="16">
      <c r="A238" t="s">
        <v>1251</v>
      </c>
      <c r="B238" s="744">
        <f>-1675.7/4.184</f>
        <v>-400.50191204588907</v>
      </c>
      <c r="C238" s="744">
        <f>50.9/4.184</f>
        <v>12.165391969407265</v>
      </c>
      <c r="D238" s="744">
        <f>-1582.3/4.184</f>
        <v>-378.17877629063094</v>
      </c>
      <c r="E238" s="744">
        <f>79/4.184</f>
        <v>18.881453154875715</v>
      </c>
      <c r="G238" t="s">
        <v>1253</v>
      </c>
    </row>
    <row r="239" spans="1:15" ht="16">
      <c r="A239" t="s">
        <v>1252</v>
      </c>
      <c r="B239" s="744">
        <f>-393.5/4.184</f>
        <v>-94.048757170172081</v>
      </c>
      <c r="C239" s="744">
        <f>213.8/4.184</f>
        <v>51.099426386233269</v>
      </c>
      <c r="D239" s="744">
        <f>-394.4/4.184</f>
        <v>-94.263862332695979</v>
      </c>
      <c r="E239" s="744">
        <f>37.1/4.184</f>
        <v>8.8671128107074573</v>
      </c>
      <c r="G239" t="s">
        <v>1253</v>
      </c>
    </row>
    <row r="240" spans="1:15" ht="16">
      <c r="A240" t="s">
        <v>1255</v>
      </c>
      <c r="B240" s="740">
        <v>-22.715105162523901</v>
      </c>
      <c r="C240" s="744"/>
      <c r="D240" s="744"/>
      <c r="E240" s="744"/>
    </row>
    <row r="241" spans="1:35">
      <c r="A241" t="s">
        <v>1352</v>
      </c>
      <c r="B241" s="744"/>
      <c r="C241" s="744"/>
      <c r="D241" s="744"/>
      <c r="E241" s="744">
        <f>123.2/4.184</f>
        <v>29.44550669216061</v>
      </c>
      <c r="F241">
        <v>5.91</v>
      </c>
    </row>
    <row r="242" spans="1:35" ht="19.5" thickBot="1">
      <c r="B242" s="744"/>
      <c r="C242" s="744"/>
      <c r="D242" s="744"/>
      <c r="E242" s="744"/>
      <c r="Z242" s="26"/>
      <c r="AA242" s="26"/>
      <c r="AB242" s="26"/>
      <c r="AC242" s="26"/>
      <c r="AD242" s="26"/>
      <c r="AE242" s="26"/>
      <c r="AF242" s="26"/>
      <c r="AG242" s="26"/>
      <c r="AH242" s="26"/>
      <c r="AI242" s="26"/>
    </row>
    <row r="243" spans="1:35" ht="14.5" thickTop="1"/>
    <row r="248" spans="1:35" s="26" customFormat="1" ht="19.5" thickBot="1">
      <c r="A248" s="26" t="s">
        <v>1256</v>
      </c>
      <c r="Z248"/>
      <c r="AA248"/>
      <c r="AB248"/>
      <c r="AC248"/>
      <c r="AD248"/>
      <c r="AE248"/>
      <c r="AF248"/>
      <c r="AG248"/>
      <c r="AH248"/>
      <c r="AI248"/>
    </row>
    <row r="249" spans="1:35" ht="14.5" thickTop="1">
      <c r="A249" t="s">
        <v>1224</v>
      </c>
      <c r="B249" s="748">
        <f>Input!E40*1000/'Cath. Prod. Par.'!AC103</f>
        <v>0</v>
      </c>
      <c r="C249" t="s">
        <v>733</v>
      </c>
    </row>
    <row r="250" spans="1:35">
      <c r="A250" t="s">
        <v>1225</v>
      </c>
      <c r="B250" s="748">
        <f>'Cath. Prod. Par.'!AC103</f>
        <v>320</v>
      </c>
      <c r="C250" t="s">
        <v>1226</v>
      </c>
    </row>
    <row r="251" spans="1:35">
      <c r="B251" s="769">
        <f>B249*B250</f>
        <v>0</v>
      </c>
      <c r="C251" t="s">
        <v>734</v>
      </c>
    </row>
    <row r="252" spans="1:35">
      <c r="A252" t="s">
        <v>1227</v>
      </c>
      <c r="B252" s="748">
        <v>5</v>
      </c>
      <c r="C252" t="s">
        <v>576</v>
      </c>
    </row>
    <row r="253" spans="1:35">
      <c r="A253" t="s">
        <v>1228</v>
      </c>
      <c r="B253" s="769">
        <f>B251/B252</f>
        <v>0</v>
      </c>
      <c r="C253" t="s">
        <v>1229</v>
      </c>
    </row>
    <row r="254" spans="1:35">
      <c r="A254" t="s">
        <v>1230</v>
      </c>
      <c r="B254" s="769">
        <f>B253/B250</f>
        <v>0</v>
      </c>
      <c r="C254" t="s">
        <v>1231</v>
      </c>
    </row>
    <row r="255" spans="1:35">
      <c r="B255" s="769"/>
    </row>
    <row r="256" spans="1:35">
      <c r="A256" t="s">
        <v>1232</v>
      </c>
      <c r="B256" s="748">
        <v>25</v>
      </c>
      <c r="C256" t="s">
        <v>455</v>
      </c>
    </row>
    <row r="257" spans="1:3">
      <c r="A257" t="s">
        <v>1233</v>
      </c>
      <c r="B257" s="748">
        <v>20</v>
      </c>
    </row>
    <row r="258" spans="1:3">
      <c r="A258" t="s">
        <v>1234</v>
      </c>
      <c r="B258" s="769">
        <f>B256*B257</f>
        <v>500</v>
      </c>
      <c r="C258" t="s">
        <v>455</v>
      </c>
    </row>
    <row r="259" spans="1:3">
      <c r="A259" t="s">
        <v>1235</v>
      </c>
      <c r="B259" s="769">
        <f>B254*B256/24*(B250*24/B256/B257)</f>
        <v>0</v>
      </c>
      <c r="C259" t="s">
        <v>1229</v>
      </c>
    </row>
    <row r="260" spans="1:3">
      <c r="A260" t="s">
        <v>1236</v>
      </c>
      <c r="B260" s="1046">
        <v>25</v>
      </c>
    </row>
    <row r="261" spans="1:3">
      <c r="A261" t="s">
        <v>1237</v>
      </c>
      <c r="B261" s="1047">
        <f>B259*B260</f>
        <v>0</v>
      </c>
    </row>
    <row r="264" spans="1:3">
      <c r="A264" t="s">
        <v>1238</v>
      </c>
      <c r="B264" s="736">
        <v>5</v>
      </c>
      <c r="C264" t="s">
        <v>576</v>
      </c>
    </row>
    <row r="265" spans="1:3">
      <c r="A265" t="s">
        <v>1239</v>
      </c>
      <c r="B265" s="736">
        <v>502</v>
      </c>
      <c r="C265" t="s">
        <v>1240</v>
      </c>
    </row>
    <row r="266" spans="1:3">
      <c r="A266" t="s">
        <v>1241</v>
      </c>
      <c r="B266">
        <f>B254*B256/24*B264*B265/1000</f>
        <v>0</v>
      </c>
      <c r="C266" t="s">
        <v>1242</v>
      </c>
    </row>
  </sheetData>
  <mergeCells count="3">
    <mergeCell ref="A107:A109"/>
    <mergeCell ref="A112:A132"/>
    <mergeCell ref="B218:F218"/>
  </mergeCells>
  <phoneticPr fontId="145" type="noConversion"/>
  <pageMargins left="0.7" right="0.7" top="0.75" bottom="0.75" header="0.3" footer="0.3"/>
  <pageSetup orientation="portrait" verticalDpi="0"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50"/>
  </sheetPr>
  <dimension ref="A4:U88"/>
  <sheetViews>
    <sheetView workbookViewId="0">
      <pane xSplit="1" ySplit="3" topLeftCell="B64" activePane="bottomRight" state="frozen"/>
      <selection pane="topRight" activeCell="B1" sqref="B1"/>
      <selection pane="bottomLeft" activeCell="A4" sqref="A4"/>
      <selection pane="bottomRight" activeCell="I48" sqref="I48"/>
    </sheetView>
  </sheetViews>
  <sheetFormatPr defaultColWidth="8.83203125" defaultRowHeight="14"/>
  <cols>
    <col min="2" max="2" width="31" customWidth="1"/>
    <col min="3" max="3" width="12" customWidth="1"/>
    <col min="4" max="4" width="12.1640625" customWidth="1"/>
    <col min="5" max="5" width="10.4140625" bestFit="1" customWidth="1"/>
    <col min="6" max="6" width="12.4140625" customWidth="1"/>
    <col min="7" max="7" width="10.4140625" customWidth="1"/>
    <col min="8" max="8" width="12.4140625" customWidth="1"/>
    <col min="9" max="9" width="16.25" customWidth="1"/>
    <col min="10" max="10" width="20.75" customWidth="1"/>
    <col min="11" max="11" width="20.25" customWidth="1"/>
    <col min="12" max="12" width="31.1640625" customWidth="1"/>
    <col min="14" max="14" width="9.75" customWidth="1"/>
    <col min="19" max="19" width="9.4140625" customWidth="1"/>
  </cols>
  <sheetData>
    <row r="4" spans="1:16">
      <c r="B4" s="2" t="s">
        <v>1056</v>
      </c>
    </row>
    <row r="5" spans="1:16">
      <c r="A5" s="2"/>
      <c r="B5" s="2" t="s">
        <v>1057</v>
      </c>
    </row>
    <row r="6" spans="1:16">
      <c r="D6" s="1845" t="s">
        <v>63</v>
      </c>
      <c r="E6" s="1846"/>
      <c r="F6" s="1846"/>
      <c r="G6" s="1847"/>
    </row>
    <row r="7" spans="1:16">
      <c r="B7" s="1282"/>
      <c r="C7" s="914" t="s">
        <v>51</v>
      </c>
      <c r="D7" s="914" t="s">
        <v>47</v>
      </c>
      <c r="E7" s="915" t="s">
        <v>682</v>
      </c>
      <c r="F7" s="915" t="s">
        <v>49</v>
      </c>
      <c r="G7" s="916" t="s">
        <v>48</v>
      </c>
      <c r="H7" s="916" t="s">
        <v>52</v>
      </c>
    </row>
    <row r="8" spans="1:16" ht="16.5">
      <c r="B8" s="83" t="s">
        <v>1058</v>
      </c>
      <c r="C8" s="918">
        <f>IF(ISNUMBER(H8),H8,HLOOKUP('Man Par.'!$C$10,$D$7:$G$10,ROW(C7)-ROW(C$7)+2,FALSE))</f>
        <v>3000</v>
      </c>
      <c r="D8" s="917">
        <v>3000</v>
      </c>
      <c r="E8" s="925">
        <v>3000</v>
      </c>
      <c r="F8" s="925">
        <v>1500</v>
      </c>
      <c r="G8" s="925">
        <v>2000</v>
      </c>
      <c r="H8" s="948"/>
      <c r="K8" s="1002"/>
    </row>
    <row r="9" spans="1:16">
      <c r="B9" s="83" t="s">
        <v>127</v>
      </c>
      <c r="C9" s="947">
        <f>IF(ISNUMBER(H9),H9,HLOOKUP('Man Par.'!$C$10,$D$7:$G$10,ROW(C8)-ROW(C$7)+2,FALSE))</f>
        <v>25</v>
      </c>
      <c r="D9" s="931">
        <v>25</v>
      </c>
      <c r="E9" s="935">
        <v>30</v>
      </c>
      <c r="F9" s="935">
        <v>3</v>
      </c>
      <c r="G9" s="935">
        <v>10</v>
      </c>
      <c r="H9" s="920"/>
      <c r="K9" s="954"/>
    </row>
    <row r="10" spans="1:16">
      <c r="B10" s="946" t="s">
        <v>1059</v>
      </c>
      <c r="C10" s="919">
        <f>IF(ISNUMBER(H10),H10,HLOOKUP('Man Par.'!$C$10,$D$7:$G$10,ROW(C9)-ROW(C$7)+2,FALSE))</f>
        <v>1</v>
      </c>
      <c r="D10" s="911">
        <v>1</v>
      </c>
      <c r="E10" s="1595">
        <v>1.07</v>
      </c>
      <c r="F10" s="1595">
        <v>0.61</v>
      </c>
      <c r="G10" s="926">
        <v>0.8</v>
      </c>
      <c r="H10" s="912"/>
      <c r="I10" s="1127" t="str">
        <f>IF(OR(ISNUMBER(H8),ISNUMBER(H9),ISNUMBER(H10)), "Continue to specify electricity mix", "")</f>
        <v/>
      </c>
      <c r="J10" s="1128"/>
      <c r="K10" s="764"/>
    </row>
    <row r="12" spans="1:16">
      <c r="B12" s="2" t="s">
        <v>1060</v>
      </c>
    </row>
    <row r="13" spans="1:16">
      <c r="B13" s="2" t="s">
        <v>1640</v>
      </c>
    </row>
    <row r="14" spans="1:16">
      <c r="C14" s="1812" t="s">
        <v>309</v>
      </c>
      <c r="D14" s="1815"/>
      <c r="E14" s="1815"/>
      <c r="F14" s="1823"/>
      <c r="H14" s="1812" t="s">
        <v>313</v>
      </c>
      <c r="I14" s="1815"/>
      <c r="J14" s="1815"/>
      <c r="K14" s="1823"/>
      <c r="M14" s="1812" t="s">
        <v>1062</v>
      </c>
      <c r="N14" s="1815"/>
      <c r="O14" s="1815"/>
      <c r="P14" s="1823"/>
    </row>
    <row r="15" spans="1:16">
      <c r="B15" s="924"/>
      <c r="C15" s="921" t="s">
        <v>47</v>
      </c>
      <c r="D15" s="922" t="s">
        <v>682</v>
      </c>
      <c r="E15" s="922" t="s">
        <v>49</v>
      </c>
      <c r="F15" s="923" t="s">
        <v>48</v>
      </c>
      <c r="G15" s="924"/>
      <c r="H15" s="921" t="s">
        <v>47</v>
      </c>
      <c r="I15" s="922" t="s">
        <v>682</v>
      </c>
      <c r="J15" s="922" t="s">
        <v>49</v>
      </c>
      <c r="K15" s="923" t="s">
        <v>48</v>
      </c>
      <c r="L15" s="924"/>
      <c r="M15" s="921" t="s">
        <v>47</v>
      </c>
      <c r="N15" s="922" t="s">
        <v>682</v>
      </c>
      <c r="O15" s="922" t="s">
        <v>49</v>
      </c>
      <c r="P15" s="923" t="s">
        <v>48</v>
      </c>
    </row>
    <row r="16" spans="1:16">
      <c r="B16" s="83" t="s">
        <v>1061</v>
      </c>
      <c r="C16" s="927">
        <v>4.3999999999999997E-2</v>
      </c>
      <c r="D16" s="941">
        <f>C16</f>
        <v>4.3999999999999997E-2</v>
      </c>
      <c r="E16" s="928">
        <v>0</v>
      </c>
      <c r="F16" s="929">
        <v>0</v>
      </c>
      <c r="G16" s="83" t="s">
        <v>1061</v>
      </c>
      <c r="H16" s="927">
        <v>2.9399999999999999E-2</v>
      </c>
      <c r="I16" s="941">
        <f>H16</f>
        <v>2.9399999999999999E-2</v>
      </c>
      <c r="J16" s="928">
        <v>0</v>
      </c>
      <c r="K16" s="929">
        <v>0</v>
      </c>
      <c r="L16" s="83" t="s">
        <v>1061</v>
      </c>
      <c r="M16" s="927">
        <f>H16</f>
        <v>2.9399999999999999E-2</v>
      </c>
      <c r="N16" s="928">
        <f>M16</f>
        <v>2.9399999999999999E-2</v>
      </c>
      <c r="O16" s="928">
        <f>M16</f>
        <v>2.9399999999999999E-2</v>
      </c>
      <c r="P16" s="929">
        <f>M16</f>
        <v>2.9399999999999999E-2</v>
      </c>
    </row>
    <row r="17" spans="2:21">
      <c r="B17" s="83" t="s">
        <v>682</v>
      </c>
      <c r="C17" s="939">
        <f>C16</f>
        <v>4.3999999999999997E-2</v>
      </c>
      <c r="D17" s="931">
        <v>0</v>
      </c>
      <c r="E17" s="931">
        <v>0</v>
      </c>
      <c r="F17" s="932">
        <v>0</v>
      </c>
      <c r="G17" s="83" t="s">
        <v>682</v>
      </c>
      <c r="H17" s="939">
        <f>H16</f>
        <v>2.9399999999999999E-2</v>
      </c>
      <c r="I17" s="931">
        <v>0</v>
      </c>
      <c r="J17" s="931">
        <v>0</v>
      </c>
      <c r="K17" s="932">
        <v>0</v>
      </c>
      <c r="L17" s="83" t="s">
        <v>682</v>
      </c>
      <c r="M17" s="939">
        <f>M16</f>
        <v>2.9399999999999999E-2</v>
      </c>
      <c r="N17" s="935">
        <f>M17</f>
        <v>2.9399999999999999E-2</v>
      </c>
      <c r="O17" s="935">
        <f>M17</f>
        <v>2.9399999999999999E-2</v>
      </c>
      <c r="P17" s="937">
        <f>M17</f>
        <v>2.9399999999999999E-2</v>
      </c>
    </row>
    <row r="18" spans="2:21">
      <c r="B18" s="83" t="s">
        <v>49</v>
      </c>
      <c r="C18" s="930">
        <v>0</v>
      </c>
      <c r="D18" s="931">
        <v>0</v>
      </c>
      <c r="E18" s="935">
        <v>0.01</v>
      </c>
      <c r="F18" s="932">
        <v>0</v>
      </c>
      <c r="G18" s="83" t="s">
        <v>49</v>
      </c>
      <c r="H18" s="930">
        <v>0</v>
      </c>
      <c r="I18" s="931">
        <v>0</v>
      </c>
      <c r="J18" s="935">
        <v>0.01</v>
      </c>
      <c r="K18" s="937">
        <v>0.01</v>
      </c>
      <c r="L18" s="83" t="s">
        <v>49</v>
      </c>
      <c r="M18" s="939">
        <v>0.01</v>
      </c>
      <c r="N18" s="935">
        <v>0.01</v>
      </c>
      <c r="O18" s="935">
        <v>0.01</v>
      </c>
      <c r="P18" s="937">
        <v>0.01</v>
      </c>
    </row>
    <row r="19" spans="2:21">
      <c r="B19" s="942" t="s">
        <v>48</v>
      </c>
      <c r="C19" s="933">
        <v>0</v>
      </c>
      <c r="D19" s="934">
        <v>0</v>
      </c>
      <c r="E19" s="934">
        <v>0</v>
      </c>
      <c r="F19" s="936">
        <v>0.02</v>
      </c>
      <c r="G19" s="910" t="s">
        <v>48</v>
      </c>
      <c r="H19" s="933">
        <v>0</v>
      </c>
      <c r="I19" s="934">
        <v>0</v>
      </c>
      <c r="J19" s="938">
        <v>0.01</v>
      </c>
      <c r="K19" s="936">
        <v>0.01</v>
      </c>
      <c r="L19" s="910" t="s">
        <v>48</v>
      </c>
      <c r="M19" s="940">
        <v>0.01</v>
      </c>
      <c r="N19" s="938">
        <v>0.01</v>
      </c>
      <c r="O19" s="938">
        <v>0.01</v>
      </c>
      <c r="P19" s="936">
        <v>0.01</v>
      </c>
    </row>
    <row r="20" spans="2:21">
      <c r="B20" s="2" t="s">
        <v>1641</v>
      </c>
    </row>
    <row r="21" spans="2:21">
      <c r="C21" s="1703" t="s">
        <v>1642</v>
      </c>
      <c r="D21" s="1704"/>
      <c r="E21" s="1704"/>
      <c r="F21" s="1705"/>
      <c r="H21" s="1812" t="s">
        <v>1643</v>
      </c>
      <c r="I21" s="1815"/>
      <c r="J21" s="1815"/>
      <c r="K21" s="1823"/>
      <c r="M21" s="1812" t="s">
        <v>1644</v>
      </c>
      <c r="N21" s="1815"/>
      <c r="O21" s="1815"/>
      <c r="P21" s="1823"/>
      <c r="R21" s="1812" t="s">
        <v>1645</v>
      </c>
      <c r="S21" s="1815"/>
      <c r="T21" s="1815"/>
      <c r="U21" s="1823"/>
    </row>
    <row r="22" spans="2:21">
      <c r="B22" s="924"/>
      <c r="C22" s="921" t="s">
        <v>47</v>
      </c>
      <c r="D22" s="922" t="s">
        <v>682</v>
      </c>
      <c r="E22" s="922" t="s">
        <v>49</v>
      </c>
      <c r="F22" s="923" t="s">
        <v>48</v>
      </c>
      <c r="G22" s="924"/>
      <c r="H22" s="921" t="s">
        <v>47</v>
      </c>
      <c r="I22" s="922" t="s">
        <v>682</v>
      </c>
      <c r="J22" s="922" t="s">
        <v>49</v>
      </c>
      <c r="K22" s="923" t="s">
        <v>48</v>
      </c>
      <c r="L22" s="924"/>
      <c r="M22" s="921" t="s">
        <v>47</v>
      </c>
      <c r="N22" s="922" t="s">
        <v>682</v>
      </c>
      <c r="O22" s="922" t="s">
        <v>49</v>
      </c>
      <c r="P22" s="923" t="s">
        <v>48</v>
      </c>
      <c r="Q22" s="924"/>
      <c r="R22" s="921" t="s">
        <v>47</v>
      </c>
      <c r="S22" s="922" t="s">
        <v>682</v>
      </c>
      <c r="T22" s="922" t="s">
        <v>49</v>
      </c>
      <c r="U22" s="923" t="s">
        <v>48</v>
      </c>
    </row>
    <row r="23" spans="2:21">
      <c r="B23" s="83" t="s">
        <v>1061</v>
      </c>
      <c r="C23" s="1474">
        <v>2.0840000000000001</v>
      </c>
      <c r="D23" s="275">
        <f>C23</f>
        <v>2.0840000000000001</v>
      </c>
      <c r="E23" s="928">
        <v>0</v>
      </c>
      <c r="F23" s="929">
        <v>0</v>
      </c>
      <c r="G23" s="83" t="s">
        <v>1061</v>
      </c>
      <c r="H23" s="1474">
        <v>1.8339999999999999</v>
      </c>
      <c r="I23" s="275">
        <f>H23</f>
        <v>1.8339999999999999</v>
      </c>
      <c r="J23" s="928">
        <v>0</v>
      </c>
      <c r="K23" s="929">
        <v>0</v>
      </c>
      <c r="L23" s="83" t="s">
        <v>1061</v>
      </c>
      <c r="M23" s="1474">
        <v>1.99</v>
      </c>
      <c r="N23" s="275">
        <f>M23</f>
        <v>1.99</v>
      </c>
      <c r="O23" s="928">
        <v>0</v>
      </c>
      <c r="P23" s="929">
        <v>0</v>
      </c>
      <c r="Q23" s="83" t="s">
        <v>1061</v>
      </c>
      <c r="R23" s="1474">
        <v>1.74</v>
      </c>
      <c r="S23" s="275">
        <f>R23</f>
        <v>1.74</v>
      </c>
      <c r="T23" s="928">
        <v>0</v>
      </c>
      <c r="U23" s="929">
        <v>0</v>
      </c>
    </row>
    <row r="24" spans="2:21">
      <c r="B24" s="83" t="s">
        <v>682</v>
      </c>
      <c r="C24" s="939">
        <f>C23</f>
        <v>2.0840000000000001</v>
      </c>
      <c r="D24" s="935">
        <f>C24</f>
        <v>2.0840000000000001</v>
      </c>
      <c r="E24" s="931">
        <v>0</v>
      </c>
      <c r="F24" s="932">
        <v>0</v>
      </c>
      <c r="G24" s="83" t="s">
        <v>682</v>
      </c>
      <c r="H24" s="939">
        <f>H23</f>
        <v>1.8339999999999999</v>
      </c>
      <c r="I24" s="935">
        <f>H24</f>
        <v>1.8339999999999999</v>
      </c>
      <c r="J24" s="931">
        <v>0</v>
      </c>
      <c r="K24" s="932">
        <v>0</v>
      </c>
      <c r="L24" s="83" t="s">
        <v>682</v>
      </c>
      <c r="M24" s="939">
        <f>M23</f>
        <v>1.99</v>
      </c>
      <c r="N24" s="935">
        <f>M24</f>
        <v>1.99</v>
      </c>
      <c r="O24" s="931">
        <v>0</v>
      </c>
      <c r="P24" s="932">
        <v>0</v>
      </c>
      <c r="Q24" s="83" t="s">
        <v>682</v>
      </c>
      <c r="R24" s="939">
        <f>R23</f>
        <v>1.74</v>
      </c>
      <c r="S24" s="935">
        <f>R24</f>
        <v>1.74</v>
      </c>
      <c r="T24" s="931">
        <v>0</v>
      </c>
      <c r="U24" s="932">
        <v>0</v>
      </c>
    </row>
    <row r="25" spans="2:21">
      <c r="B25" s="83" t="s">
        <v>49</v>
      </c>
      <c r="C25" s="930">
        <v>0</v>
      </c>
      <c r="D25" s="931">
        <v>0</v>
      </c>
      <c r="E25" s="935">
        <v>0.25</v>
      </c>
      <c r="F25" s="932">
        <v>0</v>
      </c>
      <c r="G25" s="83" t="s">
        <v>49</v>
      </c>
      <c r="H25" s="930">
        <v>0</v>
      </c>
      <c r="I25" s="931">
        <v>0</v>
      </c>
      <c r="J25" s="935">
        <v>0.25</v>
      </c>
      <c r="K25" s="932">
        <v>0</v>
      </c>
      <c r="L25" s="83" t="s">
        <v>49</v>
      </c>
      <c r="M25" s="930">
        <v>0</v>
      </c>
      <c r="N25" s="931">
        <v>0</v>
      </c>
      <c r="O25" s="935">
        <v>0.2</v>
      </c>
      <c r="P25" s="932">
        <v>0</v>
      </c>
      <c r="Q25" s="83" t="s">
        <v>49</v>
      </c>
      <c r="R25" s="930">
        <v>0</v>
      </c>
      <c r="S25" s="931">
        <v>0</v>
      </c>
      <c r="T25" s="935">
        <v>0.2</v>
      </c>
      <c r="U25" s="932">
        <v>0</v>
      </c>
    </row>
    <row r="26" spans="2:21">
      <c r="B26" s="910" t="s">
        <v>48</v>
      </c>
      <c r="C26" s="933">
        <v>0</v>
      </c>
      <c r="D26" s="934">
        <v>0</v>
      </c>
      <c r="E26" s="934">
        <v>0</v>
      </c>
      <c r="F26" s="936">
        <v>0.6</v>
      </c>
      <c r="G26" s="910" t="s">
        <v>48</v>
      </c>
      <c r="H26" s="933">
        <v>0</v>
      </c>
      <c r="I26" s="934">
        <v>0</v>
      </c>
      <c r="J26" s="934">
        <v>0</v>
      </c>
      <c r="K26" s="936">
        <v>0.6</v>
      </c>
      <c r="L26" s="910" t="s">
        <v>48</v>
      </c>
      <c r="M26" s="933">
        <v>0</v>
      </c>
      <c r="N26" s="934">
        <v>0</v>
      </c>
      <c r="O26" s="934">
        <v>0</v>
      </c>
      <c r="P26" s="936">
        <v>0.5</v>
      </c>
      <c r="Q26" s="910" t="s">
        <v>48</v>
      </c>
      <c r="R26" s="933">
        <v>0</v>
      </c>
      <c r="S26" s="934">
        <v>0</v>
      </c>
      <c r="T26" s="934">
        <v>0</v>
      </c>
      <c r="U26" s="936">
        <v>0.5</v>
      </c>
    </row>
    <row r="28" spans="2:21">
      <c r="B28" s="2" t="s">
        <v>1063</v>
      </c>
    </row>
    <row r="29" spans="2:21">
      <c r="D29" s="1845" t="s">
        <v>63</v>
      </c>
      <c r="E29" s="1846"/>
      <c r="F29" s="1846"/>
      <c r="G29" s="1847"/>
      <c r="I29" s="62"/>
    </row>
    <row r="30" spans="2:21">
      <c r="B30" s="913"/>
      <c r="C30" s="914" t="s">
        <v>51</v>
      </c>
      <c r="D30" s="914" t="s">
        <v>47</v>
      </c>
      <c r="E30" s="915" t="s">
        <v>682</v>
      </c>
      <c r="F30" s="915" t="s">
        <v>49</v>
      </c>
      <c r="G30" s="916" t="s">
        <v>48</v>
      </c>
      <c r="H30" s="916" t="s">
        <v>52</v>
      </c>
    </row>
    <row r="31" spans="2:21">
      <c r="B31" s="83" t="s">
        <v>1064</v>
      </c>
      <c r="C31" s="943">
        <f>IF(ISNUMBER(H31),H31,HLOOKUP(Input!$E$33,$D$30:$G$36,ROW(C30)-ROW(C$30)+2,FALSE))</f>
        <v>0.61</v>
      </c>
      <c r="D31" s="944">
        <v>1</v>
      </c>
      <c r="E31" s="1594">
        <v>1.07</v>
      </c>
      <c r="F31" s="1594">
        <v>0.61</v>
      </c>
      <c r="G31" s="945">
        <v>0.8</v>
      </c>
      <c r="H31" s="955"/>
    </row>
    <row r="32" spans="2:21">
      <c r="B32" s="83" t="s">
        <v>127</v>
      </c>
      <c r="C32" s="947">
        <f>IF(ISNUMBER(H32),H32,HLOOKUP(Input!$E$33,$D$30:$G$36,ROW(C31)-ROW(C$30)+2,FALSE))</f>
        <v>3</v>
      </c>
      <c r="D32" s="931">
        <v>38.119999999999997</v>
      </c>
      <c r="E32" s="954">
        <v>43.16</v>
      </c>
      <c r="F32" s="935">
        <v>3</v>
      </c>
      <c r="G32" s="935">
        <v>10</v>
      </c>
      <c r="H32" s="956"/>
    </row>
    <row r="33" spans="2:12">
      <c r="B33" s="83" t="s">
        <v>1065</v>
      </c>
      <c r="C33" s="947">
        <f>IF(ISNUMBER(H33),H33,HLOOKUP(Input!$E$33,$D$30:$G$36,ROW(C32)-ROW(C$30)+2,FALSE))</f>
        <v>8.8387096774193555E-2</v>
      </c>
      <c r="D33" s="953">
        <v>8.4500000000000006E-2</v>
      </c>
      <c r="E33" s="954">
        <v>0.17369999999999999</v>
      </c>
      <c r="F33" s="951">
        <f>0.548/6.2</f>
        <v>8.8387096774193555E-2</v>
      </c>
      <c r="G33" s="951">
        <v>7.5999999999999998E-2</v>
      </c>
      <c r="H33" s="957"/>
    </row>
    <row r="34" spans="2:12">
      <c r="B34" s="83" t="s">
        <v>1066</v>
      </c>
      <c r="C34" s="947">
        <f>IF(ISNUMBER(H34),H34,HLOOKUP(Input!$E$33,$D$30:$G$36,ROW(C33)-ROW(C$30)+2,FALSE))</f>
        <v>12</v>
      </c>
      <c r="D34" s="954">
        <f>7.9*0.983</f>
        <v>7.7656999999999998</v>
      </c>
      <c r="E34" s="954">
        <f>13.78*0.983</f>
        <v>13.545739999999999</v>
      </c>
      <c r="F34" s="935">
        <v>12</v>
      </c>
      <c r="G34" s="935">
        <v>12</v>
      </c>
      <c r="H34" s="956"/>
    </row>
    <row r="35" spans="2:12">
      <c r="B35" s="83" t="s">
        <v>1069</v>
      </c>
      <c r="C35" s="949">
        <f>IF(ISNUMBER(H35),H35,HLOOKUP(Input!$E$33,$D$30:$G$36,ROW(C34)-ROW(C$30)+2,FALSE))</f>
        <v>2E-3</v>
      </c>
      <c r="D35" s="953">
        <v>4.7299999999999998E-3</v>
      </c>
      <c r="E35" s="951">
        <f>D35*2</f>
        <v>9.4599999999999997E-3</v>
      </c>
      <c r="F35" s="951">
        <v>2E-3</v>
      </c>
      <c r="G35" s="951">
        <v>3.0000000000000001E-3</v>
      </c>
      <c r="H35" s="957"/>
    </row>
    <row r="36" spans="2:12">
      <c r="B36" s="83" t="s">
        <v>1068</v>
      </c>
      <c r="C36" s="949">
        <f>IF(ISNUMBER(H36),H36,HLOOKUP(Input!$E$33,$D$30:$G$36,ROW(C35)-ROW(C$30)+2,FALSE))</f>
        <v>3.0000000000000001E-3</v>
      </c>
      <c r="D36" s="953">
        <v>6.2500000000000003E-3</v>
      </c>
      <c r="E36" s="951">
        <f>D36*2</f>
        <v>1.2500000000000001E-2</v>
      </c>
      <c r="F36" s="951">
        <v>3.0000000000000001E-3</v>
      </c>
      <c r="G36" s="951">
        <v>3.0000000000000001E-3</v>
      </c>
      <c r="H36" s="956"/>
    </row>
    <row r="37" spans="2:12">
      <c r="B37" s="946" t="s">
        <v>1067</v>
      </c>
      <c r="C37" s="950">
        <f>IF(ISNUMBER(H37),H37,HLOOKUP(Input!$E$33,$D$30:$G$37,ROW(C36)-ROW(C$30)+2,FALSE))</f>
        <v>10</v>
      </c>
      <c r="D37" s="1502">
        <v>54.03</v>
      </c>
      <c r="E37" s="1502">
        <v>63.5</v>
      </c>
      <c r="F37" s="1503">
        <v>10</v>
      </c>
      <c r="G37" s="1503">
        <v>20</v>
      </c>
      <c r="H37" s="1504"/>
      <c r="I37" s="1848" t="str">
        <f>IF(OR(ISNUMBER(H31),ISNUMBER(H32),ISNUMBER(H33),ISNUMBER(H34),ISNUMBER(H35),ISNUMBER(H37),ISNUMBER(H36)), "Continue to specify electricity mix", "")</f>
        <v/>
      </c>
      <c r="J37" s="1805"/>
      <c r="K37" s="1805"/>
    </row>
    <row r="39" spans="2:12">
      <c r="B39" s="2" t="s">
        <v>1070</v>
      </c>
    </row>
    <row r="40" spans="2:12">
      <c r="D40" s="1845" t="s">
        <v>63</v>
      </c>
      <c r="E40" s="1846"/>
      <c r="F40" s="1846"/>
      <c r="G40" s="1847"/>
    </row>
    <row r="41" spans="2:12">
      <c r="B41" s="913"/>
      <c r="C41" s="914" t="s">
        <v>51</v>
      </c>
      <c r="D41" s="914" t="s">
        <v>47</v>
      </c>
      <c r="E41" s="915" t="s">
        <v>682</v>
      </c>
      <c r="F41" s="915" t="s">
        <v>49</v>
      </c>
      <c r="G41" s="916" t="s">
        <v>48</v>
      </c>
      <c r="H41" s="916" t="s">
        <v>52</v>
      </c>
    </row>
    <row r="42" spans="2:12">
      <c r="B42" s="83" t="s">
        <v>1064</v>
      </c>
      <c r="C42" s="943">
        <f>IF(ISNUMBER(H42),H42,HLOOKUP('Cath. Prod. Par.'!$D$10,$D$41:$G$46,ROW(C41)-ROW(C$41)+2,FALSE))</f>
        <v>0.61</v>
      </c>
      <c r="D42" s="944">
        <v>1</v>
      </c>
      <c r="E42" s="1594">
        <v>1.07</v>
      </c>
      <c r="F42" s="1594">
        <v>0.61</v>
      </c>
      <c r="G42" s="945">
        <v>0.8</v>
      </c>
      <c r="H42" s="955">
        <v>0.61</v>
      </c>
      <c r="L42" s="764"/>
    </row>
    <row r="43" spans="2:12">
      <c r="B43" s="83" t="s">
        <v>127</v>
      </c>
      <c r="C43" s="947">
        <f>IF(ISNUMBER(H43),H43,HLOOKUP('Cath. Prod. Par.'!$D$10,$D$41:$G$46,ROW(C42)-ROW(C$41)+2,FALSE))</f>
        <v>3</v>
      </c>
      <c r="D43" s="931">
        <v>38.119999999999997</v>
      </c>
      <c r="E43" s="954">
        <v>43.16</v>
      </c>
      <c r="F43" s="935">
        <v>3</v>
      </c>
      <c r="G43" s="935">
        <v>10</v>
      </c>
      <c r="H43" s="956">
        <v>3</v>
      </c>
      <c r="L43" s="1003"/>
    </row>
    <row r="44" spans="2:12">
      <c r="B44" s="83" t="s">
        <v>1065</v>
      </c>
      <c r="C44" s="947">
        <f>IF(ISNUMBER(H44),H44,HLOOKUP('Cath. Prod. Par.'!$D$10,$D$41:$G$46,ROW(C43)-ROW(C$41)+2,FALSE))</f>
        <v>8.7999999999999995E-2</v>
      </c>
      <c r="D44" s="953">
        <v>8.4500000000000006E-2</v>
      </c>
      <c r="E44" s="954">
        <v>0.17369999999999999</v>
      </c>
      <c r="F44" s="951">
        <f>0.548/6.2</f>
        <v>8.8387096774193555E-2</v>
      </c>
      <c r="G44" s="951">
        <v>7.5999999999999998E-2</v>
      </c>
      <c r="H44" s="957">
        <v>8.7999999999999995E-2</v>
      </c>
      <c r="L44" s="1003"/>
    </row>
    <row r="45" spans="2:12">
      <c r="B45" s="83" t="s">
        <v>1066</v>
      </c>
      <c r="C45" s="947">
        <f>IF(ISNUMBER(H45),H45,HLOOKUP('Cath. Prod. Par.'!$D$10,$D$41:$G$46,ROW(C44)-ROW(C$41)+2,FALSE))</f>
        <v>12</v>
      </c>
      <c r="D45" s="954">
        <f>7.9*0.983</f>
        <v>7.7656999999999998</v>
      </c>
      <c r="E45" s="954">
        <f>13.78*0.983</f>
        <v>13.545739999999999</v>
      </c>
      <c r="F45" s="935">
        <v>12</v>
      </c>
      <c r="G45" s="935">
        <v>12</v>
      </c>
      <c r="H45" s="956">
        <v>12</v>
      </c>
      <c r="L45" s="1003"/>
    </row>
    <row r="46" spans="2:12">
      <c r="B46" s="946" t="s">
        <v>1069</v>
      </c>
      <c r="C46" s="950">
        <f>IF(ISNUMBER(H46),H46,HLOOKUP('Cath. Prod. Par.'!$D$10,$D$41:$G$46,ROW(C45)-ROW(C$41)+2,FALSE))</f>
        <v>2E-3</v>
      </c>
      <c r="D46" s="1475">
        <v>4.7299999999999998E-3</v>
      </c>
      <c r="E46" s="1476">
        <f>D46*2</f>
        <v>9.4599999999999997E-3</v>
      </c>
      <c r="F46" s="952">
        <v>2E-3</v>
      </c>
      <c r="G46" s="952">
        <v>3.0000000000000001E-3</v>
      </c>
      <c r="H46" s="958">
        <v>2E-3</v>
      </c>
      <c r="I46" s="1848" t="str">
        <f>IF(OR(ISNUMBER(H42),ISNUMBER(H43),ISNUMBER(H44),ISNUMBER(H45),ISNUMBER(H46)), "Continue to specify electricity mix", "")</f>
        <v>Continue to specify electricity mix</v>
      </c>
      <c r="J46" s="1805"/>
      <c r="K46" s="1805"/>
      <c r="L46" s="953"/>
    </row>
    <row r="48" spans="2:12">
      <c r="B48" s="2" t="s">
        <v>1071</v>
      </c>
    </row>
    <row r="49" spans="2:14">
      <c r="D49" s="1845" t="s">
        <v>63</v>
      </c>
      <c r="E49" s="1846"/>
      <c r="F49" s="1846"/>
      <c r="G49" s="1847"/>
    </row>
    <row r="50" spans="2:14">
      <c r="B50" s="913"/>
      <c r="C50" s="914" t="s">
        <v>51</v>
      </c>
      <c r="D50" s="914" t="s">
        <v>47</v>
      </c>
      <c r="E50" s="915" t="s">
        <v>682</v>
      </c>
      <c r="F50" s="915" t="s">
        <v>49</v>
      </c>
      <c r="G50" s="916" t="s">
        <v>48</v>
      </c>
      <c r="H50" s="916" t="s">
        <v>52</v>
      </c>
    </row>
    <row r="51" spans="2:14" ht="16.5">
      <c r="B51" s="83" t="s">
        <v>1058</v>
      </c>
      <c r="C51" s="918">
        <f>IF(ISNUMBER(H51),H51,HLOOKUP('Man Rec Par.'!$AC$10,$D$50:$G$53,ROW(C50)-ROW(C$50)+2,FALSE))</f>
        <v>1500</v>
      </c>
      <c r="D51" s="917">
        <v>3000</v>
      </c>
      <c r="E51" s="925">
        <v>3000</v>
      </c>
      <c r="F51" s="925">
        <v>1500</v>
      </c>
      <c r="G51" s="925">
        <v>2000</v>
      </c>
      <c r="H51" s="948"/>
    </row>
    <row r="52" spans="2:14">
      <c r="B52" s="83" t="s">
        <v>127</v>
      </c>
      <c r="C52" s="947">
        <f>IF(ISNUMBER(H52),H52,HLOOKUP('Man Rec Par.'!$AC$10,$D$50:$G$53,ROW(C51)-ROW(C$50)+2,FALSE))</f>
        <v>3</v>
      </c>
      <c r="D52" s="931">
        <v>25</v>
      </c>
      <c r="E52" s="935">
        <v>30</v>
      </c>
      <c r="F52" s="935">
        <v>3</v>
      </c>
      <c r="G52" s="935">
        <v>10</v>
      </c>
      <c r="H52" s="920"/>
    </row>
    <row r="53" spans="2:14">
      <c r="B53" s="910" t="s">
        <v>1059</v>
      </c>
      <c r="C53" s="919">
        <f>IF(ISNUMBER(H53),H53,HLOOKUP('Man Rec Par.'!$AC$10,$D$50:$G$53,ROW(C52)-ROW(C$50)+2,FALSE))</f>
        <v>0.61</v>
      </c>
      <c r="D53" s="911">
        <v>1</v>
      </c>
      <c r="E53" s="1595">
        <v>1.07</v>
      </c>
      <c r="F53" s="1595">
        <v>0.61</v>
      </c>
      <c r="G53" s="926">
        <v>0.8</v>
      </c>
      <c r="H53" s="912"/>
      <c r="I53" s="1804" t="str">
        <f>IF(OR(ISNUMBER(H51),ISNUMBER(H52),ISNUMBER(H53)), "Continue to specify electricity mix", "")</f>
        <v/>
      </c>
      <c r="J53" s="1805"/>
      <c r="K53" s="1805"/>
    </row>
    <row r="55" spans="2:14">
      <c r="B55" s="2" t="s">
        <v>1073</v>
      </c>
    </row>
    <row r="56" spans="2:14">
      <c r="B56" s="2" t="s">
        <v>1072</v>
      </c>
    </row>
    <row r="58" spans="2:14">
      <c r="B58" s="1831"/>
      <c r="C58" s="1832"/>
      <c r="D58" s="1833"/>
      <c r="E58" s="1812" t="s">
        <v>1074</v>
      </c>
      <c r="F58" s="1815"/>
      <c r="G58" s="1815"/>
      <c r="H58" s="1823"/>
      <c r="I58" s="1806" t="s">
        <v>1078</v>
      </c>
      <c r="J58" s="1807"/>
      <c r="K58" s="1807"/>
      <c r="L58" s="1808"/>
    </row>
    <row r="59" spans="2:14">
      <c r="B59" s="1834"/>
      <c r="C59" s="1835"/>
      <c r="D59" s="1836"/>
      <c r="E59" s="1814"/>
      <c r="F59" s="1816"/>
      <c r="G59" s="1816"/>
      <c r="H59" s="1824"/>
      <c r="I59" s="924" t="s">
        <v>1075</v>
      </c>
      <c r="J59" s="924" t="s">
        <v>1717</v>
      </c>
      <c r="K59" s="924" t="s">
        <v>1076</v>
      </c>
      <c r="L59" s="924" t="s">
        <v>1077</v>
      </c>
    </row>
    <row r="60" spans="2:14">
      <c r="B60" s="1837" t="s">
        <v>406</v>
      </c>
      <c r="C60" s="1838"/>
      <c r="D60" s="1839"/>
      <c r="E60" s="1812" t="s">
        <v>47</v>
      </c>
      <c r="F60" s="1815" t="s">
        <v>682</v>
      </c>
      <c r="G60" s="1815" t="s">
        <v>49</v>
      </c>
      <c r="H60" s="1815" t="s">
        <v>48</v>
      </c>
      <c r="I60" s="68"/>
      <c r="J60" s="68"/>
      <c r="K60" s="68"/>
      <c r="L60" s="68"/>
    </row>
    <row r="61" spans="2:14">
      <c r="B61" s="1840" t="s">
        <v>429</v>
      </c>
      <c r="C61" s="1842" t="s">
        <v>430</v>
      </c>
      <c r="D61" s="230" t="s">
        <v>431</v>
      </c>
      <c r="E61" s="1813"/>
      <c r="F61" s="1803"/>
      <c r="G61" s="1803"/>
      <c r="H61" s="1803"/>
      <c r="I61" s="961"/>
      <c r="J61" s="961"/>
      <c r="K61" s="961"/>
      <c r="L61" s="961"/>
      <c r="N61" s="794"/>
    </row>
    <row r="62" spans="2:14">
      <c r="B62" s="1841"/>
      <c r="C62" s="1843"/>
      <c r="D62" s="230" t="s">
        <v>423</v>
      </c>
      <c r="E62" s="1813"/>
      <c r="F62" s="1803"/>
      <c r="G62" s="1803"/>
      <c r="H62" s="1803"/>
      <c r="I62" s="961"/>
      <c r="J62" s="961"/>
      <c r="K62" s="961"/>
      <c r="L62" s="961"/>
      <c r="N62" s="794"/>
    </row>
    <row r="63" spans="2:14">
      <c r="B63" s="1841"/>
      <c r="C63" s="1843"/>
      <c r="D63" s="230" t="s">
        <v>205</v>
      </c>
      <c r="E63" s="1813"/>
      <c r="F63" s="1803"/>
      <c r="G63" s="1803"/>
      <c r="H63" s="1803"/>
      <c r="I63" s="961"/>
      <c r="J63" s="961"/>
      <c r="K63" s="961"/>
      <c r="L63" s="961"/>
      <c r="N63" s="794"/>
    </row>
    <row r="64" spans="2:14">
      <c r="B64" s="1841"/>
      <c r="C64" s="1843"/>
      <c r="D64" s="230" t="s">
        <v>424</v>
      </c>
      <c r="E64" s="1813"/>
      <c r="F64" s="1803"/>
      <c r="G64" s="1803"/>
      <c r="H64" s="1803"/>
      <c r="I64" s="961"/>
      <c r="J64" s="961"/>
      <c r="K64" s="961"/>
      <c r="L64" s="961"/>
      <c r="N64" s="794"/>
    </row>
    <row r="65" spans="2:14">
      <c r="B65" s="1841"/>
      <c r="C65" s="1843"/>
      <c r="D65" s="230" t="s">
        <v>425</v>
      </c>
      <c r="E65" s="1813"/>
      <c r="F65" s="1803"/>
      <c r="G65" s="1803"/>
      <c r="H65" s="1803"/>
      <c r="I65" s="961"/>
      <c r="J65" s="961"/>
      <c r="K65" s="961"/>
      <c r="L65" s="961"/>
      <c r="N65" s="794"/>
    </row>
    <row r="66" spans="2:14">
      <c r="B66" s="1841"/>
      <c r="C66" s="1843"/>
      <c r="D66" s="230" t="s">
        <v>426</v>
      </c>
      <c r="E66" s="1813"/>
      <c r="F66" s="1803"/>
      <c r="G66" s="1803"/>
      <c r="H66" s="1803"/>
      <c r="I66" s="961"/>
      <c r="J66" s="961"/>
      <c r="K66" s="961"/>
      <c r="L66" s="961"/>
      <c r="N66" s="794"/>
    </row>
    <row r="67" spans="2:14">
      <c r="B67" s="1841"/>
      <c r="C67" s="1843"/>
      <c r="D67" s="230" t="s">
        <v>427</v>
      </c>
      <c r="E67" s="1813"/>
      <c r="F67" s="1803"/>
      <c r="G67" s="1803"/>
      <c r="H67" s="1803"/>
      <c r="I67" s="968"/>
      <c r="J67" s="961"/>
      <c r="K67" s="961"/>
      <c r="L67" s="961"/>
      <c r="N67" s="794"/>
    </row>
    <row r="68" spans="2:14">
      <c r="B68" s="1841"/>
      <c r="C68" s="1788" t="s">
        <v>428</v>
      </c>
      <c r="D68" s="1844"/>
      <c r="E68" s="1814"/>
      <c r="F68" s="1816"/>
      <c r="G68" s="1816"/>
      <c r="H68" s="1816"/>
      <c r="I68" s="962"/>
      <c r="J68" s="962"/>
      <c r="K68" s="962"/>
      <c r="L68" s="962"/>
      <c r="N68" s="764"/>
    </row>
    <row r="69" spans="2:14">
      <c r="B69" s="1809" t="s">
        <v>1294</v>
      </c>
      <c r="C69" s="1810"/>
      <c r="D69" s="1810"/>
      <c r="E69" s="1810"/>
      <c r="F69" s="1810"/>
      <c r="G69" s="1810"/>
      <c r="H69" s="1810"/>
      <c r="I69" s="1810"/>
      <c r="J69" s="1810"/>
      <c r="K69" s="1810"/>
      <c r="L69" s="1811"/>
    </row>
    <row r="70" spans="2:14">
      <c r="B70" s="1817" t="s">
        <v>433</v>
      </c>
      <c r="C70" s="1818"/>
      <c r="D70" s="1819"/>
      <c r="E70" s="739">
        <f>'GREET IO'!B56+'GREET IO'!C56</f>
        <v>2072402.1612015334</v>
      </c>
      <c r="F70" s="739">
        <f>'GREET IO'!AL56+'GREET IO'!AM56</f>
        <v>1804921.4734675682</v>
      </c>
      <c r="G70" s="739">
        <f>'GREET IO'!AQ56</f>
        <v>2436097.5728905513</v>
      </c>
      <c r="H70" s="739">
        <f>'GREET IO'!AP56</f>
        <v>2265920.4959970242</v>
      </c>
      <c r="I70" s="967">
        <f>(I$61*('GREET IO'!$F56+'GREET IO'!$G56)+I$62*('GREET IO'!$J56+'GREET IO'!$K56)+I$63*('GREET IO'!$N56+'GREET IO'!$O56)+I$64*('GREET IO'!$R56+'GREET IO'!$S56)+I$65*('GREET IO'!$V56+'GREET IO'!$W56)+I$66*('GREET IO'!$AH56+'GREET IO'!$AI56)+I$67*('GREET IO'!$Z56+'GREET IO'!$AA56))/(1-I$68)</f>
        <v>0</v>
      </c>
      <c r="J70" s="967">
        <f>(J$61*('GREET IO'!$F56+'GREET IO'!$G56)+J$62*('GREET IO'!$J56+'GREET IO'!$K56)+J$63*('GREET IO'!$N56+'GREET IO'!$O56)+J$64*('GREET IO'!$R56+'GREET IO'!$S56)+J$65*('GREET IO'!$V56+'GREET IO'!$W56)+J$66*('GREET IO'!$AH56+'GREET IO'!$AI56)+J$67*('GREET IO'!$Z56+'GREET IO'!$AA56))/(1-J$68)</f>
        <v>0</v>
      </c>
      <c r="K70" s="967">
        <f>(K$61*('GREET IO'!$F56+'GREET IO'!$G56)+K$62*('GREET IO'!$J56+'GREET IO'!$K56)+K$63*('GREET IO'!$N56+'GREET IO'!$O56)+K$64*('GREET IO'!$R56+'GREET IO'!$S56)+K$65*('GREET IO'!$V56+'GREET IO'!$W56)+K$66*('GREET IO'!$AH56+'GREET IO'!$AI56)+K$67*('GREET IO'!$Z56+'GREET IO'!$AA56))/(1-K$68)</f>
        <v>0</v>
      </c>
      <c r="L70" s="967">
        <f>(L$61*('GREET IO'!$F56+'GREET IO'!$G56)+L$62*('GREET IO'!$J56+'GREET IO'!$K56)+L$63*('GREET IO'!$N56+'GREET IO'!$O56)+L$64*('GREET IO'!$R56+'GREET IO'!$S56)+L$65*('GREET IO'!$V56+'GREET IO'!$W56)+L$66*('GREET IO'!$AH56+'GREET IO'!$AI56)+L$67*('GREET IO'!$Z56+'GREET IO'!$AA56))/(1-L$68)</f>
        <v>0</v>
      </c>
    </row>
    <row r="71" spans="2:14">
      <c r="B71" s="1817" t="s">
        <v>242</v>
      </c>
      <c r="C71" s="1818"/>
      <c r="D71" s="1819"/>
      <c r="E71" s="739">
        <f>'GREET IO'!B57+'GREET IO'!C57</f>
        <v>1644052.7363118604</v>
      </c>
      <c r="F71" s="739">
        <f>'GREET IO'!AL57+'GREET IO'!AM57</f>
        <v>1227818.0579275375</v>
      </c>
      <c r="G71" s="739">
        <f>'GREET IO'!AQ57</f>
        <v>1985208.0291438699</v>
      </c>
      <c r="H71" s="739">
        <f>'GREET IO'!AP57</f>
        <v>1848747.5583087509</v>
      </c>
      <c r="I71" s="967">
        <f>(I$61*('GREET IO'!$F57+'GREET IO'!$G57)+I$62*('GREET IO'!$J57+'GREET IO'!$K57)+I$63*('GREET IO'!$N57+'GREET IO'!$O57)+I$64*('GREET IO'!$R57+'GREET IO'!$S57)+I$65*('GREET IO'!$V57+'GREET IO'!$W57)+I$66*('GREET IO'!$AH57+'GREET IO'!$AI57)+I$67*('GREET IO'!$Z57+'GREET IO'!$AA57))/(1-I$68)</f>
        <v>0</v>
      </c>
      <c r="J71" s="967">
        <f>(J$61*('GREET IO'!$F57+'GREET IO'!$G57)+J$62*('GREET IO'!$J57+'GREET IO'!$K57)+J$63*('GREET IO'!$N57+'GREET IO'!$O57)+J$64*('GREET IO'!$R57+'GREET IO'!$S57)+J$65*('GREET IO'!$V57+'GREET IO'!$W57)+J$66*('GREET IO'!$AH57+'GREET IO'!$AI57)+J$67*('GREET IO'!$Z57+'GREET IO'!$AA57))/(1-J$68)</f>
        <v>0</v>
      </c>
      <c r="K71" s="967">
        <f>(K$61*('GREET IO'!$F57+'GREET IO'!$G57)+K$62*('GREET IO'!$J57+'GREET IO'!$K57)+K$63*('GREET IO'!$N57+'GREET IO'!$O57)+K$64*('GREET IO'!$R57+'GREET IO'!$S57)+K$65*('GREET IO'!$V57+'GREET IO'!$W57)+K$66*('GREET IO'!$AH57+'GREET IO'!$AI57)+K$67*('GREET IO'!$Z57+'GREET IO'!$AA57))/(1-K$68)</f>
        <v>0</v>
      </c>
      <c r="L71" s="967">
        <f>(L$61*('GREET IO'!$F57+'GREET IO'!$G57)+L$62*('GREET IO'!$J57+'GREET IO'!$K57)+L$63*('GREET IO'!$N57+'GREET IO'!$O57)+L$64*('GREET IO'!$R57+'GREET IO'!$S57)+L$65*('GREET IO'!$V57+'GREET IO'!$W57)+L$66*('GREET IO'!$AH57+'GREET IO'!$AI57)+L$67*('GREET IO'!$Z57+'GREET IO'!$AA57))/(1-L$68)</f>
        <v>0</v>
      </c>
    </row>
    <row r="72" spans="2:14">
      <c r="B72" s="1817" t="s">
        <v>205</v>
      </c>
      <c r="C72" s="1818"/>
      <c r="D72" s="1819"/>
      <c r="E72" s="739">
        <f>'GREET IO'!B58+'GREET IO'!C58</f>
        <v>728816.38543196069</v>
      </c>
      <c r="F72" s="739">
        <f>'GREET IO'!AL58+'GREET IO'!AM58</f>
        <v>122875.18671080448</v>
      </c>
      <c r="G72" s="739">
        <f>'GREET IO'!AQ58</f>
        <v>1865532.3767617519</v>
      </c>
      <c r="H72" s="739">
        <f>'GREET IO'!AP58</f>
        <v>1162665.2521820681</v>
      </c>
      <c r="I72" s="967">
        <f>(I$61*('GREET IO'!$F58+'GREET IO'!$G58)+I$62*('GREET IO'!$J58+'GREET IO'!$K58)+I$63*('GREET IO'!$N58+'GREET IO'!$O58)+I$64*('GREET IO'!$R58+'GREET IO'!$S58)+I$65*('GREET IO'!$V58+'GREET IO'!$W58)+I$66*('GREET IO'!$AH58+'GREET IO'!$AI58)+I$67*('GREET IO'!$Z58+'GREET IO'!$AA58))/(1-I$68)</f>
        <v>0</v>
      </c>
      <c r="J72" s="967">
        <f>(J$61*('GREET IO'!$F58+'GREET IO'!$G58)+J$62*('GREET IO'!$J58+'GREET IO'!$K58)+J$63*('GREET IO'!$N58+'GREET IO'!$O58)+J$64*('GREET IO'!$R58+'GREET IO'!$S58)+J$65*('GREET IO'!$V58+'GREET IO'!$W58)+J$66*('GREET IO'!$AH58+'GREET IO'!$AI58)+J$67*('GREET IO'!$Z58+'GREET IO'!$AA58))/(1-J$68)</f>
        <v>0</v>
      </c>
      <c r="K72" s="967">
        <f>(K$61*('GREET IO'!$F58+'GREET IO'!$G58)+K$62*('GREET IO'!$J58+'GREET IO'!$K58)+K$63*('GREET IO'!$N58+'GREET IO'!$O58)+K$64*('GREET IO'!$R58+'GREET IO'!$S58)+K$65*('GREET IO'!$V58+'GREET IO'!$W58)+K$66*('GREET IO'!$AH58+'GREET IO'!$AI58)+K$67*('GREET IO'!$Z58+'GREET IO'!$AA58))/(1-K$68)</f>
        <v>0</v>
      </c>
      <c r="L72" s="967">
        <f>(L$61*('GREET IO'!$F58+'GREET IO'!$G58)+L$62*('GREET IO'!$J58+'GREET IO'!$K58)+L$63*('GREET IO'!$N58+'GREET IO'!$O58)+L$64*('GREET IO'!$R58+'GREET IO'!$S58)+L$65*('GREET IO'!$V58+'GREET IO'!$W58)+L$66*('GREET IO'!$AH58+'GREET IO'!$AI58)+L$67*('GREET IO'!$Z58+'GREET IO'!$AA58))/(1-L$68)</f>
        <v>0</v>
      </c>
    </row>
    <row r="73" spans="2:14">
      <c r="B73" s="1817" t="s">
        <v>243</v>
      </c>
      <c r="C73" s="1818"/>
      <c r="D73" s="1819"/>
      <c r="E73" s="739">
        <f>'GREET IO'!B59+'GREET IO'!C59</f>
        <v>893430.9830457418</v>
      </c>
      <c r="F73" s="739">
        <f>'GREET IO'!AL59+'GREET IO'!AM59</f>
        <v>1100604.0449943668</v>
      </c>
      <c r="G73" s="739">
        <f>'GREET IO'!AQ59</f>
        <v>88445.61561368109</v>
      </c>
      <c r="H73" s="739">
        <f>'GREET IO'!AP59</f>
        <v>629130.32231377834</v>
      </c>
      <c r="I73" s="967">
        <f>(I$61*('GREET IO'!$F59+'GREET IO'!$G59)+I$62*('GREET IO'!$J59+'GREET IO'!$K59)+I$63*('GREET IO'!$N59+'GREET IO'!$O59)+I$64*('GREET IO'!$R59+'GREET IO'!$S59)+I$65*('GREET IO'!$V59+'GREET IO'!$W59)+I$66*('GREET IO'!$AH59+'GREET IO'!$AI59)+I$67*('GREET IO'!$Z59+'GREET IO'!$AA59))/(1-I$68)</f>
        <v>0</v>
      </c>
      <c r="J73" s="967">
        <f>(J$61*('GREET IO'!$F59+'GREET IO'!$G59)+J$62*('GREET IO'!$J59+'GREET IO'!$K59)+J$63*('GREET IO'!$N59+'GREET IO'!$O59)+J$64*('GREET IO'!$R59+'GREET IO'!$S59)+J$65*('GREET IO'!$V59+'GREET IO'!$W59)+J$66*('GREET IO'!$AH59+'GREET IO'!$AI59)+J$67*('GREET IO'!$Z59+'GREET IO'!$AA59))/(1-J$68)</f>
        <v>0</v>
      </c>
      <c r="K73" s="967">
        <f>(K$61*('GREET IO'!$F59+'GREET IO'!$G59)+K$62*('GREET IO'!$J59+'GREET IO'!$K59)+K$63*('GREET IO'!$N59+'GREET IO'!$O59)+K$64*('GREET IO'!$R59+'GREET IO'!$S59)+K$65*('GREET IO'!$V59+'GREET IO'!$W59)+K$66*('GREET IO'!$AH59+'GREET IO'!$AI59)+K$67*('GREET IO'!$Z59+'GREET IO'!$AA59))/(1-K$68)</f>
        <v>0</v>
      </c>
      <c r="L73" s="967">
        <f>(L$61*('GREET IO'!$F59+'GREET IO'!$G59)+L$62*('GREET IO'!$J59+'GREET IO'!$K59)+L$63*('GREET IO'!$N59+'GREET IO'!$O59)+L$64*('GREET IO'!$R59+'GREET IO'!$S59)+L$65*('GREET IO'!$V59+'GREET IO'!$W59)+L$66*('GREET IO'!$AH59+'GREET IO'!$AI59)+L$67*('GREET IO'!$Z59+'GREET IO'!$AA59))/(1-L$68)</f>
        <v>0</v>
      </c>
    </row>
    <row r="74" spans="2:14">
      <c r="B74" s="1820" t="s">
        <v>244</v>
      </c>
      <c r="C74" s="1821"/>
      <c r="D74" s="1822"/>
      <c r="E74" s="739">
        <f>'GREET IO'!B60+'GREET IO'!C60</f>
        <v>21805.367834157689</v>
      </c>
      <c r="F74" s="739">
        <f>'GREET IO'!AL60+'GREET IO'!AM60</f>
        <v>4338.8262222583035</v>
      </c>
      <c r="G74" s="739">
        <f>'GREET IO'!AQ60</f>
        <v>31230.036768436836</v>
      </c>
      <c r="H74" s="739">
        <f>'GREET IO'!AP60</f>
        <v>56951.983812904495</v>
      </c>
      <c r="I74" s="967">
        <f>(I$61*('GREET IO'!$F60+'GREET IO'!$G60)+I$62*('GREET IO'!$J60+'GREET IO'!$K60)+I$63*('GREET IO'!$N60+'GREET IO'!$O60)+I$64*('GREET IO'!$R60+'GREET IO'!$S60)+I$65*('GREET IO'!$V60+'GREET IO'!$W60)+I$66*('GREET IO'!$AH60+'GREET IO'!$AI60)+I$67*('GREET IO'!$Z60+'GREET IO'!$AA60))/(1-I$68)</f>
        <v>0</v>
      </c>
      <c r="J74" s="967">
        <f>(J$61*('GREET IO'!$F60+'GREET IO'!$G60)+J$62*('GREET IO'!$J60+'GREET IO'!$K60)+J$63*('GREET IO'!$N60+'GREET IO'!$O60)+J$64*('GREET IO'!$R60+'GREET IO'!$S60)+J$65*('GREET IO'!$V60+'GREET IO'!$W60)+J$66*('GREET IO'!$AH60+'GREET IO'!$AI60)+J$67*('GREET IO'!$Z60+'GREET IO'!$AA60))/(1-J$68)</f>
        <v>0</v>
      </c>
      <c r="K74" s="967">
        <f>(K$61*('GREET IO'!$F60+'GREET IO'!$G60)+K$62*('GREET IO'!$J60+'GREET IO'!$K60)+K$63*('GREET IO'!$N60+'GREET IO'!$O60)+K$64*('GREET IO'!$R60+'GREET IO'!$S60)+K$65*('GREET IO'!$V60+'GREET IO'!$W60)+K$66*('GREET IO'!$AH60+'GREET IO'!$AI60)+K$67*('GREET IO'!$Z60+'GREET IO'!$AA60))/(1-K$68)</f>
        <v>0</v>
      </c>
      <c r="L74" s="967">
        <f>(L$61*('GREET IO'!$F60+'GREET IO'!$G60)+L$62*('GREET IO'!$J60+'GREET IO'!$K60)+L$63*('GREET IO'!$N60+'GREET IO'!$O60)+L$64*('GREET IO'!$R60+'GREET IO'!$S60)+L$65*('GREET IO'!$V60+'GREET IO'!$W60)+L$66*('GREET IO'!$AH60+'GREET IO'!$AI60)+L$67*('GREET IO'!$Z60+'GREET IO'!$AA60))/(1-L$68)</f>
        <v>0</v>
      </c>
    </row>
    <row r="75" spans="2:14">
      <c r="B75" s="1825" t="s">
        <v>178</v>
      </c>
      <c r="C75" s="1826"/>
      <c r="D75" s="1827"/>
      <c r="E75" s="964">
        <f>'GREET IO'!B61+'GREET IO'!C61</f>
        <v>173.10359896305576</v>
      </c>
      <c r="F75" s="966">
        <f>'GREET IO'!AL61+'GREET IO'!AM61</f>
        <v>190.16574881874516</v>
      </c>
      <c r="G75" s="966">
        <f>'GREET IO'!AQ61</f>
        <v>337.31916774615712</v>
      </c>
      <c r="H75" s="966">
        <f>'GREET IO'!AP61</f>
        <v>124.39918170681985</v>
      </c>
      <c r="I75" s="969">
        <f>(I$61*('GREET IO'!$F61+'GREET IO'!$G61)+I$62*('GREET IO'!$J61+'GREET IO'!$K61)+I$63*('GREET IO'!$N61+'GREET IO'!$O61)+I$64*('GREET IO'!$R61+'GREET IO'!$S61)+I$65*('GREET IO'!$V61+'GREET IO'!$W61)+I$66*('GREET IO'!$AH61+'GREET IO'!$AI61)+I$67*('GREET IO'!$Z61+'GREET IO'!$AA61))/(1-I$68)</f>
        <v>0</v>
      </c>
      <c r="J75" s="969">
        <f>(J$61*('GREET IO'!$F61+'GREET IO'!$G61)+J$62*('GREET IO'!$J61+'GREET IO'!$K61)+J$63*('GREET IO'!$N61+'GREET IO'!$O61)+J$64*('GREET IO'!$R61+'GREET IO'!$S61)+J$65*('GREET IO'!$V61+'GREET IO'!$W61)+J$66*('GREET IO'!$AH61+'GREET IO'!$AI61)+J$67*('GREET IO'!$Z61+'GREET IO'!$AA61))/(1-J$68)</f>
        <v>0</v>
      </c>
      <c r="K75" s="969">
        <f>(K$61*('GREET IO'!$F61+'GREET IO'!$G61)+K$62*('GREET IO'!$J61+'GREET IO'!$K61)+K$63*('GREET IO'!$N61+'GREET IO'!$O61)+K$64*('GREET IO'!$R61+'GREET IO'!$S61)+K$65*('GREET IO'!$V61+'GREET IO'!$W61)+K$66*('GREET IO'!$AH61+'GREET IO'!$AI61)+K$67*('GREET IO'!$Z61+'GREET IO'!$AA61))/(1-K$68)</f>
        <v>0</v>
      </c>
      <c r="L75" s="969">
        <f>(L$61*('GREET IO'!$F61+'GREET IO'!$G61)+L$62*('GREET IO'!$J61+'GREET IO'!$K61)+L$63*('GREET IO'!$N61+'GREET IO'!$O61)+L$64*('GREET IO'!$R61+'GREET IO'!$S61)+L$65*('GREET IO'!$V61+'GREET IO'!$W61)+L$66*('GREET IO'!$AH61+'GREET IO'!$AI61)+L$67*('GREET IO'!$Z61+'GREET IO'!$AA61))/(1-L$68)</f>
        <v>0</v>
      </c>
    </row>
    <row r="76" spans="2:14">
      <c r="B76" s="1828" t="s">
        <v>432</v>
      </c>
      <c r="C76" s="1829"/>
      <c r="D76" s="1830"/>
      <c r="E76" s="740">
        <f>'GREET IO'!B62+'GREET IO'!C62</f>
        <v>15.133933244426496</v>
      </c>
      <c r="F76" s="740">
        <f>'GREET IO'!AL62+'GREET IO'!AM62</f>
        <v>11.753702805692999</v>
      </c>
      <c r="G76" s="740">
        <f>'GREET IO'!AQ62</f>
        <v>17.28649389703137</v>
      </c>
      <c r="H76" s="740">
        <f>'GREET IO'!AP62</f>
        <v>16.939248533339402</v>
      </c>
      <c r="I76" s="970">
        <f>(I$61*('GREET IO'!$F62+'GREET IO'!$G62)+I$62*('GREET IO'!$J62+'GREET IO'!$K62)+I$63*('GREET IO'!$N62+'GREET IO'!$O62)+I$64*('GREET IO'!$R62+'GREET IO'!$S62)+I$65*('GREET IO'!$V62+'GREET IO'!$W62)+I$66*('GREET IO'!$AH62+'GREET IO'!$AI62)+I$67*('GREET IO'!$Z62+'GREET IO'!$AA62))/(1-I$68)</f>
        <v>0</v>
      </c>
      <c r="J76" s="970">
        <f>(J$61*('GREET IO'!$F62+'GREET IO'!$G62)+J$62*('GREET IO'!$J62+'GREET IO'!$K62)+J$63*('GREET IO'!$N62+'GREET IO'!$O62)+J$64*('GREET IO'!$R62+'GREET IO'!$S62)+J$65*('GREET IO'!$V62+'GREET IO'!$W62)+J$66*('GREET IO'!$AH62+'GREET IO'!$AI62)+J$67*('GREET IO'!$Z62+'GREET IO'!$AA62))/(1-J$68)</f>
        <v>0</v>
      </c>
      <c r="K76" s="970">
        <f>(K$61*('GREET IO'!$F62+'GREET IO'!$G62)+K$62*('GREET IO'!$J62+'GREET IO'!$K62)+K$63*('GREET IO'!$N62+'GREET IO'!$O62)+K$64*('GREET IO'!$R62+'GREET IO'!$S62)+K$65*('GREET IO'!$V62+'GREET IO'!$W62)+K$66*('GREET IO'!$AH62+'GREET IO'!$AI62)+K$67*('GREET IO'!$Z62+'GREET IO'!$AA62))/(1-K$68)</f>
        <v>0</v>
      </c>
      <c r="L76" s="970">
        <f>(L$61*('GREET IO'!$F62+'GREET IO'!$G62)+L$62*('GREET IO'!$J62+'GREET IO'!$K62)+L$63*('GREET IO'!$N62+'GREET IO'!$O62)+L$64*('GREET IO'!$R62+'GREET IO'!$S62)+L$65*('GREET IO'!$V62+'GREET IO'!$W62)+L$66*('GREET IO'!$AH62+'GREET IO'!$AI62)+L$67*('GREET IO'!$Z62+'GREET IO'!$AA62))/(1-L$68)</f>
        <v>0</v>
      </c>
    </row>
    <row r="77" spans="2:14">
      <c r="B77" s="1817" t="s">
        <v>231</v>
      </c>
      <c r="C77" s="1818"/>
      <c r="D77" s="1819"/>
      <c r="E77" s="740">
        <f>'GREET IO'!B63+'GREET IO'!C63</f>
        <v>54.19928329542428</v>
      </c>
      <c r="F77" s="740">
        <f>'GREET IO'!AL63+'GREET IO'!AM63</f>
        <v>43.845172934999127</v>
      </c>
      <c r="G77" s="740">
        <f>'GREET IO'!AQ63</f>
        <v>69.11860534581983</v>
      </c>
      <c r="H77" s="740">
        <f>'GREET IO'!AP63</f>
        <v>65.765459521206736</v>
      </c>
      <c r="I77" s="971">
        <f>(I$61*('GREET IO'!$F63+'GREET IO'!$G63)+I$62*('GREET IO'!$J63+'GREET IO'!$K63)+I$63*('GREET IO'!$N63+'GREET IO'!$O63)+I$64*('GREET IO'!$R63+'GREET IO'!$S63)+I$65*('GREET IO'!$V63+'GREET IO'!$W63)+I$66*('GREET IO'!$AH63+'GREET IO'!$AI63)+I$67*('GREET IO'!$Z63+'GREET IO'!$AA63))/(1-I$68)</f>
        <v>0</v>
      </c>
      <c r="J77" s="971">
        <f>(J$61*('GREET IO'!$F63+'GREET IO'!$G63)+J$62*('GREET IO'!$J63+'GREET IO'!$K63)+J$63*('GREET IO'!$N63+'GREET IO'!$O63)+J$64*('GREET IO'!$R63+'GREET IO'!$S63)+J$65*('GREET IO'!$V63+'GREET IO'!$W63)+J$66*('GREET IO'!$AH63+'GREET IO'!$AI63)+J$67*('GREET IO'!$Z63+'GREET IO'!$AA63))/(1-J$68)</f>
        <v>0</v>
      </c>
      <c r="K77" s="971">
        <f>(K$61*('GREET IO'!$F63+'GREET IO'!$G63)+K$62*('GREET IO'!$J63+'GREET IO'!$K63)+K$63*('GREET IO'!$N63+'GREET IO'!$O63)+K$64*('GREET IO'!$R63+'GREET IO'!$S63)+K$65*('GREET IO'!$V63+'GREET IO'!$W63)+K$66*('GREET IO'!$AH63+'GREET IO'!$AI63)+K$67*('GREET IO'!$Z63+'GREET IO'!$AA63))/(1-K$68)</f>
        <v>0</v>
      </c>
      <c r="L77" s="971">
        <f>(L$61*('GREET IO'!$F63+'GREET IO'!$G63)+L$62*('GREET IO'!$J63+'GREET IO'!$K63)+L$63*('GREET IO'!$N63+'GREET IO'!$O63)+L$64*('GREET IO'!$R63+'GREET IO'!$S63)+L$65*('GREET IO'!$V63+'GREET IO'!$W63)+L$66*('GREET IO'!$AH63+'GREET IO'!$AI63)+L$67*('GREET IO'!$Z63+'GREET IO'!$AA63))/(1-L$68)</f>
        <v>0</v>
      </c>
    </row>
    <row r="78" spans="2:14">
      <c r="B78" s="1817" t="s">
        <v>232</v>
      </c>
      <c r="C78" s="1818"/>
      <c r="D78" s="1819"/>
      <c r="E78" s="740">
        <f>'GREET IO'!B64+'GREET IO'!C64</f>
        <v>98.188501567890555</v>
      </c>
      <c r="F78" s="740">
        <f>'GREET IO'!AL64+'GREET IO'!AM64</f>
        <v>58.8097713654507</v>
      </c>
      <c r="G78" s="740">
        <f>'GREET IO'!AQ64</f>
        <v>151.72441913390207</v>
      </c>
      <c r="H78" s="740">
        <f>'GREET IO'!AP64</f>
        <v>132.84263831438892</v>
      </c>
      <c r="I78" s="971">
        <f>(I$61*('GREET IO'!$F64+'GREET IO'!$G64)+I$62*('GREET IO'!$J64+'GREET IO'!$K64)+I$63*('GREET IO'!$N64+'GREET IO'!$O64)+I$64*('GREET IO'!$R64+'GREET IO'!$S64)+I$65*('GREET IO'!$V64+'GREET IO'!$W64)+I$66*('GREET IO'!$AH64+'GREET IO'!$AI64)+I$67*('GREET IO'!$Z64+'GREET IO'!$AA64))/(1-I$68)</f>
        <v>0</v>
      </c>
      <c r="J78" s="971">
        <f>(J$61*('GREET IO'!$F64+'GREET IO'!$G64)+J$62*('GREET IO'!$J64+'GREET IO'!$K64)+J$63*('GREET IO'!$N64+'GREET IO'!$O64)+J$64*('GREET IO'!$R64+'GREET IO'!$S64)+J$65*('GREET IO'!$V64+'GREET IO'!$W64)+J$66*('GREET IO'!$AH64+'GREET IO'!$AI64)+J$67*('GREET IO'!$Z64+'GREET IO'!$AA64))/(1-J$68)</f>
        <v>0</v>
      </c>
      <c r="K78" s="971">
        <f>(K$61*('GREET IO'!$F64+'GREET IO'!$G64)+K$62*('GREET IO'!$J64+'GREET IO'!$K64)+K$63*('GREET IO'!$N64+'GREET IO'!$O64)+K$64*('GREET IO'!$R64+'GREET IO'!$S64)+K$65*('GREET IO'!$V64+'GREET IO'!$W64)+K$66*('GREET IO'!$AH64+'GREET IO'!$AI64)+K$67*('GREET IO'!$Z64+'GREET IO'!$AA64))/(1-K$68)</f>
        <v>0</v>
      </c>
      <c r="L78" s="971">
        <f>(L$61*('GREET IO'!$F64+'GREET IO'!$G64)+L$62*('GREET IO'!$J64+'GREET IO'!$K64)+L$63*('GREET IO'!$N64+'GREET IO'!$O64)+L$64*('GREET IO'!$R64+'GREET IO'!$S64)+L$65*('GREET IO'!$V64+'GREET IO'!$W64)+L$66*('GREET IO'!$AH64+'GREET IO'!$AI64)+L$67*('GREET IO'!$Z64+'GREET IO'!$AA64))/(1-L$68)</f>
        <v>0</v>
      </c>
    </row>
    <row r="79" spans="2:14">
      <c r="B79" s="1817" t="s">
        <v>12</v>
      </c>
      <c r="C79" s="1818"/>
      <c r="D79" s="1819"/>
      <c r="E79" s="740">
        <f>'GREET IO'!B65+'GREET IO'!C65</f>
        <v>14.79958524029915</v>
      </c>
      <c r="F79" s="740">
        <f>'GREET IO'!AL65+'GREET IO'!AM65</f>
        <v>5.5653379719521787</v>
      </c>
      <c r="G79" s="740">
        <f>'GREET IO'!AQ65</f>
        <v>30.980572090080251</v>
      </c>
      <c r="H79" s="740">
        <f>'GREET IO'!AP65</f>
        <v>21.968160214567813</v>
      </c>
      <c r="I79" s="971">
        <f>(I$61*('GREET IO'!$F65+'GREET IO'!$G65)+I$62*('GREET IO'!$J65+'GREET IO'!$K65)+I$63*('GREET IO'!$N65+'GREET IO'!$O65)+I$64*('GREET IO'!$R65+'GREET IO'!$S65)+I$65*('GREET IO'!$V65+'GREET IO'!$W65)+I$66*('GREET IO'!$AH65+'GREET IO'!$AI65)+I$67*('GREET IO'!$Z65+'GREET IO'!$AA65))/(1-I$68)</f>
        <v>0</v>
      </c>
      <c r="J79" s="971">
        <f>(J$61*('GREET IO'!$F65+'GREET IO'!$G65)+J$62*('GREET IO'!$J65+'GREET IO'!$K65)+J$63*('GREET IO'!$N65+'GREET IO'!$O65)+J$64*('GREET IO'!$R65+'GREET IO'!$S65)+J$65*('GREET IO'!$V65+'GREET IO'!$W65)+J$66*('GREET IO'!$AH65+'GREET IO'!$AI65)+J$67*('GREET IO'!$Z65+'GREET IO'!$AA65))/(1-J$68)</f>
        <v>0</v>
      </c>
      <c r="K79" s="971">
        <f>(K$61*('GREET IO'!$F65+'GREET IO'!$G65)+K$62*('GREET IO'!$J65+'GREET IO'!$K65)+K$63*('GREET IO'!$N65+'GREET IO'!$O65)+K$64*('GREET IO'!$R65+'GREET IO'!$S65)+K$65*('GREET IO'!$V65+'GREET IO'!$W65)+K$66*('GREET IO'!$AH65+'GREET IO'!$AI65)+K$67*('GREET IO'!$Z65+'GREET IO'!$AA65))/(1-K$68)</f>
        <v>0</v>
      </c>
      <c r="L79" s="971">
        <f>(L$61*('GREET IO'!$F65+'GREET IO'!$G65)+L$62*('GREET IO'!$J65+'GREET IO'!$K65)+L$63*('GREET IO'!$N65+'GREET IO'!$O65)+L$64*('GREET IO'!$R65+'GREET IO'!$S65)+L$65*('GREET IO'!$V65+'GREET IO'!$W65)+L$66*('GREET IO'!$AH65+'GREET IO'!$AI65)+L$67*('GREET IO'!$Z65+'GREET IO'!$AA65))/(1-L$68)</f>
        <v>0</v>
      </c>
    </row>
    <row r="80" spans="2:14">
      <c r="B80" s="1817" t="s">
        <v>13</v>
      </c>
      <c r="C80" s="1818"/>
      <c r="D80" s="1819"/>
      <c r="E80" s="740">
        <f>'GREET IO'!B66+'GREET IO'!C66</f>
        <v>8.1186819852087329</v>
      </c>
      <c r="F80" s="740">
        <f>'GREET IO'!AL66+'GREET IO'!AM66</f>
        <v>4.3460266397730063</v>
      </c>
      <c r="G80" s="740">
        <f>'GREET IO'!AQ66</f>
        <v>14.102506126556889</v>
      </c>
      <c r="H80" s="740">
        <f>'GREET IO'!AP66</f>
        <v>11.303407107024364</v>
      </c>
      <c r="I80" s="971">
        <f>(I$61*('GREET IO'!$F66+'GREET IO'!$G66)+I$62*('GREET IO'!$J66+'GREET IO'!$K66)+I$63*('GREET IO'!$N66+'GREET IO'!$O66)+I$64*('GREET IO'!$R66+'GREET IO'!$S66)+I$65*('GREET IO'!$V66+'GREET IO'!$W66)+I$66*('GREET IO'!$AH66+'GREET IO'!$AI66)+I$67*('GREET IO'!$Z66+'GREET IO'!$AA66))/(1-I$68)</f>
        <v>0</v>
      </c>
      <c r="J80" s="971">
        <f>(J$61*('GREET IO'!$F66+'GREET IO'!$G66)+J$62*('GREET IO'!$J66+'GREET IO'!$K66)+J$63*('GREET IO'!$N66+'GREET IO'!$O66)+J$64*('GREET IO'!$R66+'GREET IO'!$S66)+J$65*('GREET IO'!$V66+'GREET IO'!$W66)+J$66*('GREET IO'!$AH66+'GREET IO'!$AI66)+J$67*('GREET IO'!$Z66+'GREET IO'!$AA66))/(1-J$68)</f>
        <v>0</v>
      </c>
      <c r="K80" s="971">
        <f>(K$61*('GREET IO'!$F66+'GREET IO'!$G66)+K$62*('GREET IO'!$J66+'GREET IO'!$K66)+K$63*('GREET IO'!$N66+'GREET IO'!$O66)+K$64*('GREET IO'!$R66+'GREET IO'!$S66)+K$65*('GREET IO'!$V66+'GREET IO'!$W66)+K$66*('GREET IO'!$AH66+'GREET IO'!$AI66)+K$67*('GREET IO'!$Z66+'GREET IO'!$AA66))/(1-K$68)</f>
        <v>0</v>
      </c>
      <c r="L80" s="971">
        <f>(L$61*('GREET IO'!$F66+'GREET IO'!$G66)+L$62*('GREET IO'!$J66+'GREET IO'!$K66)+L$63*('GREET IO'!$N66+'GREET IO'!$O66)+L$64*('GREET IO'!$R66+'GREET IO'!$S66)+L$65*('GREET IO'!$V66+'GREET IO'!$W66)+L$66*('GREET IO'!$AH66+'GREET IO'!$AI66)+L$67*('GREET IO'!$Z66+'GREET IO'!$AA66))/(1-L$68)</f>
        <v>0</v>
      </c>
    </row>
    <row r="81" spans="2:12">
      <c r="B81" s="1817" t="s">
        <v>20</v>
      </c>
      <c r="C81" s="1818"/>
      <c r="D81" s="1819"/>
      <c r="E81" s="740">
        <f>'GREET IO'!B67+'GREET IO'!C67</f>
        <v>86.6792466145004</v>
      </c>
      <c r="F81" s="740">
        <f>'GREET IO'!AL67+'GREET IO'!AM67</f>
        <v>26.920768861646931</v>
      </c>
      <c r="G81" s="740">
        <f>'GREET IO'!AQ67</f>
        <v>194.89129909842222</v>
      </c>
      <c r="H81" s="740">
        <f>'GREET IO'!AP67</f>
        <v>136.19646841761738</v>
      </c>
      <c r="I81" s="971">
        <f>(I$61*('GREET IO'!$F67+'GREET IO'!$G67)+I$62*('GREET IO'!$J67+'GREET IO'!$K67)+I$63*('GREET IO'!$N67+'GREET IO'!$O67)+I$64*('GREET IO'!$R67+'GREET IO'!$S67)+I$65*('GREET IO'!$V67+'GREET IO'!$W67)+I$66*('GREET IO'!$AH67+'GREET IO'!$AI67)+I$67*('GREET IO'!$Z67+'GREET IO'!$AA67))/(1-I$68)</f>
        <v>0</v>
      </c>
      <c r="J81" s="971">
        <f>(J$61*('GREET IO'!$F67+'GREET IO'!$G67)+J$62*('GREET IO'!$J67+'GREET IO'!$K67)+J$63*('GREET IO'!$N67+'GREET IO'!$O67)+J$64*('GREET IO'!$R67+'GREET IO'!$S67)+J$65*('GREET IO'!$V67+'GREET IO'!$W67)+J$66*('GREET IO'!$AH67+'GREET IO'!$AI67)+J$67*('GREET IO'!$Z67+'GREET IO'!$AA67))/(1-J$68)</f>
        <v>0</v>
      </c>
      <c r="K81" s="971">
        <f>(K$61*('GREET IO'!$F67+'GREET IO'!$G67)+K$62*('GREET IO'!$J67+'GREET IO'!$K67)+K$63*('GREET IO'!$N67+'GREET IO'!$O67)+K$64*('GREET IO'!$R67+'GREET IO'!$S67)+K$65*('GREET IO'!$V67+'GREET IO'!$W67)+K$66*('GREET IO'!$AH67+'GREET IO'!$AI67)+K$67*('GREET IO'!$Z67+'GREET IO'!$AA67))/(1-K$68)</f>
        <v>0</v>
      </c>
      <c r="L81" s="971">
        <f>(L$61*('GREET IO'!$F67+'GREET IO'!$G67)+L$62*('GREET IO'!$J67+'GREET IO'!$K67)+L$63*('GREET IO'!$N67+'GREET IO'!$O67)+L$64*('GREET IO'!$R67+'GREET IO'!$S67)+L$65*('GREET IO'!$V67+'GREET IO'!$W67)+L$66*('GREET IO'!$AH67+'GREET IO'!$AI67)+L$67*('GREET IO'!$Z67+'GREET IO'!$AA67))/(1-L$68)</f>
        <v>0</v>
      </c>
    </row>
    <row r="82" spans="2:12">
      <c r="B82" s="1817" t="s">
        <v>14</v>
      </c>
      <c r="C82" s="1818"/>
      <c r="D82" s="1819"/>
      <c r="E82" s="740">
        <f>'GREET IO'!B68+'GREET IO'!C68</f>
        <v>0.4263653854267383</v>
      </c>
      <c r="F82" s="740">
        <f>'GREET IO'!AL68+'GREET IO'!AM68</f>
        <v>0.29879329563380536</v>
      </c>
      <c r="G82" s="740">
        <f>'GREET IO'!AQ68</f>
        <v>0.6357213809844402</v>
      </c>
      <c r="H82" s="740">
        <f>'GREET IO'!AP68</f>
        <v>0.60372017521124532</v>
      </c>
      <c r="I82" s="971">
        <f>(I$61*('GREET IO'!$F68+'GREET IO'!$G68)+I$62*('GREET IO'!$J68+'GREET IO'!$K68)+I$63*('GREET IO'!$N68+'GREET IO'!$O68)+I$64*('GREET IO'!$R68+'GREET IO'!$S68)+I$65*('GREET IO'!$V68+'GREET IO'!$W68)+I$66*('GREET IO'!$AH68+'GREET IO'!$AI68)+I$67*('GREET IO'!$Z68+'GREET IO'!$AA68))/(1-I$68)</f>
        <v>0</v>
      </c>
      <c r="J82" s="971">
        <f>(J$61*('GREET IO'!$F68+'GREET IO'!$G68)+J$62*('GREET IO'!$J68+'GREET IO'!$K68)+J$63*('GREET IO'!$N68+'GREET IO'!$O68)+J$64*('GREET IO'!$R68+'GREET IO'!$S68)+J$65*('GREET IO'!$V68+'GREET IO'!$W68)+J$66*('GREET IO'!$AH68+'GREET IO'!$AI68)+J$67*('GREET IO'!$Z68+'GREET IO'!$AA68))/(1-J$68)</f>
        <v>0</v>
      </c>
      <c r="K82" s="971">
        <f>(K$61*('GREET IO'!$F68+'GREET IO'!$G68)+K$62*('GREET IO'!$J68+'GREET IO'!$K68)+K$63*('GREET IO'!$N68+'GREET IO'!$O68)+K$64*('GREET IO'!$R68+'GREET IO'!$S68)+K$65*('GREET IO'!$V68+'GREET IO'!$W68)+K$66*('GREET IO'!$AH68+'GREET IO'!$AI68)+K$67*('GREET IO'!$Z68+'GREET IO'!$AA68))/(1-K$68)</f>
        <v>0</v>
      </c>
      <c r="L82" s="971">
        <f>(L$61*('GREET IO'!$F68+'GREET IO'!$G68)+L$62*('GREET IO'!$J68+'GREET IO'!$K68)+L$63*('GREET IO'!$N68+'GREET IO'!$O68)+L$64*('GREET IO'!$R68+'GREET IO'!$S68)+L$65*('GREET IO'!$V68+'GREET IO'!$W68)+L$66*('GREET IO'!$AH68+'GREET IO'!$AI68)+L$67*('GREET IO'!$Z68+'GREET IO'!$AA68))/(1-L$68)</f>
        <v>0</v>
      </c>
    </row>
    <row r="83" spans="2:12">
      <c r="B83" s="1817" t="s">
        <v>15</v>
      </c>
      <c r="C83" s="1818"/>
      <c r="D83" s="1819"/>
      <c r="E83" s="740">
        <f>'GREET IO'!B69+'GREET IO'!C69</f>
        <v>2.0716820911339098</v>
      </c>
      <c r="F83" s="740">
        <f>'GREET IO'!AL69+'GREET IO'!AM69</f>
        <v>2.1258006024952665</v>
      </c>
      <c r="G83" s="740">
        <f>'GREET IO'!AQ69</f>
        <v>1.3350361757880862</v>
      </c>
      <c r="H83" s="740">
        <f>'GREET IO'!AP69</f>
        <v>2.0264300428999484</v>
      </c>
      <c r="I83" s="971">
        <f>(I$61*('GREET IO'!$F69+'GREET IO'!$G69)+I$62*('GREET IO'!$J69+'GREET IO'!$K69)+I$63*('GREET IO'!$N69+'GREET IO'!$O69)+I$64*('GREET IO'!$R69+'GREET IO'!$S69)+I$65*('GREET IO'!$V69+'GREET IO'!$W69)+I$66*('GREET IO'!$AH69+'GREET IO'!$AI69)+I$67*('GREET IO'!$Z69+'GREET IO'!$AA69))/(1-I$68)</f>
        <v>0</v>
      </c>
      <c r="J83" s="971">
        <f>(J$61*('GREET IO'!$F69+'GREET IO'!$G69)+J$62*('GREET IO'!$J69+'GREET IO'!$K69)+J$63*('GREET IO'!$N69+'GREET IO'!$O69)+J$64*('GREET IO'!$R69+'GREET IO'!$S69)+J$65*('GREET IO'!$V69+'GREET IO'!$W69)+J$66*('GREET IO'!$AH69+'GREET IO'!$AI69)+J$67*('GREET IO'!$Z69+'GREET IO'!$AA69))/(1-J$68)</f>
        <v>0</v>
      </c>
      <c r="K83" s="971">
        <f>(K$61*('GREET IO'!$F69+'GREET IO'!$G69)+K$62*('GREET IO'!$J69+'GREET IO'!$K69)+K$63*('GREET IO'!$N69+'GREET IO'!$O69)+K$64*('GREET IO'!$R69+'GREET IO'!$S69)+K$65*('GREET IO'!$V69+'GREET IO'!$W69)+K$66*('GREET IO'!$AH69+'GREET IO'!$AI69)+K$67*('GREET IO'!$Z69+'GREET IO'!$AA69))/(1-K$68)</f>
        <v>0</v>
      </c>
      <c r="L83" s="971">
        <f>(L$61*('GREET IO'!$F69+'GREET IO'!$G69)+L$62*('GREET IO'!$J69+'GREET IO'!$K69)+L$63*('GREET IO'!$N69+'GREET IO'!$O69)+L$64*('GREET IO'!$R69+'GREET IO'!$S69)+L$65*('GREET IO'!$V69+'GREET IO'!$W69)+L$66*('GREET IO'!$AH69+'GREET IO'!$AI69)+L$67*('GREET IO'!$Z69+'GREET IO'!$AA69))/(1-L$68)</f>
        <v>0</v>
      </c>
    </row>
    <row r="84" spans="2:12">
      <c r="B84" s="1817" t="s">
        <v>16</v>
      </c>
      <c r="C84" s="1818"/>
      <c r="D84" s="1819"/>
      <c r="E84" s="740">
        <f>'GREET IO'!B70+'GREET IO'!C70</f>
        <v>270.97124572299776</v>
      </c>
      <c r="F84" s="740">
        <f>'GREET IO'!AL70+'GREET IO'!AM70</f>
        <v>206.70535541951656</v>
      </c>
      <c r="G84" s="740">
        <f>'GREET IO'!AQ70</f>
        <v>319.7661171543229</v>
      </c>
      <c r="H84" s="740">
        <f>'GREET IO'!AP70</f>
        <v>299.96624883325001</v>
      </c>
      <c r="I84" s="971">
        <f>(I$61*('GREET IO'!$F70+'GREET IO'!$G70)+I$62*('GREET IO'!$J70+'GREET IO'!$K70)+I$63*('GREET IO'!$N70+'GREET IO'!$O70)+I$64*('GREET IO'!$R70+'GREET IO'!$S70)+I$65*('GREET IO'!$V70+'GREET IO'!$W70)+I$66*('GREET IO'!$AH70+'GREET IO'!$AI70)+I$67*('GREET IO'!$Z70+'GREET IO'!$AA70))/(1-I$68)</f>
        <v>0</v>
      </c>
      <c r="J84" s="971">
        <f>(J$61*('GREET IO'!$F70+'GREET IO'!$G70)+J$62*('GREET IO'!$J70+'GREET IO'!$K70)+J$63*('GREET IO'!$N70+'GREET IO'!$O70)+J$64*('GREET IO'!$R70+'GREET IO'!$S70)+J$65*('GREET IO'!$V70+'GREET IO'!$W70)+J$66*('GREET IO'!$AH70+'GREET IO'!$AI70)+J$67*('GREET IO'!$Z70+'GREET IO'!$AA70))/(1-J$68)</f>
        <v>0</v>
      </c>
      <c r="K84" s="971">
        <f>(K$61*('GREET IO'!$F70+'GREET IO'!$G70)+K$62*('GREET IO'!$J70+'GREET IO'!$K70)+K$63*('GREET IO'!$N70+'GREET IO'!$O70)+K$64*('GREET IO'!$R70+'GREET IO'!$S70)+K$65*('GREET IO'!$V70+'GREET IO'!$W70)+K$66*('GREET IO'!$AH70+'GREET IO'!$AI70)+K$67*('GREET IO'!$Z70+'GREET IO'!$AA70))/(1-K$68)</f>
        <v>0</v>
      </c>
      <c r="L84" s="971">
        <f>(L$61*('GREET IO'!$F70+'GREET IO'!$G70)+L$62*('GREET IO'!$J70+'GREET IO'!$K70)+L$63*('GREET IO'!$N70+'GREET IO'!$O70)+L$64*('GREET IO'!$R70+'GREET IO'!$S70)+L$65*('GREET IO'!$V70+'GREET IO'!$W70)+L$66*('GREET IO'!$AH70+'GREET IO'!$AI70)+L$67*('GREET IO'!$Z70+'GREET IO'!$AA70))/(1-L$68)</f>
        <v>0</v>
      </c>
    </row>
    <row r="85" spans="2:12">
      <c r="B85" s="1817" t="s">
        <v>19</v>
      </c>
      <c r="C85" s="1818"/>
      <c r="D85" s="1819"/>
      <c r="E85" s="740">
        <f>'GREET IO'!B71+'GREET IO'!C71</f>
        <v>2.597224583249659</v>
      </c>
      <c r="F85" s="740">
        <f>'GREET IO'!AL71+'GREET IO'!AM71</f>
        <v>1.4969757308390668</v>
      </c>
      <c r="G85" s="740">
        <f>'GREET IO'!AQ71</f>
        <v>4.7940800338830867</v>
      </c>
      <c r="H85" s="740">
        <f>'GREET IO'!AP71</f>
        <v>3.6338625068147135</v>
      </c>
      <c r="I85" s="971">
        <f>(I$61*('GREET IO'!$F71+'GREET IO'!$G71)+I$62*('GREET IO'!$J71+'GREET IO'!$K71)+I$63*('GREET IO'!$N71+'GREET IO'!$O71)+I$64*('GREET IO'!$R71+'GREET IO'!$S71)+I$65*('GREET IO'!$V71+'GREET IO'!$W71)+I$66*('GREET IO'!$AH71+'GREET IO'!$AI71)+I$67*('GREET IO'!$Z71+'GREET IO'!$AA71))/(1-I$68)</f>
        <v>0</v>
      </c>
      <c r="J85" s="971">
        <f>(J$61*('GREET IO'!$F71+'GREET IO'!$G71)+J$62*('GREET IO'!$J71+'GREET IO'!$K71)+J$63*('GREET IO'!$N71+'GREET IO'!$O71)+J$64*('GREET IO'!$R71+'GREET IO'!$S71)+J$65*('GREET IO'!$V71+'GREET IO'!$W71)+J$66*('GREET IO'!$AH71+'GREET IO'!$AI71)+J$67*('GREET IO'!$Z71+'GREET IO'!$AA71))/(1-J$68)</f>
        <v>0</v>
      </c>
      <c r="K85" s="971">
        <f>(K$61*('GREET IO'!$F71+'GREET IO'!$G71)+K$62*('GREET IO'!$J71+'GREET IO'!$K71)+K$63*('GREET IO'!$N71+'GREET IO'!$O71)+K$64*('GREET IO'!$R71+'GREET IO'!$S71)+K$65*('GREET IO'!$V71+'GREET IO'!$W71)+K$66*('GREET IO'!$AH71+'GREET IO'!$AI71)+K$67*('GREET IO'!$Z71+'GREET IO'!$AA71))/(1-K$68)</f>
        <v>0</v>
      </c>
      <c r="L85" s="971">
        <f>(L$61*('GREET IO'!$F71+'GREET IO'!$G71)+L$62*('GREET IO'!$J71+'GREET IO'!$K71)+L$63*('GREET IO'!$N71+'GREET IO'!$O71)+L$64*('GREET IO'!$R71+'GREET IO'!$S71)+L$65*('GREET IO'!$V71+'GREET IO'!$W71)+L$66*('GREET IO'!$AH71+'GREET IO'!$AI71)+L$67*('GREET IO'!$Z71+'GREET IO'!$AA71))/(1-L$68)</f>
        <v>0</v>
      </c>
    </row>
    <row r="86" spans="2:12">
      <c r="B86" s="1817" t="s">
        <v>17</v>
      </c>
      <c r="C86" s="1818"/>
      <c r="D86" s="1819"/>
      <c r="E86" s="739">
        <f>'GREET IO'!B72+'GREET IO'!C72</f>
        <v>127800.99778787572</v>
      </c>
      <c r="F86" s="739">
        <f>'GREET IO'!AL72+'GREET IO'!AM72</f>
        <v>79114.368547645863</v>
      </c>
      <c r="G86" s="739">
        <f>'GREET IO'!AQ72</f>
        <v>194177.88516927732</v>
      </c>
      <c r="H86" s="739">
        <f>'GREET IO'!AP72</f>
        <v>158313.82494116807</v>
      </c>
      <c r="I86" s="967">
        <f>(I$61*('GREET IO'!$F72+'GREET IO'!$G72)+I$62*('GREET IO'!$J72+'GREET IO'!$K72)+I$63*('GREET IO'!$N72+'GREET IO'!$O72)+I$64*('GREET IO'!$R72+'GREET IO'!$S72)+I$65*('GREET IO'!$V72+'GREET IO'!$W72)+I$66*('GREET IO'!$AH72+'GREET IO'!$AI72)+I$67*('GREET IO'!$Z72+'GREET IO'!$AA72))/(1-I$68)</f>
        <v>0</v>
      </c>
      <c r="J86" s="967">
        <f>(J$61*('GREET IO'!$F72+'GREET IO'!$G72)+J$62*('GREET IO'!$J72+'GREET IO'!$K72)+J$63*('GREET IO'!$N72+'GREET IO'!$O72)+J$64*('GREET IO'!$R72+'GREET IO'!$S72)+J$65*('GREET IO'!$V72+'GREET IO'!$W72)+J$66*('GREET IO'!$AH72+'GREET IO'!$AI72)+J$67*('GREET IO'!$Z72+'GREET IO'!$AA72))/(1-J$68)</f>
        <v>0</v>
      </c>
      <c r="K86" s="967">
        <f>(K$61*('GREET IO'!$F72+'GREET IO'!$G72)+K$62*('GREET IO'!$J72+'GREET IO'!$K72)+K$63*('GREET IO'!$N72+'GREET IO'!$O72)+K$64*('GREET IO'!$R72+'GREET IO'!$S72)+K$65*('GREET IO'!$V72+'GREET IO'!$W72)+K$66*('GREET IO'!$AH72+'GREET IO'!$AI72)+K$67*('GREET IO'!$Z72+'GREET IO'!$AA72))/(1-K$68)</f>
        <v>0</v>
      </c>
      <c r="L86" s="967">
        <f>(L$61*('GREET IO'!$F72+'GREET IO'!$G72)+L$62*('GREET IO'!$J72+'GREET IO'!$K72)+L$63*('GREET IO'!$N72+'GREET IO'!$O72)+L$64*('GREET IO'!$R72+'GREET IO'!$S72)+L$65*('GREET IO'!$V72+'GREET IO'!$W72)+L$66*('GREET IO'!$AH72+'GREET IO'!$AI72)+L$67*('GREET IO'!$Z72+'GREET IO'!$AA72))/(1-L$68)</f>
        <v>0</v>
      </c>
    </row>
    <row r="87" spans="2:12">
      <c r="B87" s="1817" t="s">
        <v>197</v>
      </c>
      <c r="C87" s="1818"/>
      <c r="D87" s="1819"/>
      <c r="E87" s="739">
        <f>'GREET IO'!B73+'GREET IO'!C73</f>
        <v>127933.33551547556</v>
      </c>
      <c r="F87" s="739">
        <f>'GREET IO'!AL73+'GREET IO'!AM73</f>
        <v>79219.900478859548</v>
      </c>
      <c r="G87" s="739">
        <f>G86+G76*'GREET IO'!$B$118/'GREET IO'!$B$120+G77*'GREET IO'!$B$119/'GREET IO'!$B$120</f>
        <v>194340.37635984743</v>
      </c>
      <c r="H87" s="739">
        <f>H86+H76*'GREET IO'!$B$118/'GREET IO'!$B$120+H77*'GREET IO'!$B$119/'GREET IO'!$B$120</f>
        <v>158469.96465453506</v>
      </c>
      <c r="I87" s="967">
        <f>I86+I76*'GREET IO'!$B$118/'GREET IO'!$B$120+I77*'GREET IO'!$B$119/'GREET IO'!$B$120</f>
        <v>0</v>
      </c>
      <c r="J87" s="967">
        <f>J86+J76*'GREET IO'!$B$118/'GREET IO'!$B$120+J77*'GREET IO'!$B$119/'GREET IO'!$B$120</f>
        <v>0</v>
      </c>
      <c r="K87" s="967">
        <f>K86+K76*'GREET IO'!$B$118/'GREET IO'!$B$120+K77*'GREET IO'!$B$119/'GREET IO'!$B$120</f>
        <v>0</v>
      </c>
      <c r="L87" s="967">
        <f>L86+L76*'GREET IO'!$B$118/'GREET IO'!$B$120+L77*'GREET IO'!$B$119/'GREET IO'!$B$120</f>
        <v>0</v>
      </c>
    </row>
    <row r="88" spans="2:12">
      <c r="B88" s="1820" t="s">
        <v>18</v>
      </c>
      <c r="C88" s="1821"/>
      <c r="D88" s="1822"/>
      <c r="E88" s="963">
        <f>'GREET IO'!B74+'GREET IO'!C74</f>
        <v>136717.32094924804</v>
      </c>
      <c r="F88" s="965">
        <f>'GREET IO'!AL74+'GREET IO'!AM74</f>
        <v>85788.394444880221</v>
      </c>
      <c r="G88" s="965">
        <f>G87+SUMPRODUCT(G84:G85,'GREET IO'!$B$114:$B$115)</f>
        <v>205178.19050029633</v>
      </c>
      <c r="H88" s="965">
        <f>H87+SUMPRODUCT(H84:H85,'GREET IO'!$B$114:$B$115)</f>
        <v>168401.00333412632</v>
      </c>
      <c r="I88" s="967">
        <f>I87+SUMPRODUCT(I84:I85,'GREET IO'!$B$114:$B$115)</f>
        <v>0</v>
      </c>
      <c r="J88" s="967">
        <f>J87+SUMPRODUCT(J84:J85,'GREET IO'!$B$114:$B$115)</f>
        <v>0</v>
      </c>
      <c r="K88" s="967">
        <f>K87+SUMPRODUCT(K84:K85,'GREET IO'!$B$114:$B$115)</f>
        <v>0</v>
      </c>
      <c r="L88" s="967">
        <f>L87+SUMPRODUCT(L84:L85,'GREET IO'!$B$114:$B$115)</f>
        <v>0</v>
      </c>
    </row>
  </sheetData>
  <mergeCells count="45">
    <mergeCell ref="D49:G49"/>
    <mergeCell ref="D6:G6"/>
    <mergeCell ref="C14:F14"/>
    <mergeCell ref="M21:P21"/>
    <mergeCell ref="R21:U21"/>
    <mergeCell ref="D40:G40"/>
    <mergeCell ref="D29:G29"/>
    <mergeCell ref="I37:K37"/>
    <mergeCell ref="I46:K46"/>
    <mergeCell ref="C21:F21"/>
    <mergeCell ref="H14:K14"/>
    <mergeCell ref="M14:P14"/>
    <mergeCell ref="H21:K21"/>
    <mergeCell ref="B71:D71"/>
    <mergeCell ref="B72:D72"/>
    <mergeCell ref="B73:D73"/>
    <mergeCell ref="B74:D74"/>
    <mergeCell ref="B58:D59"/>
    <mergeCell ref="B60:D60"/>
    <mergeCell ref="B61:B68"/>
    <mergeCell ref="C61:C67"/>
    <mergeCell ref="C68:D68"/>
    <mergeCell ref="B85:D85"/>
    <mergeCell ref="B86:D86"/>
    <mergeCell ref="B87:D87"/>
    <mergeCell ref="B88:D88"/>
    <mergeCell ref="E58:H59"/>
    <mergeCell ref="B80:D80"/>
    <mergeCell ref="B81:D81"/>
    <mergeCell ref="B82:D82"/>
    <mergeCell ref="B83:D83"/>
    <mergeCell ref="B84:D84"/>
    <mergeCell ref="B75:D75"/>
    <mergeCell ref="B76:D76"/>
    <mergeCell ref="B77:D77"/>
    <mergeCell ref="B78:D78"/>
    <mergeCell ref="B79:D79"/>
    <mergeCell ref="B70:D70"/>
    <mergeCell ref="I53:K53"/>
    <mergeCell ref="I58:L58"/>
    <mergeCell ref="B69:L69"/>
    <mergeCell ref="E60:E68"/>
    <mergeCell ref="F60:F68"/>
    <mergeCell ref="G60:G68"/>
    <mergeCell ref="H60:H68"/>
  </mergeCells>
  <phoneticPr fontId="153" type="noConversion"/>
  <hyperlinks>
    <hyperlink ref="I10" location="'Geographic Par.'!A41" display="'Geographic Par.'!A41" xr:uid="{00000000-0004-0000-0C00-000000000000}"/>
    <hyperlink ref="I10:J10" location="'Geographic Par.'!A91" display="'Geographic Par.'!A91" xr:uid="{00000000-0004-0000-0C00-000001000000}"/>
    <hyperlink ref="I37:K37" location="'Geographic Par.'!A91" display="'Geographic Par.'!A91" xr:uid="{00000000-0004-0000-0C00-000002000000}"/>
    <hyperlink ref="I46:K46" location="'Geographic Par.'!A91" display="'Geographic Par.'!A91" xr:uid="{00000000-0004-0000-0C00-000003000000}"/>
    <hyperlink ref="I53:K53" location="'Geographic Par.'!A91" display="'Geographic Par.'!A91" xr:uid="{00000000-0004-0000-0C00-000004000000}"/>
  </hyperlinks>
  <pageMargins left="0.7" right="0.7" top="0.75" bottom="0.75" header="0.3" footer="0.3"/>
  <pageSetup orientation="portrait" verticalDpi="0" r:id="rId1"/>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00B050"/>
  </sheetPr>
  <dimension ref="A1:Y64"/>
  <sheetViews>
    <sheetView zoomScale="70" zoomScaleNormal="70" workbookViewId="0"/>
  </sheetViews>
  <sheetFormatPr defaultColWidth="8.83203125" defaultRowHeight="14"/>
  <cols>
    <col min="1" max="1" width="27.83203125" customWidth="1"/>
    <col min="2" max="2" width="26" customWidth="1"/>
    <col min="3" max="3" width="20.4140625" customWidth="1"/>
    <col min="4" max="4" width="14.83203125" customWidth="1"/>
    <col min="5" max="5" width="17.25" customWidth="1"/>
    <col min="6" max="6" width="15.1640625" customWidth="1"/>
    <col min="7" max="7" width="14" customWidth="1"/>
    <col min="8" max="8" width="15.4140625" customWidth="1"/>
    <col min="9" max="9" width="15.83203125" customWidth="1"/>
    <col min="10" max="10" width="14.75" customWidth="1"/>
    <col min="11" max="11" width="10.1640625" customWidth="1"/>
    <col min="12" max="12" width="13.25" customWidth="1"/>
    <col min="13" max="13" width="12.4140625" customWidth="1"/>
    <col min="14" max="14" width="13.1640625" customWidth="1"/>
    <col min="15" max="15" width="12.25" customWidth="1"/>
    <col min="16" max="16" width="12.4140625" customWidth="1"/>
    <col min="17" max="17" width="12.25" customWidth="1"/>
    <col min="18" max="18" width="12.83203125" customWidth="1"/>
    <col min="19" max="19" width="12.1640625" customWidth="1"/>
    <col min="20" max="20" width="10.75" customWidth="1"/>
    <col min="21" max="21" width="14.4140625" customWidth="1"/>
    <col min="22" max="22" width="11.83203125" customWidth="1"/>
    <col min="23" max="23" width="10" customWidth="1"/>
    <col min="24" max="24" width="10.1640625" bestFit="1" customWidth="1"/>
    <col min="25" max="25" width="10.83203125" customWidth="1"/>
    <col min="27" max="27" width="11" customWidth="1"/>
    <col min="28" max="28" width="9.83203125" customWidth="1"/>
  </cols>
  <sheetData>
    <row r="1" spans="1:20" ht="20">
      <c r="A1" s="8"/>
    </row>
    <row r="2" spans="1:20" ht="20">
      <c r="A2" s="8" t="s">
        <v>64</v>
      </c>
    </row>
    <row r="3" spans="1:20" ht="20">
      <c r="A3" t="s">
        <v>65</v>
      </c>
      <c r="G3" s="1"/>
      <c r="H3" s="1"/>
      <c r="I3" s="1"/>
      <c r="K3" s="9"/>
    </row>
    <row r="4" spans="1:20" ht="16">
      <c r="A4" s="1177"/>
      <c r="B4" s="1214" t="s">
        <v>1029</v>
      </c>
      <c r="C4" s="1214" t="s">
        <v>55</v>
      </c>
      <c r="D4" s="1214" t="s">
        <v>66</v>
      </c>
      <c r="E4" s="1214" t="s">
        <v>67</v>
      </c>
      <c r="F4" s="1214" t="s">
        <v>54</v>
      </c>
      <c r="G4" s="1214" t="s">
        <v>141</v>
      </c>
      <c r="H4" s="1214" t="s">
        <v>68</v>
      </c>
      <c r="I4" s="1214" t="s">
        <v>69</v>
      </c>
      <c r="J4" s="1214" t="s">
        <v>70</v>
      </c>
      <c r="K4" s="1215" t="s">
        <v>42</v>
      </c>
      <c r="L4" s="1214" t="s">
        <v>71</v>
      </c>
      <c r="M4" s="1214" t="s">
        <v>343</v>
      </c>
      <c r="N4" s="1214" t="s">
        <v>148</v>
      </c>
      <c r="O4" s="1214" t="s">
        <v>1540</v>
      </c>
      <c r="P4" s="1214" t="s">
        <v>667</v>
      </c>
      <c r="Q4" s="1214" t="s">
        <v>669</v>
      </c>
      <c r="R4" s="1214" t="s">
        <v>73</v>
      </c>
      <c r="S4" s="1214" t="s">
        <v>149</v>
      </c>
      <c r="T4" s="1322" t="s">
        <v>1620</v>
      </c>
    </row>
    <row r="5" spans="1:20" ht="14.5" thickBot="1">
      <c r="A5" s="942" t="s">
        <v>1383</v>
      </c>
      <c r="B5" s="1066">
        <f ca="1">IF(AND(ISNUMBER('Cath. Prod. Par.'!AE76),Input!$E$38="NMC(111)"),'Cath. Prod. Par.'!AE76, 25.5)</f>
        <v>25.5</v>
      </c>
      <c r="C5" s="841">
        <v>7</v>
      </c>
      <c r="D5" s="841">
        <v>15</v>
      </c>
      <c r="E5" s="841">
        <v>2.7</v>
      </c>
      <c r="F5" s="841">
        <v>10</v>
      </c>
      <c r="G5" s="841">
        <f>0.2/(1*15/1000000*2.7*1000)</f>
        <v>4.9382716049382713</v>
      </c>
      <c r="H5" s="841">
        <f>1.2/(1*10/1000000*8.96*1000)</f>
        <v>13.392857142857141</v>
      </c>
      <c r="I5" s="841">
        <f>0.9/(1*15/1000000*0.47*1000)</f>
        <v>127.65957446808511</v>
      </c>
      <c r="J5" s="841">
        <f>10/1.2</f>
        <v>8.3333333333333339</v>
      </c>
      <c r="K5" s="1066">
        <f ca="1">IF(AND(ISNUMBER('Cath. Prod. Par.'!FE76),Input!$E$38="LCO"),'Cath. Prod. Par.'!FE76,50)</f>
        <v>50</v>
      </c>
      <c r="L5" s="841">
        <v>3</v>
      </c>
      <c r="M5" s="842">
        <v>7.9</v>
      </c>
      <c r="N5" s="841">
        <v>9</v>
      </c>
      <c r="O5" s="1066">
        <f ca="1">IF(AND(ISNUMBER('Cath. Prod. Par.'!BE76),Input!$E$38="NMC(532)"),'Cath. Prod. Par.'!BE76,24)</f>
        <v>24</v>
      </c>
      <c r="P5" s="1066">
        <f ca="1">IF(AND(ISNUMBER('Cath. Prod. Par.'!CE76),Input!$E$38="NMC(622)"),'Cath. Prod. Par.'!CE76,25)</f>
        <v>25</v>
      </c>
      <c r="Q5" s="1066">
        <f ca="1">IF(AND(ISNUMBER('Cath. Prod. Par.'!DE76),Input!$E$38="NMC(811)"),'Cath. Prod. Par.'!DE76,26)</f>
        <v>26</v>
      </c>
      <c r="R5" s="1066">
        <f ca="1">IF(AND(ISNUMBER('Cath. Prod. Par.'!EE76),Input!$E$38="NCA"),'Cath. Prod. Par.'!EE76,26)</f>
        <v>26</v>
      </c>
      <c r="S5" s="841">
        <v>10</v>
      </c>
      <c r="T5" s="1362">
        <v>10</v>
      </c>
    </row>
    <row r="6" spans="1:20" ht="14.5" thickTop="1">
      <c r="A6" t="s">
        <v>72</v>
      </c>
      <c r="G6" s="10"/>
      <c r="H6" s="10"/>
      <c r="I6" s="10"/>
      <c r="J6" s="10"/>
    </row>
    <row r="7" spans="1:20">
      <c r="A7" s="1177"/>
      <c r="B7" s="1069" t="s">
        <v>75</v>
      </c>
      <c r="C7" s="1069" t="s">
        <v>76</v>
      </c>
      <c r="D7" s="1070" t="s">
        <v>77</v>
      </c>
    </row>
    <row r="8" spans="1:20">
      <c r="A8" s="942" t="s">
        <v>1383</v>
      </c>
      <c r="B8" s="1124">
        <f>Materials!B5</f>
        <v>16.853000000000002</v>
      </c>
      <c r="C8" s="1124">
        <f>Materials!B6</f>
        <v>3.1492555776</v>
      </c>
      <c r="D8" s="1125">
        <f>Materials!B4</f>
        <v>50.353520799999998</v>
      </c>
    </row>
    <row r="9" spans="1:20">
      <c r="A9" t="s">
        <v>1382</v>
      </c>
      <c r="B9" s="954"/>
      <c r="C9" s="954"/>
      <c r="D9" s="954"/>
    </row>
    <row r="10" spans="1:20">
      <c r="A10" s="1177"/>
      <c r="B10" s="1216" t="s">
        <v>94</v>
      </c>
      <c r="C10" s="1216" t="s">
        <v>95</v>
      </c>
      <c r="D10" s="1216" t="s">
        <v>71</v>
      </c>
      <c r="E10" s="1225" t="s">
        <v>1648</v>
      </c>
    </row>
    <row r="11" spans="1:20">
      <c r="A11" s="942" t="s">
        <v>1675</v>
      </c>
      <c r="B11" s="1124">
        <v>0.08</v>
      </c>
      <c r="C11" s="1124">
        <v>0.08</v>
      </c>
      <c r="D11" s="1124">
        <v>0.2</v>
      </c>
      <c r="E11" s="1125">
        <v>0.15</v>
      </c>
    </row>
    <row r="13" spans="1:20" ht="20">
      <c r="A13" s="8" t="s">
        <v>79</v>
      </c>
    </row>
    <row r="14" spans="1:20">
      <c r="A14" s="1282" t="s">
        <v>80</v>
      </c>
      <c r="B14" s="1481">
        <v>0.95</v>
      </c>
      <c r="C14" t="s">
        <v>81</v>
      </c>
    </row>
    <row r="15" spans="1:20">
      <c r="A15" t="s">
        <v>82</v>
      </c>
    </row>
    <row r="16" spans="1:20" ht="30" customHeight="1">
      <c r="A16" s="1177"/>
      <c r="B16" s="1213" t="s">
        <v>53</v>
      </c>
      <c r="C16" s="1213" t="s">
        <v>83</v>
      </c>
      <c r="D16" s="1213" t="s">
        <v>84</v>
      </c>
      <c r="E16" s="1213" t="s">
        <v>85</v>
      </c>
      <c r="F16" s="1213" t="s">
        <v>86</v>
      </c>
      <c r="G16" s="1212" t="s">
        <v>70</v>
      </c>
    </row>
    <row r="17" spans="1:25">
      <c r="A17" s="942" t="s">
        <v>87</v>
      </c>
      <c r="B17" s="12">
        <f>0.99*0.99*0.95*0.99</f>
        <v>0.92178404999999985</v>
      </c>
      <c r="C17" s="12">
        <f>0.99*0.99*0.95*0.99</f>
        <v>0.92178404999999985</v>
      </c>
      <c r="D17" s="12">
        <f>0.99*0.92*0.95</f>
        <v>0.86526000000000003</v>
      </c>
      <c r="E17" s="12">
        <f>0.99*0.92*0.95</f>
        <v>0.86526000000000003</v>
      </c>
      <c r="F17" s="12">
        <v>0.98</v>
      </c>
      <c r="G17" s="13">
        <v>0.99</v>
      </c>
    </row>
    <row r="18" spans="1:25">
      <c r="A18" t="s">
        <v>88</v>
      </c>
    </row>
    <row r="19" spans="1:25" ht="45" customHeight="1">
      <c r="A19" s="1211" t="s">
        <v>1667</v>
      </c>
      <c r="B19" s="1211" t="s">
        <v>1668</v>
      </c>
      <c r="C19" s="1212" t="s">
        <v>89</v>
      </c>
    </row>
    <row r="20" spans="1:25">
      <c r="A20" s="5">
        <v>16</v>
      </c>
      <c r="B20" s="5">
        <v>40</v>
      </c>
      <c r="C20" s="14">
        <v>0.995</v>
      </c>
    </row>
    <row r="22" spans="1:25" ht="25.5">
      <c r="A22" s="8" t="s">
        <v>90</v>
      </c>
      <c r="C22" t="s">
        <v>1392</v>
      </c>
      <c r="E22" t="s">
        <v>91</v>
      </c>
      <c r="G22" t="s">
        <v>1393</v>
      </c>
    </row>
    <row r="23" spans="1:25">
      <c r="A23" t="s">
        <v>92</v>
      </c>
    </row>
    <row r="24" spans="1:25" ht="30" customHeight="1">
      <c r="A24" s="1213" t="s">
        <v>53</v>
      </c>
      <c r="B24" s="1213" t="s">
        <v>83</v>
      </c>
      <c r="C24" s="1213" t="s">
        <v>84</v>
      </c>
      <c r="D24" s="1213" t="s">
        <v>85</v>
      </c>
      <c r="E24" s="1213" t="s">
        <v>86</v>
      </c>
      <c r="F24" s="1213" t="s">
        <v>70</v>
      </c>
      <c r="G24" s="1213" t="s">
        <v>55</v>
      </c>
      <c r="H24" s="1213" t="s">
        <v>66</v>
      </c>
      <c r="I24" s="1213" t="s">
        <v>1620</v>
      </c>
      <c r="J24" s="1213" t="s">
        <v>67</v>
      </c>
      <c r="K24" s="1213" t="s">
        <v>93</v>
      </c>
      <c r="L24" s="1213" t="s">
        <v>94</v>
      </c>
      <c r="M24" s="1213" t="s">
        <v>95</v>
      </c>
      <c r="N24" s="1213" t="s">
        <v>71</v>
      </c>
      <c r="O24" s="1226" t="s">
        <v>1629</v>
      </c>
    </row>
    <row r="25" spans="1:25">
      <c r="A25" s="6">
        <v>1</v>
      </c>
      <c r="B25" s="6">
        <v>1</v>
      </c>
      <c r="C25" s="6">
        <v>1</v>
      </c>
      <c r="D25" s="6">
        <v>1</v>
      </c>
      <c r="E25" s="6">
        <v>1</v>
      </c>
      <c r="F25" s="6">
        <v>1</v>
      </c>
      <c r="G25" s="6">
        <v>1</v>
      </c>
      <c r="H25" s="6">
        <v>1</v>
      </c>
      <c r="I25" s="6">
        <v>1</v>
      </c>
      <c r="J25" s="6">
        <v>1</v>
      </c>
      <c r="K25" s="6">
        <v>1</v>
      </c>
      <c r="L25" s="6">
        <v>0.85</v>
      </c>
      <c r="M25" s="6">
        <v>0.85</v>
      </c>
      <c r="N25" s="6">
        <v>0.85</v>
      </c>
      <c r="O25" s="705">
        <v>0.85</v>
      </c>
    </row>
    <row r="26" spans="1:25">
      <c r="A26" t="s">
        <v>96</v>
      </c>
    </row>
    <row r="27" spans="1:25" ht="60" customHeight="1">
      <c r="A27" s="1320" t="s">
        <v>1652</v>
      </c>
      <c r="B27" s="1427" t="s">
        <v>1653</v>
      </c>
      <c r="C27" s="1427" t="s">
        <v>1389</v>
      </c>
      <c r="D27" s="1427" t="s">
        <v>1390</v>
      </c>
      <c r="E27" s="1427" t="s">
        <v>1654</v>
      </c>
      <c r="F27" s="1427" t="s">
        <v>1655</v>
      </c>
      <c r="G27" s="1427" t="s">
        <v>1656</v>
      </c>
      <c r="H27" s="1427" t="s">
        <v>1657</v>
      </c>
      <c r="I27" s="1427" t="s">
        <v>1658</v>
      </c>
      <c r="J27" s="1427" t="s">
        <v>1659</v>
      </c>
      <c r="K27" s="1427" t="s">
        <v>98</v>
      </c>
      <c r="L27" s="1427" t="s">
        <v>100</v>
      </c>
      <c r="M27" s="1427" t="s">
        <v>101</v>
      </c>
      <c r="N27" s="1427" t="s">
        <v>1650</v>
      </c>
      <c r="O27" s="1427" t="s">
        <v>1651</v>
      </c>
      <c r="P27" s="1427" t="s">
        <v>102</v>
      </c>
      <c r="Q27" s="1427" t="s">
        <v>1660</v>
      </c>
      <c r="R27" s="1427" t="s">
        <v>1661</v>
      </c>
      <c r="S27" s="1427" t="s">
        <v>1584</v>
      </c>
      <c r="T27" s="1427" t="s">
        <v>1585</v>
      </c>
      <c r="U27" s="1427" t="s">
        <v>1649</v>
      </c>
      <c r="V27" s="1320" t="s">
        <v>293</v>
      </c>
      <c r="W27" s="1427" t="s">
        <v>97</v>
      </c>
      <c r="X27" s="1427" t="s">
        <v>103</v>
      </c>
      <c r="Y27" s="1321" t="s">
        <v>99</v>
      </c>
    </row>
    <row r="28" spans="1:25">
      <c r="A28" s="5">
        <v>0.9</v>
      </c>
      <c r="B28" s="6">
        <v>0.9</v>
      </c>
      <c r="C28" s="6">
        <v>0.7</v>
      </c>
      <c r="D28" s="6">
        <v>0.7</v>
      </c>
      <c r="E28" s="6">
        <v>0.7</v>
      </c>
      <c r="F28" s="6">
        <v>0.7</v>
      </c>
      <c r="G28" s="6">
        <v>0.7</v>
      </c>
      <c r="H28" s="6">
        <v>0.7</v>
      </c>
      <c r="I28" s="6">
        <v>0.7</v>
      </c>
      <c r="J28" s="6">
        <v>0.7</v>
      </c>
      <c r="K28" s="6">
        <v>0.7</v>
      </c>
      <c r="L28" s="6">
        <v>0.9</v>
      </c>
      <c r="M28" s="6">
        <v>0.9</v>
      </c>
      <c r="N28" s="6">
        <v>0.9</v>
      </c>
      <c r="O28" s="6">
        <v>0.9</v>
      </c>
      <c r="P28" s="6">
        <v>0.9</v>
      </c>
      <c r="Q28" s="6">
        <v>0</v>
      </c>
      <c r="R28" s="6">
        <v>0.7</v>
      </c>
      <c r="S28" s="6">
        <v>0.7</v>
      </c>
      <c r="T28" s="6">
        <v>0.7</v>
      </c>
      <c r="U28" s="6">
        <v>0.5</v>
      </c>
      <c r="V28" s="6">
        <v>0.7</v>
      </c>
      <c r="W28" s="705">
        <v>0.5</v>
      </c>
      <c r="X28" s="1313">
        <v>0.7</v>
      </c>
      <c r="Y28" s="1322">
        <v>0.7</v>
      </c>
    </row>
    <row r="29" spans="1:25">
      <c r="A29" t="s">
        <v>105</v>
      </c>
    </row>
    <row r="30" spans="1:25" ht="60" customHeight="1">
      <c r="A30" s="1320" t="s">
        <v>1652</v>
      </c>
      <c r="B30" s="1427" t="s">
        <v>1653</v>
      </c>
      <c r="C30" s="1427" t="s">
        <v>1389</v>
      </c>
      <c r="D30" s="1427" t="s">
        <v>1390</v>
      </c>
      <c r="E30" s="1427" t="s">
        <v>1654</v>
      </c>
      <c r="F30" s="1427" t="s">
        <v>1655</v>
      </c>
      <c r="G30" s="1427" t="s">
        <v>1656</v>
      </c>
      <c r="H30" s="1427" t="s">
        <v>1657</v>
      </c>
      <c r="I30" s="1427" t="s">
        <v>1658</v>
      </c>
      <c r="J30" s="1427" t="s">
        <v>1659</v>
      </c>
      <c r="K30" s="1427" t="s">
        <v>98</v>
      </c>
      <c r="L30" s="1427" t="s">
        <v>100</v>
      </c>
      <c r="M30" s="1427" t="s">
        <v>101</v>
      </c>
      <c r="N30" s="1427" t="s">
        <v>1650</v>
      </c>
      <c r="O30" s="1427" t="s">
        <v>1651</v>
      </c>
      <c r="P30" s="1427" t="s">
        <v>102</v>
      </c>
      <c r="Q30" s="1427" t="s">
        <v>1660</v>
      </c>
      <c r="R30" s="1427" t="s">
        <v>1661</v>
      </c>
      <c r="S30" s="1427" t="s">
        <v>1584</v>
      </c>
      <c r="T30" s="1427" t="s">
        <v>1585</v>
      </c>
      <c r="U30" s="1427" t="s">
        <v>1649</v>
      </c>
      <c r="V30" s="1320" t="s">
        <v>293</v>
      </c>
      <c r="W30" s="1427" t="s">
        <v>97</v>
      </c>
      <c r="X30" s="1427" t="s">
        <v>103</v>
      </c>
      <c r="Y30" s="1321" t="s">
        <v>99</v>
      </c>
    </row>
    <row r="31" spans="1:25">
      <c r="A31" s="5">
        <v>0.9</v>
      </c>
      <c r="B31" s="6">
        <v>0.9</v>
      </c>
      <c r="C31" s="1214">
        <v>0.9</v>
      </c>
      <c r="D31" s="6">
        <v>0.9</v>
      </c>
      <c r="E31" s="1214">
        <v>0.9</v>
      </c>
      <c r="F31" s="6">
        <v>0.9</v>
      </c>
      <c r="G31" s="6">
        <v>0.9</v>
      </c>
      <c r="H31" s="1214">
        <v>0.9</v>
      </c>
      <c r="I31" s="6">
        <v>0.9</v>
      </c>
      <c r="J31" s="6">
        <v>0.9</v>
      </c>
      <c r="K31" s="6">
        <v>0.9</v>
      </c>
      <c r="L31" s="6">
        <v>0.9</v>
      </c>
      <c r="M31" s="6">
        <v>0.9</v>
      </c>
      <c r="N31" s="6">
        <v>0.9</v>
      </c>
      <c r="O31" s="6">
        <v>0.9</v>
      </c>
      <c r="P31" s="6">
        <v>0.9</v>
      </c>
      <c r="Q31" s="6">
        <v>0.9</v>
      </c>
      <c r="R31" s="6">
        <v>0.95</v>
      </c>
      <c r="S31" s="1214">
        <v>0.95</v>
      </c>
      <c r="T31" s="6">
        <v>0.95</v>
      </c>
      <c r="U31" s="6">
        <v>0.95</v>
      </c>
      <c r="V31" s="6">
        <v>0.95</v>
      </c>
      <c r="W31" s="7">
        <v>0.95</v>
      </c>
      <c r="X31" s="1313">
        <v>0.9</v>
      </c>
      <c r="Y31" s="1322">
        <v>0.95</v>
      </c>
    </row>
    <row r="32" spans="1:25">
      <c r="A32" t="s">
        <v>106</v>
      </c>
    </row>
    <row r="33" spans="1:25" ht="60" customHeight="1">
      <c r="A33" s="1320" t="s">
        <v>1652</v>
      </c>
      <c r="B33" s="1427" t="s">
        <v>1653</v>
      </c>
      <c r="C33" s="1427" t="s">
        <v>1389</v>
      </c>
      <c r="D33" s="1427" t="s">
        <v>1390</v>
      </c>
      <c r="E33" s="1427" t="s">
        <v>1654</v>
      </c>
      <c r="F33" s="1427" t="s">
        <v>1655</v>
      </c>
      <c r="G33" s="1427" t="s">
        <v>1656</v>
      </c>
      <c r="H33" s="1427" t="s">
        <v>1657</v>
      </c>
      <c r="I33" s="1427" t="s">
        <v>1658</v>
      </c>
      <c r="J33" s="1427" t="s">
        <v>1659</v>
      </c>
      <c r="K33" s="1427" t="s">
        <v>98</v>
      </c>
      <c r="L33" s="1427" t="s">
        <v>100</v>
      </c>
      <c r="M33" s="1427" t="s">
        <v>101</v>
      </c>
      <c r="N33" s="1427" t="s">
        <v>1650</v>
      </c>
      <c r="O33" s="1427" t="s">
        <v>1651</v>
      </c>
      <c r="P33" s="1427" t="s">
        <v>102</v>
      </c>
      <c r="Q33" s="1427" t="s">
        <v>1660</v>
      </c>
      <c r="R33" s="1427" t="s">
        <v>1661</v>
      </c>
      <c r="S33" s="1427" t="s">
        <v>1584</v>
      </c>
      <c r="T33" s="1427" t="s">
        <v>1585</v>
      </c>
      <c r="U33" s="1427" t="s">
        <v>1649</v>
      </c>
      <c r="V33" s="1320" t="s">
        <v>293</v>
      </c>
      <c r="W33" s="1427" t="s">
        <v>97</v>
      </c>
      <c r="X33" s="1427" t="s">
        <v>103</v>
      </c>
      <c r="Y33" s="1321" t="s">
        <v>99</v>
      </c>
    </row>
    <row r="34" spans="1:25">
      <c r="A34" s="5">
        <v>0.95</v>
      </c>
      <c r="B34" s="6">
        <v>0.95</v>
      </c>
      <c r="C34" s="1214">
        <v>0.95</v>
      </c>
      <c r="D34" s="6">
        <v>0.95</v>
      </c>
      <c r="E34" s="1214">
        <v>0.95</v>
      </c>
      <c r="F34" s="6">
        <v>0.95</v>
      </c>
      <c r="G34" s="6">
        <v>0.95</v>
      </c>
      <c r="H34" s="1214">
        <v>0.95</v>
      </c>
      <c r="I34" s="6">
        <v>0.95</v>
      </c>
      <c r="J34" s="6">
        <v>0.95</v>
      </c>
      <c r="K34" s="6">
        <v>0.95</v>
      </c>
      <c r="L34" s="6">
        <v>0.95</v>
      </c>
      <c r="M34" s="6">
        <v>0.95</v>
      </c>
      <c r="N34" s="6">
        <v>0.95</v>
      </c>
      <c r="O34" s="6">
        <v>0.95</v>
      </c>
      <c r="P34" s="6">
        <v>0.95</v>
      </c>
      <c r="Q34" s="6">
        <v>0.95</v>
      </c>
      <c r="R34" s="6">
        <v>0.95</v>
      </c>
      <c r="S34" s="1214">
        <v>0.95</v>
      </c>
      <c r="T34" s="6">
        <v>0.95</v>
      </c>
      <c r="U34" s="6">
        <v>0.95</v>
      </c>
      <c r="V34" s="6">
        <v>0.95</v>
      </c>
      <c r="W34" s="7">
        <v>0.95</v>
      </c>
      <c r="X34" s="1313">
        <v>0.95</v>
      </c>
      <c r="Y34" s="1322">
        <v>0.95</v>
      </c>
    </row>
    <row r="35" spans="1:25">
      <c r="A35" t="s">
        <v>107</v>
      </c>
    </row>
    <row r="36" spans="1:25">
      <c r="A36" s="1177" t="s">
        <v>1670</v>
      </c>
      <c r="B36" s="1177" t="s">
        <v>1671</v>
      </c>
      <c r="C36" s="1177" t="s">
        <v>1599</v>
      </c>
      <c r="D36" s="1177" t="s">
        <v>1600</v>
      </c>
    </row>
    <row r="37" spans="1:25">
      <c r="A37" s="15">
        <v>0.95</v>
      </c>
      <c r="B37" s="15">
        <v>0.3</v>
      </c>
      <c r="C37" s="15">
        <v>0.3</v>
      </c>
      <c r="D37" s="15">
        <v>0.2</v>
      </c>
    </row>
    <row r="39" spans="1:25" ht="20">
      <c r="A39" s="8" t="s">
        <v>108</v>
      </c>
    </row>
    <row r="40" spans="1:25" ht="60" customHeight="1">
      <c r="A40" s="1320" t="s">
        <v>1652</v>
      </c>
      <c r="B40" s="1427" t="s">
        <v>1653</v>
      </c>
      <c r="C40" s="1427" t="s">
        <v>1389</v>
      </c>
      <c r="D40" s="1427" t="s">
        <v>1390</v>
      </c>
      <c r="E40" s="1427" t="s">
        <v>1654</v>
      </c>
      <c r="F40" s="1427" t="s">
        <v>1655</v>
      </c>
      <c r="G40" s="1427" t="s">
        <v>1656</v>
      </c>
      <c r="H40" s="1427" t="s">
        <v>1657</v>
      </c>
      <c r="I40" s="1427" t="s">
        <v>1658</v>
      </c>
      <c r="J40" s="1427" t="s">
        <v>1659</v>
      </c>
      <c r="K40" s="1427" t="s">
        <v>98</v>
      </c>
      <c r="L40" s="1427" t="s">
        <v>100</v>
      </c>
      <c r="M40" s="1427" t="s">
        <v>101</v>
      </c>
      <c r="N40" s="1427" t="s">
        <v>1650</v>
      </c>
      <c r="O40" s="1427" t="s">
        <v>1651</v>
      </c>
      <c r="P40" s="1427" t="s">
        <v>102</v>
      </c>
      <c r="Q40" s="1427" t="s">
        <v>1660</v>
      </c>
      <c r="R40" s="1427" t="s">
        <v>1661</v>
      </c>
      <c r="S40" s="1427" t="s">
        <v>1584</v>
      </c>
      <c r="T40" s="1427" t="s">
        <v>1585</v>
      </c>
      <c r="U40" s="1427" t="s">
        <v>1649</v>
      </c>
      <c r="V40" s="1320" t="s">
        <v>293</v>
      </c>
      <c r="W40" s="1427" t="s">
        <v>97</v>
      </c>
      <c r="X40" s="1427" t="s">
        <v>103</v>
      </c>
      <c r="Y40" s="1321" t="s">
        <v>99</v>
      </c>
    </row>
    <row r="41" spans="1:25">
      <c r="A41" s="16">
        <v>200000</v>
      </c>
      <c r="B41" s="17">
        <v>270000</v>
      </c>
      <c r="C41" s="1227">
        <v>59000</v>
      </c>
      <c r="D41" s="17">
        <v>59000</v>
      </c>
      <c r="E41" s="1227">
        <v>61000</v>
      </c>
      <c r="F41" s="18">
        <v>69000</v>
      </c>
      <c r="G41" s="17">
        <v>250000</v>
      </c>
      <c r="H41" s="1227">
        <v>250000</v>
      </c>
      <c r="I41" s="17">
        <v>41000</v>
      </c>
      <c r="J41" s="17">
        <v>35000</v>
      </c>
      <c r="K41" s="17">
        <v>260000</v>
      </c>
      <c r="L41" s="17">
        <v>700000</v>
      </c>
      <c r="M41" s="17">
        <v>190000</v>
      </c>
      <c r="N41" s="17">
        <v>190000</v>
      </c>
      <c r="O41" s="17">
        <v>49000</v>
      </c>
      <c r="P41" s="17">
        <v>132000</v>
      </c>
      <c r="Q41" s="17">
        <v>8000</v>
      </c>
      <c r="R41" s="17">
        <v>560000</v>
      </c>
      <c r="S41" s="1227">
        <v>170000</v>
      </c>
      <c r="T41" s="17">
        <v>150000</v>
      </c>
      <c r="U41" s="17">
        <v>31000</v>
      </c>
      <c r="V41" s="18">
        <v>0</v>
      </c>
      <c r="W41" s="19">
        <v>17000</v>
      </c>
      <c r="X41" s="1323">
        <v>38000</v>
      </c>
      <c r="Y41" s="1324">
        <v>46000</v>
      </c>
    </row>
    <row r="43" spans="1:25" ht="20">
      <c r="A43" s="8" t="s">
        <v>109</v>
      </c>
    </row>
    <row r="44" spans="1:25" ht="60" customHeight="1">
      <c r="A44" s="1320" t="s">
        <v>1652</v>
      </c>
      <c r="B44" s="1427" t="s">
        <v>1653</v>
      </c>
      <c r="C44" s="1427" t="s">
        <v>1389</v>
      </c>
      <c r="D44" s="1427" t="s">
        <v>1390</v>
      </c>
      <c r="E44" s="1427" t="s">
        <v>1654</v>
      </c>
      <c r="F44" s="1427" t="s">
        <v>1655</v>
      </c>
      <c r="G44" s="1427" t="s">
        <v>1656</v>
      </c>
      <c r="H44" s="1427" t="s">
        <v>1657</v>
      </c>
      <c r="I44" s="1427" t="s">
        <v>1658</v>
      </c>
      <c r="J44" s="1427" t="s">
        <v>1659</v>
      </c>
      <c r="K44" s="1427" t="s">
        <v>98</v>
      </c>
      <c r="L44" s="1427" t="s">
        <v>100</v>
      </c>
      <c r="M44" s="1427" t="s">
        <v>101</v>
      </c>
      <c r="N44" s="1427" t="s">
        <v>1650</v>
      </c>
      <c r="O44" s="1427" t="s">
        <v>1651</v>
      </c>
      <c r="P44" s="1427" t="s">
        <v>102</v>
      </c>
      <c r="Q44" s="1427" t="s">
        <v>1660</v>
      </c>
      <c r="R44" s="1427" t="s">
        <v>1661</v>
      </c>
      <c r="S44" s="1427" t="s">
        <v>1584</v>
      </c>
      <c r="T44" s="1427" t="s">
        <v>1585</v>
      </c>
      <c r="U44" s="1427" t="s">
        <v>1649</v>
      </c>
      <c r="V44" s="1320" t="s">
        <v>293</v>
      </c>
      <c r="W44" s="1427" t="s">
        <v>97</v>
      </c>
      <c r="X44" s="1427" t="s">
        <v>103</v>
      </c>
      <c r="Y44" s="1321" t="s">
        <v>99</v>
      </c>
    </row>
    <row r="45" spans="1:25">
      <c r="A45" s="5">
        <v>200</v>
      </c>
      <c r="B45" s="6">
        <v>280</v>
      </c>
      <c r="C45" s="6">
        <v>90</v>
      </c>
      <c r="D45" s="6">
        <v>78</v>
      </c>
      <c r="E45" s="6">
        <v>25</v>
      </c>
      <c r="F45" s="6">
        <v>25</v>
      </c>
      <c r="G45" s="6">
        <v>29</v>
      </c>
      <c r="H45" s="6">
        <v>29</v>
      </c>
      <c r="I45" s="6">
        <v>14</v>
      </c>
      <c r="J45" s="6">
        <v>11</v>
      </c>
      <c r="K45" s="6">
        <v>30</v>
      </c>
      <c r="L45" s="6">
        <v>170</v>
      </c>
      <c r="M45" s="6">
        <v>190</v>
      </c>
      <c r="N45" s="6">
        <v>14</v>
      </c>
      <c r="O45" s="6">
        <v>11</v>
      </c>
      <c r="P45" s="6">
        <v>25</v>
      </c>
      <c r="Q45" s="6">
        <v>7.3</v>
      </c>
      <c r="R45" s="6">
        <v>830</v>
      </c>
      <c r="S45" s="6">
        <v>94</v>
      </c>
      <c r="T45" s="6">
        <v>94</v>
      </c>
      <c r="U45" s="6">
        <v>200</v>
      </c>
      <c r="V45" s="18">
        <v>1700</v>
      </c>
      <c r="W45" s="7">
        <v>36</v>
      </c>
      <c r="X45" s="1313">
        <v>9.3000000000000007</v>
      </c>
      <c r="Y45" s="1322">
        <v>16</v>
      </c>
    </row>
    <row r="47" spans="1:25" ht="23.5">
      <c r="A47" s="8" t="s">
        <v>110</v>
      </c>
    </row>
    <row r="48" spans="1:25" ht="60" customHeight="1">
      <c r="A48" s="1320" t="s">
        <v>1652</v>
      </c>
      <c r="B48" s="1427" t="s">
        <v>1653</v>
      </c>
      <c r="C48" s="1427" t="s">
        <v>1389</v>
      </c>
      <c r="D48" s="1427" t="s">
        <v>1390</v>
      </c>
      <c r="E48" s="1427" t="s">
        <v>1654</v>
      </c>
      <c r="F48" s="1427" t="s">
        <v>1655</v>
      </c>
      <c r="G48" s="1427" t="s">
        <v>1656</v>
      </c>
      <c r="H48" s="1427" t="s">
        <v>1657</v>
      </c>
      <c r="I48" s="1427" t="s">
        <v>1658</v>
      </c>
      <c r="J48" s="1427" t="s">
        <v>1659</v>
      </c>
      <c r="K48" s="1427" t="s">
        <v>98</v>
      </c>
      <c r="L48" s="1427" t="s">
        <v>100</v>
      </c>
      <c r="M48" s="1427" t="s">
        <v>101</v>
      </c>
      <c r="N48" s="1427" t="s">
        <v>1650</v>
      </c>
      <c r="O48" s="1427" t="s">
        <v>1651</v>
      </c>
      <c r="P48" s="1427" t="s">
        <v>102</v>
      </c>
      <c r="Q48" s="1427" t="s">
        <v>1660</v>
      </c>
      <c r="R48" s="1427" t="s">
        <v>1661</v>
      </c>
      <c r="S48" s="1427" t="s">
        <v>1584</v>
      </c>
      <c r="T48" s="1427" t="s">
        <v>1585</v>
      </c>
      <c r="U48" s="1427" t="s">
        <v>1649</v>
      </c>
      <c r="V48" s="1320" t="s">
        <v>293</v>
      </c>
      <c r="W48" s="1427" t="s">
        <v>97</v>
      </c>
      <c r="X48" s="1427" t="s">
        <v>103</v>
      </c>
      <c r="Y48" s="1321" t="s">
        <v>99</v>
      </c>
    </row>
    <row r="49" spans="1:25">
      <c r="A49" s="1483">
        <v>8000</v>
      </c>
      <c r="B49" s="1484">
        <v>8800</v>
      </c>
      <c r="C49" s="1484">
        <v>16000</v>
      </c>
      <c r="D49" s="1484">
        <v>16000</v>
      </c>
      <c r="E49" s="1484">
        <v>2100</v>
      </c>
      <c r="F49" s="1484">
        <v>2100</v>
      </c>
      <c r="G49" s="1484">
        <v>3200</v>
      </c>
      <c r="H49" s="1484">
        <v>3200</v>
      </c>
      <c r="I49" s="1484">
        <v>2000</v>
      </c>
      <c r="J49" s="1484">
        <v>1600</v>
      </c>
      <c r="K49" s="1484">
        <v>0</v>
      </c>
      <c r="L49" s="1484">
        <v>0</v>
      </c>
      <c r="M49" s="1484">
        <v>0</v>
      </c>
      <c r="N49" s="1484">
        <v>0</v>
      </c>
      <c r="O49" s="1484">
        <v>0</v>
      </c>
      <c r="P49" s="1484">
        <v>0</v>
      </c>
      <c r="Q49" s="1484">
        <v>61000</v>
      </c>
      <c r="R49" s="1484">
        <v>110000</v>
      </c>
      <c r="S49" s="1484">
        <v>27000</v>
      </c>
      <c r="T49" s="1484">
        <v>27000</v>
      </c>
      <c r="U49" s="1484">
        <v>10000</v>
      </c>
      <c r="V49" s="1485">
        <v>0</v>
      </c>
      <c r="W49" s="1485">
        <v>1100</v>
      </c>
      <c r="X49" s="1485">
        <v>3300</v>
      </c>
      <c r="Y49" s="1486">
        <v>1300</v>
      </c>
    </row>
    <row r="51" spans="1:25" ht="20">
      <c r="A51" s="8" t="s">
        <v>111</v>
      </c>
    </row>
    <row r="52" spans="1:25" ht="45" customHeight="1">
      <c r="A52" s="1482" t="s">
        <v>112</v>
      </c>
      <c r="B52" s="1213" t="s">
        <v>113</v>
      </c>
      <c r="C52" s="1213" t="s">
        <v>114</v>
      </c>
      <c r="D52" s="1213" t="s">
        <v>279</v>
      </c>
      <c r="E52" s="1213" t="s">
        <v>1662</v>
      </c>
      <c r="F52" s="1213" t="s">
        <v>1663</v>
      </c>
      <c r="G52" s="1213" t="s">
        <v>115</v>
      </c>
      <c r="H52" s="1213" t="s">
        <v>116</v>
      </c>
      <c r="I52" s="1213" t="s">
        <v>117</v>
      </c>
      <c r="J52" s="1213" t="s">
        <v>118</v>
      </c>
      <c r="K52" s="1427" t="s">
        <v>1673</v>
      </c>
      <c r="L52" s="1427" t="s">
        <v>1549</v>
      </c>
      <c r="M52" s="1321" t="s">
        <v>1669</v>
      </c>
    </row>
    <row r="53" spans="1:25">
      <c r="A53" s="5">
        <v>320</v>
      </c>
      <c r="B53" s="17">
        <v>50000000</v>
      </c>
      <c r="C53" s="17">
        <v>200000000</v>
      </c>
      <c r="D53" s="18">
        <v>211000000</v>
      </c>
      <c r="E53" s="17">
        <v>303000000</v>
      </c>
      <c r="F53" s="17">
        <v>315000000</v>
      </c>
      <c r="G53" s="17">
        <v>72500000</v>
      </c>
      <c r="H53" s="17">
        <v>49100000</v>
      </c>
      <c r="I53" s="17">
        <v>24200000</v>
      </c>
      <c r="J53" s="17">
        <v>40100000</v>
      </c>
      <c r="K53" s="1485">
        <v>500000</v>
      </c>
      <c r="L53" s="1485">
        <v>20</v>
      </c>
      <c r="M53" s="1486">
        <v>68</v>
      </c>
    </row>
    <row r="55" spans="1:25" ht="20">
      <c r="A55" s="8" t="s">
        <v>119</v>
      </c>
    </row>
    <row r="56" spans="1:25">
      <c r="A56" s="1849" t="s">
        <v>120</v>
      </c>
      <c r="B56" s="1850"/>
      <c r="C56" s="1850"/>
      <c r="D56" s="1850"/>
      <c r="E56" s="1851" t="s">
        <v>121</v>
      </c>
      <c r="F56" s="1852"/>
      <c r="G56" s="1853"/>
      <c r="H56" s="1854" t="s">
        <v>122</v>
      </c>
      <c r="I56" s="1855"/>
      <c r="J56" s="1855"/>
      <c r="K56" s="1855"/>
      <c r="L56" s="1856"/>
      <c r="M56" s="896" t="s">
        <v>123</v>
      </c>
      <c r="N56" s="896" t="s">
        <v>124</v>
      </c>
    </row>
    <row r="57" spans="1:25" ht="15" customHeight="1">
      <c r="A57" s="20" t="s">
        <v>142</v>
      </c>
      <c r="B57" s="1857" t="s">
        <v>125</v>
      </c>
      <c r="C57" s="1858"/>
      <c r="D57" s="21" t="s">
        <v>126</v>
      </c>
      <c r="E57" s="893" t="s">
        <v>127</v>
      </c>
      <c r="F57" s="1859" t="s">
        <v>128</v>
      </c>
      <c r="G57" s="1860"/>
      <c r="H57" s="1857" t="s">
        <v>129</v>
      </c>
      <c r="I57" s="1858"/>
      <c r="J57" s="21" t="s">
        <v>130</v>
      </c>
      <c r="K57" s="1857" t="s">
        <v>131</v>
      </c>
      <c r="L57" s="1858"/>
      <c r="M57" s="22"/>
      <c r="N57" s="897"/>
    </row>
    <row r="58" spans="1:25">
      <c r="A58" s="20"/>
      <c r="B58" s="20" t="s">
        <v>132</v>
      </c>
      <c r="C58" s="885" t="s">
        <v>133</v>
      </c>
      <c r="D58" s="21" t="s">
        <v>134</v>
      </c>
      <c r="E58" s="894"/>
      <c r="F58" s="889" t="s">
        <v>135</v>
      </c>
      <c r="G58" s="890" t="s">
        <v>136</v>
      </c>
      <c r="H58" s="20" t="s">
        <v>133</v>
      </c>
      <c r="I58" s="885" t="s">
        <v>136</v>
      </c>
      <c r="J58" s="21" t="s">
        <v>136</v>
      </c>
      <c r="K58" s="20" t="s">
        <v>137</v>
      </c>
      <c r="L58" s="885" t="s">
        <v>138</v>
      </c>
      <c r="M58" s="22" t="s">
        <v>139</v>
      </c>
      <c r="N58" s="897" t="s">
        <v>140</v>
      </c>
    </row>
    <row r="59" spans="1:25">
      <c r="A59" s="23">
        <f>IFERROR('Geographic Par.'!C8,3000)</f>
        <v>3000</v>
      </c>
      <c r="B59" s="886">
        <v>0.05</v>
      </c>
      <c r="C59" s="887">
        <v>0.1</v>
      </c>
      <c r="D59" s="24">
        <v>0.15</v>
      </c>
      <c r="E59" s="895">
        <f>'Geographic Par.'!C9</f>
        <v>25</v>
      </c>
      <c r="F59" s="891">
        <v>0.4</v>
      </c>
      <c r="G59" s="892">
        <v>0.2</v>
      </c>
      <c r="H59" s="886">
        <v>0.25</v>
      </c>
      <c r="I59" s="887">
        <v>0.25</v>
      </c>
      <c r="J59" s="24">
        <v>0.4</v>
      </c>
      <c r="K59" s="888">
        <f>1/10</f>
        <v>0.1</v>
      </c>
      <c r="L59" s="887">
        <v>0.05</v>
      </c>
      <c r="M59" s="25">
        <v>0.05</v>
      </c>
      <c r="N59" s="898">
        <v>5.6000000000000001E-2</v>
      </c>
    </row>
    <row r="60" spans="1:25" ht="14.5">
      <c r="A60" s="899"/>
      <c r="E60" s="899"/>
    </row>
    <row r="61" spans="1:25" ht="20">
      <c r="A61" s="8" t="s">
        <v>1391</v>
      </c>
    </row>
    <row r="62" spans="1:25">
      <c r="A62" s="1177"/>
      <c r="B62" s="145" t="s">
        <v>1029</v>
      </c>
      <c r="C62" s="145" t="s">
        <v>1540</v>
      </c>
      <c r="D62" s="144" t="s">
        <v>667</v>
      </c>
      <c r="E62" s="144" t="s">
        <v>669</v>
      </c>
      <c r="F62" s="144" t="s">
        <v>42</v>
      </c>
      <c r="G62" s="144" t="s">
        <v>73</v>
      </c>
      <c r="H62" s="144" t="s">
        <v>148</v>
      </c>
      <c r="I62" s="146" t="s">
        <v>149</v>
      </c>
    </row>
    <row r="63" spans="1:25">
      <c r="A63" s="1177" t="s">
        <v>1664</v>
      </c>
      <c r="B63" s="1227">
        <v>10507.905336364887</v>
      </c>
      <c r="C63" s="1227">
        <v>9653.6082088794046</v>
      </c>
      <c r="D63" s="1227">
        <v>9461.5705184043782</v>
      </c>
      <c r="E63" s="1227">
        <v>8449.3127070369774</v>
      </c>
      <c r="F63" s="1227">
        <v>15464.820994839043</v>
      </c>
      <c r="G63" s="1227">
        <v>8746.9750456568254</v>
      </c>
      <c r="H63" s="1227">
        <v>15464.820994839043</v>
      </c>
      <c r="I63" s="1228">
        <v>16823.924023574364</v>
      </c>
    </row>
    <row r="64" spans="1:25">
      <c r="A64" s="1177" t="s">
        <v>1665</v>
      </c>
      <c r="B64" s="1227">
        <v>10906.884177008216</v>
      </c>
      <c r="C64" s="1227">
        <v>10030.493931904157</v>
      </c>
      <c r="D64" s="1227">
        <v>9834.7227527267696</v>
      </c>
      <c r="E64" s="1227">
        <v>8791.4738621233573</v>
      </c>
      <c r="F64" s="1227">
        <v>15994.662538777449</v>
      </c>
      <c r="G64" s="1227">
        <v>9095.1624145422775</v>
      </c>
      <c r="H64" s="1227">
        <v>15994.662538777449</v>
      </c>
      <c r="I64" s="1228">
        <v>17369.76608713339</v>
      </c>
    </row>
  </sheetData>
  <mergeCells count="7">
    <mergeCell ref="A56:D56"/>
    <mergeCell ref="E56:G56"/>
    <mergeCell ref="H56:L56"/>
    <mergeCell ref="B57:C57"/>
    <mergeCell ref="F57:G57"/>
    <mergeCell ref="H57:I57"/>
    <mergeCell ref="K57:L57"/>
  </mergeCells>
  <phoneticPr fontId="153" type="noConversion"/>
  <pageMargins left="0.7" right="0.7" top="0.75" bottom="0.75" header="0.3" footer="0.3"/>
  <pageSetup paperSize="0" orientation="portrait" horizontalDpi="0" verticalDpi="0" copies="0"/>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00B050"/>
  </sheetPr>
  <dimension ref="A1:CO170"/>
  <sheetViews>
    <sheetView topLeftCell="A127" zoomScale="70" zoomScaleNormal="70" workbookViewId="0">
      <pane xSplit="1" topLeftCell="B1" activePane="topRight" state="frozen"/>
      <selection pane="topRight" activeCell="F109" sqref="F109"/>
    </sheetView>
  </sheetViews>
  <sheetFormatPr defaultColWidth="8.83203125" defaultRowHeight="14"/>
  <cols>
    <col min="1" max="1" width="39.75" style="111" customWidth="1"/>
    <col min="2" max="2" width="18.83203125" style="111" customWidth="1"/>
    <col min="3" max="3" width="16.4140625" style="111" customWidth="1"/>
    <col min="4" max="4" width="19.75" style="111" customWidth="1"/>
    <col min="5" max="5" width="15.75" style="111" customWidth="1"/>
    <col min="6" max="6" width="20.4140625" style="111" customWidth="1"/>
    <col min="7" max="7" width="12.83203125" style="111" customWidth="1"/>
    <col min="8" max="8" width="20" style="111" customWidth="1"/>
    <col min="9" max="9" width="13.25" style="111" customWidth="1"/>
    <col min="10" max="10" width="20.25" style="111" customWidth="1"/>
    <col min="11" max="12" width="11.4140625" style="111" customWidth="1"/>
    <col min="13" max="13" width="12.75" style="111" bestFit="1" customWidth="1"/>
    <col min="14" max="14" width="13.25" style="111" customWidth="1"/>
    <col min="15" max="15" width="12.83203125" style="111" customWidth="1"/>
    <col min="16" max="16" width="11" style="111" customWidth="1"/>
    <col min="17" max="17" width="11.83203125" style="111" customWidth="1"/>
    <col min="18" max="18" width="17.75" style="111" customWidth="1"/>
    <col min="19" max="19" width="17.83203125" style="111" customWidth="1"/>
    <col min="20" max="20" width="12.83203125" style="111" customWidth="1"/>
    <col min="21" max="21" width="12.75" style="111" bestFit="1" customWidth="1"/>
    <col min="22" max="22" width="11.75" style="111" customWidth="1"/>
    <col min="23" max="23" width="12.75" style="111" bestFit="1" customWidth="1"/>
    <col min="24" max="24" width="11.75" style="111" customWidth="1"/>
    <col min="25" max="25" width="10.4140625" style="111" bestFit="1" customWidth="1"/>
    <col min="26" max="26" width="10.25" style="111" customWidth="1"/>
    <col min="27" max="27" width="13.25" style="111" bestFit="1" customWidth="1"/>
    <col min="28" max="28" width="11.1640625" style="111" customWidth="1"/>
    <col min="29" max="29" width="8.83203125" style="111"/>
    <col min="30" max="30" width="11.25" style="111" customWidth="1"/>
    <col min="31" max="31" width="10.4140625" style="111" customWidth="1"/>
    <col min="32" max="32" width="11.1640625" style="111" customWidth="1"/>
    <col min="33" max="33" width="11.4140625" style="111" customWidth="1"/>
    <col min="34" max="34" width="11.75" style="111" customWidth="1"/>
    <col min="35" max="35" width="11.4140625" style="111" customWidth="1"/>
    <col min="36" max="36" width="11.25" style="111" customWidth="1"/>
    <col min="37" max="37" width="10.1640625" style="111" bestFit="1" customWidth="1"/>
    <col min="38" max="38" width="11.75" style="111" customWidth="1"/>
    <col min="39" max="39" width="10.75" style="111" customWidth="1"/>
    <col min="40" max="41" width="11" style="111" customWidth="1"/>
    <col min="42" max="42" width="10.75" style="111" customWidth="1"/>
    <col min="43" max="43" width="11.75" style="111" customWidth="1"/>
    <col min="44" max="45" width="12.4140625" style="111" customWidth="1"/>
    <col min="46" max="46" width="11" style="111" customWidth="1"/>
    <col min="47" max="47" width="12" style="111" customWidth="1"/>
    <col min="48" max="48" width="12.25" style="111" customWidth="1"/>
    <col min="49" max="49" width="14" style="111" customWidth="1"/>
    <col min="50" max="50" width="11.75" style="111" customWidth="1"/>
    <col min="51" max="51" width="11.83203125" style="111" customWidth="1"/>
    <col min="52" max="52" width="11.25" style="111" customWidth="1"/>
    <col min="53" max="53" width="13.75" style="111" customWidth="1"/>
    <col min="54" max="54" width="11.75" style="111" customWidth="1"/>
    <col min="55" max="55" width="11.1640625" style="111" customWidth="1"/>
    <col min="56" max="75" width="8.83203125" style="111"/>
    <col min="76" max="76" width="8.4140625" style="111" customWidth="1"/>
    <col min="77" max="77" width="11.75" style="111" customWidth="1"/>
    <col min="78" max="78" width="30" style="111" customWidth="1"/>
    <col min="79" max="79" width="25.25" style="111" customWidth="1"/>
    <col min="80" max="80" width="13.4140625" style="111" customWidth="1"/>
    <col min="81" max="81" width="14.1640625" style="111" customWidth="1"/>
    <col min="82" max="82" width="13.4140625" style="111" customWidth="1"/>
    <col min="83" max="83" width="17" style="111" customWidth="1"/>
    <col min="84" max="84" width="17.83203125" style="111" customWidth="1"/>
    <col min="85" max="85" width="12.4140625" style="111" customWidth="1"/>
    <col min="86" max="86" width="14.25" style="111" customWidth="1"/>
    <col min="87" max="87" width="8.83203125" style="111"/>
    <col min="88" max="91" width="14.1640625" style="111" customWidth="1"/>
    <col min="92" max="92" width="13.4140625" style="111" customWidth="1"/>
    <col min="93" max="93" width="14.1640625" style="111" customWidth="1"/>
    <col min="94" max="16384" width="8.83203125" style="111"/>
  </cols>
  <sheetData>
    <row r="1" spans="1:44" ht="20">
      <c r="A1" s="576" t="s">
        <v>1295</v>
      </c>
    </row>
    <row r="2" spans="1:44">
      <c r="A2" s="1393"/>
      <c r="B2" s="1693" t="s">
        <v>40</v>
      </c>
      <c r="C2" s="1694"/>
      <c r="D2" s="1694"/>
      <c r="E2" s="1694"/>
      <c r="F2" s="1694"/>
      <c r="G2" s="1694"/>
      <c r="H2" s="1694"/>
      <c r="I2" s="1695"/>
      <c r="J2" s="1693" t="s">
        <v>200</v>
      </c>
      <c r="K2" s="1694"/>
      <c r="L2" s="1694"/>
      <c r="M2" s="1693" t="s">
        <v>201</v>
      </c>
      <c r="N2" s="1694"/>
      <c r="O2" s="1694"/>
      <c r="P2" s="1694"/>
      <c r="Q2" s="1694"/>
      <c r="R2" s="1694"/>
      <c r="S2" s="1694"/>
      <c r="T2" s="1864"/>
      <c r="U2" s="1367" t="s">
        <v>202</v>
      </c>
      <c r="V2" s="1367"/>
      <c r="W2" s="1315" t="s">
        <v>203</v>
      </c>
      <c r="X2" s="1367" t="s">
        <v>204</v>
      </c>
      <c r="Y2" s="1367"/>
      <c r="Z2" s="1366" t="s">
        <v>205</v>
      </c>
      <c r="AA2" s="1367"/>
      <c r="AB2" s="1367"/>
      <c r="AC2" s="1368"/>
      <c r="AD2" s="1393" t="s">
        <v>206</v>
      </c>
      <c r="AE2" s="1366" t="s">
        <v>207</v>
      </c>
      <c r="AF2" s="1367"/>
      <c r="AG2" s="1367"/>
      <c r="AH2" s="1367"/>
      <c r="AI2" s="1368"/>
      <c r="AJ2" s="1394" t="s">
        <v>208</v>
      </c>
    </row>
    <row r="3" spans="1:44" ht="45" customHeight="1">
      <c r="A3" s="1395"/>
      <c r="B3" s="1396" t="s">
        <v>209</v>
      </c>
      <c r="C3" s="1395" t="s">
        <v>210</v>
      </c>
      <c r="D3" s="1395" t="s">
        <v>211</v>
      </c>
      <c r="E3" s="1395" t="s">
        <v>212</v>
      </c>
      <c r="F3" s="1395" t="s">
        <v>213</v>
      </c>
      <c r="G3" s="1395" t="s">
        <v>214</v>
      </c>
      <c r="H3" s="1395" t="s">
        <v>215</v>
      </c>
      <c r="I3" s="1397" t="s">
        <v>216</v>
      </c>
      <c r="J3" s="1395" t="s">
        <v>217</v>
      </c>
      <c r="K3" s="1395" t="s">
        <v>218</v>
      </c>
      <c r="L3" s="1395" t="s">
        <v>219</v>
      </c>
      <c r="M3" s="1396" t="s">
        <v>218</v>
      </c>
      <c r="N3" s="1395" t="s">
        <v>219</v>
      </c>
      <c r="O3" s="1395" t="s">
        <v>214</v>
      </c>
      <c r="P3" s="1395" t="s">
        <v>220</v>
      </c>
      <c r="Q3" s="1395" t="s">
        <v>221</v>
      </c>
      <c r="R3" s="1395" t="s">
        <v>222</v>
      </c>
      <c r="S3" s="1395" t="s">
        <v>223</v>
      </c>
      <c r="T3" s="1394" t="s">
        <v>435</v>
      </c>
      <c r="U3" s="1395" t="s">
        <v>214</v>
      </c>
      <c r="V3" s="1395" t="s">
        <v>221</v>
      </c>
      <c r="W3" s="1398" t="s">
        <v>218</v>
      </c>
      <c r="X3" s="1395" t="s">
        <v>218</v>
      </c>
      <c r="Y3" s="1395" t="s">
        <v>219</v>
      </c>
      <c r="Z3" s="1396" t="s">
        <v>217</v>
      </c>
      <c r="AA3" s="1395" t="s">
        <v>224</v>
      </c>
      <c r="AB3" s="1395" t="s">
        <v>218</v>
      </c>
      <c r="AC3" s="1397" t="s">
        <v>225</v>
      </c>
      <c r="AD3" s="1395" t="s">
        <v>218</v>
      </c>
      <c r="AE3" s="1396" t="s">
        <v>226</v>
      </c>
      <c r="AF3" s="1395" t="s">
        <v>227</v>
      </c>
      <c r="AG3" s="1395" t="s">
        <v>217</v>
      </c>
      <c r="AH3" s="1395" t="s">
        <v>228</v>
      </c>
      <c r="AI3" s="1397" t="s">
        <v>229</v>
      </c>
      <c r="AJ3" s="1397" t="s">
        <v>230</v>
      </c>
      <c r="AK3" s="551"/>
      <c r="AL3" s="551"/>
      <c r="AM3" s="551"/>
      <c r="AN3" s="551"/>
      <c r="AO3" s="551"/>
      <c r="AP3" s="551"/>
      <c r="AQ3" s="551"/>
      <c r="AR3" s="551"/>
    </row>
    <row r="4" spans="1:44">
      <c r="A4" s="111" t="s">
        <v>11</v>
      </c>
      <c r="B4" s="580">
        <v>2.54</v>
      </c>
      <c r="C4" s="520">
        <v>2.54</v>
      </c>
      <c r="D4" s="520">
        <v>1.056</v>
      </c>
      <c r="E4" s="520">
        <v>0.26700000000000002</v>
      </c>
      <c r="F4" s="520">
        <v>1.056</v>
      </c>
      <c r="G4" s="520">
        <v>130.05799999999999</v>
      </c>
      <c r="H4" s="520">
        <v>2.5</v>
      </c>
      <c r="I4" s="581">
        <v>100</v>
      </c>
      <c r="J4" s="520">
        <v>2.089</v>
      </c>
      <c r="K4" s="520">
        <v>0.90500000000000003</v>
      </c>
      <c r="L4" s="520">
        <v>3.6509999999999998</v>
      </c>
      <c r="M4" s="580">
        <v>1.1729999780654907</v>
      </c>
      <c r="N4" s="520">
        <v>1.2010000000000001</v>
      </c>
      <c r="O4" s="520">
        <v>2.0270000000000001</v>
      </c>
      <c r="P4" s="520">
        <v>0.25800000000000001</v>
      </c>
      <c r="Q4" s="520">
        <v>41.5</v>
      </c>
      <c r="R4" s="520">
        <v>5.812353466897128</v>
      </c>
      <c r="S4" s="520">
        <v>7.3235653682903816</v>
      </c>
      <c r="T4" s="1399">
        <v>47.477513249999994</v>
      </c>
      <c r="U4" s="520">
        <v>598.35</v>
      </c>
      <c r="V4" s="520">
        <v>145.66999999999999</v>
      </c>
      <c r="W4" s="585">
        <v>0.81999999284744263</v>
      </c>
      <c r="X4" s="520">
        <v>4.2720000000000002</v>
      </c>
      <c r="Y4" s="520">
        <v>4.2720000000000002</v>
      </c>
      <c r="Z4" s="580">
        <v>1.4950000000000001</v>
      </c>
      <c r="AA4" s="520">
        <v>0.12199999999999996</v>
      </c>
      <c r="AB4" s="520">
        <v>0.47154493127067021</v>
      </c>
      <c r="AC4" s="581">
        <v>10</v>
      </c>
      <c r="AD4" s="520">
        <v>0.47154493127067021</v>
      </c>
      <c r="AE4" s="580">
        <v>0.61498714625340167</v>
      </c>
      <c r="AF4" s="520">
        <v>0.61498714625340167</v>
      </c>
      <c r="AG4" s="520">
        <v>7.9859999999999998</v>
      </c>
      <c r="AH4" s="520">
        <v>1.3320632546304543</v>
      </c>
      <c r="AI4" s="581">
        <v>2.4170000553131104</v>
      </c>
      <c r="AJ4" s="230">
        <v>1.4950000000000001</v>
      </c>
    </row>
    <row r="5" spans="1:44">
      <c r="A5" s="111" t="s">
        <v>231</v>
      </c>
      <c r="B5" s="580">
        <v>22.21</v>
      </c>
      <c r="C5" s="520">
        <v>24.97</v>
      </c>
      <c r="D5" s="520">
        <v>41.286000000000001</v>
      </c>
      <c r="E5" s="520">
        <v>14.532999999999999</v>
      </c>
      <c r="F5" s="520">
        <v>41.286000000000001</v>
      </c>
      <c r="G5" s="520">
        <v>660.91099999999994</v>
      </c>
      <c r="H5" s="520">
        <v>26</v>
      </c>
      <c r="I5" s="581">
        <v>50</v>
      </c>
      <c r="J5" s="520">
        <v>16.209</v>
      </c>
      <c r="K5" s="520">
        <v>36.017000000000003</v>
      </c>
      <c r="L5" s="520">
        <v>16.152999999999999</v>
      </c>
      <c r="M5" s="580">
        <v>16.686000823974609</v>
      </c>
      <c r="N5" s="520">
        <v>25.114999999999998</v>
      </c>
      <c r="O5" s="520">
        <v>526.19200000000001</v>
      </c>
      <c r="P5" s="520">
        <v>1.56</v>
      </c>
      <c r="Q5" s="520">
        <v>200.11</v>
      </c>
      <c r="R5" s="520">
        <v>161.77639496566306</v>
      </c>
      <c r="S5" s="520">
        <v>203.83825765673546</v>
      </c>
      <c r="T5" s="581">
        <v>216.28644924999998</v>
      </c>
      <c r="U5" s="520">
        <v>1303.953</v>
      </c>
      <c r="V5" s="520">
        <v>5850.26</v>
      </c>
      <c r="W5" s="585">
        <v>23.739999771118164</v>
      </c>
      <c r="X5" s="520">
        <v>3.5310000000000001</v>
      </c>
      <c r="Y5" s="520">
        <v>3.5310000000000001</v>
      </c>
      <c r="Z5" s="580">
        <v>12.417</v>
      </c>
      <c r="AA5" s="520">
        <v>2.2349999999999994</v>
      </c>
      <c r="AB5" s="520">
        <v>23.954809379648633</v>
      </c>
      <c r="AC5" s="581">
        <v>100</v>
      </c>
      <c r="AD5" s="520">
        <v>23.954809379648633</v>
      </c>
      <c r="AE5" s="580">
        <v>9.7513534250812377</v>
      </c>
      <c r="AF5" s="520">
        <v>9.7513534250812377</v>
      </c>
      <c r="AG5" s="520">
        <v>270.17</v>
      </c>
      <c r="AH5" s="520">
        <v>11.078546431240618</v>
      </c>
      <c r="AI5" s="581">
        <v>28.822000503540039</v>
      </c>
      <c r="AJ5" s="581">
        <v>12.417</v>
      </c>
    </row>
    <row r="6" spans="1:44">
      <c r="A6" s="111" t="s">
        <v>232</v>
      </c>
      <c r="B6" s="580">
        <v>36.4</v>
      </c>
      <c r="C6" s="520">
        <v>41.05</v>
      </c>
      <c r="D6" s="520">
        <v>31.969000000000001</v>
      </c>
      <c r="E6" s="520">
        <v>17.425000000000001</v>
      </c>
      <c r="F6" s="520">
        <v>31.969000000000001</v>
      </c>
      <c r="G6" s="520">
        <v>752.81600000000003</v>
      </c>
      <c r="H6" s="520">
        <v>48.900001525878899</v>
      </c>
      <c r="I6" s="581">
        <v>100</v>
      </c>
      <c r="J6" s="520">
        <v>112.08</v>
      </c>
      <c r="K6" s="520">
        <v>137.08099999999999</v>
      </c>
      <c r="L6" s="520">
        <v>114.437</v>
      </c>
      <c r="M6" s="580">
        <v>82.224998474121094</v>
      </c>
      <c r="N6" s="520">
        <v>66.543000000000006</v>
      </c>
      <c r="O6" s="520">
        <v>267.89</v>
      </c>
      <c r="P6" s="520">
        <v>256.41199999999998</v>
      </c>
      <c r="Q6" s="520">
        <v>434.31</v>
      </c>
      <c r="R6" s="520">
        <v>101.53518337732018</v>
      </c>
      <c r="S6" s="520">
        <v>127.93433105542343</v>
      </c>
      <c r="T6" s="581">
        <v>636.01931805549998</v>
      </c>
      <c r="U6" s="520">
        <v>98.587999999999994</v>
      </c>
      <c r="V6" s="520">
        <v>169.44</v>
      </c>
      <c r="W6" s="585">
        <v>181.60000610351563</v>
      </c>
      <c r="X6" s="520">
        <v>69.412999999999997</v>
      </c>
      <c r="Y6" s="520">
        <v>69.412999999999997</v>
      </c>
      <c r="Z6" s="580">
        <v>116.035</v>
      </c>
      <c r="AA6" s="520">
        <v>11.902000000000001</v>
      </c>
      <c r="AB6" s="520">
        <v>121.63087470943928</v>
      </c>
      <c r="AC6" s="581">
        <v>40</v>
      </c>
      <c r="AD6" s="520">
        <v>121.63087470943928</v>
      </c>
      <c r="AE6" s="580">
        <v>64.213488868141468</v>
      </c>
      <c r="AF6" s="520">
        <v>64.213488868141468</v>
      </c>
      <c r="AG6" s="520">
        <v>103.351</v>
      </c>
      <c r="AH6" s="520">
        <v>10.313598990440369</v>
      </c>
      <c r="AI6" s="581">
        <v>30</v>
      </c>
      <c r="AJ6" s="581">
        <v>116.035</v>
      </c>
    </row>
    <row r="7" spans="1:44">
      <c r="A7" s="111" t="s">
        <v>12</v>
      </c>
      <c r="B7" s="580">
        <v>3.5070000000000001</v>
      </c>
      <c r="C7" s="520">
        <v>3.5070000000000001</v>
      </c>
      <c r="D7" s="520">
        <v>3.5750000000000002</v>
      </c>
      <c r="E7" s="520">
        <v>0.13300000000000001</v>
      </c>
      <c r="F7" s="520">
        <v>3.5750000000000002</v>
      </c>
      <c r="G7" s="520">
        <v>7.1970000000000001</v>
      </c>
      <c r="H7" s="520">
        <v>3.7000000476837154</v>
      </c>
      <c r="I7" s="581">
        <v>90</v>
      </c>
      <c r="J7" s="520">
        <v>11.81</v>
      </c>
      <c r="K7" s="520">
        <v>29.265000000000001</v>
      </c>
      <c r="L7" s="520">
        <v>20.38</v>
      </c>
      <c r="M7" s="580">
        <v>6.4169999999999998</v>
      </c>
      <c r="N7" s="520">
        <v>8.4039999999999999</v>
      </c>
      <c r="O7" s="520">
        <v>22.539000000000001</v>
      </c>
      <c r="P7" s="520">
        <v>25.943999999999999</v>
      </c>
      <c r="Q7" s="520">
        <v>29.83</v>
      </c>
      <c r="R7" s="520">
        <v>5.4409986926760716</v>
      </c>
      <c r="S7" s="520">
        <v>6.8556583527718491</v>
      </c>
      <c r="T7" s="581">
        <v>28.412654040499998</v>
      </c>
      <c r="U7" s="520">
        <v>52.558</v>
      </c>
      <c r="V7" s="520">
        <v>7.92</v>
      </c>
      <c r="W7" s="585">
        <v>29.711999893188477</v>
      </c>
      <c r="X7" s="520">
        <v>3.738</v>
      </c>
      <c r="Y7" s="520">
        <v>3.738</v>
      </c>
      <c r="Z7" s="580">
        <v>22.42</v>
      </c>
      <c r="AA7" s="520">
        <v>251.84100000000001</v>
      </c>
      <c r="AB7" s="520">
        <v>2.6634014598039615</v>
      </c>
      <c r="AC7" s="581">
        <v>20</v>
      </c>
      <c r="AD7" s="520">
        <v>2.6634014598039615</v>
      </c>
      <c r="AE7" s="580">
        <v>1.4347004592228441</v>
      </c>
      <c r="AF7" s="520">
        <v>1.4347004592228441</v>
      </c>
      <c r="AG7" s="520">
        <v>20.334</v>
      </c>
      <c r="AH7" s="520">
        <v>5.8689917039267616</v>
      </c>
      <c r="AI7" s="581">
        <v>2.9600000381469727</v>
      </c>
      <c r="AJ7" s="581">
        <v>22.42</v>
      </c>
    </row>
    <row r="8" spans="1:44">
      <c r="A8" s="111" t="s">
        <v>13</v>
      </c>
      <c r="B8" s="580">
        <v>3.5070000000000001</v>
      </c>
      <c r="C8" s="520">
        <v>3.5070000000000001</v>
      </c>
      <c r="D8" s="520">
        <v>3.5750000000000002</v>
      </c>
      <c r="E8" s="520">
        <v>0.13300000000000001</v>
      </c>
      <c r="F8" s="520">
        <v>3.5750000000000002</v>
      </c>
      <c r="G8" s="520">
        <v>7.1970000000000001</v>
      </c>
      <c r="H8" s="520">
        <v>3.7000000476837154</v>
      </c>
      <c r="I8" s="581">
        <v>90</v>
      </c>
      <c r="J8" s="520">
        <v>9.8699999999999992</v>
      </c>
      <c r="K8" s="520">
        <v>14.882</v>
      </c>
      <c r="L8" s="520">
        <v>10.615</v>
      </c>
      <c r="M8" s="580">
        <v>5.03</v>
      </c>
      <c r="N8" s="520">
        <v>7.5220000000000002</v>
      </c>
      <c r="O8" s="520">
        <v>22.3</v>
      </c>
      <c r="P8" s="520">
        <v>6.5739999999999998</v>
      </c>
      <c r="Q8" s="520">
        <v>28.935099999999998</v>
      </c>
      <c r="R8" s="520">
        <v>0.92824869708043045</v>
      </c>
      <c r="S8" s="520">
        <v>1.1695933583213423</v>
      </c>
      <c r="T8" s="581">
        <v>27.558058802000001</v>
      </c>
      <c r="U8" s="520">
        <v>52.558</v>
      </c>
      <c r="V8" s="520">
        <v>7.6823999999999995</v>
      </c>
      <c r="W8" s="585">
        <v>19.312799453735352</v>
      </c>
      <c r="X8" s="520">
        <v>3.738</v>
      </c>
      <c r="Y8" s="520">
        <v>3.738</v>
      </c>
      <c r="Z8" s="580">
        <v>16.93</v>
      </c>
      <c r="AA8" s="520">
        <v>73.411000000000001</v>
      </c>
      <c r="AB8" s="520">
        <v>2.5210846263102669</v>
      </c>
      <c r="AC8" s="581">
        <v>20</v>
      </c>
      <c r="AD8" s="520">
        <v>2.5210846263102669</v>
      </c>
      <c r="AE8" s="580">
        <v>1.2671066692492206</v>
      </c>
      <c r="AF8" s="520">
        <v>1.2671066692492206</v>
      </c>
      <c r="AG8" s="520">
        <v>18.893999999999998</v>
      </c>
      <c r="AH8" s="520">
        <v>2.9344958519633808</v>
      </c>
      <c r="AI8" s="581">
        <v>2.9600000381469727</v>
      </c>
      <c r="AJ8" s="581">
        <v>16.93</v>
      </c>
    </row>
    <row r="9" spans="1:44">
      <c r="A9" s="111" t="s">
        <v>20</v>
      </c>
      <c r="B9" s="580">
        <v>0.26856561546286878</v>
      </c>
      <c r="C9" s="520">
        <v>0.26856561546286878</v>
      </c>
      <c r="D9" s="520">
        <v>0.26856561546286878</v>
      </c>
      <c r="E9" s="520">
        <v>0.26856561546286878</v>
      </c>
      <c r="F9" s="520">
        <v>0.26856561546286878</v>
      </c>
      <c r="G9" s="520">
        <v>0.26856561546286878</v>
      </c>
      <c r="H9" s="520">
        <v>0.26856561546286878</v>
      </c>
      <c r="I9" s="581">
        <v>30</v>
      </c>
      <c r="J9" s="520">
        <v>269.58</v>
      </c>
      <c r="K9" s="520">
        <v>115.509</v>
      </c>
      <c r="L9" s="520">
        <v>256.83999999999997</v>
      </c>
      <c r="M9" s="580">
        <v>0.54242117555469049</v>
      </c>
      <c r="N9" s="520">
        <v>0.54242117555469049</v>
      </c>
      <c r="O9" s="520">
        <v>0.54242117555469049</v>
      </c>
      <c r="P9" s="520">
        <v>0.54242117555469049</v>
      </c>
      <c r="Q9" s="520">
        <v>0.54242117555469049</v>
      </c>
      <c r="R9" s="520">
        <v>0.54469976387990127</v>
      </c>
      <c r="S9" s="520">
        <v>0.54469976387990127</v>
      </c>
      <c r="T9" s="581">
        <v>0.464224574</v>
      </c>
      <c r="U9" s="520">
        <v>0.48565767938668286</v>
      </c>
      <c r="V9" s="520">
        <v>0.48565767938668286</v>
      </c>
      <c r="W9" s="585">
        <v>395.46499633789063</v>
      </c>
      <c r="X9" s="520">
        <v>0</v>
      </c>
      <c r="Y9" s="520">
        <v>0</v>
      </c>
      <c r="Z9" s="580">
        <v>74.64</v>
      </c>
      <c r="AA9" s="520">
        <v>4.1099999999999994</v>
      </c>
      <c r="AB9" s="520">
        <v>217.68799999999999</v>
      </c>
      <c r="AC9" s="581">
        <v>20</v>
      </c>
      <c r="AD9" s="520">
        <v>217.68799999999999</v>
      </c>
      <c r="AE9" s="580">
        <v>58.923404780462455</v>
      </c>
      <c r="AF9" s="520">
        <v>58.923404780462455</v>
      </c>
      <c r="AG9" s="520">
        <v>58.923404780462455</v>
      </c>
      <c r="AH9" s="520">
        <v>58.923404780462455</v>
      </c>
      <c r="AI9" s="581">
        <v>58.923404780462455</v>
      </c>
      <c r="AJ9" s="581">
        <v>0</v>
      </c>
    </row>
    <row r="10" spans="1:44">
      <c r="A10" s="111" t="s">
        <v>14</v>
      </c>
      <c r="B10" s="580">
        <v>0.57865500000000003</v>
      </c>
      <c r="C10" s="520">
        <v>0.57865500000000003</v>
      </c>
      <c r="D10" s="520">
        <v>0.103675</v>
      </c>
      <c r="E10" s="520">
        <v>3.8569999999999998E-3</v>
      </c>
      <c r="F10" s="520">
        <v>0.103675</v>
      </c>
      <c r="G10" s="520">
        <v>1.4394</v>
      </c>
      <c r="H10" s="520">
        <v>3.5150000452995296</v>
      </c>
      <c r="I10" s="581">
        <v>14.85</v>
      </c>
      <c r="J10" s="520">
        <v>0.62575799999999993</v>
      </c>
      <c r="K10" s="520">
        <v>0.94351879999999999</v>
      </c>
      <c r="L10" s="520">
        <v>0.67299100000000001</v>
      </c>
      <c r="M10" s="580">
        <v>0.503</v>
      </c>
      <c r="N10" s="520">
        <v>0.75219999999999998</v>
      </c>
      <c r="O10" s="520">
        <v>18.129899999999999</v>
      </c>
      <c r="P10" s="520">
        <v>0.65739999999999998</v>
      </c>
      <c r="Q10" s="520">
        <v>16.290461299999997</v>
      </c>
      <c r="R10" s="520">
        <v>3.1580812470205132E-2</v>
      </c>
      <c r="S10" s="520">
        <v>3.9791823712458464E-2</v>
      </c>
      <c r="T10" s="581">
        <f>T8*77.1276559133864/100</f>
        <v>21.254884769215256</v>
      </c>
      <c r="U10" s="520">
        <v>5.2558000000000007</v>
      </c>
      <c r="V10" s="520">
        <v>1.0448063999999999</v>
      </c>
      <c r="W10" s="585">
        <v>0.56007118415832513</v>
      </c>
      <c r="X10" s="520">
        <v>0.61677000000000004</v>
      </c>
      <c r="Y10" s="520">
        <v>0.61677000000000004</v>
      </c>
      <c r="Z10" s="580">
        <v>0.72798999999999991</v>
      </c>
      <c r="AA10" s="520">
        <v>3.1566730000000001</v>
      </c>
      <c r="AB10" s="520">
        <v>0.10840663893134148</v>
      </c>
      <c r="AC10" s="581">
        <v>0.86</v>
      </c>
      <c r="AD10" s="520">
        <v>0.10840663893134148</v>
      </c>
      <c r="AE10" s="580">
        <v>0.17486072035639247</v>
      </c>
      <c r="AF10" s="520">
        <v>0.17486072035639247</v>
      </c>
      <c r="AG10" s="520">
        <v>2.6073719999999998</v>
      </c>
      <c r="AH10" s="520">
        <v>0.40496042757094658</v>
      </c>
      <c r="AI10" s="581">
        <v>0.40848000526428224</v>
      </c>
      <c r="AJ10" s="581">
        <v>0.72798999999999991</v>
      </c>
    </row>
    <row r="11" spans="1:44">
      <c r="A11" s="111" t="s">
        <v>15</v>
      </c>
      <c r="B11" s="580">
        <v>1.5009959999999998</v>
      </c>
      <c r="C11" s="520">
        <v>1.5009959999999998</v>
      </c>
      <c r="D11" s="520">
        <v>2.431</v>
      </c>
      <c r="E11" s="520">
        <v>9.0440000000000006E-2</v>
      </c>
      <c r="F11" s="520">
        <v>2.431</v>
      </c>
      <c r="G11" s="520">
        <v>3.0803159999999998</v>
      </c>
      <c r="H11" s="520">
        <v>0.18500000238418576</v>
      </c>
      <c r="I11" s="581">
        <v>38.519999999999996</v>
      </c>
      <c r="J11" s="520">
        <v>0.43428</v>
      </c>
      <c r="K11" s="520">
        <v>0.65480800000000006</v>
      </c>
      <c r="L11" s="520">
        <v>0.46706000000000003</v>
      </c>
      <c r="M11" s="580">
        <v>1.2575000000000001</v>
      </c>
      <c r="N11" s="520">
        <v>1.8805000000000001</v>
      </c>
      <c r="O11" s="520">
        <v>4.0363000000000007</v>
      </c>
      <c r="P11" s="520">
        <v>1.6435</v>
      </c>
      <c r="Q11" s="520">
        <v>10.098349899999999</v>
      </c>
      <c r="R11" s="520">
        <v>5.8681168095304902E-2</v>
      </c>
      <c r="S11" s="520">
        <v>7.3938271800084179E-2</v>
      </c>
      <c r="T11" s="581">
        <f>T8*21.0738596865558/100</f>
        <v>5.8075466442720201</v>
      </c>
      <c r="U11" s="520">
        <v>16.818560000000002</v>
      </c>
      <c r="V11" s="520">
        <v>6.6375935999999998</v>
      </c>
      <c r="W11" s="585">
        <v>0.40556878852844241</v>
      </c>
      <c r="X11" s="520">
        <v>1.5998639999999997</v>
      </c>
      <c r="Y11" s="520">
        <v>1.5998639999999997</v>
      </c>
      <c r="Z11" s="580">
        <v>1.3713299999999997</v>
      </c>
      <c r="AA11" s="520">
        <v>5.9462909999999995</v>
      </c>
      <c r="AB11" s="520">
        <v>0.20420785473113159</v>
      </c>
      <c r="AC11" s="581">
        <v>1.62</v>
      </c>
      <c r="AD11" s="520">
        <v>0.20420785473113159</v>
      </c>
      <c r="AE11" s="580">
        <v>0.41307677417524596</v>
      </c>
      <c r="AF11" s="520">
        <v>0.41307677417524596</v>
      </c>
      <c r="AG11" s="520">
        <v>6.1594439999999997</v>
      </c>
      <c r="AH11" s="520">
        <v>0.95664564774006222</v>
      </c>
      <c r="AI11" s="581">
        <v>0.96496001243591312</v>
      </c>
      <c r="AJ11" s="581">
        <v>1.3713299999999997</v>
      </c>
    </row>
    <row r="12" spans="1:44">
      <c r="A12" s="111" t="s">
        <v>16</v>
      </c>
      <c r="B12" s="580">
        <v>1.06</v>
      </c>
      <c r="C12" s="520">
        <v>1.06</v>
      </c>
      <c r="D12" s="520">
        <v>1.056</v>
      </c>
      <c r="E12" s="520">
        <v>1.1419999999999999</v>
      </c>
      <c r="F12" s="520">
        <v>1.056</v>
      </c>
      <c r="G12" s="520">
        <v>392.35399999999998</v>
      </c>
      <c r="H12" s="520">
        <v>49</v>
      </c>
      <c r="I12" s="581">
        <v>2.85</v>
      </c>
      <c r="J12" s="520">
        <v>3.1819999999999999</v>
      </c>
      <c r="K12" s="520">
        <v>3.2309999999999999</v>
      </c>
      <c r="L12" s="520">
        <v>1.5349999999999999</v>
      </c>
      <c r="M12" s="580">
        <v>0.18000000715255737</v>
      </c>
      <c r="N12" s="520">
        <v>0.76300000000000001</v>
      </c>
      <c r="O12" s="520">
        <v>4.2210000000000001</v>
      </c>
      <c r="P12" s="520">
        <v>3.024</v>
      </c>
      <c r="Q12" s="520">
        <v>0.62999999523162842</v>
      </c>
      <c r="R12" s="520">
        <v>0.79687952050913158</v>
      </c>
      <c r="S12" s="520">
        <v>1.0040681958415056</v>
      </c>
      <c r="T12" s="581">
        <v>2.3527745455</v>
      </c>
      <c r="U12" s="520">
        <v>3</v>
      </c>
      <c r="V12" s="520">
        <v>2.6149999193205855</v>
      </c>
      <c r="W12" s="585">
        <v>0.36000001430511475</v>
      </c>
      <c r="X12" s="520">
        <v>1.0680000000000001</v>
      </c>
      <c r="Y12" s="520">
        <v>1.0680000000000001</v>
      </c>
      <c r="Z12" s="580">
        <v>1.0580000000000001</v>
      </c>
      <c r="AA12" s="520">
        <v>1.0499999999999996</v>
      </c>
      <c r="AB12" s="520">
        <v>1.246</v>
      </c>
      <c r="AC12" s="581">
        <v>0</v>
      </c>
      <c r="AD12" s="520">
        <v>1.246</v>
      </c>
      <c r="AE12" s="580">
        <v>9.8650000000000002</v>
      </c>
      <c r="AF12" s="520">
        <v>9.8650000000000002</v>
      </c>
      <c r="AG12" s="520">
        <v>9.8650000000000002</v>
      </c>
      <c r="AH12" s="520">
        <v>3.8340001106262211</v>
      </c>
      <c r="AI12" s="581">
        <v>1.1000000238418579</v>
      </c>
      <c r="AJ12" s="581">
        <v>1.0580000000000001</v>
      </c>
    </row>
    <row r="13" spans="1:44">
      <c r="A13" s="111" t="s">
        <v>19</v>
      </c>
      <c r="B13" s="580">
        <v>0.75</v>
      </c>
      <c r="C13" s="520">
        <v>0.35</v>
      </c>
      <c r="D13" s="520">
        <v>0.10199999999999999</v>
      </c>
      <c r="E13" s="520">
        <v>0.11899999999999999</v>
      </c>
      <c r="F13" s="520">
        <v>0.10199999999999999</v>
      </c>
      <c r="G13" s="520">
        <v>0.111</v>
      </c>
      <c r="H13" s="520">
        <v>1.1000000238418579</v>
      </c>
      <c r="I13" s="581">
        <v>0</v>
      </c>
      <c r="J13" s="520">
        <v>0.63800000000000001</v>
      </c>
      <c r="K13" s="520">
        <v>1.712</v>
      </c>
      <c r="L13" s="520">
        <v>1.712</v>
      </c>
      <c r="M13" s="580">
        <v>0.38999998569488525</v>
      </c>
      <c r="N13" s="520">
        <v>0.91800000000000004</v>
      </c>
      <c r="O13" s="520">
        <v>0.6</v>
      </c>
      <c r="P13" s="520">
        <v>0.60299999999999998</v>
      </c>
      <c r="Q13" s="520">
        <v>0.92000001668930043</v>
      </c>
      <c r="R13" s="520">
        <v>0.10695653375963685</v>
      </c>
      <c r="S13" s="520">
        <v>0.13476523253714243</v>
      </c>
      <c r="T13" s="581">
        <v>2.02</v>
      </c>
      <c r="U13" s="520">
        <v>0.6</v>
      </c>
      <c r="V13" s="520">
        <v>1.1039999723434448</v>
      </c>
      <c r="W13" s="585">
        <v>2</v>
      </c>
      <c r="X13" s="520">
        <v>4.806</v>
      </c>
      <c r="Y13" s="520">
        <v>4.806</v>
      </c>
      <c r="Z13" s="580">
        <v>1.5860000000000001</v>
      </c>
      <c r="AA13" s="520">
        <v>1.5809999999999997</v>
      </c>
      <c r="AB13" s="520">
        <v>0.85699999999999998</v>
      </c>
      <c r="AC13" s="581">
        <v>0</v>
      </c>
      <c r="AD13" s="520">
        <v>0.85699999999999998</v>
      </c>
      <c r="AE13" s="580">
        <v>6.1070000000000002</v>
      </c>
      <c r="AF13" s="520">
        <v>6.1070000000000002</v>
      </c>
      <c r="AG13" s="520">
        <v>6.1070000000000002</v>
      </c>
      <c r="AH13" s="520">
        <v>11</v>
      </c>
      <c r="AI13" s="581">
        <v>1.1000000238418579</v>
      </c>
      <c r="AJ13" s="581">
        <v>1.5860000000000001</v>
      </c>
    </row>
    <row r="14" spans="1:44">
      <c r="A14" s="111" t="s">
        <v>17</v>
      </c>
      <c r="B14" s="1056">
        <v>59366.949503269869</v>
      </c>
      <c r="C14" s="1057">
        <v>59362.612360412735</v>
      </c>
      <c r="D14" s="1057">
        <v>59341.609065174642</v>
      </c>
      <c r="E14" s="1057">
        <v>59385.872043746065</v>
      </c>
      <c r="F14" s="1057">
        <v>59341.609065174642</v>
      </c>
      <c r="G14" s="1057">
        <v>56889.786903269873</v>
      </c>
      <c r="H14" s="1057">
        <v>59229.283455650831</v>
      </c>
      <c r="I14" s="1058">
        <v>59014.60666993654</v>
      </c>
      <c r="J14" s="1057">
        <v>85040.498287440714</v>
      </c>
      <c r="K14" s="1057">
        <v>85012.926813631188</v>
      </c>
      <c r="L14" s="1057">
        <v>85040.247304107383</v>
      </c>
      <c r="M14" s="1056">
        <v>78168.681100745569</v>
      </c>
      <c r="N14" s="1057">
        <v>78153.745013896463</v>
      </c>
      <c r="O14" s="1057">
        <v>77354.254432944086</v>
      </c>
      <c r="P14" s="1057">
        <v>78187.481280563123</v>
      </c>
      <c r="Q14" s="1057">
        <v>77753.520071052437</v>
      </c>
      <c r="R14" s="1057">
        <v>77924.526172916216</v>
      </c>
      <c r="S14" s="1057">
        <v>77853.149247499474</v>
      </c>
      <c r="T14" s="1209">
        <f>(E170/B170*1000000*F170-(B118*T4+T5*B119+T12*0.75))/B120</f>
        <v>77704.732390207646</v>
      </c>
      <c r="U14" s="1057">
        <v>72916.962673629678</v>
      </c>
      <c r="V14" s="1057">
        <v>67184.677376232503</v>
      </c>
      <c r="W14" s="1059">
        <v>77264.397841775266</v>
      </c>
      <c r="X14" s="1057">
        <v>68039.647796249905</v>
      </c>
      <c r="Y14" s="1057">
        <v>68039.647796249905</v>
      </c>
      <c r="Z14" s="1056">
        <v>100017.06454396401</v>
      </c>
      <c r="AA14" s="1057">
        <v>100037.36601301163</v>
      </c>
      <c r="AB14" s="1057">
        <v>100001.60646895067</v>
      </c>
      <c r="AC14" s="1058">
        <v>99855.836365392577</v>
      </c>
      <c r="AD14" s="1057">
        <v>106933.47159684247</v>
      </c>
      <c r="AE14" s="1056">
        <v>105173.1907876577</v>
      </c>
      <c r="AF14" s="1057">
        <v>105173.1907876577</v>
      </c>
      <c r="AG14" s="1057">
        <v>104740.98849583627</v>
      </c>
      <c r="AH14" s="1057">
        <v>105185.45556113936</v>
      </c>
      <c r="AI14" s="1058">
        <v>105161.71010433085</v>
      </c>
      <c r="AJ14" s="1058">
        <v>90002.849570264574</v>
      </c>
    </row>
    <row r="15" spans="1:44">
      <c r="A15" s="1400"/>
      <c r="B15" s="1401"/>
      <c r="C15" s="1402"/>
      <c r="D15" s="1402"/>
      <c r="E15" s="1402"/>
      <c r="F15" s="1402"/>
      <c r="G15" s="1402"/>
      <c r="H15" s="1402"/>
      <c r="I15" s="1403"/>
      <c r="J15" s="1402"/>
      <c r="K15" s="1402"/>
      <c r="L15" s="1403"/>
      <c r="M15" s="1402"/>
      <c r="N15" s="1402"/>
      <c r="O15" s="1402"/>
      <c r="P15" s="1402"/>
      <c r="Q15" s="1402"/>
      <c r="R15" s="1402"/>
      <c r="S15" s="1402"/>
      <c r="T15" s="849"/>
      <c r="U15" s="1404"/>
      <c r="V15" s="1404"/>
      <c r="W15" s="1405"/>
      <c r="X15" s="1404"/>
      <c r="Y15" s="1404"/>
      <c r="Z15" s="1406"/>
      <c r="AA15" s="1404"/>
      <c r="AB15" s="1404"/>
      <c r="AC15" s="1407"/>
      <c r="AD15" s="1404"/>
      <c r="AE15" s="1406">
        <v>-105217.55980297913</v>
      </c>
      <c r="AF15" s="1404">
        <v>-105217.55980297913</v>
      </c>
      <c r="AG15" s="1404">
        <v>-105217.55980297913</v>
      </c>
      <c r="AH15" s="1404">
        <v>-105217.55980297913</v>
      </c>
      <c r="AI15" s="1407">
        <v>-105217.55980297913</v>
      </c>
      <c r="AJ15" s="1407">
        <v>-90029.930915502671</v>
      </c>
    </row>
    <row r="17" spans="1:31" ht="20">
      <c r="A17" s="576" t="s">
        <v>233</v>
      </c>
      <c r="S17"/>
      <c r="AB17" s="578" t="s">
        <v>437</v>
      </c>
      <c r="AC17" s="578" t="s">
        <v>436</v>
      </c>
      <c r="AD17" s="579">
        <v>26949428.734871496</v>
      </c>
      <c r="AE17" s="578" t="s">
        <v>438</v>
      </c>
    </row>
    <row r="18" spans="1:31">
      <c r="A18" s="111" t="s">
        <v>234</v>
      </c>
      <c r="S18"/>
    </row>
    <row r="19" spans="1:31" ht="28">
      <c r="A19" s="1408"/>
      <c r="B19" s="1409" t="s">
        <v>235</v>
      </c>
      <c r="C19" s="1865" t="s">
        <v>236</v>
      </c>
      <c r="D19" s="1866"/>
      <c r="E19" s="1867" t="s">
        <v>237</v>
      </c>
      <c r="F19" s="1868"/>
      <c r="G19"/>
      <c r="H19"/>
      <c r="I19"/>
      <c r="J19"/>
      <c r="K19"/>
      <c r="S19"/>
    </row>
    <row r="20" spans="1:31">
      <c r="A20" s="1400"/>
      <c r="B20" s="1400"/>
      <c r="C20" s="1122" t="s">
        <v>238</v>
      </c>
      <c r="D20" s="849" t="s">
        <v>239</v>
      </c>
      <c r="E20" s="1400" t="s">
        <v>238</v>
      </c>
      <c r="F20" s="849" t="s">
        <v>239</v>
      </c>
      <c r="G20"/>
      <c r="H20"/>
      <c r="I20"/>
      <c r="J20"/>
      <c r="K20"/>
      <c r="S20"/>
    </row>
    <row r="21" spans="1:31">
      <c r="A21" s="111" t="s">
        <v>240</v>
      </c>
      <c r="C21" s="580"/>
      <c r="D21" s="581">
        <v>1.0002491498669328</v>
      </c>
      <c r="E21" s="520"/>
      <c r="F21" s="581">
        <v>1.0000577907384296</v>
      </c>
      <c r="G21"/>
      <c r="H21"/>
      <c r="I21"/>
      <c r="J21"/>
      <c r="K21"/>
      <c r="S21"/>
    </row>
    <row r="22" spans="1:31">
      <c r="A22" s="111" t="s">
        <v>241</v>
      </c>
      <c r="B22" s="408">
        <v>113249.59303072518</v>
      </c>
      <c r="C22" s="582">
        <v>83647.580497138493</v>
      </c>
      <c r="D22" s="583">
        <v>455287.75454596337</v>
      </c>
      <c r="E22" s="408">
        <v>81095.691513028214</v>
      </c>
      <c r="F22" s="583">
        <v>49602.23642068942</v>
      </c>
      <c r="G22"/>
      <c r="H22"/>
      <c r="I22"/>
      <c r="J22"/>
      <c r="K22"/>
      <c r="S22"/>
    </row>
    <row r="23" spans="1:31">
      <c r="A23" s="111" t="s">
        <v>242</v>
      </c>
      <c r="B23" s="408">
        <v>112621.05874733524</v>
      </c>
      <c r="C23" s="582">
        <v>83235.689742393675</v>
      </c>
      <c r="D23" s="583">
        <v>436559.89939915022</v>
      </c>
      <c r="E23" s="408">
        <v>80702.476919900218</v>
      </c>
      <c r="F23" s="583">
        <v>48062.984882837263</v>
      </c>
      <c r="G23"/>
      <c r="H23"/>
      <c r="I23"/>
      <c r="J23"/>
      <c r="K23"/>
      <c r="S23"/>
    </row>
    <row r="24" spans="1:31">
      <c r="A24" s="111" t="s">
        <v>205</v>
      </c>
      <c r="B24" s="408">
        <v>1069.2908903426282</v>
      </c>
      <c r="C24" s="582">
        <v>700.6854833373842</v>
      </c>
      <c r="D24" s="583">
        <v>31861.501046909409</v>
      </c>
      <c r="E24" s="408">
        <v>668.90916295770216</v>
      </c>
      <c r="F24" s="583">
        <v>2617.722029311537</v>
      </c>
      <c r="G24"/>
      <c r="H24"/>
      <c r="I24"/>
      <c r="J24"/>
      <c r="K24"/>
      <c r="S24"/>
    </row>
    <row r="25" spans="1:31">
      <c r="A25" s="111" t="s">
        <v>243</v>
      </c>
      <c r="B25" s="408">
        <v>111088.13476192606</v>
      </c>
      <c r="C25" s="582">
        <v>82093.504514775283</v>
      </c>
      <c r="D25" s="583">
        <v>393622.40451295971</v>
      </c>
      <c r="E25" s="408">
        <v>79593.97574934669</v>
      </c>
      <c r="F25" s="583">
        <v>41262.314834461948</v>
      </c>
      <c r="G25"/>
      <c r="H25"/>
      <c r="I25"/>
      <c r="J25"/>
      <c r="K25"/>
    </row>
    <row r="26" spans="1:31">
      <c r="A26" s="111" t="s">
        <v>244</v>
      </c>
      <c r="B26" s="408">
        <v>463.63309506655048</v>
      </c>
      <c r="C26" s="582">
        <v>441.49974428101001</v>
      </c>
      <c r="D26" s="583">
        <v>11075.993839281105</v>
      </c>
      <c r="E26" s="408">
        <v>439.59200759582097</v>
      </c>
      <c r="F26" s="583">
        <v>4182.9480190637778</v>
      </c>
      <c r="G26"/>
      <c r="H26"/>
      <c r="I26"/>
      <c r="J26"/>
      <c r="K26"/>
    </row>
    <row r="27" spans="1:31">
      <c r="A27" s="1393" t="s">
        <v>10</v>
      </c>
      <c r="B27" s="1410">
        <v>3.4611542510826787</v>
      </c>
      <c r="C27" s="1411">
        <v>3.3063097584542112</v>
      </c>
      <c r="D27" s="1412">
        <v>8.7925008491604846</v>
      </c>
      <c r="E27" s="1410">
        <v>3.2916478998422369</v>
      </c>
      <c r="F27" s="1412">
        <v>0.81219039977248753</v>
      </c>
      <c r="G27"/>
      <c r="H27"/>
      <c r="I27"/>
      <c r="J27"/>
      <c r="K27"/>
    </row>
    <row r="28" spans="1:31">
      <c r="A28" s="111" t="s">
        <v>11</v>
      </c>
      <c r="B28" s="520">
        <v>11.110765191701168</v>
      </c>
      <c r="C28" s="580">
        <v>7.7605520827302747</v>
      </c>
      <c r="D28" s="581">
        <v>16.832183022205378</v>
      </c>
      <c r="E28" s="520">
        <v>7.4717411796786868</v>
      </c>
      <c r="F28" s="581">
        <v>6.2307469821448214</v>
      </c>
      <c r="G28"/>
      <c r="H28"/>
      <c r="I28"/>
      <c r="J28"/>
      <c r="K28"/>
    </row>
    <row r="29" spans="1:31">
      <c r="A29" s="111" t="s">
        <v>231</v>
      </c>
      <c r="B29" s="520">
        <v>35.025568879881035</v>
      </c>
      <c r="C29" s="580">
        <v>17.908657789265028</v>
      </c>
      <c r="D29" s="581">
        <v>8.0915897321821948</v>
      </c>
      <c r="E29" s="520">
        <v>16.43306486143285</v>
      </c>
      <c r="F29" s="581">
        <v>3.593472829751851</v>
      </c>
      <c r="G29"/>
      <c r="H29"/>
      <c r="I29"/>
      <c r="J29"/>
      <c r="K29"/>
    </row>
    <row r="30" spans="1:31">
      <c r="A30" s="111" t="s">
        <v>232</v>
      </c>
      <c r="B30" s="520">
        <v>41.227954149828165</v>
      </c>
      <c r="C30" s="580">
        <v>21.019353025035883</v>
      </c>
      <c r="D30" s="581">
        <v>10.312695763249828</v>
      </c>
      <c r="E30" s="520">
        <v>19.27723551882826</v>
      </c>
      <c r="F30" s="581">
        <v>5.352051383894894</v>
      </c>
      <c r="G30"/>
      <c r="H30"/>
      <c r="I30"/>
      <c r="J30"/>
      <c r="K30"/>
    </row>
    <row r="31" spans="1:31">
      <c r="A31" s="111" t="s">
        <v>12</v>
      </c>
      <c r="B31" s="520">
        <v>0.41029045603247111</v>
      </c>
      <c r="C31" s="580">
        <v>0.36529108707965868</v>
      </c>
      <c r="D31" s="581">
        <v>1.7238376779899951</v>
      </c>
      <c r="E31" s="520">
        <v>0.36141188169317573</v>
      </c>
      <c r="F31" s="581">
        <v>0.27407751224888044</v>
      </c>
      <c r="G31"/>
      <c r="H31"/>
      <c r="I31"/>
      <c r="J31"/>
      <c r="K31"/>
    </row>
    <row r="32" spans="1:31">
      <c r="A32" s="111" t="s">
        <v>13</v>
      </c>
      <c r="B32" s="520">
        <v>0.38679426325231481</v>
      </c>
      <c r="C32" s="580">
        <v>0.34552604592706393</v>
      </c>
      <c r="D32" s="581">
        <v>1.3510605964168572</v>
      </c>
      <c r="E32" s="520">
        <v>0.34196848980857869</v>
      </c>
      <c r="F32" s="581">
        <v>0.22775383577902231</v>
      </c>
      <c r="G32"/>
      <c r="H32"/>
      <c r="I32"/>
      <c r="J32"/>
      <c r="K32"/>
    </row>
    <row r="33" spans="1:93">
      <c r="A33" s="111" t="s">
        <v>20</v>
      </c>
      <c r="B33" s="520">
        <v>11.227367678749063</v>
      </c>
      <c r="C33" s="580">
        <v>10.891879775898445</v>
      </c>
      <c r="D33" s="581">
        <v>7.4401656940892762</v>
      </c>
      <c r="E33" s="520">
        <v>10.862958492661358</v>
      </c>
      <c r="F33" s="581">
        <v>11.101713856428045</v>
      </c>
      <c r="G33"/>
      <c r="H33"/>
      <c r="I33"/>
      <c r="J33"/>
      <c r="K33"/>
      <c r="BZ33"/>
      <c r="CA33"/>
    </row>
    <row r="34" spans="1:93">
      <c r="A34" s="111" t="s">
        <v>14</v>
      </c>
      <c r="B34" s="520">
        <v>7.9067379883375796E-2</v>
      </c>
      <c r="C34" s="580">
        <v>7.1330175892094311E-2</v>
      </c>
      <c r="D34" s="581">
        <v>-2.2134657830441794E-2</v>
      </c>
      <c r="E34" s="520">
        <v>7.0663186817504234E-2</v>
      </c>
      <c r="F34" s="581">
        <v>2.4663098121339624E-2</v>
      </c>
      <c r="G34"/>
      <c r="H34"/>
      <c r="I34"/>
      <c r="J34"/>
      <c r="K34"/>
      <c r="BZ34"/>
      <c r="CA34"/>
    </row>
    <row r="35" spans="1:93">
      <c r="A35" s="111" t="s">
        <v>15</v>
      </c>
      <c r="B35" s="520">
        <v>0.16211356019619858</v>
      </c>
      <c r="C35" s="580">
        <v>0.14519579747095662</v>
      </c>
      <c r="D35" s="581">
        <v>-1.6744142588525905E-2</v>
      </c>
      <c r="E35" s="520">
        <v>0.14373738944315917</v>
      </c>
      <c r="F35" s="581">
        <v>0.10616930243593359</v>
      </c>
      <c r="G35"/>
      <c r="H35"/>
      <c r="I35"/>
      <c r="J35"/>
      <c r="K35"/>
      <c r="BZ35"/>
      <c r="CA35"/>
    </row>
    <row r="36" spans="1:93">
      <c r="A36" s="111" t="s">
        <v>16</v>
      </c>
      <c r="B36" s="520">
        <v>223.18874113291389</v>
      </c>
      <c r="C36" s="580">
        <v>148.38876361483753</v>
      </c>
      <c r="D36" s="581">
        <v>61.167365750804599</v>
      </c>
      <c r="E36" s="520">
        <v>141.94049062019724</v>
      </c>
      <c r="F36" s="581">
        <v>12.42385145054012</v>
      </c>
      <c r="G36"/>
      <c r="H36"/>
      <c r="I36"/>
      <c r="J36"/>
      <c r="K36"/>
      <c r="BZ36"/>
      <c r="CA36"/>
    </row>
    <row r="37" spans="1:93">
      <c r="A37" s="111" t="s">
        <v>19</v>
      </c>
      <c r="B37" s="520">
        <v>1.4177914985569811</v>
      </c>
      <c r="C37" s="580">
        <v>0.23345130302167738</v>
      </c>
      <c r="D37" s="581">
        <v>0.10775350858957763</v>
      </c>
      <c r="E37" s="520">
        <v>0.13135301261609694</v>
      </c>
      <c r="F37" s="581">
        <v>3.479521473737468E-2</v>
      </c>
      <c r="G37"/>
      <c r="H37"/>
      <c r="I37"/>
      <c r="J37"/>
      <c r="K37"/>
      <c r="BZ37"/>
      <c r="CA37"/>
    </row>
    <row r="38" spans="1:93">
      <c r="A38" s="111" t="s">
        <v>17</v>
      </c>
      <c r="B38" s="408">
        <v>6612.5157742586298</v>
      </c>
      <c r="C38" s="582">
        <v>5086.6081271928761</v>
      </c>
      <c r="D38" s="583">
        <v>14687.285914439515</v>
      </c>
      <c r="E38" s="408">
        <v>4955.0648810485463</v>
      </c>
      <c r="F38" s="583">
        <v>3493.0944891757299</v>
      </c>
      <c r="G38"/>
      <c r="H38"/>
      <c r="I38"/>
      <c r="J38"/>
      <c r="K38"/>
      <c r="BZ38"/>
      <c r="CA38"/>
    </row>
    <row r="39" spans="1:93">
      <c r="A39" s="111" t="s">
        <v>197</v>
      </c>
      <c r="B39" s="408">
        <v>6702.1845054411497</v>
      </c>
      <c r="C39" s="582">
        <v>5138.9373577100396</v>
      </c>
      <c r="D39" s="583">
        <v>14752.461573485483</v>
      </c>
      <c r="E39" s="408">
        <v>5004.1751953646062</v>
      </c>
      <c r="F39" s="583">
        <v>3518.1605364787388</v>
      </c>
      <c r="G39"/>
      <c r="H39"/>
      <c r="I39"/>
      <c r="J39"/>
      <c r="K39"/>
      <c r="BZ39"/>
      <c r="CA39"/>
    </row>
    <row r="40" spans="1:93">
      <c r="A40" s="1400" t="s">
        <v>18</v>
      </c>
      <c r="B40" s="1413">
        <v>13740.26607030804</v>
      </c>
      <c r="C40" s="1414">
        <v>9624.6547191571153</v>
      </c>
      <c r="D40" s="1060">
        <v>16604.665780704414</v>
      </c>
      <c r="E40" s="1413">
        <v>9269.8611882906771</v>
      </c>
      <c r="F40" s="1060">
        <v>3897.8904033281378</v>
      </c>
      <c r="G40"/>
      <c r="H40"/>
      <c r="I40"/>
      <c r="J40"/>
      <c r="K40"/>
      <c r="BZ40"/>
      <c r="CA40"/>
    </row>
    <row r="41" spans="1:93">
      <c r="A41" s="111" t="s">
        <v>245</v>
      </c>
      <c r="F41" s="230"/>
      <c r="G41"/>
      <c r="H41"/>
      <c r="I41"/>
      <c r="J41"/>
      <c r="K41"/>
      <c r="BZ41"/>
      <c r="CA41"/>
    </row>
    <row r="42" spans="1:93" ht="15" customHeight="1">
      <c r="A42" s="1408" t="s">
        <v>240</v>
      </c>
      <c r="B42" s="1408"/>
      <c r="C42" s="1415"/>
      <c r="D42" s="1399">
        <v>1.0002491498669328</v>
      </c>
      <c r="E42" s="1416"/>
      <c r="F42" s="1399">
        <v>1.0000577907384296</v>
      </c>
      <c r="G42"/>
      <c r="H42"/>
      <c r="I42"/>
      <c r="J42"/>
      <c r="K42"/>
    </row>
    <row r="43" spans="1:93" ht="15" customHeight="1">
      <c r="A43" s="111" t="s">
        <v>11</v>
      </c>
      <c r="B43" s="520">
        <v>0.59395466241739103</v>
      </c>
      <c r="C43" s="580">
        <v>0.1501726854536557</v>
      </c>
      <c r="D43" s="581">
        <v>8.9451047371643444</v>
      </c>
      <c r="E43" s="520">
        <v>0.11191562499881141</v>
      </c>
      <c r="F43" s="581">
        <v>0.95189448478599248</v>
      </c>
      <c r="G43"/>
      <c r="H43"/>
      <c r="I43"/>
      <c r="J43"/>
      <c r="K43"/>
      <c r="BY43"/>
      <c r="BZ43"/>
      <c r="CA43"/>
      <c r="CB43"/>
      <c r="CC43"/>
      <c r="CD43"/>
      <c r="CE43"/>
      <c r="CF43"/>
      <c r="CG43"/>
      <c r="CH43"/>
      <c r="CI43"/>
      <c r="CJ43"/>
      <c r="CK43"/>
      <c r="CL43"/>
      <c r="CM43"/>
      <c r="CN43"/>
      <c r="CO43"/>
    </row>
    <row r="44" spans="1:93">
      <c r="A44" s="111" t="s">
        <v>231</v>
      </c>
      <c r="B44" s="520">
        <v>2.9123286674356534</v>
      </c>
      <c r="C44" s="580">
        <v>0.56505539460329202</v>
      </c>
      <c r="D44" s="581">
        <v>1.0299896072825869</v>
      </c>
      <c r="E44" s="520">
        <v>0.36270427956016182</v>
      </c>
      <c r="F44" s="581">
        <v>0.25449116314849995</v>
      </c>
      <c r="G44"/>
      <c r="H44"/>
      <c r="I44"/>
      <c r="J44"/>
      <c r="K44"/>
      <c r="BY44"/>
      <c r="BZ44"/>
      <c r="CA44"/>
      <c r="CB44"/>
      <c r="CC44"/>
      <c r="CD44"/>
      <c r="CE44"/>
      <c r="CF44"/>
      <c r="CG44"/>
      <c r="CH44"/>
      <c r="CI44"/>
      <c r="CJ44"/>
      <c r="CK44"/>
      <c r="CL44"/>
      <c r="CM44"/>
      <c r="CN44"/>
      <c r="CO44"/>
    </row>
    <row r="45" spans="1:93">
      <c r="A45" s="111" t="s">
        <v>232</v>
      </c>
      <c r="B45" s="520">
        <v>3.4515556640320058</v>
      </c>
      <c r="C45" s="580">
        <v>0.67642510465037442</v>
      </c>
      <c r="D45" s="581">
        <v>1.4828111373662614</v>
      </c>
      <c r="E45" s="520">
        <v>0.43718974538709787</v>
      </c>
      <c r="F45" s="581">
        <v>0.37322686550863882</v>
      </c>
      <c r="G45"/>
      <c r="H45"/>
      <c r="I45"/>
      <c r="J45"/>
      <c r="K45"/>
      <c r="BY45"/>
      <c r="BZ45"/>
      <c r="CA45"/>
      <c r="CB45"/>
      <c r="CC45"/>
      <c r="CD45"/>
      <c r="CE45"/>
      <c r="CF45"/>
      <c r="CG45"/>
      <c r="CH45"/>
      <c r="CI45"/>
      <c r="CJ45"/>
      <c r="CK45"/>
      <c r="CL45"/>
      <c r="CM45"/>
      <c r="CN45"/>
      <c r="CO45"/>
    </row>
    <row r="46" spans="1:93" ht="15" customHeight="1">
      <c r="A46" s="111" t="s">
        <v>12</v>
      </c>
      <c r="B46" s="520">
        <v>1.2654757316781947E-2</v>
      </c>
      <c r="C46" s="580">
        <v>7.1183228068672074E-3</v>
      </c>
      <c r="D46" s="581">
        <v>0.23915372440737281</v>
      </c>
      <c r="E46" s="520">
        <v>6.6410446391280348E-3</v>
      </c>
      <c r="F46" s="581">
        <v>2.3642513385214375E-2</v>
      </c>
      <c r="G46"/>
      <c r="H46"/>
      <c r="I46"/>
      <c r="J46"/>
      <c r="K46"/>
      <c r="BY46"/>
      <c r="BZ46"/>
      <c r="CA46"/>
      <c r="CB46"/>
      <c r="CC46"/>
      <c r="CD46"/>
      <c r="CE46"/>
      <c r="CF46"/>
      <c r="CG46"/>
      <c r="CH46"/>
      <c r="CI46"/>
      <c r="CJ46"/>
      <c r="CK46"/>
      <c r="CL46"/>
      <c r="CM46"/>
      <c r="CN46"/>
      <c r="CO46"/>
    </row>
    <row r="47" spans="1:93">
      <c r="A47" s="111" t="s">
        <v>13</v>
      </c>
      <c r="B47" s="520">
        <v>1.1763463500421619E-2</v>
      </c>
      <c r="C47" s="580">
        <v>6.4823020977609266E-3</v>
      </c>
      <c r="D47" s="581">
        <v>0.20033625827302087</v>
      </c>
      <c r="E47" s="520">
        <v>6.0270301917276494E-3</v>
      </c>
      <c r="F47" s="581">
        <v>1.7065298098146921E-2</v>
      </c>
      <c r="G47"/>
      <c r="H47"/>
      <c r="I47"/>
      <c r="J47"/>
      <c r="K47"/>
      <c r="BY47"/>
      <c r="BZ47"/>
      <c r="CA47"/>
      <c r="CB47"/>
      <c r="CC47"/>
      <c r="CD47"/>
      <c r="CE47"/>
      <c r="CF47"/>
      <c r="CG47"/>
      <c r="CH47"/>
      <c r="CI47"/>
      <c r="CJ47"/>
      <c r="CK47"/>
      <c r="CL47"/>
      <c r="CM47"/>
      <c r="CN47"/>
      <c r="CO47"/>
    </row>
    <row r="48" spans="1:93">
      <c r="A48" s="111" t="s">
        <v>20</v>
      </c>
      <c r="B48" s="520">
        <v>0.15155791049396339</v>
      </c>
      <c r="C48" s="580">
        <v>0.13426114375303255</v>
      </c>
      <c r="D48" s="581">
        <v>1.2225870189145256</v>
      </c>
      <c r="E48" s="520">
        <v>0.13277004453432725</v>
      </c>
      <c r="F48" s="581">
        <v>0.22617786500914103</v>
      </c>
      <c r="G48"/>
      <c r="H48"/>
      <c r="I48"/>
      <c r="J48"/>
      <c r="K48"/>
      <c r="BY48"/>
      <c r="BZ48"/>
      <c r="CA48"/>
      <c r="CB48"/>
      <c r="CC48"/>
      <c r="CD48"/>
      <c r="CE48"/>
      <c r="CF48"/>
      <c r="CG48"/>
      <c r="CH48"/>
      <c r="CI48"/>
      <c r="CJ48"/>
      <c r="CK48"/>
      <c r="CL48"/>
      <c r="CM48"/>
      <c r="CN48"/>
      <c r="CO48"/>
    </row>
    <row r="49" spans="1:93">
      <c r="A49" s="111" t="s">
        <v>14</v>
      </c>
      <c r="B49" s="520">
        <v>1.8326759701175711E-3</v>
      </c>
      <c r="C49" s="580">
        <v>9.6326119675761159E-4</v>
      </c>
      <c r="D49" s="581">
        <v>-7.8907422623210322E-4</v>
      </c>
      <c r="E49" s="520">
        <v>8.8831177638463619E-4</v>
      </c>
      <c r="F49" s="581">
        <v>1.393325755552309E-3</v>
      </c>
      <c r="G49"/>
      <c r="H49"/>
      <c r="I49"/>
      <c r="J49"/>
      <c r="K49"/>
      <c r="BY49"/>
      <c r="BZ49"/>
      <c r="CA49"/>
      <c r="CB49"/>
      <c r="CC49"/>
      <c r="CD49"/>
      <c r="CE49"/>
      <c r="CF49"/>
      <c r="CG49"/>
      <c r="CH49"/>
      <c r="CI49"/>
      <c r="CJ49"/>
      <c r="CK49"/>
      <c r="CL49"/>
      <c r="CM49"/>
      <c r="CN49"/>
      <c r="CO49"/>
    </row>
    <row r="50" spans="1:93">
      <c r="A50" s="1400" t="s">
        <v>15</v>
      </c>
      <c r="B50" s="1417">
        <v>4.3544808165781679E-3</v>
      </c>
      <c r="C50" s="1418">
        <v>2.3109843733855849E-3</v>
      </c>
      <c r="D50" s="1061">
        <v>1.2267506653680373E-2</v>
      </c>
      <c r="E50" s="1417">
        <v>2.1348211105868243E-3</v>
      </c>
      <c r="F50" s="1061">
        <v>5.6099027499895227E-3</v>
      </c>
      <c r="G50"/>
      <c r="H50"/>
      <c r="I50"/>
      <c r="J50"/>
      <c r="K50"/>
      <c r="BY50"/>
      <c r="BZ50"/>
      <c r="CA50"/>
      <c r="CB50"/>
      <c r="CC50"/>
      <c r="CD50"/>
      <c r="CE50"/>
      <c r="CF50"/>
      <c r="CG50"/>
      <c r="CH50"/>
      <c r="CI50"/>
      <c r="CJ50"/>
      <c r="CK50"/>
      <c r="CL50"/>
      <c r="CM50"/>
      <c r="CN50"/>
      <c r="CO50"/>
    </row>
    <row r="51" spans="1:93">
      <c r="BY51"/>
      <c r="BZ51"/>
      <c r="CA51"/>
      <c r="CB51"/>
      <c r="CC51"/>
      <c r="CD51"/>
      <c r="CE51"/>
      <c r="CF51"/>
      <c r="CG51"/>
      <c r="CH51"/>
      <c r="CI51"/>
      <c r="CJ51"/>
      <c r="CK51"/>
      <c r="CL51"/>
      <c r="CM51"/>
      <c r="CN51"/>
      <c r="CO51"/>
    </row>
    <row r="52" spans="1:93" ht="20">
      <c r="A52" s="576" t="s">
        <v>246</v>
      </c>
      <c r="BY52"/>
      <c r="BZ52"/>
      <c r="CA52"/>
      <c r="CB52"/>
      <c r="CC52"/>
      <c r="CD52"/>
      <c r="CE52"/>
      <c r="CF52"/>
      <c r="CG52"/>
      <c r="CH52"/>
      <c r="CI52"/>
      <c r="CJ52"/>
      <c r="CK52"/>
      <c r="CL52"/>
      <c r="CM52"/>
      <c r="CN52"/>
      <c r="CO52"/>
    </row>
    <row r="53" spans="1:93">
      <c r="A53" s="1393"/>
      <c r="B53" s="1419" t="s">
        <v>247</v>
      </c>
      <c r="C53" s="1393"/>
      <c r="D53" s="1393"/>
      <c r="E53" s="1394"/>
      <c r="F53" s="1393" t="s">
        <v>248</v>
      </c>
      <c r="G53" s="1393"/>
      <c r="H53" s="1393"/>
      <c r="I53" s="1393"/>
      <c r="J53" s="1419" t="s">
        <v>249</v>
      </c>
      <c r="K53" s="1393"/>
      <c r="L53" s="1393"/>
      <c r="M53" s="1394"/>
      <c r="N53" s="1393" t="s">
        <v>250</v>
      </c>
      <c r="O53" s="1393"/>
      <c r="P53" s="1393"/>
      <c r="Q53" s="1393"/>
      <c r="R53" s="1419" t="s">
        <v>251</v>
      </c>
      <c r="S53" s="1393"/>
      <c r="T53" s="1393"/>
      <c r="U53" s="1394"/>
      <c r="V53" s="1393" t="s">
        <v>252</v>
      </c>
      <c r="W53" s="1393"/>
      <c r="X53" s="1393"/>
      <c r="Y53" s="1393"/>
      <c r="Z53" s="1419" t="s">
        <v>253</v>
      </c>
      <c r="AA53" s="1393"/>
      <c r="AB53" s="1393"/>
      <c r="AC53" s="1394"/>
      <c r="AD53" s="1393" t="s">
        <v>254</v>
      </c>
      <c r="AE53" s="1393"/>
      <c r="AF53" s="1393"/>
      <c r="AG53" s="1393"/>
      <c r="AH53" s="1419" t="s">
        <v>255</v>
      </c>
      <c r="AI53" s="1393"/>
      <c r="AJ53" s="1393"/>
      <c r="AK53" s="1394"/>
      <c r="AL53" s="1419" t="s">
        <v>256</v>
      </c>
      <c r="AM53" s="1393"/>
      <c r="AN53" s="1393"/>
      <c r="AO53" s="1394"/>
      <c r="AP53" s="1315" t="s">
        <v>48</v>
      </c>
      <c r="AQ53" s="1394" t="s">
        <v>49</v>
      </c>
      <c r="AR53"/>
      <c r="AS53"/>
      <c r="AT53"/>
      <c r="AU53"/>
      <c r="BY53"/>
      <c r="BZ53"/>
      <c r="CA53"/>
      <c r="CB53"/>
      <c r="CC53"/>
      <c r="CD53"/>
      <c r="CE53"/>
      <c r="CF53"/>
      <c r="CG53"/>
      <c r="CH53"/>
      <c r="CI53"/>
      <c r="CJ53"/>
      <c r="CK53"/>
      <c r="CL53"/>
      <c r="CM53"/>
      <c r="CN53"/>
      <c r="CO53"/>
    </row>
    <row r="54" spans="1:93">
      <c r="A54" s="1400"/>
      <c r="B54" s="1122" t="s">
        <v>193</v>
      </c>
      <c r="C54" s="1400"/>
      <c r="D54" s="1400" t="s">
        <v>257</v>
      </c>
      <c r="E54" s="849"/>
      <c r="F54" s="1400" t="s">
        <v>193</v>
      </c>
      <c r="G54" s="1400"/>
      <c r="H54" s="1400" t="s">
        <v>257</v>
      </c>
      <c r="I54" s="1400"/>
      <c r="J54" s="1122" t="s">
        <v>193</v>
      </c>
      <c r="K54" s="1400"/>
      <c r="L54" s="1400" t="s">
        <v>257</v>
      </c>
      <c r="M54" s="849"/>
      <c r="N54" s="1400" t="s">
        <v>193</v>
      </c>
      <c r="O54" s="1400"/>
      <c r="P54" s="1400" t="s">
        <v>257</v>
      </c>
      <c r="Q54" s="1400"/>
      <c r="R54" s="1122" t="s">
        <v>193</v>
      </c>
      <c r="S54" s="1400"/>
      <c r="T54" s="1400" t="s">
        <v>257</v>
      </c>
      <c r="U54" s="849"/>
      <c r="V54" s="1400" t="s">
        <v>193</v>
      </c>
      <c r="W54" s="1400"/>
      <c r="X54" s="1400" t="s">
        <v>257</v>
      </c>
      <c r="Y54" s="1400"/>
      <c r="Z54" s="1122" t="s">
        <v>193</v>
      </c>
      <c r="AA54" s="1400"/>
      <c r="AB54" s="1400" t="s">
        <v>257</v>
      </c>
      <c r="AC54" s="849"/>
      <c r="AD54" s="1400" t="s">
        <v>193</v>
      </c>
      <c r="AE54" s="1400"/>
      <c r="AF54" s="1400" t="s">
        <v>257</v>
      </c>
      <c r="AG54" s="1400"/>
      <c r="AH54" s="1122" t="s">
        <v>193</v>
      </c>
      <c r="AI54" s="1400"/>
      <c r="AJ54" s="1400" t="s">
        <v>257</v>
      </c>
      <c r="AK54" s="849"/>
      <c r="AL54" s="1419" t="s">
        <v>193</v>
      </c>
      <c r="AM54" s="1393"/>
      <c r="AN54" s="1393" t="s">
        <v>257</v>
      </c>
      <c r="AO54" s="1394"/>
      <c r="AP54" s="1315" t="s">
        <v>193</v>
      </c>
      <c r="AQ54" s="1394" t="s">
        <v>193</v>
      </c>
      <c r="AR54"/>
      <c r="AS54"/>
      <c r="AT54"/>
      <c r="AU54"/>
      <c r="BY54"/>
      <c r="BZ54"/>
      <c r="CA54"/>
      <c r="CB54"/>
      <c r="CC54"/>
      <c r="CD54"/>
      <c r="CE54"/>
      <c r="CF54"/>
      <c r="CG54"/>
      <c r="CH54"/>
      <c r="CI54"/>
      <c r="CJ54"/>
      <c r="CK54"/>
      <c r="CL54"/>
      <c r="CM54"/>
      <c r="CN54"/>
      <c r="CO54"/>
    </row>
    <row r="55" spans="1:93">
      <c r="B55" s="159" t="s">
        <v>238</v>
      </c>
      <c r="C55" s="111" t="s">
        <v>239</v>
      </c>
      <c r="D55" s="111" t="s">
        <v>238</v>
      </c>
      <c r="E55" s="230" t="s">
        <v>239</v>
      </c>
      <c r="F55" s="111" t="s">
        <v>238</v>
      </c>
      <c r="G55" s="111" t="s">
        <v>239</v>
      </c>
      <c r="H55" s="111" t="s">
        <v>238</v>
      </c>
      <c r="I55" s="111" t="s">
        <v>239</v>
      </c>
      <c r="J55" s="159" t="s">
        <v>238</v>
      </c>
      <c r="K55" s="111" t="s">
        <v>239</v>
      </c>
      <c r="L55" s="111" t="s">
        <v>238</v>
      </c>
      <c r="M55" s="230" t="s">
        <v>239</v>
      </c>
      <c r="N55" s="111" t="s">
        <v>238</v>
      </c>
      <c r="O55" s="111" t="s">
        <v>239</v>
      </c>
      <c r="P55" s="111" t="s">
        <v>238</v>
      </c>
      <c r="Q55" s="111" t="s">
        <v>239</v>
      </c>
      <c r="R55" s="159" t="s">
        <v>238</v>
      </c>
      <c r="S55" s="111" t="s">
        <v>239</v>
      </c>
      <c r="T55" s="111" t="s">
        <v>238</v>
      </c>
      <c r="U55" s="230" t="s">
        <v>239</v>
      </c>
      <c r="V55" s="111" t="s">
        <v>238</v>
      </c>
      <c r="W55" s="111" t="s">
        <v>239</v>
      </c>
      <c r="X55" s="111" t="s">
        <v>238</v>
      </c>
      <c r="Y55" s="111" t="s">
        <v>239</v>
      </c>
      <c r="Z55" s="159" t="s">
        <v>238</v>
      </c>
      <c r="AA55" s="111" t="s">
        <v>239</v>
      </c>
      <c r="AB55" s="111" t="s">
        <v>238</v>
      </c>
      <c r="AC55" s="230" t="s">
        <v>239</v>
      </c>
      <c r="AD55" s="111" t="s">
        <v>238</v>
      </c>
      <c r="AE55" s="111" t="s">
        <v>239</v>
      </c>
      <c r="AF55" s="111" t="s">
        <v>238</v>
      </c>
      <c r="AG55" s="111" t="s">
        <v>239</v>
      </c>
      <c r="AH55" s="159" t="s">
        <v>238</v>
      </c>
      <c r="AI55" s="111" t="s">
        <v>239</v>
      </c>
      <c r="AJ55" s="111" t="s">
        <v>238</v>
      </c>
      <c r="AK55" s="230" t="s">
        <v>239</v>
      </c>
      <c r="AL55" s="159" t="s">
        <v>238</v>
      </c>
      <c r="AM55" s="111" t="s">
        <v>239</v>
      </c>
      <c r="AN55" s="111" t="s">
        <v>238</v>
      </c>
      <c r="AO55" s="230" t="s">
        <v>239</v>
      </c>
      <c r="AP55" s="147"/>
      <c r="AQ55" s="230"/>
      <c r="AR55"/>
      <c r="AS55"/>
      <c r="AT55"/>
      <c r="AU55"/>
      <c r="BY55"/>
      <c r="BZ55"/>
      <c r="CA55"/>
      <c r="CB55"/>
      <c r="CC55"/>
      <c r="CD55"/>
      <c r="CE55"/>
      <c r="CF55"/>
      <c r="CG55"/>
      <c r="CH55"/>
      <c r="CI55"/>
      <c r="CJ55"/>
      <c r="CK55"/>
      <c r="CL55"/>
      <c r="CM55"/>
      <c r="CN55"/>
      <c r="CO55"/>
    </row>
    <row r="56" spans="1:93">
      <c r="A56" s="111" t="s">
        <v>241</v>
      </c>
      <c r="B56" s="582">
        <v>101847.89149712407</v>
      </c>
      <c r="C56" s="408">
        <v>1970554.2697044094</v>
      </c>
      <c r="D56" s="408"/>
      <c r="E56" s="583"/>
      <c r="F56" s="408">
        <v>443423.09033200477</v>
      </c>
      <c r="G56" s="408">
        <v>3292538.9494134923</v>
      </c>
      <c r="H56" s="408"/>
      <c r="I56" s="408"/>
      <c r="J56" s="582">
        <v>216891.35084139544</v>
      </c>
      <c r="K56" s="408">
        <v>2220357.638864758</v>
      </c>
      <c r="L56" s="408"/>
      <c r="M56" s="583"/>
      <c r="N56" s="408">
        <v>65597.597642312438</v>
      </c>
      <c r="O56" s="408">
        <v>3042521.7862794981</v>
      </c>
      <c r="P56" s="408"/>
      <c r="Q56" s="408"/>
      <c r="R56" s="582">
        <v>122672.29335236042</v>
      </c>
      <c r="S56" s="408">
        <v>4854745.3897224441</v>
      </c>
      <c r="T56" s="408"/>
      <c r="U56" s="583"/>
      <c r="V56" s="408">
        <v>28112.73485633553</v>
      </c>
      <c r="W56" s="408">
        <v>1051124.5748727412</v>
      </c>
      <c r="X56" s="408"/>
      <c r="Y56" s="408"/>
      <c r="Z56" s="582">
        <v>0</v>
      </c>
      <c r="AA56" s="408">
        <v>1051124.5748727412</v>
      </c>
      <c r="AB56" s="408"/>
      <c r="AC56" s="583"/>
      <c r="AD56" s="408">
        <v>250292.17888617612</v>
      </c>
      <c r="AE56" s="408">
        <v>2562288.2110426626</v>
      </c>
      <c r="AF56" s="408"/>
      <c r="AG56" s="408"/>
      <c r="AH56" s="582">
        <v>0</v>
      </c>
      <c r="AI56" s="408">
        <v>1051124.5748727412</v>
      </c>
      <c r="AJ56" s="408"/>
      <c r="AK56" s="583"/>
      <c r="AL56" s="582">
        <v>103776.30184068973</v>
      </c>
      <c r="AM56" s="408">
        <v>1701145.1716268784</v>
      </c>
      <c r="AN56" s="408"/>
      <c r="AO56" s="583"/>
      <c r="AP56" s="584">
        <v>2265920.4959970242</v>
      </c>
      <c r="AQ56" s="583">
        <v>2436097.5728905513</v>
      </c>
      <c r="AR56"/>
      <c r="AS56"/>
      <c r="AT56"/>
      <c r="AU56"/>
      <c r="BY56"/>
      <c r="BZ56"/>
      <c r="CA56"/>
      <c r="CB56"/>
      <c r="CC56"/>
      <c r="CD56"/>
      <c r="CE56"/>
      <c r="CF56"/>
      <c r="CG56"/>
      <c r="CH56"/>
      <c r="CI56"/>
      <c r="CJ56"/>
      <c r="CK56"/>
      <c r="CL56"/>
      <c r="CM56"/>
      <c r="CN56"/>
      <c r="CO56"/>
    </row>
    <row r="57" spans="1:93">
      <c r="A57" s="111" t="s">
        <v>242</v>
      </c>
      <c r="B57" s="582">
        <v>99995.199072909891</v>
      </c>
      <c r="C57" s="408">
        <v>1544057.5372389504</v>
      </c>
      <c r="D57" s="408"/>
      <c r="E57" s="583"/>
      <c r="F57" s="408">
        <v>426818.40777258686</v>
      </c>
      <c r="G57" s="408">
        <v>3292538.9494134923</v>
      </c>
      <c r="H57" s="408"/>
      <c r="I57" s="408"/>
      <c r="J57" s="582">
        <v>215748.73326863226</v>
      </c>
      <c r="K57" s="408">
        <v>2220357.638864758</v>
      </c>
      <c r="L57" s="408"/>
      <c r="M57" s="583"/>
      <c r="N57" s="408">
        <v>63127.678840165769</v>
      </c>
      <c r="O57" s="408">
        <v>3042521.7862794981</v>
      </c>
      <c r="P57" s="408"/>
      <c r="Q57" s="408"/>
      <c r="R57" s="582">
        <v>122058.13536577149</v>
      </c>
      <c r="S57" s="408">
        <v>0</v>
      </c>
      <c r="T57" s="408"/>
      <c r="U57" s="583"/>
      <c r="V57" s="408">
        <v>24023.653834716835</v>
      </c>
      <c r="W57" s="408">
        <v>0</v>
      </c>
      <c r="X57" s="408"/>
      <c r="Y57" s="408"/>
      <c r="Z57" s="582">
        <v>0</v>
      </c>
      <c r="AA57" s="408">
        <v>0</v>
      </c>
      <c r="AB57" s="408"/>
      <c r="AC57" s="583"/>
      <c r="AD57" s="408">
        <v>248973.60052511611</v>
      </c>
      <c r="AE57" s="408">
        <v>2562288.2110426626</v>
      </c>
      <c r="AF57" s="408"/>
      <c r="AG57" s="408"/>
      <c r="AH57" s="582">
        <v>0</v>
      </c>
      <c r="AI57" s="408">
        <v>0</v>
      </c>
      <c r="AJ57" s="408"/>
      <c r="AK57" s="583"/>
      <c r="AL57" s="582">
        <v>102460.19453995767</v>
      </c>
      <c r="AM57" s="408">
        <v>1125357.8633875798</v>
      </c>
      <c r="AN57" s="408"/>
      <c r="AO57" s="583"/>
      <c r="AP57" s="584">
        <v>1848747.5583087509</v>
      </c>
      <c r="AQ57" s="583">
        <v>1985208.0291438699</v>
      </c>
      <c r="AR57"/>
      <c r="AS57"/>
      <c r="AT57"/>
      <c r="AU57"/>
      <c r="BY57"/>
      <c r="BZ57"/>
      <c r="CA57"/>
      <c r="CB57"/>
      <c r="CC57"/>
      <c r="CD57"/>
      <c r="CE57"/>
      <c r="CF57"/>
      <c r="CG57"/>
      <c r="CH57"/>
      <c r="CI57"/>
      <c r="CJ57"/>
      <c r="CK57"/>
      <c r="CL57"/>
      <c r="CM57"/>
      <c r="CN57"/>
      <c r="CO57"/>
    </row>
    <row r="58" spans="1:93">
      <c r="A58" s="111" t="s">
        <v>205</v>
      </c>
      <c r="B58" s="582">
        <v>3606.0948061775807</v>
      </c>
      <c r="C58" s="408">
        <v>725210.29062578315</v>
      </c>
      <c r="D58" s="408"/>
      <c r="E58" s="583"/>
      <c r="F58" s="408">
        <v>27215.029708372902</v>
      </c>
      <c r="G58" s="408">
        <v>0</v>
      </c>
      <c r="H58" s="408"/>
      <c r="I58" s="408"/>
      <c r="J58" s="582">
        <v>1943.8239425367774</v>
      </c>
      <c r="K58" s="408">
        <v>0</v>
      </c>
      <c r="L58" s="408"/>
      <c r="M58" s="583"/>
      <c r="N58" s="408">
        <v>6119.8836178353822</v>
      </c>
      <c r="O58" s="408">
        <v>3042521.7862794981</v>
      </c>
      <c r="P58" s="408"/>
      <c r="Q58" s="408"/>
      <c r="R58" s="582">
        <v>1012.22351621423</v>
      </c>
      <c r="S58" s="408">
        <v>0</v>
      </c>
      <c r="T58" s="408"/>
      <c r="U58" s="583"/>
      <c r="V58" s="408">
        <v>6956.5435528275266</v>
      </c>
      <c r="W58" s="408">
        <v>0</v>
      </c>
      <c r="X58" s="408"/>
      <c r="Y58" s="408"/>
      <c r="Z58" s="582">
        <v>0</v>
      </c>
      <c r="AA58" s="408">
        <v>0</v>
      </c>
      <c r="AB58" s="408"/>
      <c r="AC58" s="583"/>
      <c r="AD58" s="408">
        <v>2243.1688864551543</v>
      </c>
      <c r="AE58" s="408">
        <v>0</v>
      </c>
      <c r="AF58" s="408"/>
      <c r="AG58" s="408"/>
      <c r="AH58" s="582">
        <v>0</v>
      </c>
      <c r="AI58" s="408">
        <v>0</v>
      </c>
      <c r="AJ58" s="408"/>
      <c r="AK58" s="583"/>
      <c r="AL58" s="582">
        <v>356.53192242895</v>
      </c>
      <c r="AM58" s="408">
        <v>122518.65478837553</v>
      </c>
      <c r="AN58" s="408"/>
      <c r="AO58" s="583"/>
      <c r="AP58" s="584">
        <v>1162665.2521820681</v>
      </c>
      <c r="AQ58" s="583">
        <v>1865532.3767617519</v>
      </c>
      <c r="AR58"/>
      <c r="AS58"/>
      <c r="AT58"/>
      <c r="AU58"/>
      <c r="BY58"/>
      <c r="BZ58"/>
      <c r="CA58"/>
      <c r="CB58"/>
      <c r="CC58"/>
      <c r="CD58"/>
      <c r="CE58"/>
      <c r="CF58"/>
      <c r="CG58"/>
      <c r="CH58"/>
      <c r="CI58"/>
      <c r="CJ58"/>
      <c r="CK58"/>
      <c r="CL58"/>
      <c r="CM58"/>
      <c r="CN58"/>
      <c r="CO58"/>
    </row>
    <row r="59" spans="1:93">
      <c r="A59" s="111" t="s">
        <v>243</v>
      </c>
      <c r="B59" s="582">
        <v>83593.151854216616</v>
      </c>
      <c r="C59" s="408">
        <v>809837.83119152521</v>
      </c>
      <c r="D59" s="408"/>
      <c r="E59" s="583"/>
      <c r="F59" s="408">
        <v>264049.66980668681</v>
      </c>
      <c r="G59" s="408">
        <v>0</v>
      </c>
      <c r="H59" s="408"/>
      <c r="I59" s="408"/>
      <c r="J59" s="582">
        <v>212801.31678566552</v>
      </c>
      <c r="K59" s="408">
        <v>2220357.638864758</v>
      </c>
      <c r="L59" s="408"/>
      <c r="M59" s="583"/>
      <c r="N59" s="408">
        <v>10305.909398414617</v>
      </c>
      <c r="O59" s="408">
        <v>0</v>
      </c>
      <c r="P59" s="408"/>
      <c r="Q59" s="408"/>
      <c r="R59" s="582">
        <v>12824.613022654172</v>
      </c>
      <c r="S59" s="408">
        <v>0</v>
      </c>
      <c r="T59" s="408"/>
      <c r="U59" s="583"/>
      <c r="V59" s="408">
        <v>14097.363799033672</v>
      </c>
      <c r="W59" s="408">
        <v>0</v>
      </c>
      <c r="X59" s="408"/>
      <c r="Y59" s="408"/>
      <c r="Z59" s="582">
        <v>0</v>
      </c>
      <c r="AA59" s="408">
        <v>0</v>
      </c>
      <c r="AB59" s="408"/>
      <c r="AC59" s="583"/>
      <c r="AD59" s="408">
        <v>245572.28788288796</v>
      </c>
      <c r="AE59" s="408">
        <v>2562288.2110426626</v>
      </c>
      <c r="AF59" s="408"/>
      <c r="AG59" s="408"/>
      <c r="AH59" s="582">
        <v>0</v>
      </c>
      <c r="AI59" s="408">
        <v>0</v>
      </c>
      <c r="AJ59" s="408"/>
      <c r="AK59" s="583"/>
      <c r="AL59" s="582">
        <v>98345.362454745875</v>
      </c>
      <c r="AM59" s="408">
        <v>1002258.682539621</v>
      </c>
      <c r="AN59" s="408"/>
      <c r="AO59" s="583"/>
      <c r="AP59" s="584">
        <v>629130.32231377834</v>
      </c>
      <c r="AQ59" s="583">
        <v>88445.61561368109</v>
      </c>
      <c r="AR59"/>
      <c r="AS59"/>
      <c r="AT59"/>
      <c r="AU59"/>
      <c r="BY59"/>
      <c r="BZ59"/>
      <c r="CA59"/>
      <c r="CB59"/>
      <c r="CC59"/>
      <c r="CD59"/>
      <c r="CE59"/>
      <c r="CF59"/>
      <c r="CG59"/>
      <c r="CH59"/>
      <c r="CI59"/>
      <c r="CJ59"/>
      <c r="CK59"/>
      <c r="CL59"/>
      <c r="CM59"/>
      <c r="CN59"/>
      <c r="CO59"/>
    </row>
    <row r="60" spans="1:93">
      <c r="A60" s="111" t="s">
        <v>244</v>
      </c>
      <c r="B60" s="582">
        <v>12795.952412515697</v>
      </c>
      <c r="C60" s="408">
        <v>9009.415421641992</v>
      </c>
      <c r="D60" s="408"/>
      <c r="E60" s="583"/>
      <c r="F60" s="408">
        <v>135553.70825752712</v>
      </c>
      <c r="G60" s="408">
        <v>3292538.9494134923</v>
      </c>
      <c r="H60" s="408"/>
      <c r="I60" s="408"/>
      <c r="J60" s="582">
        <v>1003.5925404299753</v>
      </c>
      <c r="K60" s="408">
        <v>0</v>
      </c>
      <c r="L60" s="408"/>
      <c r="M60" s="583"/>
      <c r="N60" s="408">
        <v>46701.885823915771</v>
      </c>
      <c r="O60" s="408">
        <v>0</v>
      </c>
      <c r="P60" s="408"/>
      <c r="Q60" s="408"/>
      <c r="R60" s="582">
        <v>108221.29882690309</v>
      </c>
      <c r="S60" s="408">
        <v>0</v>
      </c>
      <c r="T60" s="408"/>
      <c r="U60" s="583"/>
      <c r="V60" s="408">
        <v>2969.7464828556376</v>
      </c>
      <c r="W60" s="408">
        <v>0</v>
      </c>
      <c r="X60" s="408"/>
      <c r="Y60" s="408"/>
      <c r="Z60" s="582">
        <v>0</v>
      </c>
      <c r="AA60" s="408">
        <v>0</v>
      </c>
      <c r="AB60" s="408"/>
      <c r="AC60" s="583"/>
      <c r="AD60" s="408">
        <v>1158.1437557729917</v>
      </c>
      <c r="AE60" s="408">
        <v>0</v>
      </c>
      <c r="AF60" s="408"/>
      <c r="AG60" s="408"/>
      <c r="AH60" s="582">
        <v>0</v>
      </c>
      <c r="AI60" s="408">
        <v>0</v>
      </c>
      <c r="AJ60" s="408"/>
      <c r="AK60" s="583"/>
      <c r="AL60" s="582">
        <v>3758.3001626750015</v>
      </c>
      <c r="AM60" s="408">
        <v>580.52605958330219</v>
      </c>
      <c r="AN60" s="408"/>
      <c r="AO60" s="583"/>
      <c r="AP60" s="584">
        <v>56951.983812904495</v>
      </c>
      <c r="AQ60" s="583">
        <v>31230.036768436836</v>
      </c>
      <c r="AR60"/>
      <c r="AS60"/>
      <c r="AT60"/>
      <c r="AU60"/>
      <c r="BY60"/>
      <c r="BZ60"/>
      <c r="CA60"/>
      <c r="CB60"/>
      <c r="CC60"/>
      <c r="CD60"/>
      <c r="CE60"/>
      <c r="CF60"/>
      <c r="CG60"/>
      <c r="CH60"/>
      <c r="CI60"/>
      <c r="CJ60"/>
      <c r="CK60"/>
      <c r="CL60"/>
      <c r="CM60"/>
      <c r="CN60"/>
      <c r="CO60"/>
    </row>
    <row r="61" spans="1:93">
      <c r="A61" s="1393" t="s">
        <v>10</v>
      </c>
      <c r="B61" s="1411">
        <v>9.3704418844915445</v>
      </c>
      <c r="C61" s="1410">
        <v>163.7331570785642</v>
      </c>
      <c r="D61" s="1410"/>
      <c r="E61" s="1412"/>
      <c r="F61" s="1410">
        <v>70.029165885141907</v>
      </c>
      <c r="G61" s="1410">
        <v>94.954156509123322</v>
      </c>
      <c r="H61" s="1410"/>
      <c r="I61" s="1410"/>
      <c r="J61" s="1411">
        <v>7.4864669587299453</v>
      </c>
      <c r="K61" s="1410">
        <v>49.41082312089403</v>
      </c>
      <c r="L61" s="1410"/>
      <c r="M61" s="1412"/>
      <c r="N61" s="1410">
        <v>11.765195856657842</v>
      </c>
      <c r="O61" s="1410">
        <v>123.89722799531599</v>
      </c>
      <c r="P61" s="1410"/>
      <c r="Q61" s="1410"/>
      <c r="R61" s="1411">
        <v>2.3981890307739961</v>
      </c>
      <c r="S61" s="1410">
        <v>123.89722799531596</v>
      </c>
      <c r="T61" s="1410"/>
      <c r="U61" s="1412"/>
      <c r="V61" s="1410">
        <v>18.590449560605272</v>
      </c>
      <c r="W61" s="1410">
        <v>123.89722799531596</v>
      </c>
      <c r="X61" s="1410"/>
      <c r="Y61" s="1410"/>
      <c r="Z61" s="1411">
        <v>0</v>
      </c>
      <c r="AA61" s="1410">
        <v>467.25246351582473</v>
      </c>
      <c r="AB61" s="1410"/>
      <c r="AC61" s="1412"/>
      <c r="AD61" s="1410">
        <v>8.6393676833620034</v>
      </c>
      <c r="AE61" s="1410">
        <v>0</v>
      </c>
      <c r="AF61" s="1410"/>
      <c r="AG61" s="1410"/>
      <c r="AH61" s="1420">
        <v>0</v>
      </c>
      <c r="AI61" s="1421">
        <v>1358.1526633620617</v>
      </c>
      <c r="AJ61" s="1421"/>
      <c r="AK61" s="1422"/>
      <c r="AL61" s="582">
        <v>5.5307844682328593</v>
      </c>
      <c r="AM61" s="408">
        <v>184.63496435051229</v>
      </c>
      <c r="AN61" s="408"/>
      <c r="AO61" s="583"/>
      <c r="AP61" s="584">
        <v>124.39918170681985</v>
      </c>
      <c r="AQ61" s="583">
        <v>337.31916774615712</v>
      </c>
      <c r="AR61"/>
      <c r="AS61"/>
      <c r="AT61"/>
      <c r="AU61"/>
      <c r="BY61"/>
      <c r="BZ61"/>
      <c r="CA61"/>
      <c r="CB61"/>
      <c r="CC61"/>
      <c r="CD61"/>
      <c r="CE61"/>
      <c r="CF61"/>
      <c r="CG61"/>
      <c r="CH61"/>
      <c r="CI61"/>
      <c r="CJ61"/>
      <c r="CK61"/>
      <c r="CL61"/>
      <c r="CM61"/>
      <c r="CN61"/>
      <c r="CO61"/>
    </row>
    <row r="62" spans="1:93">
      <c r="A62" s="111" t="s">
        <v>11</v>
      </c>
      <c r="B62" s="580">
        <v>13.156355321444286</v>
      </c>
      <c r="C62" s="520">
        <v>1.9775779229822097</v>
      </c>
      <c r="D62" s="520">
        <v>0.36304838454081628</v>
      </c>
      <c r="E62" s="581">
        <v>0.65197584676642639</v>
      </c>
      <c r="F62" s="520">
        <v>19.877047069963247</v>
      </c>
      <c r="G62" s="520">
        <v>28.139243925601033</v>
      </c>
      <c r="H62" s="520">
        <v>6.5822839400852446</v>
      </c>
      <c r="I62" s="520">
        <v>0.28139243925601037</v>
      </c>
      <c r="J62" s="580">
        <v>20.758165027301203</v>
      </c>
      <c r="K62" s="520">
        <v>2.4338742792027941</v>
      </c>
      <c r="L62" s="520">
        <v>0.80063119742089039</v>
      </c>
      <c r="M62" s="581">
        <v>0.7618026493904746</v>
      </c>
      <c r="N62" s="520">
        <v>22.424203183685083</v>
      </c>
      <c r="O62" s="520">
        <v>4.1174477500186288</v>
      </c>
      <c r="P62" s="520">
        <v>0.19556776978428539</v>
      </c>
      <c r="Q62" s="520">
        <v>1.564630145007079</v>
      </c>
      <c r="R62" s="580">
        <v>2.6544614566502114</v>
      </c>
      <c r="S62" s="520">
        <v>9.82362088285117</v>
      </c>
      <c r="T62" s="520">
        <v>0.30807446700468238</v>
      </c>
      <c r="U62" s="581">
        <v>0.1277070714770652</v>
      </c>
      <c r="V62" s="520">
        <v>0.90638463257620572</v>
      </c>
      <c r="W62" s="520">
        <v>0</v>
      </c>
      <c r="X62" s="520">
        <v>2.7706967446056684E-2</v>
      </c>
      <c r="Y62" s="520">
        <v>0</v>
      </c>
      <c r="Z62" s="580">
        <v>0</v>
      </c>
      <c r="AA62" s="520">
        <v>0</v>
      </c>
      <c r="AB62" s="520">
        <v>0</v>
      </c>
      <c r="AC62" s="581">
        <v>0</v>
      </c>
      <c r="AD62" s="520">
        <v>23.954880331587731</v>
      </c>
      <c r="AE62" s="520">
        <v>28.761784283780703</v>
      </c>
      <c r="AF62" s="520">
        <v>0.92392677766695208</v>
      </c>
      <c r="AG62" s="520">
        <v>9.0024384808233595</v>
      </c>
      <c r="AH62" s="580">
        <v>0</v>
      </c>
      <c r="AI62" s="520">
        <v>0</v>
      </c>
      <c r="AJ62" s="520">
        <v>0</v>
      </c>
      <c r="AK62" s="581">
        <v>0</v>
      </c>
      <c r="AL62" s="580">
        <v>10.37673305467367</v>
      </c>
      <c r="AM62" s="520">
        <v>1.3769697510193302</v>
      </c>
      <c r="AN62" s="520">
        <v>0.37566805027853484</v>
      </c>
      <c r="AO62" s="581">
        <v>0.40832773494525482</v>
      </c>
      <c r="AP62" s="585">
        <v>16.939248533339402</v>
      </c>
      <c r="AQ62" s="581">
        <v>17.28649389703137</v>
      </c>
      <c r="BY62"/>
      <c r="BZ62"/>
      <c r="CA62"/>
      <c r="CB62"/>
      <c r="CC62"/>
      <c r="CD62"/>
      <c r="CE62"/>
      <c r="CF62"/>
      <c r="CG62"/>
      <c r="CH62"/>
      <c r="CI62"/>
      <c r="CJ62"/>
      <c r="CK62"/>
      <c r="CL62"/>
      <c r="CM62"/>
      <c r="CN62"/>
      <c r="CO62"/>
    </row>
    <row r="63" spans="1:93">
      <c r="A63" s="111" t="s">
        <v>231</v>
      </c>
      <c r="B63" s="580">
        <v>23.268273631785632</v>
      </c>
      <c r="C63" s="520">
        <v>30.931009663638644</v>
      </c>
      <c r="D63" s="520">
        <v>1.4625620929236851</v>
      </c>
      <c r="E63" s="581">
        <v>10.66259628616632</v>
      </c>
      <c r="F63" s="520">
        <v>35.232461245118493</v>
      </c>
      <c r="G63" s="520">
        <v>156.57197767410793</v>
      </c>
      <c r="H63" s="520">
        <v>4.4844283222370933</v>
      </c>
      <c r="I63" s="520">
        <v>1.5657197767410791</v>
      </c>
      <c r="J63" s="580">
        <v>57.783590732343349</v>
      </c>
      <c r="K63" s="520">
        <v>20.661743713755044</v>
      </c>
      <c r="L63" s="520">
        <v>3.7257309540101953</v>
      </c>
      <c r="M63" s="581">
        <v>6.4671257824053301</v>
      </c>
      <c r="N63" s="520">
        <v>5.648087061346069</v>
      </c>
      <c r="O63" s="520">
        <v>91.463208811479134</v>
      </c>
      <c r="P63" s="520">
        <v>0.26223730618642399</v>
      </c>
      <c r="Q63" s="520">
        <v>34.756019348362074</v>
      </c>
      <c r="R63" s="580">
        <v>20.608191934411028</v>
      </c>
      <c r="S63" s="520">
        <v>364.20542317522978</v>
      </c>
      <c r="T63" s="520">
        <v>0.79562059892327586</v>
      </c>
      <c r="U63" s="581">
        <v>4.7346705012779866</v>
      </c>
      <c r="V63" s="520">
        <v>3.4972849824133148</v>
      </c>
      <c r="W63" s="520">
        <v>0</v>
      </c>
      <c r="X63" s="520">
        <v>0.13467143350134059</v>
      </c>
      <c r="Y63" s="520">
        <v>0</v>
      </c>
      <c r="Z63" s="580">
        <v>0</v>
      </c>
      <c r="AA63" s="520">
        <v>0</v>
      </c>
      <c r="AB63" s="520">
        <v>0</v>
      </c>
      <c r="AC63" s="581">
        <v>0</v>
      </c>
      <c r="AD63" s="520">
        <v>66.682146485598508</v>
      </c>
      <c r="AE63" s="520">
        <v>56.239799068075925</v>
      </c>
      <c r="AF63" s="520">
        <v>4.2994859629271316</v>
      </c>
      <c r="AG63" s="520">
        <v>17.603057108307766</v>
      </c>
      <c r="AH63" s="580">
        <v>0</v>
      </c>
      <c r="AI63" s="520">
        <v>0</v>
      </c>
      <c r="AJ63" s="520">
        <v>0</v>
      </c>
      <c r="AK63" s="581">
        <v>0</v>
      </c>
      <c r="AL63" s="580">
        <v>26.819941090717133</v>
      </c>
      <c r="AM63" s="520">
        <v>17.02523184428199</v>
      </c>
      <c r="AN63" s="520">
        <v>1.6996218103378666</v>
      </c>
      <c r="AO63" s="581">
        <v>4.3709307042325474</v>
      </c>
      <c r="AP63" s="585">
        <v>65.765459521206736</v>
      </c>
      <c r="AQ63" s="581">
        <v>69.11860534581983</v>
      </c>
      <c r="BY63"/>
      <c r="BZ63"/>
      <c r="CA63"/>
      <c r="CB63"/>
      <c r="CC63"/>
      <c r="CD63"/>
      <c r="CE63"/>
      <c r="CF63"/>
      <c r="CG63"/>
      <c r="CH63"/>
      <c r="CI63"/>
      <c r="CJ63"/>
      <c r="CK63"/>
      <c r="CL63"/>
      <c r="CM63"/>
      <c r="CN63"/>
      <c r="CO63"/>
    </row>
    <row r="64" spans="1:93">
      <c r="A64" s="111" t="s">
        <v>232</v>
      </c>
      <c r="B64" s="580">
        <v>29.715229932966803</v>
      </c>
      <c r="C64" s="520">
        <v>68.473271634923748</v>
      </c>
      <c r="D64" s="520">
        <v>1.9589030036205828</v>
      </c>
      <c r="E64" s="581">
        <v>23.77245287574662</v>
      </c>
      <c r="F64" s="520">
        <v>65.145100219415141</v>
      </c>
      <c r="G64" s="520">
        <v>1138.5158876939804</v>
      </c>
      <c r="H64" s="520">
        <v>7.464750470138366</v>
      </c>
      <c r="I64" s="520">
        <v>11.385158876939805</v>
      </c>
      <c r="J64" s="580">
        <v>67.945246940030557</v>
      </c>
      <c r="K64" s="520">
        <v>34.745084360557534</v>
      </c>
      <c r="L64" s="520">
        <v>4.4234408330221315</v>
      </c>
      <c r="M64" s="581">
        <v>10.875211404854509</v>
      </c>
      <c r="N64" s="520">
        <v>16.71812768959412</v>
      </c>
      <c r="O64" s="520">
        <v>218.22575786029984</v>
      </c>
      <c r="P64" s="520">
        <v>1.1336376377127366</v>
      </c>
      <c r="Q64" s="520">
        <v>82.925787986913917</v>
      </c>
      <c r="R64" s="580">
        <v>25.519052741820555</v>
      </c>
      <c r="S64" s="520">
        <v>209.15213349809403</v>
      </c>
      <c r="T64" s="520">
        <v>0.6794229193279343</v>
      </c>
      <c r="U64" s="581">
        <v>2.7189777354752218</v>
      </c>
      <c r="V64" s="520">
        <v>3.5200978284941309</v>
      </c>
      <c r="W64" s="520">
        <v>0</v>
      </c>
      <c r="X64" s="520">
        <v>0.2695110104922655</v>
      </c>
      <c r="Y64" s="520">
        <v>0</v>
      </c>
      <c r="Z64" s="580">
        <v>0</v>
      </c>
      <c r="AA64" s="520">
        <v>0</v>
      </c>
      <c r="AB64" s="520">
        <v>0</v>
      </c>
      <c r="AC64" s="581">
        <v>0</v>
      </c>
      <c r="AD64" s="520">
        <v>78.408677135380628</v>
      </c>
      <c r="AE64" s="520">
        <v>51.362608326087766</v>
      </c>
      <c r="AF64" s="520">
        <v>5.1046417479358626</v>
      </c>
      <c r="AG64" s="520">
        <v>16.076496406065473</v>
      </c>
      <c r="AH64" s="580">
        <v>0</v>
      </c>
      <c r="AI64" s="520">
        <v>0</v>
      </c>
      <c r="AJ64" s="520">
        <v>0</v>
      </c>
      <c r="AK64" s="581">
        <v>0</v>
      </c>
      <c r="AL64" s="580">
        <v>31.847452900011579</v>
      </c>
      <c r="AM64" s="520">
        <v>26.962318465439118</v>
      </c>
      <c r="AN64" s="520">
        <v>2.0391721554516344</v>
      </c>
      <c r="AO64" s="581">
        <v>8.2801175416810899</v>
      </c>
      <c r="AP64" s="585">
        <v>132.84263831438892</v>
      </c>
      <c r="AQ64" s="581">
        <v>151.72441913390207</v>
      </c>
      <c r="BY64"/>
      <c r="BZ64"/>
      <c r="CA64"/>
      <c r="CB64"/>
      <c r="CC64"/>
      <c r="CD64"/>
      <c r="CE64"/>
      <c r="CF64"/>
      <c r="CG64"/>
      <c r="CH64"/>
      <c r="CI64"/>
      <c r="CJ64"/>
      <c r="CK64"/>
      <c r="CL64"/>
      <c r="CM64"/>
      <c r="CN64"/>
      <c r="CO64"/>
    </row>
    <row r="65" spans="1:93">
      <c r="A65" s="111" t="s">
        <v>12</v>
      </c>
      <c r="B65" s="580">
        <v>6.5590240192031466</v>
      </c>
      <c r="C65" s="520">
        <v>8.2405612210960033</v>
      </c>
      <c r="D65" s="520">
        <v>2.9979467190302041E-2</v>
      </c>
      <c r="E65" s="581">
        <v>2.8719579911369624</v>
      </c>
      <c r="F65" s="520">
        <v>4.8181429133873044</v>
      </c>
      <c r="G65" s="520">
        <v>74.685370427723853</v>
      </c>
      <c r="H65" s="520">
        <v>1.3535327033398379</v>
      </c>
      <c r="I65" s="520">
        <v>0.74685370427723863</v>
      </c>
      <c r="J65" s="580">
        <v>0.85845088409032155</v>
      </c>
      <c r="K65" s="520">
        <v>6.4356712052030955</v>
      </c>
      <c r="L65" s="520">
        <v>2.163374487486092E-2</v>
      </c>
      <c r="M65" s="581">
        <v>2.014365087228569</v>
      </c>
      <c r="N65" s="520">
        <v>25.927686214656656</v>
      </c>
      <c r="O65" s="520">
        <v>23.563240246999115</v>
      </c>
      <c r="P65" s="520">
        <v>5.2199566460018214E-2</v>
      </c>
      <c r="Q65" s="520">
        <v>8.9540312938596642</v>
      </c>
      <c r="R65" s="580">
        <v>1.6782694995750231</v>
      </c>
      <c r="S65" s="520">
        <v>22.624245602416732</v>
      </c>
      <c r="T65" s="520">
        <v>7.2109723607383311E-2</v>
      </c>
      <c r="U65" s="581">
        <v>0.29411519283141752</v>
      </c>
      <c r="V65" s="520">
        <v>0.24174522854499575</v>
      </c>
      <c r="W65" s="520">
        <v>0</v>
      </c>
      <c r="X65" s="520">
        <v>2.9204154266021323E-2</v>
      </c>
      <c r="Y65" s="520">
        <v>0</v>
      </c>
      <c r="Z65" s="580">
        <v>0</v>
      </c>
      <c r="AA65" s="520">
        <v>0</v>
      </c>
      <c r="AB65" s="520">
        <v>0</v>
      </c>
      <c r="AC65" s="581">
        <v>0</v>
      </c>
      <c r="AD65" s="520">
        <v>0.99065057879072593</v>
      </c>
      <c r="AE65" s="520">
        <v>16.768548186504713</v>
      </c>
      <c r="AF65" s="520">
        <v>2.4965297699474403E-2</v>
      </c>
      <c r="AG65" s="520">
        <v>5.2485555823759746</v>
      </c>
      <c r="AH65" s="580">
        <v>0</v>
      </c>
      <c r="AI65" s="520">
        <v>0</v>
      </c>
      <c r="AJ65" s="520">
        <v>0</v>
      </c>
      <c r="AK65" s="581">
        <v>0</v>
      </c>
      <c r="AL65" s="580">
        <v>1.4505495556239549</v>
      </c>
      <c r="AM65" s="520">
        <v>4.1147884163282233</v>
      </c>
      <c r="AN65" s="520">
        <v>1.1721275993763816E-2</v>
      </c>
      <c r="AO65" s="581">
        <v>1.2731947257400271</v>
      </c>
      <c r="AP65" s="585">
        <v>21.968160214567813</v>
      </c>
      <c r="AQ65" s="581">
        <v>30.980572090080251</v>
      </c>
      <c r="BY65"/>
      <c r="BZ65"/>
      <c r="CA65"/>
      <c r="CB65"/>
      <c r="CC65"/>
      <c r="CD65"/>
      <c r="CE65"/>
      <c r="CF65"/>
      <c r="CG65"/>
      <c r="CH65"/>
      <c r="CI65"/>
      <c r="CJ65"/>
      <c r="CK65"/>
      <c r="CL65"/>
      <c r="CM65"/>
      <c r="CN65"/>
      <c r="CO65"/>
    </row>
    <row r="66" spans="1:93">
      <c r="A66" s="111" t="s">
        <v>13</v>
      </c>
      <c r="B66" s="580">
        <v>1.2113641586529347</v>
      </c>
      <c r="C66" s="520">
        <v>6.9073178265557988</v>
      </c>
      <c r="D66" s="520">
        <v>2.6338445336197308E-2</v>
      </c>
      <c r="E66" s="581">
        <v>2.3791523491253308</v>
      </c>
      <c r="F66" s="520">
        <v>4.1680197066414602</v>
      </c>
      <c r="G66" s="520">
        <v>66.627481083584613</v>
      </c>
      <c r="H66" s="520">
        <v>1.1878628075842987</v>
      </c>
      <c r="I66" s="520">
        <v>0.66627481083584617</v>
      </c>
      <c r="J66" s="580">
        <v>0.81063740912843785</v>
      </c>
      <c r="K66" s="520">
        <v>6.2711965512440688</v>
      </c>
      <c r="L66" s="520">
        <v>1.9952810647583436E-2</v>
      </c>
      <c r="M66" s="581">
        <v>1.9628845205393934</v>
      </c>
      <c r="N66" s="520">
        <v>3.6423350983363547</v>
      </c>
      <c r="O66" s="520">
        <v>18.332834017801119</v>
      </c>
      <c r="P66" s="520">
        <v>4.5772310151464164E-2</v>
      </c>
      <c r="Q66" s="520">
        <v>6.9664769267644244</v>
      </c>
      <c r="R66" s="580">
        <v>1.2881007272145015</v>
      </c>
      <c r="S66" s="520">
        <v>21.219831435109509</v>
      </c>
      <c r="T66" s="520">
        <v>4.8092485214771247E-2</v>
      </c>
      <c r="U66" s="581">
        <v>0.27585780865642356</v>
      </c>
      <c r="V66" s="520">
        <v>0.16354934371399121</v>
      </c>
      <c r="W66" s="520">
        <v>0</v>
      </c>
      <c r="X66" s="520">
        <v>2.4266705570332215E-2</v>
      </c>
      <c r="Y66" s="520">
        <v>0</v>
      </c>
      <c r="Z66" s="580">
        <v>0</v>
      </c>
      <c r="AA66" s="520">
        <v>0</v>
      </c>
      <c r="AB66" s="520">
        <v>0</v>
      </c>
      <c r="AC66" s="581">
        <v>0</v>
      </c>
      <c r="AD66" s="520">
        <v>0.93547392567890697</v>
      </c>
      <c r="AE66" s="520">
        <v>16.764190435148329</v>
      </c>
      <c r="AF66" s="520">
        <v>2.3025503011131609E-2</v>
      </c>
      <c r="AG66" s="520">
        <v>5.2471916062014277</v>
      </c>
      <c r="AH66" s="580">
        <v>0</v>
      </c>
      <c r="AI66" s="520">
        <v>0</v>
      </c>
      <c r="AJ66" s="520">
        <v>0</v>
      </c>
      <c r="AK66" s="581">
        <v>0</v>
      </c>
      <c r="AL66" s="580">
        <v>0.53290188830268526</v>
      </c>
      <c r="AM66" s="520">
        <v>3.8131247514703213</v>
      </c>
      <c r="AN66" s="520">
        <v>1.0880840747568319E-2</v>
      </c>
      <c r="AO66" s="581">
        <v>1.1697061300951452</v>
      </c>
      <c r="AP66" s="585">
        <v>11.303407107024364</v>
      </c>
      <c r="AQ66" s="581">
        <v>14.102506126556889</v>
      </c>
      <c r="BY66"/>
      <c r="BZ66"/>
      <c r="CA66"/>
      <c r="CB66"/>
      <c r="CC66"/>
      <c r="CD66"/>
      <c r="CE66"/>
      <c r="CF66"/>
      <c r="CG66"/>
      <c r="CH66"/>
      <c r="CI66"/>
      <c r="CJ66"/>
      <c r="CK66"/>
      <c r="CL66"/>
      <c r="CM66"/>
      <c r="CN66"/>
      <c r="CO66"/>
    </row>
    <row r="67" spans="1:93">
      <c r="A67" s="111" t="s">
        <v>20</v>
      </c>
      <c r="B67" s="580">
        <v>14.11713844845104</v>
      </c>
      <c r="C67" s="520">
        <v>72.562108166049356</v>
      </c>
      <c r="D67" s="520">
        <v>0.22041547795125419</v>
      </c>
      <c r="E67" s="581">
        <v>26.565620294689431</v>
      </c>
      <c r="F67" s="520">
        <v>22.155762541461492</v>
      </c>
      <c r="G67" s="520">
        <v>705.33615040183145</v>
      </c>
      <c r="H67" s="520">
        <v>3.3679991212967364</v>
      </c>
      <c r="I67" s="520">
        <v>7.053361504018314</v>
      </c>
      <c r="J67" s="580">
        <v>24.537056474360927</v>
      </c>
      <c r="K67" s="520">
        <v>2.2312268879295356</v>
      </c>
      <c r="L67" s="520">
        <v>0.31631704564684127</v>
      </c>
      <c r="M67" s="581">
        <v>0.6983740159219447</v>
      </c>
      <c r="N67" s="520">
        <v>20.684381998951949</v>
      </c>
      <c r="O67" s="520">
        <v>290.17706805975894</v>
      </c>
      <c r="P67" s="520">
        <v>0.18837477654966434</v>
      </c>
      <c r="Q67" s="520">
        <v>110.26728586270839</v>
      </c>
      <c r="R67" s="580">
        <v>0.59230800945445528</v>
      </c>
      <c r="S67" s="520">
        <v>203.78973609307903</v>
      </c>
      <c r="T67" s="520">
        <v>0.11554051234894321</v>
      </c>
      <c r="U67" s="581">
        <v>2.649266569210027</v>
      </c>
      <c r="V67" s="520">
        <v>0.89391724086538094</v>
      </c>
      <c r="W67" s="520">
        <v>0</v>
      </c>
      <c r="X67" s="520">
        <v>0.25847858999309792</v>
      </c>
      <c r="Y67" s="520">
        <v>0</v>
      </c>
      <c r="Z67" s="580">
        <v>0</v>
      </c>
      <c r="AA67" s="520">
        <v>0</v>
      </c>
      <c r="AB67" s="520">
        <v>0</v>
      </c>
      <c r="AC67" s="581">
        <v>0</v>
      </c>
      <c r="AD67" s="520">
        <v>28.315713395652889</v>
      </c>
      <c r="AE67" s="520">
        <v>3.4503461735529375</v>
      </c>
      <c r="AF67" s="520">
        <v>0.36502922899715462</v>
      </c>
      <c r="AG67" s="520">
        <v>1.0799583523220695</v>
      </c>
      <c r="AH67" s="580">
        <v>0</v>
      </c>
      <c r="AI67" s="520">
        <v>0</v>
      </c>
      <c r="AJ67" s="520">
        <v>0</v>
      </c>
      <c r="AK67" s="581">
        <v>0</v>
      </c>
      <c r="AL67" s="580">
        <v>11.872748782968994</v>
      </c>
      <c r="AM67" s="520">
        <v>15.048020078677936</v>
      </c>
      <c r="AN67" s="520">
        <v>0.12458398366132752</v>
      </c>
      <c r="AO67" s="581">
        <v>4.7858242608912338</v>
      </c>
      <c r="AP67" s="585">
        <v>136.19646841761738</v>
      </c>
      <c r="AQ67" s="581">
        <v>194.89129909842222</v>
      </c>
      <c r="BY67"/>
      <c r="BZ67"/>
      <c r="CA67"/>
      <c r="CB67"/>
      <c r="CC67"/>
      <c r="CD67"/>
      <c r="CE67"/>
      <c r="CF67"/>
      <c r="CG67"/>
      <c r="CH67"/>
      <c r="CI67"/>
      <c r="CJ67"/>
      <c r="CK67"/>
      <c r="CL67"/>
      <c r="CM67"/>
      <c r="CN67"/>
      <c r="CO67"/>
    </row>
    <row r="68" spans="1:93">
      <c r="A68" s="111" t="s">
        <v>14</v>
      </c>
      <c r="B68" s="580">
        <v>9.6324141963552878E-2</v>
      </c>
      <c r="C68" s="520">
        <v>0.33004124346318542</v>
      </c>
      <c r="D68" s="520">
        <v>2.7169156999712419E-3</v>
      </c>
      <c r="E68" s="581">
        <v>0.10779575154609419</v>
      </c>
      <c r="F68" s="520">
        <v>0.60981897350722925</v>
      </c>
      <c r="G68" s="520">
        <v>6.3744676746640518</v>
      </c>
      <c r="H68" s="520">
        <v>0.12660978358164579</v>
      </c>
      <c r="I68" s="520">
        <v>6.3744676746640527E-2</v>
      </c>
      <c r="J68" s="580">
        <v>0.16652403933430648</v>
      </c>
      <c r="K68" s="520">
        <v>0.31619470001369337</v>
      </c>
      <c r="L68" s="520">
        <v>3.0540675248174405E-3</v>
      </c>
      <c r="M68" s="581">
        <v>9.8968941104286029E-2</v>
      </c>
      <c r="N68" s="520">
        <v>0.10948359406575575</v>
      </c>
      <c r="O68" s="520">
        <v>0.78831186276544807</v>
      </c>
      <c r="P68" s="520">
        <v>4.1904901553123574E-3</v>
      </c>
      <c r="Q68" s="520">
        <v>0.29955850785087024</v>
      </c>
      <c r="R68" s="580">
        <v>0.86953034830103282</v>
      </c>
      <c r="S68" s="520">
        <v>2.928336738045112</v>
      </c>
      <c r="T68" s="520">
        <v>5.7458571514545148E-3</v>
      </c>
      <c r="U68" s="581">
        <v>3.8068377594586457E-2</v>
      </c>
      <c r="V68" s="520">
        <v>2.5765299498343473E-2</v>
      </c>
      <c r="W68" s="520">
        <v>0</v>
      </c>
      <c r="X68" s="520">
        <v>1.2235626512003466E-3</v>
      </c>
      <c r="Y68" s="520">
        <v>0</v>
      </c>
      <c r="Z68" s="580">
        <v>0</v>
      </c>
      <c r="AA68" s="520">
        <v>0</v>
      </c>
      <c r="AB68" s="520">
        <v>0</v>
      </c>
      <c r="AC68" s="581">
        <v>0</v>
      </c>
      <c r="AD68" s="520">
        <v>0.19216840358189136</v>
      </c>
      <c r="AE68" s="520">
        <v>3.3528380870296655</v>
      </c>
      <c r="AF68" s="520">
        <v>3.5243877281720282E-3</v>
      </c>
      <c r="AG68" s="520">
        <v>1.0494383212402854</v>
      </c>
      <c r="AH68" s="580">
        <v>0</v>
      </c>
      <c r="AI68" s="520">
        <v>0</v>
      </c>
      <c r="AJ68" s="520">
        <v>0</v>
      </c>
      <c r="AK68" s="581">
        <v>0</v>
      </c>
      <c r="AL68" s="580">
        <v>9.1132154758692741E-2</v>
      </c>
      <c r="AM68" s="520">
        <v>0.20766114087511262</v>
      </c>
      <c r="AN68" s="520">
        <v>1.6199129258802471E-3</v>
      </c>
      <c r="AO68" s="581">
        <v>5.7165030220354497E-2</v>
      </c>
      <c r="AP68" s="585">
        <v>0.60372017521124532</v>
      </c>
      <c r="AQ68" s="581">
        <v>0.6357213809844402</v>
      </c>
      <c r="BY68"/>
      <c r="BZ68"/>
      <c r="CA68"/>
      <c r="CB68"/>
      <c r="CC68"/>
      <c r="CD68"/>
      <c r="CE68"/>
      <c r="CF68"/>
      <c r="CG68"/>
      <c r="CH68"/>
      <c r="CI68"/>
      <c r="CJ68"/>
      <c r="CK68"/>
      <c r="CL68"/>
      <c r="CM68"/>
      <c r="CN68"/>
      <c r="CO68"/>
    </row>
    <row r="69" spans="1:93">
      <c r="A69" s="111" t="s">
        <v>15</v>
      </c>
      <c r="B69" s="580">
        <v>0.19517763819418665</v>
      </c>
      <c r="C69" s="520">
        <v>1.8765044529397232</v>
      </c>
      <c r="D69" s="520">
        <v>8.8419675899492518E-3</v>
      </c>
      <c r="E69" s="581">
        <v>0.59478218499821611</v>
      </c>
      <c r="F69" s="520">
        <v>1.2315016171967303</v>
      </c>
      <c r="G69" s="520">
        <v>11.623487109823692</v>
      </c>
      <c r="H69" s="520">
        <v>0.19182863484695878</v>
      </c>
      <c r="I69" s="520">
        <v>0.11623487109823694</v>
      </c>
      <c r="J69" s="580">
        <v>0.34019713782716604</v>
      </c>
      <c r="K69" s="520">
        <v>4.0265293182278352</v>
      </c>
      <c r="L69" s="520">
        <v>7.2825175138589967E-3</v>
      </c>
      <c r="M69" s="581">
        <v>1.2603036766053124</v>
      </c>
      <c r="N69" s="520">
        <v>0.24167604560377368</v>
      </c>
      <c r="O69" s="520">
        <v>1.4849595554418906</v>
      </c>
      <c r="P69" s="520">
        <v>1.8729542985507906E-2</v>
      </c>
      <c r="Q69" s="520">
        <v>0.56428463106791849</v>
      </c>
      <c r="R69" s="580">
        <v>0.26856874541270254</v>
      </c>
      <c r="S69" s="520">
        <v>6.9176650478457002</v>
      </c>
      <c r="T69" s="520">
        <v>8.1425677939014288E-3</v>
      </c>
      <c r="U69" s="581">
        <v>8.9929645621994098E-2</v>
      </c>
      <c r="V69" s="520">
        <v>4.7350982661726201E-2</v>
      </c>
      <c r="W69" s="520">
        <v>0</v>
      </c>
      <c r="X69" s="520">
        <v>5.9841647926309315E-3</v>
      </c>
      <c r="Y69" s="520">
        <v>0</v>
      </c>
      <c r="Z69" s="580">
        <v>0</v>
      </c>
      <c r="AA69" s="520">
        <v>0</v>
      </c>
      <c r="AB69" s="520">
        <v>0</v>
      </c>
      <c r="AC69" s="581">
        <v>0</v>
      </c>
      <c r="AD69" s="520">
        <v>0.39258680693020448</v>
      </c>
      <c r="AE69" s="520">
        <v>7.1750735062434847</v>
      </c>
      <c r="AF69" s="520">
        <v>8.4040104377118337E-3</v>
      </c>
      <c r="AG69" s="520">
        <v>2.2457980074542108</v>
      </c>
      <c r="AH69" s="580">
        <v>0</v>
      </c>
      <c r="AI69" s="520">
        <v>0</v>
      </c>
      <c r="AJ69" s="520">
        <v>0</v>
      </c>
      <c r="AK69" s="581">
        <v>0</v>
      </c>
      <c r="AL69" s="580">
        <v>0.17065221235329392</v>
      </c>
      <c r="AM69" s="520">
        <v>1.9551483901419726</v>
      </c>
      <c r="AN69" s="520">
        <v>4.6651075119934328E-3</v>
      </c>
      <c r="AO69" s="581">
        <v>0.59262321826825959</v>
      </c>
      <c r="AP69" s="585">
        <v>2.0264300428999484</v>
      </c>
      <c r="AQ69" s="581">
        <v>1.3350361757880862</v>
      </c>
      <c r="BY69"/>
      <c r="BZ69"/>
      <c r="CA69"/>
      <c r="CB69"/>
      <c r="CC69"/>
      <c r="CD69"/>
      <c r="CE69"/>
      <c r="CF69"/>
      <c r="CG69"/>
      <c r="CH69"/>
      <c r="CI69"/>
      <c r="CJ69"/>
      <c r="CK69"/>
      <c r="CL69"/>
      <c r="CM69"/>
      <c r="CN69"/>
      <c r="CO69"/>
    </row>
    <row r="70" spans="1:93">
      <c r="A70" s="111" t="s">
        <v>16</v>
      </c>
      <c r="B70" s="580">
        <v>258.01986988925415</v>
      </c>
      <c r="C70" s="520">
        <v>12.951375833743606</v>
      </c>
      <c r="D70" s="520"/>
      <c r="E70" s="581"/>
      <c r="F70" s="520">
        <v>336.33696448594441</v>
      </c>
      <c r="G70" s="520">
        <v>11.049823353796945</v>
      </c>
      <c r="H70" s="520"/>
      <c r="I70" s="520"/>
      <c r="J70" s="580">
        <v>408.22224582108322</v>
      </c>
      <c r="K70" s="520">
        <v>3.3741926694260003</v>
      </c>
      <c r="L70" s="520"/>
      <c r="M70" s="581"/>
      <c r="N70" s="520">
        <v>449.81551730972092</v>
      </c>
      <c r="O70" s="520">
        <v>48.578417910370973</v>
      </c>
      <c r="P70" s="520"/>
      <c r="Q70" s="520"/>
      <c r="R70" s="580">
        <v>11.684796164293035</v>
      </c>
      <c r="S70" s="520">
        <v>34.807334025533251</v>
      </c>
      <c r="T70" s="520"/>
      <c r="U70" s="581"/>
      <c r="V70" s="520">
        <v>4.8709494935903761</v>
      </c>
      <c r="W70" s="520">
        <v>0</v>
      </c>
      <c r="X70" s="520"/>
      <c r="Y70" s="520"/>
      <c r="Z70" s="580">
        <v>0</v>
      </c>
      <c r="AA70" s="520">
        <v>0</v>
      </c>
      <c r="AB70" s="520"/>
      <c r="AC70" s="581"/>
      <c r="AD70" s="520">
        <v>471.0876435597645</v>
      </c>
      <c r="AE70" s="520">
        <v>2.5584494827508322</v>
      </c>
      <c r="AF70" s="520"/>
      <c r="AG70" s="520"/>
      <c r="AH70" s="580">
        <v>0</v>
      </c>
      <c r="AI70" s="520">
        <v>0</v>
      </c>
      <c r="AJ70" s="520"/>
      <c r="AK70" s="581"/>
      <c r="AL70" s="580">
        <v>202.84299281772562</v>
      </c>
      <c r="AM70" s="520">
        <v>3.8623626017909349</v>
      </c>
      <c r="AN70" s="520"/>
      <c r="AO70" s="581"/>
      <c r="AP70" s="585">
        <v>299.96624883325001</v>
      </c>
      <c r="AQ70" s="581">
        <v>319.7661171543229</v>
      </c>
      <c r="BY70"/>
      <c r="BZ70"/>
      <c r="CA70"/>
      <c r="CB70"/>
      <c r="CC70"/>
      <c r="CD70"/>
      <c r="CE70"/>
      <c r="CF70"/>
      <c r="CG70"/>
      <c r="CH70"/>
      <c r="CI70"/>
      <c r="CJ70"/>
      <c r="CK70"/>
      <c r="CL70"/>
      <c r="CM70"/>
      <c r="CN70"/>
      <c r="CO70"/>
    </row>
    <row r="71" spans="1:93">
      <c r="A71" s="111" t="s">
        <v>19</v>
      </c>
      <c r="B71" s="580">
        <v>0.67650393489750327</v>
      </c>
      <c r="C71" s="520">
        <v>1.9207206483521555</v>
      </c>
      <c r="D71" s="520"/>
      <c r="E71" s="581"/>
      <c r="F71" s="520">
        <v>0.56715108908847189</v>
      </c>
      <c r="G71" s="520">
        <v>3.9086803362675084</v>
      </c>
      <c r="H71" s="520"/>
      <c r="I71" s="520"/>
      <c r="J71" s="580">
        <v>1.7651663980471408</v>
      </c>
      <c r="K71" s="520">
        <v>0.45701439992943133</v>
      </c>
      <c r="L71" s="520"/>
      <c r="M71" s="581"/>
      <c r="N71" s="520">
        <v>0.10050143421184612</v>
      </c>
      <c r="O71" s="520">
        <v>7.0651811691678752</v>
      </c>
      <c r="P71" s="520"/>
      <c r="Q71" s="520"/>
      <c r="R71" s="580">
        <v>0.10811981819397688</v>
      </c>
      <c r="S71" s="520">
        <v>18.527521146407171</v>
      </c>
      <c r="T71" s="520"/>
      <c r="U71" s="581"/>
      <c r="V71" s="520">
        <v>3.4949953834913096E-2</v>
      </c>
      <c r="W71" s="520">
        <v>0</v>
      </c>
      <c r="X71" s="520"/>
      <c r="Y71" s="520"/>
      <c r="Z71" s="580">
        <v>0</v>
      </c>
      <c r="AA71" s="520">
        <v>0</v>
      </c>
      <c r="AB71" s="520"/>
      <c r="AC71" s="581"/>
      <c r="AD71" s="520">
        <v>2.036998442537985</v>
      </c>
      <c r="AE71" s="520">
        <v>0.62816297951735378</v>
      </c>
      <c r="AF71" s="520"/>
      <c r="AG71" s="520"/>
      <c r="AH71" s="580">
        <v>0</v>
      </c>
      <c r="AI71" s="520">
        <v>0</v>
      </c>
      <c r="AJ71" s="520"/>
      <c r="AK71" s="581"/>
      <c r="AL71" s="580">
        <v>0.80261734083990033</v>
      </c>
      <c r="AM71" s="520">
        <v>0.69435838999916644</v>
      </c>
      <c r="AN71" s="520"/>
      <c r="AO71" s="581"/>
      <c r="AP71" s="585">
        <v>3.6338625068147135</v>
      </c>
      <c r="AQ71" s="581">
        <v>4.7940800338830867</v>
      </c>
      <c r="BY71"/>
      <c r="BZ71"/>
      <c r="CA71"/>
      <c r="CB71"/>
      <c r="CC71"/>
      <c r="CD71"/>
      <c r="CE71"/>
      <c r="CF71"/>
      <c r="CG71"/>
      <c r="CH71"/>
      <c r="CI71"/>
      <c r="CJ71"/>
      <c r="CK71"/>
      <c r="CL71"/>
      <c r="CM71"/>
      <c r="CN71"/>
      <c r="CO71"/>
    </row>
    <row r="72" spans="1:93">
      <c r="A72" s="111" t="s">
        <v>17</v>
      </c>
      <c r="B72" s="582">
        <v>6345.3456417038124</v>
      </c>
      <c r="C72" s="408">
        <v>121455.65214617191</v>
      </c>
      <c r="D72" s="408"/>
      <c r="E72" s="583"/>
      <c r="F72" s="408">
        <v>33219.07691792283</v>
      </c>
      <c r="G72" s="408">
        <v>279769.13690253301</v>
      </c>
      <c r="H72" s="408"/>
      <c r="I72" s="408"/>
      <c r="J72" s="582">
        <v>12900.504278349836</v>
      </c>
      <c r="K72" s="408">
        <v>131868.06985384013</v>
      </c>
      <c r="L72" s="408"/>
      <c r="M72" s="583"/>
      <c r="N72" s="408">
        <v>4928.9322746451735</v>
      </c>
      <c r="O72" s="408">
        <v>304096.34219665331</v>
      </c>
      <c r="P72" s="408"/>
      <c r="Q72" s="408"/>
      <c r="R72" s="582">
        <v>9415.0466603296554</v>
      </c>
      <c r="S72" s="408">
        <v>-698.65992816852815</v>
      </c>
      <c r="T72" s="408"/>
      <c r="U72" s="583"/>
      <c r="V72" s="408">
        <v>1759.8621959147531</v>
      </c>
      <c r="W72" s="408">
        <v>0</v>
      </c>
      <c r="X72" s="408"/>
      <c r="Y72" s="408"/>
      <c r="Z72" s="582">
        <v>0</v>
      </c>
      <c r="AA72" s="408">
        <v>572.35648455050114</v>
      </c>
      <c r="AB72" s="408"/>
      <c r="AC72" s="583"/>
      <c r="AD72" s="408">
        <v>14887.155767312217</v>
      </c>
      <c r="AE72" s="408">
        <v>152047.36189694473</v>
      </c>
      <c r="AF72" s="408"/>
      <c r="AG72" s="408"/>
      <c r="AH72" s="582">
        <v>0</v>
      </c>
      <c r="AI72" s="408">
        <v>0</v>
      </c>
      <c r="AJ72" s="408"/>
      <c r="AK72" s="583"/>
      <c r="AL72" s="582">
        <v>6171.0890840881893</v>
      </c>
      <c r="AM72" s="408">
        <v>72943.279463557672</v>
      </c>
      <c r="AN72" s="408"/>
      <c r="AO72" s="583"/>
      <c r="AP72" s="584">
        <v>158313.82494116807</v>
      </c>
      <c r="AQ72" s="583">
        <v>194177.88516927732</v>
      </c>
      <c r="BY72"/>
      <c r="BZ72"/>
      <c r="CA72"/>
      <c r="CB72"/>
      <c r="CC72"/>
      <c r="CD72"/>
      <c r="CE72"/>
      <c r="CF72"/>
      <c r="CG72"/>
      <c r="CH72"/>
      <c r="CI72"/>
      <c r="CJ72"/>
      <c r="CK72"/>
      <c r="CL72"/>
      <c r="CM72"/>
      <c r="CN72"/>
      <c r="CO72"/>
    </row>
    <row r="73" spans="1:93">
      <c r="A73" s="111" t="s">
        <v>197</v>
      </c>
      <c r="B73" s="582">
        <v>6422.9140457817866</v>
      </c>
      <c r="C73" s="408">
        <v>121510.42146969377</v>
      </c>
      <c r="D73" s="408"/>
      <c r="E73" s="583"/>
      <c r="F73" s="408">
        <v>33336.392344199878</v>
      </c>
      <c r="G73" s="408">
        <v>280102.8792253033</v>
      </c>
      <c r="H73" s="408"/>
      <c r="I73" s="408"/>
      <c r="J73" s="582">
        <v>13056.003344788131</v>
      </c>
      <c r="K73" s="408">
        <v>131908.12388308431</v>
      </c>
      <c r="L73" s="408"/>
      <c r="M73" s="583"/>
      <c r="N73" s="408">
        <v>5007.6966066164405</v>
      </c>
      <c r="O73" s="408">
        <v>304252.90280836844</v>
      </c>
      <c r="P73" s="408"/>
      <c r="Q73" s="408"/>
      <c r="R73" s="582">
        <v>9455.7040334807662</v>
      </c>
      <c r="S73" s="408">
        <v>-95.720168570185592</v>
      </c>
      <c r="T73" s="408"/>
      <c r="U73" s="583"/>
      <c r="V73" s="408">
        <v>1768.1828282300746</v>
      </c>
      <c r="W73" s="408">
        <v>0</v>
      </c>
      <c r="X73" s="408"/>
      <c r="Y73" s="408"/>
      <c r="Z73" s="582">
        <v>0</v>
      </c>
      <c r="AA73" s="408">
        <v>572.35648455050114</v>
      </c>
      <c r="AB73" s="408"/>
      <c r="AC73" s="583"/>
      <c r="AD73" s="408">
        <v>15066.60137453732</v>
      </c>
      <c r="AE73" s="408">
        <v>152225.37961840283</v>
      </c>
      <c r="AF73" s="408"/>
      <c r="AG73" s="408"/>
      <c r="AH73" s="582">
        <v>0</v>
      </c>
      <c r="AI73" s="408">
        <v>0</v>
      </c>
      <c r="AJ73" s="408"/>
      <c r="AK73" s="583"/>
      <c r="AL73" s="582">
        <v>6245.5755238225729</v>
      </c>
      <c r="AM73" s="408">
        <v>72974.32495503698</v>
      </c>
      <c r="AN73" s="408"/>
      <c r="AO73" s="583"/>
      <c r="AP73" s="584">
        <v>158469.96465453506</v>
      </c>
      <c r="AQ73" s="583">
        <v>194340.37635984746</v>
      </c>
      <c r="BY73"/>
      <c r="BZ73"/>
      <c r="CA73"/>
      <c r="CB73"/>
      <c r="CC73"/>
      <c r="CD73"/>
      <c r="CE73"/>
      <c r="CF73"/>
      <c r="CG73"/>
      <c r="CH73"/>
      <c r="CI73"/>
      <c r="CJ73"/>
      <c r="CK73"/>
      <c r="CL73"/>
      <c r="CM73"/>
      <c r="CN73"/>
      <c r="CO73"/>
    </row>
    <row r="74" spans="1:93">
      <c r="A74" s="1400" t="s">
        <v>18</v>
      </c>
      <c r="B74" s="1414">
        <v>14296.591742708579</v>
      </c>
      <c r="C74" s="1413">
        <v>122420.72920653947</v>
      </c>
      <c r="D74" s="1413"/>
      <c r="E74" s="1060"/>
      <c r="F74" s="1413">
        <v>43514.06613320217</v>
      </c>
      <c r="G74" s="1413">
        <v>281499.23369304748</v>
      </c>
      <c r="H74" s="1413"/>
      <c r="I74" s="1413"/>
      <c r="J74" s="1414">
        <v>25702.916696923279</v>
      </c>
      <c r="K74" s="1413">
        <v>132133.43975581395</v>
      </c>
      <c r="L74" s="1413"/>
      <c r="M74" s="1060"/>
      <c r="N74" s="1413">
        <v>18439.635913985956</v>
      </c>
      <c r="O74" s="1413">
        <v>307629.33412128035</v>
      </c>
      <c r="P74" s="1413"/>
      <c r="Q74" s="1413"/>
      <c r="R74" s="1414">
        <v>9833.4276695436547</v>
      </c>
      <c r="S74" s="1413">
        <v>5999.5516583598628</v>
      </c>
      <c r="T74" s="1413"/>
      <c r="U74" s="1060"/>
      <c r="V74" s="1413">
        <v>1922.8784605359992</v>
      </c>
      <c r="W74" s="1413">
        <v>0</v>
      </c>
      <c r="X74" s="1413"/>
      <c r="Y74" s="1413"/>
      <c r="Z74" s="1414">
        <v>0</v>
      </c>
      <c r="AA74" s="1413">
        <v>572.35648455050114</v>
      </c>
      <c r="AB74" s="1413"/>
      <c r="AC74" s="1060"/>
      <c r="AD74" s="1413">
        <v>29661.113727431173</v>
      </c>
      <c r="AE74" s="1413">
        <v>152473.10990639703</v>
      </c>
      <c r="AF74" s="1413"/>
      <c r="AG74" s="1413"/>
      <c r="AH74" s="1414">
        <v>0</v>
      </c>
      <c r="AI74" s="1413">
        <v>0</v>
      </c>
      <c r="AJ74" s="1413"/>
      <c r="AK74" s="1060"/>
      <c r="AL74" s="1414">
        <v>12509.41124384009</v>
      </c>
      <c r="AM74" s="1413">
        <v>73278.98320104013</v>
      </c>
      <c r="AN74" s="1413"/>
      <c r="AO74" s="1060"/>
      <c r="AP74" s="1423">
        <v>168401.00333412635</v>
      </c>
      <c r="AQ74" s="1060">
        <v>205178.19050029636</v>
      </c>
    </row>
    <row r="75" spans="1:93">
      <c r="AP75" s="520"/>
      <c r="AQ75" s="120" t="s">
        <v>77</v>
      </c>
      <c r="AR75" s="120" t="s">
        <v>528</v>
      </c>
      <c r="AS75" s="120" t="s">
        <v>75</v>
      </c>
      <c r="AT75" s="120" t="s">
        <v>530</v>
      </c>
    </row>
    <row r="76" spans="1:93" ht="20">
      <c r="A76" s="576" t="s">
        <v>394</v>
      </c>
      <c r="B76" s="1501"/>
      <c r="I76" s="1500"/>
      <c r="AP76" s="520"/>
      <c r="AQ76" s="120">
        <v>58.9</v>
      </c>
      <c r="AR76" s="120">
        <v>154.9</v>
      </c>
      <c r="AS76" s="120">
        <v>58.7</v>
      </c>
      <c r="AT76" s="120">
        <v>154.69999999999999</v>
      </c>
    </row>
    <row r="77" spans="1:93" ht="30" customHeight="1">
      <c r="A77" s="1394"/>
      <c r="B77" s="1424" t="s">
        <v>38</v>
      </c>
      <c r="C77" s="1424" t="s">
        <v>395</v>
      </c>
      <c r="D77" s="1425" t="s">
        <v>258</v>
      </c>
      <c r="E77" s="1424" t="s">
        <v>391</v>
      </c>
      <c r="F77" s="1424" t="s">
        <v>399</v>
      </c>
      <c r="G77" s="1424" t="s">
        <v>259</v>
      </c>
      <c r="H77" s="1424" t="s">
        <v>67</v>
      </c>
      <c r="I77" s="1426" t="s">
        <v>42</v>
      </c>
      <c r="J77" s="1426" t="s">
        <v>1029</v>
      </c>
      <c r="K77" s="1426" t="s">
        <v>54</v>
      </c>
      <c r="L77" s="1426" t="s">
        <v>56</v>
      </c>
      <c r="M77" s="1426" t="s">
        <v>41</v>
      </c>
      <c r="N77" s="1426" t="s">
        <v>398</v>
      </c>
      <c r="O77" s="1426" t="s">
        <v>57</v>
      </c>
      <c r="P77" s="1426" t="s">
        <v>58</v>
      </c>
      <c r="Q77" s="1426" t="s">
        <v>59</v>
      </c>
      <c r="R77" s="1426" t="s">
        <v>60</v>
      </c>
      <c r="S77" s="1426" t="s">
        <v>61</v>
      </c>
      <c r="T77" s="1426" t="s">
        <v>62</v>
      </c>
      <c r="U77" s="1426" t="s">
        <v>439</v>
      </c>
      <c r="V77" s="1426" t="s">
        <v>73</v>
      </c>
      <c r="W77" s="1426" t="s">
        <v>148</v>
      </c>
      <c r="X77" s="1426" t="s">
        <v>149</v>
      </c>
      <c r="Y77" s="1426" t="s">
        <v>39</v>
      </c>
      <c r="Z77" s="1426" t="s">
        <v>396</v>
      </c>
      <c r="AA77" s="1426" t="s">
        <v>400</v>
      </c>
      <c r="AB77" s="1426" t="s">
        <v>535</v>
      </c>
      <c r="AC77" s="1426" t="s">
        <v>536</v>
      </c>
      <c r="AD77" s="1426" t="s">
        <v>537</v>
      </c>
      <c r="AE77" s="1426" t="s">
        <v>538</v>
      </c>
      <c r="AF77" s="1426" t="s">
        <v>539</v>
      </c>
      <c r="AG77" s="1426" t="s">
        <v>540</v>
      </c>
      <c r="AH77" s="1426" t="s">
        <v>541</v>
      </c>
      <c r="AI77" s="1426" t="s">
        <v>542</v>
      </c>
      <c r="AJ77" s="1426" t="s">
        <v>543</v>
      </c>
      <c r="AK77" s="1426" t="s">
        <v>525</v>
      </c>
      <c r="AL77" s="1426" t="s">
        <v>544</v>
      </c>
      <c r="AM77" s="1426" t="s">
        <v>545</v>
      </c>
      <c r="AN77" s="1426" t="s">
        <v>534</v>
      </c>
      <c r="AO77" s="1426" t="s">
        <v>705</v>
      </c>
      <c r="AP77" s="1426" t="s">
        <v>298</v>
      </c>
      <c r="AQ77" s="1426" t="s">
        <v>1906</v>
      </c>
      <c r="AR77" s="1426" t="s">
        <v>548</v>
      </c>
      <c r="AS77" s="1426" t="s">
        <v>549</v>
      </c>
      <c r="AT77" s="1426" t="s">
        <v>546</v>
      </c>
      <c r="AU77" s="1426" t="s">
        <v>667</v>
      </c>
      <c r="AV77" s="1426" t="s">
        <v>669</v>
      </c>
      <c r="AW77" s="1426" t="s">
        <v>1302</v>
      </c>
      <c r="AX77" s="1426" t="s">
        <v>1540</v>
      </c>
      <c r="AY77" s="1427" t="s">
        <v>1568</v>
      </c>
      <c r="AZ77" s="1427" t="s">
        <v>1569</v>
      </c>
      <c r="BA77" s="1427" t="s">
        <v>1567</v>
      </c>
      <c r="BB77" s="1427" t="s">
        <v>1691</v>
      </c>
      <c r="BC77" s="1427" t="s">
        <v>1914</v>
      </c>
      <c r="BD77"/>
    </row>
    <row r="78" spans="1:93">
      <c r="A78" s="230" t="s">
        <v>172</v>
      </c>
      <c r="B78" s="586"/>
      <c r="C78" s="586"/>
      <c r="D78" s="586"/>
      <c r="E78" s="586"/>
      <c r="F78" s="586"/>
      <c r="G78" s="586"/>
      <c r="H78" s="586"/>
      <c r="I78" s="587"/>
      <c r="J78" s="587"/>
      <c r="K78" s="587"/>
      <c r="L78" s="587"/>
      <c r="M78" s="587"/>
      <c r="N78" s="587"/>
      <c r="O78" s="587"/>
      <c r="P78" s="587"/>
      <c r="Q78" s="587"/>
      <c r="R78" s="587"/>
      <c r="S78" s="587"/>
      <c r="T78" s="587"/>
      <c r="U78" s="587"/>
      <c r="V78" s="587"/>
      <c r="W78" s="587"/>
      <c r="X78" s="587"/>
    </row>
    <row r="79" spans="1:93">
      <c r="A79" s="230" t="s">
        <v>173</v>
      </c>
      <c r="B79" s="588">
        <v>0.10811671185723913</v>
      </c>
      <c r="C79" s="588">
        <v>27.651204528605415</v>
      </c>
      <c r="D79" s="588">
        <v>9.9495471172302974</v>
      </c>
      <c r="E79" s="588">
        <v>5.0815372194494755</v>
      </c>
      <c r="F79" s="588">
        <v>115.60350067401865</v>
      </c>
      <c r="G79" s="588">
        <v>14.824113930128727</v>
      </c>
      <c r="H79" s="588">
        <v>84.900572229795046</v>
      </c>
      <c r="I79" s="589">
        <v>255.95645151413575</v>
      </c>
      <c r="J79" s="589">
        <v>258.10976541444313</v>
      </c>
      <c r="K79" s="589">
        <v>86.534262623660624</v>
      </c>
      <c r="L79" s="589">
        <v>31.251698432734671</v>
      </c>
      <c r="M79" s="589">
        <v>56.063300413171731</v>
      </c>
      <c r="N79" s="589">
        <v>79.343920138711155</v>
      </c>
      <c r="O79" s="589">
        <v>153.94776450310647</v>
      </c>
      <c r="P79" s="589">
        <v>8.8012027130508628</v>
      </c>
      <c r="Q79" s="589">
        <v>32.346328225863779</v>
      </c>
      <c r="R79" s="589">
        <v>64.824671440832674</v>
      </c>
      <c r="S79" s="589">
        <v>67.533556092185734</v>
      </c>
      <c r="T79" s="589">
        <v>64.803570185058206</v>
      </c>
      <c r="U79" s="589">
        <v>24.455898761672817</v>
      </c>
      <c r="V79" s="589">
        <v>333.35399451357773</v>
      </c>
      <c r="W79" s="589">
        <v>36.459971615241045</v>
      </c>
      <c r="X79" s="589">
        <v>107.38270444073332</v>
      </c>
      <c r="Y79" s="520">
        <v>0.33158434579224533</v>
      </c>
      <c r="Z79" s="520">
        <v>26.567575055672773</v>
      </c>
      <c r="AA79" s="520">
        <v>4.2873692067303315</v>
      </c>
      <c r="AB79" s="520">
        <v>0.79937798086835654</v>
      </c>
      <c r="AC79" s="180">
        <v>0</v>
      </c>
      <c r="AD79" s="520">
        <v>7.7027056372099629</v>
      </c>
      <c r="AE79" s="520">
        <v>0.51804777656533729</v>
      </c>
      <c r="AF79" s="520">
        <v>28.475552469399329</v>
      </c>
      <c r="AG79" s="520">
        <v>15.740417233217693</v>
      </c>
      <c r="AH79" s="520">
        <v>18.463578242297768</v>
      </c>
      <c r="AI79" s="520">
        <v>90.007109329144185</v>
      </c>
      <c r="AJ79" s="520">
        <v>93.529613007899997</v>
      </c>
      <c r="AK79" s="520">
        <v>2.6941228095619936</v>
      </c>
      <c r="AL79" s="520">
        <v>13.772547313546205</v>
      </c>
      <c r="AM79" s="520">
        <v>32.532865791205985</v>
      </c>
      <c r="AN79" s="520">
        <v>32.391121261642439</v>
      </c>
      <c r="AO79" s="520">
        <v>211.95603292327226</v>
      </c>
      <c r="AP79" s="180">
        <f>(R79+S79+T79)/3</f>
        <v>65.720599239358876</v>
      </c>
      <c r="AQ79" s="180">
        <f>(P79+Q79)/2</f>
        <v>20.573765469457321</v>
      </c>
      <c r="AR79" s="180">
        <f>AI79/$AQ$76*$AR$76</f>
        <v>236.70800059566105</v>
      </c>
      <c r="AS79" s="180">
        <f>AJ79/$AS$76*$AT$76</f>
        <v>246.4911606869187</v>
      </c>
      <c r="AT79" s="520">
        <v>250.99829981139004</v>
      </c>
      <c r="AU79" s="520">
        <v>276.44970095942932</v>
      </c>
      <c r="AV79" s="520">
        <v>314.39549746141302</v>
      </c>
      <c r="AW79" s="520">
        <v>6.9702412841509203</v>
      </c>
      <c r="AX79" s="520">
        <v>265.5130010676753</v>
      </c>
      <c r="AY79" s="520">
        <v>344.22566969155793</v>
      </c>
      <c r="AZ79" s="520">
        <v>19.930473914591072</v>
      </c>
      <c r="BA79" s="520">
        <v>23.079962944636634</v>
      </c>
      <c r="BB79" s="520">
        <v>27.5741704089445</v>
      </c>
      <c r="BC79" s="589">
        <v>56.063300413171731</v>
      </c>
    </row>
    <row r="80" spans="1:93">
      <c r="A80" s="230" t="s">
        <v>174</v>
      </c>
      <c r="B80" s="588">
        <v>0.10748818051358598</v>
      </c>
      <c r="C80" s="588">
        <v>24.963775343767239</v>
      </c>
      <c r="D80" s="588">
        <v>13.548347469137269</v>
      </c>
      <c r="E80" s="588">
        <v>5.0745403840135523</v>
      </c>
      <c r="F80" s="588">
        <v>112.81570932826898</v>
      </c>
      <c r="G80" s="588">
        <v>14.043340112342461</v>
      </c>
      <c r="H80" s="588">
        <v>83.738157478904213</v>
      </c>
      <c r="I80" s="589">
        <v>230.16141329562214</v>
      </c>
      <c r="J80" s="589">
        <v>236.14715511692958</v>
      </c>
      <c r="K80" s="589">
        <v>82.397135431635519</v>
      </c>
      <c r="L80" s="589">
        <v>27.731756863263541</v>
      </c>
      <c r="M80" s="589">
        <v>45.168923757747123</v>
      </c>
      <c r="N80" s="589">
        <v>60.322301517484036</v>
      </c>
      <c r="O80" s="589">
        <v>122.66044695055314</v>
      </c>
      <c r="P80" s="589">
        <v>8.5577488102774097</v>
      </c>
      <c r="Q80" s="589">
        <v>31.481713631842592</v>
      </c>
      <c r="R80" s="589">
        <v>63.216815912159127</v>
      </c>
      <c r="S80" s="589">
        <v>65.035047335705443</v>
      </c>
      <c r="T80" s="589">
        <v>62.188128457258863</v>
      </c>
      <c r="U80" s="589">
        <v>22.837197159091676</v>
      </c>
      <c r="V80" s="589">
        <v>306.66375577522888</v>
      </c>
      <c r="W80" s="589">
        <v>33.54822179248611</v>
      </c>
      <c r="X80" s="589">
        <v>103.09707259471928</v>
      </c>
      <c r="Y80" s="520">
        <v>0.26304843780989762</v>
      </c>
      <c r="Z80" s="520">
        <v>26.489590221371106</v>
      </c>
      <c r="AA80" s="520">
        <v>4.200065659553605</v>
      </c>
      <c r="AB80" s="520">
        <v>0.72060357033753286</v>
      </c>
      <c r="AC80" s="180">
        <v>0</v>
      </c>
      <c r="AD80" s="520">
        <v>6.3367121648969853</v>
      </c>
      <c r="AE80" s="520">
        <v>0.48833806356676618</v>
      </c>
      <c r="AF80" s="520">
        <v>25.466086497271682</v>
      </c>
      <c r="AG80" s="520">
        <v>15.69072852864128</v>
      </c>
      <c r="AH80" s="520">
        <v>15.727413008880452</v>
      </c>
      <c r="AI80" s="520">
        <v>80.177234837938286</v>
      </c>
      <c r="AJ80" s="520">
        <v>87.796701207890621</v>
      </c>
      <c r="AK80" s="520">
        <v>2.1372685572054184</v>
      </c>
      <c r="AL80" s="520">
        <v>12.803110446550141</v>
      </c>
      <c r="AM80" s="520">
        <v>26.039692826774829</v>
      </c>
      <c r="AN80" s="520">
        <v>32.288870296409321</v>
      </c>
      <c r="AO80" s="520">
        <v>191.48714742424943</v>
      </c>
      <c r="AP80" s="180">
        <f t="shared" ref="AP80:AP107" si="0">(R80+S80+T80)/3</f>
        <v>63.479997235041147</v>
      </c>
      <c r="AQ80" s="180">
        <f t="shared" ref="AQ80:AQ107" si="1">(P80+Q80)/2</f>
        <v>20.019731221059999</v>
      </c>
      <c r="AR80" s="180">
        <f t="shared" ref="AR80:AR107" si="2">AI80/$AQ$76*$AR$76</f>
        <v>210.85659892014669</v>
      </c>
      <c r="AS80" s="180">
        <f t="shared" ref="AS80:AS107" si="3">AJ80/$AS$76*$AT$76</f>
        <v>231.38244764668954</v>
      </c>
      <c r="AT80" s="520">
        <v>236.42539836609049</v>
      </c>
      <c r="AU80" s="520">
        <v>254.47397619889321</v>
      </c>
      <c r="AV80" s="520">
        <v>288.55491945303078</v>
      </c>
      <c r="AW80" s="520">
        <v>6.9482379118855659</v>
      </c>
      <c r="AX80" s="520">
        <v>244.01355407421701</v>
      </c>
      <c r="AY80" s="520">
        <v>292.36397844463306</v>
      </c>
      <c r="AZ80" s="520">
        <v>19.65810551644233</v>
      </c>
      <c r="BA80" s="520">
        <v>21.04642475621965</v>
      </c>
      <c r="BB80" s="520">
        <v>27.160547313513995</v>
      </c>
      <c r="BC80" s="589">
        <v>45.168923757747123</v>
      </c>
    </row>
    <row r="81" spans="1:55">
      <c r="A81" s="230" t="s">
        <v>175</v>
      </c>
      <c r="B81" s="588">
        <v>4.5178283611293016E-3</v>
      </c>
      <c r="C81" s="588">
        <v>5.1269012107327079</v>
      </c>
      <c r="D81" s="588">
        <v>2.9875913165491887</v>
      </c>
      <c r="E81" s="588">
        <v>4.241209914299791</v>
      </c>
      <c r="F81" s="588">
        <v>80.943836326235683</v>
      </c>
      <c r="G81" s="588">
        <v>1.3283830908018599</v>
      </c>
      <c r="H81" s="588">
        <v>1.9776917036600032</v>
      </c>
      <c r="I81" s="589">
        <v>73.411011854245288</v>
      </c>
      <c r="J81" s="589">
        <v>70.696517617850972</v>
      </c>
      <c r="K81" s="589">
        <v>12.22501407389176</v>
      </c>
      <c r="L81" s="589">
        <v>5.9887487687128953</v>
      </c>
      <c r="M81" s="589">
        <v>15.531568629528094</v>
      </c>
      <c r="N81" s="589">
        <v>19.640538106334997</v>
      </c>
      <c r="O81" s="589">
        <v>53.233233542241223</v>
      </c>
      <c r="P81" s="589">
        <v>0.41406192207263448</v>
      </c>
      <c r="Q81" s="589">
        <v>1.4705085233840585</v>
      </c>
      <c r="R81" s="589">
        <v>2.7247374068956183</v>
      </c>
      <c r="S81" s="589">
        <v>4.2514640430729234</v>
      </c>
      <c r="T81" s="589">
        <v>4.4613607721536779</v>
      </c>
      <c r="U81" s="589">
        <v>16.363192352841441</v>
      </c>
      <c r="V81" s="589">
        <v>81.45788233989569</v>
      </c>
      <c r="W81" s="589">
        <v>6.5527210797997233</v>
      </c>
      <c r="X81" s="589">
        <v>36.309533479733489</v>
      </c>
      <c r="Y81" s="520">
        <v>0.11661062166911371</v>
      </c>
      <c r="Z81" s="520">
        <v>25.488325895389899</v>
      </c>
      <c r="AA81" s="520">
        <v>3.5371619725009573</v>
      </c>
      <c r="AB81" s="520">
        <v>0.13881219880508144</v>
      </c>
      <c r="AC81" s="180">
        <v>0</v>
      </c>
      <c r="AD81" s="520">
        <v>2.3238793635901298</v>
      </c>
      <c r="AE81" s="520">
        <v>5.0454899659998068E-2</v>
      </c>
      <c r="AF81" s="520">
        <v>5.6904613218832134</v>
      </c>
      <c r="AG81" s="520">
        <v>8.4407587836143938E-2</v>
      </c>
      <c r="AH81" s="520">
        <v>4.6547859267869134</v>
      </c>
      <c r="AI81" s="520">
        <v>17.02042747390891</v>
      </c>
      <c r="AJ81" s="520">
        <v>16.305816860268337</v>
      </c>
      <c r="AK81" s="520">
        <v>0.94746130106154891</v>
      </c>
      <c r="AL81" s="520">
        <v>1.6481788602139122</v>
      </c>
      <c r="AM81" s="520">
        <v>11.175168746185333</v>
      </c>
      <c r="AN81" s="520">
        <v>0.17369656550357981</v>
      </c>
      <c r="AO81" s="520">
        <v>35.750529728708713</v>
      </c>
      <c r="AP81" s="180">
        <f t="shared" si="0"/>
        <v>3.8125207407074071</v>
      </c>
      <c r="AQ81" s="180">
        <f t="shared" si="1"/>
        <v>0.94228522272834647</v>
      </c>
      <c r="AR81" s="180">
        <f t="shared" si="2"/>
        <v>44.761701455152632</v>
      </c>
      <c r="AS81" s="180">
        <f t="shared" si="3"/>
        <v>42.972910873654364</v>
      </c>
      <c r="AT81" s="520">
        <v>132.92044341707506</v>
      </c>
      <c r="AU81" s="520">
        <v>73.286737747715193</v>
      </c>
      <c r="AV81" s="520">
        <v>79.4529371892461</v>
      </c>
      <c r="AW81" s="520">
        <v>3.7377741943808399E-2</v>
      </c>
      <c r="AX81" s="520">
        <v>71.571236741577096</v>
      </c>
      <c r="AY81" s="520">
        <v>88.240215717328951</v>
      </c>
      <c r="AZ81" s="520">
        <v>0.46302766182751753</v>
      </c>
      <c r="BA81" s="520">
        <v>3.5247407695918636</v>
      </c>
      <c r="BB81" s="520">
        <v>18.807291215119825</v>
      </c>
      <c r="BC81" s="589">
        <v>15.531568629528094</v>
      </c>
    </row>
    <row r="82" spans="1:55">
      <c r="A82" s="230" t="s">
        <v>176</v>
      </c>
      <c r="B82" s="588">
        <v>1.108271003684648E-2</v>
      </c>
      <c r="C82" s="588">
        <v>18.94553412213077</v>
      </c>
      <c r="D82" s="588">
        <v>9.6518574830989632</v>
      </c>
      <c r="E82" s="588">
        <v>7.8615078252256998E-2</v>
      </c>
      <c r="F82" s="588">
        <v>5.7631161899542427</v>
      </c>
      <c r="G82" s="588">
        <v>12.454413096520465</v>
      </c>
      <c r="H82" s="588">
        <v>81.363266154475312</v>
      </c>
      <c r="I82" s="589">
        <v>122.49276687871971</v>
      </c>
      <c r="J82" s="589">
        <v>126.73016059070346</v>
      </c>
      <c r="K82" s="589">
        <v>38.448557334859657</v>
      </c>
      <c r="L82" s="589">
        <v>20.684289674529559</v>
      </c>
      <c r="M82" s="589">
        <v>21.152212185932626</v>
      </c>
      <c r="N82" s="589">
        <v>35.286445967451677</v>
      </c>
      <c r="O82" s="589">
        <v>65.637887631911426</v>
      </c>
      <c r="P82" s="589">
        <v>7.5911845975663139</v>
      </c>
      <c r="Q82" s="589">
        <v>28.009090296390536</v>
      </c>
      <c r="R82" s="589">
        <v>24.212614457785524</v>
      </c>
      <c r="S82" s="589">
        <v>56.450182826131979</v>
      </c>
      <c r="T82" s="589">
        <v>32.267392300877965</v>
      </c>
      <c r="U82" s="589">
        <v>6.5984884221301794</v>
      </c>
      <c r="V82" s="589">
        <v>160.82583645282665</v>
      </c>
      <c r="W82" s="589">
        <v>23.284599700110419</v>
      </c>
      <c r="X82" s="589">
        <v>50.501983229881873</v>
      </c>
      <c r="Y82" s="520">
        <v>0.14294895728731868</v>
      </c>
      <c r="Z82" s="520">
        <v>0.66259780041156713</v>
      </c>
      <c r="AA82" s="520">
        <v>0.44174082481804627</v>
      </c>
      <c r="AB82" s="520">
        <v>0.24157414432438912</v>
      </c>
      <c r="AC82" s="180">
        <v>0</v>
      </c>
      <c r="AD82" s="520">
        <v>2.9709072582172302</v>
      </c>
      <c r="AE82" s="520">
        <v>0.12314767302722145</v>
      </c>
      <c r="AF82" s="520">
        <v>18.415370657695902</v>
      </c>
      <c r="AG82" s="520">
        <v>15.156309385689944</v>
      </c>
      <c r="AH82" s="520">
        <v>8.717696149402558</v>
      </c>
      <c r="AI82" s="520">
        <v>48.478961472147382</v>
      </c>
      <c r="AJ82" s="520">
        <v>36.66238992886565</v>
      </c>
      <c r="AK82" s="520">
        <v>1.1614602779594645</v>
      </c>
      <c r="AL82" s="520">
        <v>6.9007695172799899</v>
      </c>
      <c r="AM82" s="520">
        <v>14.070260282039364</v>
      </c>
      <c r="AN82" s="520">
        <v>31.189125924490845</v>
      </c>
      <c r="AO82" s="520">
        <v>126.47558872257845</v>
      </c>
      <c r="AP82" s="180">
        <f t="shared" si="0"/>
        <v>37.643396528265157</v>
      </c>
      <c r="AQ82" s="180">
        <f t="shared" si="1"/>
        <v>17.800137446978425</v>
      </c>
      <c r="AR82" s="180">
        <f t="shared" si="2"/>
        <v>127.49390716529084</v>
      </c>
      <c r="AS82" s="180">
        <f t="shared" si="3"/>
        <v>96.621324054438077</v>
      </c>
      <c r="AT82" s="520">
        <v>48.679882349640323</v>
      </c>
      <c r="AU82" s="520">
        <v>131.16294341166287</v>
      </c>
      <c r="AV82" s="520">
        <v>147.02150124415394</v>
      </c>
      <c r="AW82" s="520">
        <v>6.7115840597005771</v>
      </c>
      <c r="AX82" s="520">
        <v>126.87876361180014</v>
      </c>
      <c r="AY82" s="520">
        <v>201.44743512612237</v>
      </c>
      <c r="AZ82" s="520">
        <v>17.877995929733462</v>
      </c>
      <c r="BA82" s="520">
        <v>16.879542189116925</v>
      </c>
      <c r="BB82" s="520">
        <v>6.7884639905461572</v>
      </c>
      <c r="BC82" s="589">
        <v>21.152212185932626</v>
      </c>
    </row>
    <row r="83" spans="1:55">
      <c r="A83" s="230" t="s">
        <v>177</v>
      </c>
      <c r="B83" s="588">
        <v>9.1887642115610194E-2</v>
      </c>
      <c r="C83" s="588">
        <v>0.89134001090375803</v>
      </c>
      <c r="D83" s="588">
        <v>0.90889866948911957</v>
      </c>
      <c r="E83" s="588">
        <v>0.75471539146150546</v>
      </c>
      <c r="F83" s="588">
        <v>26.108756812079037</v>
      </c>
      <c r="G83" s="588">
        <v>0.26054392502013496</v>
      </c>
      <c r="H83" s="588">
        <v>0.39719962076889737</v>
      </c>
      <c r="I83" s="589">
        <v>34.257634562657124</v>
      </c>
      <c r="J83" s="589">
        <v>38.720476908375147</v>
      </c>
      <c r="K83" s="589">
        <v>31.723564022884108</v>
      </c>
      <c r="L83" s="589">
        <v>1.0587184200210851</v>
      </c>
      <c r="M83" s="589">
        <v>8.4851429422864033</v>
      </c>
      <c r="N83" s="589">
        <v>5.3953174436973654</v>
      </c>
      <c r="O83" s="589">
        <v>3.7893257764004815</v>
      </c>
      <c r="P83" s="589">
        <v>0.55250229063846312</v>
      </c>
      <c r="Q83" s="589">
        <v>2.0021148120679984</v>
      </c>
      <c r="R83" s="589">
        <v>36.279464047477965</v>
      </c>
      <c r="S83" s="589">
        <v>4.3334004665005308</v>
      </c>
      <c r="T83" s="589">
        <v>25.459375384227215</v>
      </c>
      <c r="U83" s="589">
        <v>-0.12448361587994637</v>
      </c>
      <c r="V83" s="589">
        <v>64.38003698250651</v>
      </c>
      <c r="W83" s="589">
        <v>3.710901012575968</v>
      </c>
      <c r="X83" s="589">
        <v>16.285555885103918</v>
      </c>
      <c r="Y83" s="520">
        <v>3.4888588534652304E-3</v>
      </c>
      <c r="Z83" s="520">
        <v>0.33866652556964238</v>
      </c>
      <c r="AA83" s="520">
        <v>0.22116286223460146</v>
      </c>
      <c r="AB83" s="520">
        <v>0.3402172272080623</v>
      </c>
      <c r="AC83" s="180">
        <v>0</v>
      </c>
      <c r="AD83" s="520">
        <v>1.0419255430896246</v>
      </c>
      <c r="AE83" s="520">
        <v>0.31473549087954666</v>
      </c>
      <c r="AF83" s="520">
        <v>1.3602545176925671</v>
      </c>
      <c r="AG83" s="520">
        <v>0.45001155511519053</v>
      </c>
      <c r="AH83" s="520">
        <v>2.3549309326909813</v>
      </c>
      <c r="AI83" s="520">
        <v>14.677845891882001</v>
      </c>
      <c r="AJ83" s="520">
        <v>34.828494418756641</v>
      </c>
      <c r="AK83" s="520">
        <v>2.8346978184404997E-2</v>
      </c>
      <c r="AL83" s="520">
        <v>4.2541620690562398</v>
      </c>
      <c r="AM83" s="520">
        <v>0.79426379855012874</v>
      </c>
      <c r="AN83" s="520">
        <v>0.92604780641489315</v>
      </c>
      <c r="AO83" s="520">
        <v>29.261028972962254</v>
      </c>
      <c r="AP83" s="180">
        <f t="shared" si="0"/>
        <v>22.02407996606857</v>
      </c>
      <c r="AQ83" s="180">
        <f t="shared" si="1"/>
        <v>1.2773085513532307</v>
      </c>
      <c r="AR83" s="180">
        <f t="shared" si="2"/>
        <v>38.600990299703263</v>
      </c>
      <c r="AS83" s="180">
        <f t="shared" si="3"/>
        <v>91.788212718597123</v>
      </c>
      <c r="AT83" s="520">
        <v>54.82507259937509</v>
      </c>
      <c r="AU83" s="520">
        <v>50.024295039515167</v>
      </c>
      <c r="AV83" s="520">
        <v>62.08048101963081</v>
      </c>
      <c r="AW83" s="520">
        <v>0.19927611024117997</v>
      </c>
      <c r="AX83" s="520">
        <v>45.563553720839799</v>
      </c>
      <c r="AY83" s="520">
        <v>2.6763276011817165</v>
      </c>
      <c r="AZ83" s="520">
        <v>1.317081924881351</v>
      </c>
      <c r="BA83" s="520">
        <v>0.6421417975108632</v>
      </c>
      <c r="BB83" s="520">
        <v>1.5647921078480149</v>
      </c>
      <c r="BC83" s="589">
        <v>8.4851429422864033</v>
      </c>
    </row>
    <row r="84" spans="1:55">
      <c r="A84" s="1394" t="s">
        <v>178</v>
      </c>
      <c r="B84" s="1428">
        <v>26.546240072053962</v>
      </c>
      <c r="C84" s="1428">
        <v>1245.1943517785776</v>
      </c>
      <c r="D84" s="1428">
        <v>6520.307955875759</v>
      </c>
      <c r="E84" s="1428">
        <v>30.906970432787446</v>
      </c>
      <c r="F84" s="1428">
        <v>11866.590584003228</v>
      </c>
      <c r="G84" s="1428">
        <v>599.48984628296239</v>
      </c>
      <c r="H84" s="1428">
        <v>927.09619749742853</v>
      </c>
      <c r="I84" s="1428">
        <v>41793.527763983504</v>
      </c>
      <c r="J84" s="1428">
        <v>25862.644791335828</v>
      </c>
      <c r="K84" s="1428">
        <v>2353.2121177938152</v>
      </c>
      <c r="L84" s="1428">
        <v>1477.0144914292009</v>
      </c>
      <c r="M84" s="1428">
        <v>6390.6330692333549</v>
      </c>
      <c r="N84" s="1428">
        <v>22933.281947043015</v>
      </c>
      <c r="O84" s="1428">
        <v>13023.047780825558</v>
      </c>
      <c r="P84" s="1428">
        <v>253.6280274094083</v>
      </c>
      <c r="Q84" s="1428">
        <v>913.69255364974958</v>
      </c>
      <c r="R84" s="1428">
        <v>1765.3217223565853</v>
      </c>
      <c r="S84" s="1428">
        <v>2214.6229264254325</v>
      </c>
      <c r="T84" s="1428">
        <v>1833.0370529127326</v>
      </c>
      <c r="U84" s="1428">
        <v>754.8978731312568</v>
      </c>
      <c r="V84" s="1428">
        <v>27738.801208949459</v>
      </c>
      <c r="W84" s="1428">
        <v>1862.3695696204877</v>
      </c>
      <c r="X84" s="1428">
        <v>10089.06404164298</v>
      </c>
      <c r="Y84" s="1428">
        <v>27.696575834088922</v>
      </c>
      <c r="Z84" s="1428">
        <v>110.18341028856869</v>
      </c>
      <c r="AA84" s="1428">
        <v>1115.5616505711357</v>
      </c>
      <c r="AB84" s="1428">
        <v>159.86264498469052</v>
      </c>
      <c r="AC84" s="1428">
        <v>0</v>
      </c>
      <c r="AD84" s="1428">
        <v>608.99202776715777</v>
      </c>
      <c r="AE84" s="1428">
        <v>76.190459993884602</v>
      </c>
      <c r="AF84" s="1428">
        <v>3277.7337913306205</v>
      </c>
      <c r="AG84" s="1428">
        <v>323.40223520047044</v>
      </c>
      <c r="AH84" s="1428">
        <v>1157.7595373193617</v>
      </c>
      <c r="AI84" s="1428">
        <v>19346.553575554211</v>
      </c>
      <c r="AJ84" s="1428">
        <v>7096.8982012296219</v>
      </c>
      <c r="AK84" s="1428">
        <v>225.03467865197248</v>
      </c>
      <c r="AL84" s="1428">
        <v>8761.8540940764651</v>
      </c>
      <c r="AM84" s="1428">
        <v>2845.0056789145174</v>
      </c>
      <c r="AN84" s="1428">
        <v>411.99686664713795</v>
      </c>
      <c r="AO84" s="1428">
        <v>41578.868772752998</v>
      </c>
      <c r="AP84" s="1428">
        <f t="shared" si="0"/>
        <v>1937.6605672315836</v>
      </c>
      <c r="AQ84" s="1428">
        <f t="shared" si="1"/>
        <v>583.6602905295789</v>
      </c>
      <c r="AR84" s="1428">
        <f t="shared" si="2"/>
        <v>50879.136652858186</v>
      </c>
      <c r="AS84" s="1428">
        <f t="shared" si="3"/>
        <v>18703.409739867504</v>
      </c>
      <c r="AT84" s="1428">
        <v>25236.838883962162</v>
      </c>
      <c r="AU84" s="1428">
        <v>24541.847927298833</v>
      </c>
      <c r="AV84" s="1428">
        <v>25802.006019177374</v>
      </c>
      <c r="AW84" s="1428">
        <v>143.2630899769579</v>
      </c>
      <c r="AX84" s="1428">
        <v>23863.056546642372</v>
      </c>
      <c r="AY84" s="1428">
        <v>21227.790309385098</v>
      </c>
      <c r="AZ84" s="1428">
        <v>629.89413401477702</v>
      </c>
      <c r="BA84" s="1428">
        <v>2142.5509122080121</v>
      </c>
      <c r="BB84" s="1429">
        <v>264.90006980965171</v>
      </c>
      <c r="BC84" s="1428">
        <v>6390.6330692333549</v>
      </c>
    </row>
    <row r="85" spans="1:55">
      <c r="A85" s="230" t="s">
        <v>179</v>
      </c>
      <c r="B85" s="588"/>
      <c r="C85" s="588"/>
      <c r="D85" s="588"/>
      <c r="E85" s="588"/>
      <c r="F85" s="588"/>
      <c r="G85" s="588"/>
      <c r="H85" s="588"/>
      <c r="I85" s="587"/>
      <c r="J85" s="587"/>
      <c r="K85" s="589"/>
      <c r="L85" s="589"/>
      <c r="M85" s="589"/>
      <c r="N85" s="589"/>
      <c r="O85" s="589"/>
      <c r="P85" s="589"/>
      <c r="Q85" s="589"/>
      <c r="R85" s="785"/>
      <c r="S85" s="785"/>
      <c r="T85" s="785"/>
      <c r="U85" s="589"/>
      <c r="V85" s="587"/>
      <c r="W85" s="589"/>
      <c r="X85" s="587"/>
      <c r="Y85" s="520"/>
      <c r="Z85" s="520"/>
      <c r="AA85" s="520"/>
      <c r="AE85" s="520"/>
      <c r="AF85" s="520"/>
      <c r="AH85" s="520"/>
      <c r="AI85" s="520"/>
      <c r="AJ85" s="180"/>
      <c r="AK85" s="520"/>
      <c r="AL85" s="520"/>
      <c r="AN85" s="520"/>
      <c r="AO85" s="520"/>
      <c r="AT85" s="520"/>
      <c r="AW85" s="520"/>
      <c r="AX85" s="1064"/>
      <c r="AY85" s="520"/>
      <c r="AZ85" s="520"/>
      <c r="BA85" s="520"/>
      <c r="BB85" s="520"/>
      <c r="BC85" s="589"/>
    </row>
    <row r="86" spans="1:55">
      <c r="A86" s="230" t="s">
        <v>180</v>
      </c>
      <c r="B86" s="588">
        <v>3.0130964050238576</v>
      </c>
      <c r="C86" s="588">
        <v>265.32047616340981</v>
      </c>
      <c r="D86" s="588">
        <v>1044.1138729689319</v>
      </c>
      <c r="E86" s="588">
        <v>80.580956003067755</v>
      </c>
      <c r="F86" s="588">
        <v>1847.8702346286605</v>
      </c>
      <c r="G86" s="588">
        <v>150.79519524481401</v>
      </c>
      <c r="H86" s="588">
        <v>1885.5533096289937</v>
      </c>
      <c r="I86" s="589">
        <v>4364.7367651734958</v>
      </c>
      <c r="J86" s="589">
        <v>3827.4593022470126</v>
      </c>
      <c r="K86" s="589">
        <v>1123.7965855163802</v>
      </c>
      <c r="L86" s="589">
        <v>293.17784992047416</v>
      </c>
      <c r="M86" s="589">
        <v>946.160018581023</v>
      </c>
      <c r="N86" s="589">
        <v>1252.949579768723</v>
      </c>
      <c r="O86" s="589">
        <v>1197.6542746223586</v>
      </c>
      <c r="P86" s="589">
        <v>107.55811071914675</v>
      </c>
      <c r="Q86" s="589">
        <v>395.75442902933349</v>
      </c>
      <c r="R86" s="589">
        <v>522.11683886270384</v>
      </c>
      <c r="S86" s="589">
        <v>810.53194396111223</v>
      </c>
      <c r="T86" s="589">
        <v>1024.4844070582819</v>
      </c>
      <c r="U86" s="589">
        <v>2365.758107367019</v>
      </c>
      <c r="V86" s="589">
        <v>6658.2388890221482</v>
      </c>
      <c r="W86" s="589">
        <v>1966.8598425973846</v>
      </c>
      <c r="X86" s="589">
        <v>1610.0140544616829</v>
      </c>
      <c r="Y86" s="520">
        <v>2.4214293191082392</v>
      </c>
      <c r="Z86" s="520">
        <v>2234.8537937760748</v>
      </c>
      <c r="AA86" s="520">
        <v>90.502380027090169</v>
      </c>
      <c r="AB86" s="520">
        <v>18.438712253310634</v>
      </c>
      <c r="AC86" s="180">
        <v>0</v>
      </c>
      <c r="AD86" s="520">
        <v>67.948059944678263</v>
      </c>
      <c r="AE86" s="520">
        <v>16.528828376712816</v>
      </c>
      <c r="AF86" s="520">
        <v>269.69316628057493</v>
      </c>
      <c r="AG86" s="520">
        <v>2250.2257924748806</v>
      </c>
      <c r="AH86" s="520">
        <v>402.56337972484971</v>
      </c>
      <c r="AI86" s="520">
        <v>1274.9727605086439</v>
      </c>
      <c r="AJ86" s="520">
        <v>2022.7800347087509</v>
      </c>
      <c r="AK86" s="520">
        <v>19.674113217754446</v>
      </c>
      <c r="AL86" s="520">
        <v>297.40568797073684</v>
      </c>
      <c r="AM86" s="520">
        <v>254.67525708348174</v>
      </c>
      <c r="AN86" s="520">
        <v>4630.5847824867033</v>
      </c>
      <c r="AO86" s="520">
        <v>4128.881253172156</v>
      </c>
      <c r="AP86" s="180">
        <f t="shared" si="0"/>
        <v>785.71106329403267</v>
      </c>
      <c r="AQ86" s="180">
        <f t="shared" si="1"/>
        <v>251.65626987424014</v>
      </c>
      <c r="AR86" s="180">
        <f t="shared" si="2"/>
        <v>3353.026835361442</v>
      </c>
      <c r="AS86" s="180">
        <f t="shared" si="3"/>
        <v>5330.9041119155654</v>
      </c>
      <c r="AT86" s="520">
        <v>3995.24561646457</v>
      </c>
      <c r="AU86" s="520">
        <v>4390.8562029313598</v>
      </c>
      <c r="AV86" s="520">
        <v>5138.5302879759029</v>
      </c>
      <c r="AW86" s="520">
        <v>996.45495319334339</v>
      </c>
      <c r="AX86" s="520">
        <v>4133.5576894829364</v>
      </c>
      <c r="AY86" s="520">
        <v>2977.7960402758681</v>
      </c>
      <c r="AZ86" s="520">
        <v>250.62233463990557</v>
      </c>
      <c r="BA86" s="520">
        <v>254.72132726472265</v>
      </c>
      <c r="BB86" s="520">
        <v>1691.3303170265017</v>
      </c>
      <c r="BC86" s="589">
        <v>946.160018581023</v>
      </c>
    </row>
    <row r="87" spans="1:55">
      <c r="A87" s="230" t="s">
        <v>181</v>
      </c>
      <c r="B87" s="588">
        <v>18.143121557218336</v>
      </c>
      <c r="C87" s="588">
        <v>1050.6493195771259</v>
      </c>
      <c r="D87" s="588">
        <v>849.58356703839308</v>
      </c>
      <c r="E87" s="588">
        <v>497.67714113108025</v>
      </c>
      <c r="F87" s="588">
        <v>8131.5330429185797</v>
      </c>
      <c r="G87" s="588">
        <v>471.0478867463616</v>
      </c>
      <c r="H87" s="588">
        <v>3982.8278158085059</v>
      </c>
      <c r="I87" s="589">
        <v>13408.315455176646</v>
      </c>
      <c r="J87" s="589">
        <v>14419.000582479632</v>
      </c>
      <c r="K87" s="589">
        <v>36847.759862091072</v>
      </c>
      <c r="L87" s="589">
        <v>1168.2447550562706</v>
      </c>
      <c r="M87" s="589">
        <v>2722.3048445195718</v>
      </c>
      <c r="N87" s="589">
        <v>2562.4396565865559</v>
      </c>
      <c r="O87" s="589">
        <v>4171.9699758653569</v>
      </c>
      <c r="P87" s="589">
        <v>214.84313086460651</v>
      </c>
      <c r="Q87" s="589">
        <v>803.7541665952192</v>
      </c>
      <c r="R87" s="589">
        <v>1098.612567744661</v>
      </c>
      <c r="S87" s="589">
        <v>1541.3520685097326</v>
      </c>
      <c r="T87" s="589">
        <v>1527.7134163894223</v>
      </c>
      <c r="U87" s="589">
        <v>17102.474423656349</v>
      </c>
      <c r="V87" s="589">
        <v>20786.010714896354</v>
      </c>
      <c r="W87" s="589">
        <v>2545.2349548963762</v>
      </c>
      <c r="X87" s="589">
        <v>5746.6425137240458</v>
      </c>
      <c r="Y87" s="520">
        <v>8.6718853272678853</v>
      </c>
      <c r="Z87" s="520">
        <v>583.99033065026833</v>
      </c>
      <c r="AA87" s="520">
        <v>424.89640597892873</v>
      </c>
      <c r="AB87" s="520">
        <v>46.267912478308268</v>
      </c>
      <c r="AC87" s="180">
        <v>0</v>
      </c>
      <c r="AD87" s="520">
        <v>322.32633876459306</v>
      </c>
      <c r="AE87" s="520">
        <v>37.612599024659637</v>
      </c>
      <c r="AF87" s="520">
        <v>1152.7773199474011</v>
      </c>
      <c r="AG87" s="520">
        <v>2331.418336894852</v>
      </c>
      <c r="AH87" s="520">
        <v>937.73298441542488</v>
      </c>
      <c r="AI87" s="520">
        <v>4480.957619084018</v>
      </c>
      <c r="AJ87" s="520">
        <v>7887.4040464524978</v>
      </c>
      <c r="AK87" s="520">
        <v>70.459068284051568</v>
      </c>
      <c r="AL87" s="520">
        <v>845.04046275094356</v>
      </c>
      <c r="AM87" s="520">
        <v>907.64748268679284</v>
      </c>
      <c r="AN87" s="520">
        <v>4797.6653314253017</v>
      </c>
      <c r="AO87" s="520">
        <v>11379.210233435924</v>
      </c>
      <c r="AP87" s="180">
        <f t="shared" si="0"/>
        <v>1389.2260175479387</v>
      </c>
      <c r="AQ87" s="180">
        <f t="shared" si="1"/>
        <v>509.29864872991288</v>
      </c>
      <c r="AR87" s="180">
        <f t="shared" si="2"/>
        <v>11784.385996538445</v>
      </c>
      <c r="AS87" s="180">
        <f t="shared" si="3"/>
        <v>20786.7360474651</v>
      </c>
      <c r="AT87" s="520">
        <v>13559.033938863306</v>
      </c>
      <c r="AU87" s="520">
        <v>16707.787756526068</v>
      </c>
      <c r="AV87" s="520">
        <v>18827.704646910526</v>
      </c>
      <c r="AW87" s="520">
        <v>1032.408995370004</v>
      </c>
      <c r="AX87" s="520">
        <v>15710.197064161513</v>
      </c>
      <c r="AY87" s="520">
        <v>11366.052878935569</v>
      </c>
      <c r="AZ87" s="520">
        <v>512.16724319773323</v>
      </c>
      <c r="BA87" s="520">
        <v>981.10230936038852</v>
      </c>
      <c r="BB87" s="520">
        <v>957.89826432238692</v>
      </c>
      <c r="BC87" s="589">
        <v>2722.3048445195718</v>
      </c>
    </row>
    <row r="88" spans="1:55">
      <c r="A88" s="230" t="s">
        <v>392</v>
      </c>
      <c r="B88" s="588">
        <v>15.094393023814078</v>
      </c>
      <c r="C88" s="588">
        <v>1611.8991949558999</v>
      </c>
      <c r="D88" s="588">
        <v>1843.2123430440322</v>
      </c>
      <c r="E88" s="588">
        <v>289.16737081226091</v>
      </c>
      <c r="F88" s="588">
        <v>16108.436961005194</v>
      </c>
      <c r="G88" s="588">
        <v>664.12420373914779</v>
      </c>
      <c r="H88" s="588">
        <v>4489.2249144049865</v>
      </c>
      <c r="I88" s="589">
        <v>22591.698096669184</v>
      </c>
      <c r="J88" s="589">
        <v>25304.176544240941</v>
      </c>
      <c r="K88" s="589">
        <v>3852.1402867596171</v>
      </c>
      <c r="L88" s="589">
        <v>1865.1384446473885</v>
      </c>
      <c r="M88" s="589">
        <v>4046.0115385078893</v>
      </c>
      <c r="N88" s="589">
        <v>5159.5000872373184</v>
      </c>
      <c r="O88" s="589">
        <v>8876.2870560235478</v>
      </c>
      <c r="P88" s="589">
        <v>301.1221918172734</v>
      </c>
      <c r="Q88" s="589">
        <v>1124.3555334102939</v>
      </c>
      <c r="R88" s="589">
        <v>1582.7525389243924</v>
      </c>
      <c r="S88" s="589">
        <v>2199.9917564695452</v>
      </c>
      <c r="T88" s="589">
        <v>2250.5868608799601</v>
      </c>
      <c r="U88" s="589">
        <v>2225.0541266910654</v>
      </c>
      <c r="V88" s="589">
        <v>37282.339538629269</v>
      </c>
      <c r="W88" s="589">
        <v>4276.6408064310745</v>
      </c>
      <c r="X88" s="589">
        <v>13193.680340806295</v>
      </c>
      <c r="Y88" s="520">
        <v>15.710160250862488</v>
      </c>
      <c r="Z88" s="520">
        <v>918.18363834415595</v>
      </c>
      <c r="AA88" s="520">
        <v>241.42073036379523</v>
      </c>
      <c r="AB88" s="520">
        <v>292.85003793913916</v>
      </c>
      <c r="AC88" s="180">
        <v>0</v>
      </c>
      <c r="AD88" s="520">
        <v>585.28804739040049</v>
      </c>
      <c r="AE88" s="520">
        <v>290.88084635497341</v>
      </c>
      <c r="AF88" s="520">
        <v>1794.2431312826059</v>
      </c>
      <c r="AG88" s="520">
        <v>906.88719181705778</v>
      </c>
      <c r="AH88" s="520">
        <v>1239.869429167423</v>
      </c>
      <c r="AI88" s="520">
        <v>8003.5379948466571</v>
      </c>
      <c r="AJ88" s="520">
        <v>14864.297808648378</v>
      </c>
      <c r="AK88" s="520">
        <v>127.64505203825773</v>
      </c>
      <c r="AL88" s="520">
        <v>4056.026487800822</v>
      </c>
      <c r="AM88" s="520">
        <v>1926.2987508167298</v>
      </c>
      <c r="AN88" s="520">
        <v>1866.2207338942171</v>
      </c>
      <c r="AO88" s="520">
        <v>17909.11260954721</v>
      </c>
      <c r="AP88" s="180">
        <f t="shared" si="0"/>
        <v>2011.1103854246328</v>
      </c>
      <c r="AQ88" s="180">
        <f t="shared" si="1"/>
        <v>712.73886261378368</v>
      </c>
      <c r="AR88" s="180">
        <f t="shared" si="2"/>
        <v>21048.353741965151</v>
      </c>
      <c r="AS88" s="180">
        <f t="shared" si="3"/>
        <v>39173.881959078433</v>
      </c>
      <c r="AT88" s="520">
        <v>34540.370187938643</v>
      </c>
      <c r="AU88" s="520">
        <v>29715.453072275781</v>
      </c>
      <c r="AV88" s="520">
        <v>35686.096299449026</v>
      </c>
      <c r="AW88" s="520">
        <v>401.59180349622483</v>
      </c>
      <c r="AX88" s="520">
        <v>27835.065462675393</v>
      </c>
      <c r="AY88" s="520">
        <v>18400.52881092942</v>
      </c>
      <c r="AZ88" s="520">
        <v>694.91943671361776</v>
      </c>
      <c r="BA88" s="520">
        <v>3706.0518777994848</v>
      </c>
      <c r="BB88" s="520">
        <v>1265.2365034211805</v>
      </c>
      <c r="BC88" s="589">
        <v>4046.0115385078893</v>
      </c>
    </row>
    <row r="89" spans="1:55">
      <c r="A89" s="230" t="s">
        <v>183</v>
      </c>
      <c r="B89" s="588">
        <v>3.0894801475882656</v>
      </c>
      <c r="C89" s="588">
        <v>152.18192584097551</v>
      </c>
      <c r="D89" s="588">
        <v>296.56703831388501</v>
      </c>
      <c r="E89" s="588">
        <v>152.46673568680046</v>
      </c>
      <c r="F89" s="588">
        <v>2949.4781223042482</v>
      </c>
      <c r="G89" s="588">
        <v>55.290523588338282</v>
      </c>
      <c r="H89" s="588">
        <v>241.51609647150954</v>
      </c>
      <c r="I89" s="589">
        <v>36270.350503855414</v>
      </c>
      <c r="J89" s="589">
        <v>15175.972386643363</v>
      </c>
      <c r="K89" s="589">
        <v>502.25012436087445</v>
      </c>
      <c r="L89" s="589">
        <v>193.910385418147</v>
      </c>
      <c r="M89" s="589">
        <v>732.54893229497577</v>
      </c>
      <c r="N89" s="589">
        <v>1207.6416092366219</v>
      </c>
      <c r="O89" s="589">
        <v>1199.1710308836271</v>
      </c>
      <c r="P89" s="589">
        <v>20.73224190271694</v>
      </c>
      <c r="Q89" s="589">
        <v>76.390509001867258</v>
      </c>
      <c r="R89" s="589">
        <v>144.37878710054005</v>
      </c>
      <c r="S89" s="589">
        <v>168.07932502830045</v>
      </c>
      <c r="T89" s="589">
        <v>178.92826577705267</v>
      </c>
      <c r="U89" s="589">
        <v>1301.8576021574534</v>
      </c>
      <c r="V89" s="589">
        <v>9172.4971670063696</v>
      </c>
      <c r="W89" s="589">
        <v>4815.1293820391093</v>
      </c>
      <c r="X89" s="589">
        <v>1801.2387793895502</v>
      </c>
      <c r="Y89" s="520">
        <v>2.3679336384478642</v>
      </c>
      <c r="Z89" s="520">
        <v>1123.0471653147422</v>
      </c>
      <c r="AA89" s="520">
        <v>125.93752540807434</v>
      </c>
      <c r="AB89" s="520">
        <v>20.634081206618713</v>
      </c>
      <c r="AC89" s="180">
        <v>0</v>
      </c>
      <c r="AD89" s="520">
        <v>1763.8069535735749</v>
      </c>
      <c r="AE89" s="520">
        <v>19.480570437022124</v>
      </c>
      <c r="AF89" s="520">
        <v>176.42281100801631</v>
      </c>
      <c r="AG89" s="520">
        <v>37.514410315634059</v>
      </c>
      <c r="AH89" s="520">
        <v>3743.7660636365927</v>
      </c>
      <c r="AI89" s="520">
        <v>21943.843974720254</v>
      </c>
      <c r="AJ89" s="520">
        <v>1412.5238766784532</v>
      </c>
      <c r="AK89" s="520">
        <v>19.239460812388895</v>
      </c>
      <c r="AL89" s="520">
        <v>947.96485359278336</v>
      </c>
      <c r="AM89" s="520">
        <v>258.64816922108571</v>
      </c>
      <c r="AN89" s="520">
        <v>77.19832299161439</v>
      </c>
      <c r="AO89" s="520">
        <v>42533.894776889116</v>
      </c>
      <c r="AP89" s="180">
        <f t="shared" si="0"/>
        <v>163.7954593019644</v>
      </c>
      <c r="AQ89" s="180">
        <f t="shared" si="1"/>
        <v>48.561375452292097</v>
      </c>
      <c r="AR89" s="180">
        <f t="shared" si="2"/>
        <v>57709.701726386542</v>
      </c>
      <c r="AS89" s="180">
        <f t="shared" si="3"/>
        <v>3722.6140327454291</v>
      </c>
      <c r="AT89" s="520">
        <v>4959.9980081533631</v>
      </c>
      <c r="AU89" s="520">
        <v>10662.272868835504</v>
      </c>
      <c r="AV89" s="520">
        <v>7452.2961716071159</v>
      </c>
      <c r="AW89" s="520">
        <v>16.612297352625919</v>
      </c>
      <c r="AX89" s="520">
        <v>10985.014386534029</v>
      </c>
      <c r="AY89" s="520">
        <v>2119.2580976437116</v>
      </c>
      <c r="AZ89" s="520">
        <v>41.206267888550769</v>
      </c>
      <c r="BA89" s="520">
        <v>1396.2920523511141</v>
      </c>
      <c r="BB89" s="520">
        <v>841.49741411449577</v>
      </c>
      <c r="BC89" s="589">
        <v>732.54893229497577</v>
      </c>
    </row>
    <row r="90" spans="1:55">
      <c r="A90" s="230" t="s">
        <v>184</v>
      </c>
      <c r="B90" s="588">
        <v>0.54505021057211001</v>
      </c>
      <c r="C90" s="588">
        <v>99.009988604182467</v>
      </c>
      <c r="D90" s="588">
        <v>110.7601002202792</v>
      </c>
      <c r="E90" s="588">
        <v>96.830399810456981</v>
      </c>
      <c r="F90" s="588">
        <v>2082.1947211015167</v>
      </c>
      <c r="G90" s="588">
        <v>39.664242782119558</v>
      </c>
      <c r="H90" s="588">
        <v>220.1878011550447</v>
      </c>
      <c r="I90" s="589">
        <v>5324.5857406535461</v>
      </c>
      <c r="J90" s="589">
        <v>3681.6714376761811</v>
      </c>
      <c r="K90" s="589">
        <v>305.42066180746099</v>
      </c>
      <c r="L90" s="589">
        <v>126.6649574252333</v>
      </c>
      <c r="M90" s="589">
        <v>485.19969962453229</v>
      </c>
      <c r="N90" s="589">
        <v>1121.5138516748884</v>
      </c>
      <c r="O90" s="589">
        <v>697.83715295371326</v>
      </c>
      <c r="P90" s="589">
        <v>16.293244138071795</v>
      </c>
      <c r="Q90" s="589">
        <v>60.571896697286029</v>
      </c>
      <c r="R90" s="589">
        <v>111.51614175780691</v>
      </c>
      <c r="S90" s="589">
        <v>124.12352440084871</v>
      </c>
      <c r="T90" s="589">
        <v>133.35109372408914</v>
      </c>
      <c r="U90" s="589">
        <v>628.13159994500609</v>
      </c>
      <c r="V90" s="589">
        <v>3372.9473492999341</v>
      </c>
      <c r="W90" s="589">
        <v>3180.1565008815364</v>
      </c>
      <c r="X90" s="589">
        <v>1362.4639709907638</v>
      </c>
      <c r="Y90" s="520">
        <v>1.2989891176333972</v>
      </c>
      <c r="Z90" s="520">
        <v>499.63205866430468</v>
      </c>
      <c r="AA90" s="520">
        <v>95.3344877525671</v>
      </c>
      <c r="AB90" s="520">
        <v>17.848944105124151</v>
      </c>
      <c r="AC90" s="180">
        <v>0</v>
      </c>
      <c r="AD90" s="520">
        <v>888.30287271144141</v>
      </c>
      <c r="AE90" s="520">
        <v>17.628052422602774</v>
      </c>
      <c r="AF90" s="520">
        <v>112.95180485810026</v>
      </c>
      <c r="AG90" s="520">
        <v>34.029542119320887</v>
      </c>
      <c r="AH90" s="520">
        <v>1986.4599832376803</v>
      </c>
      <c r="AI90" s="520">
        <v>2704.7565906119144</v>
      </c>
      <c r="AJ90" s="520">
        <v>1036.0358772156851</v>
      </c>
      <c r="AK90" s="520">
        <v>10.554286580771354</v>
      </c>
      <c r="AL90" s="520">
        <v>744.27905660958686</v>
      </c>
      <c r="AM90" s="520">
        <v>153.81094538340216</v>
      </c>
      <c r="AN90" s="520">
        <v>70.027052582758387</v>
      </c>
      <c r="AO90" s="520">
        <v>5350.3118200633826</v>
      </c>
      <c r="AP90" s="180">
        <f t="shared" si="0"/>
        <v>122.99691996091492</v>
      </c>
      <c r="AQ90" s="180">
        <f t="shared" si="1"/>
        <v>38.43257041767891</v>
      </c>
      <c r="AR90" s="180">
        <f t="shared" si="2"/>
        <v>7113.1883851576495</v>
      </c>
      <c r="AS90" s="180">
        <f t="shared" si="3"/>
        <v>2730.4046031561579</v>
      </c>
      <c r="AT90" s="520">
        <v>3605.6445529872472</v>
      </c>
      <c r="AU90" s="520">
        <v>3345.8884614270319</v>
      </c>
      <c r="AV90" s="520">
        <v>3218.2264230702535</v>
      </c>
      <c r="AW90" s="520">
        <v>15.06911258109994</v>
      </c>
      <c r="AX90" s="520">
        <v>3370.7888945854656</v>
      </c>
      <c r="AY90" s="520">
        <v>1309.2279939373534</v>
      </c>
      <c r="AZ90" s="520">
        <v>35.237482192679302</v>
      </c>
      <c r="BA90" s="520">
        <v>731.04216089312968</v>
      </c>
      <c r="BB90" s="520">
        <v>384.95482067541144</v>
      </c>
      <c r="BC90" s="589">
        <v>485.19969962453229</v>
      </c>
    </row>
    <row r="91" spans="1:55">
      <c r="A91" s="230" t="s">
        <v>185</v>
      </c>
      <c r="B91" s="588">
        <v>1.707496280434686</v>
      </c>
      <c r="C91" s="588">
        <v>850.80638468427844</v>
      </c>
      <c r="D91" s="588">
        <v>952.24951803157285</v>
      </c>
      <c r="E91" s="588">
        <v>164.20428102094451</v>
      </c>
      <c r="F91" s="588">
        <v>13846.534788649467</v>
      </c>
      <c r="G91" s="588">
        <v>291.90249141772711</v>
      </c>
      <c r="H91" s="588">
        <v>1092.1938245849421</v>
      </c>
      <c r="I91" s="589">
        <v>43675.231085135034</v>
      </c>
      <c r="J91" s="589">
        <v>73531.796663513218</v>
      </c>
      <c r="K91" s="589">
        <v>2023.5739595468494</v>
      </c>
      <c r="L91" s="589">
        <v>950.18933966470536</v>
      </c>
      <c r="M91" s="589">
        <v>4278.952014258065</v>
      </c>
      <c r="N91" s="589">
        <v>11089.32036922457</v>
      </c>
      <c r="O91" s="589">
        <v>17663.411713025809</v>
      </c>
      <c r="P91" s="589">
        <v>126.48695102175043</v>
      </c>
      <c r="Q91" s="589">
        <v>460.30479312077904</v>
      </c>
      <c r="R91" s="589">
        <v>704.07468319104782</v>
      </c>
      <c r="S91" s="589">
        <v>1067.5185042424946</v>
      </c>
      <c r="T91" s="589">
        <v>903.99724966032693</v>
      </c>
      <c r="U91" s="589">
        <v>8373.4047569469622</v>
      </c>
      <c r="V91" s="589">
        <v>142382.50692183097</v>
      </c>
      <c r="W91" s="589">
        <v>1923.3540899601012</v>
      </c>
      <c r="X91" s="589">
        <v>11789.698117321101</v>
      </c>
      <c r="Y91" s="520">
        <v>13.868679458320065</v>
      </c>
      <c r="Z91" s="520">
        <v>3906.0331102199625</v>
      </c>
      <c r="AA91" s="520">
        <v>127.34059782075256</v>
      </c>
      <c r="AB91" s="520">
        <v>1700.71276091296</v>
      </c>
      <c r="AC91" s="180">
        <v>0</v>
      </c>
      <c r="AD91" s="520">
        <v>1543.8703735321174</v>
      </c>
      <c r="AE91" s="529">
        <v>1952.2151268064526</v>
      </c>
      <c r="AF91" s="529">
        <v>943.20718970364749</v>
      </c>
      <c r="AG91" s="520">
        <v>302.29288576096013</v>
      </c>
      <c r="AH91" s="520">
        <v>666.08134769441403</v>
      </c>
      <c r="AI91" s="520">
        <v>22850.235150274093</v>
      </c>
      <c r="AJ91" s="520">
        <v>97338.557272879843</v>
      </c>
      <c r="AK91" s="529">
        <v>112.68302059885052</v>
      </c>
      <c r="AL91" s="529">
        <v>9954.3214204690848</v>
      </c>
      <c r="AM91" s="520">
        <v>1570.5583513399051</v>
      </c>
      <c r="AN91" s="529">
        <v>622.06772375457945</v>
      </c>
      <c r="AO91" s="520">
        <v>44919.370886986922</v>
      </c>
      <c r="AP91" s="180">
        <f t="shared" si="0"/>
        <v>891.86347903128978</v>
      </c>
      <c r="AQ91" s="180">
        <f t="shared" si="1"/>
        <v>293.39587207126476</v>
      </c>
      <c r="AR91" s="180">
        <f t="shared" si="2"/>
        <v>60093.402797579918</v>
      </c>
      <c r="AS91" s="180">
        <f t="shared" si="3"/>
        <v>256529.38347724889</v>
      </c>
      <c r="AT91" s="520">
        <v>29006.406843689929</v>
      </c>
      <c r="AU91" s="520">
        <v>109441.24370909145</v>
      </c>
      <c r="AV91" s="520">
        <v>138297.57421632914</v>
      </c>
      <c r="AW91" s="520">
        <v>133.8626747319984</v>
      </c>
      <c r="AX91" s="520">
        <v>96574.983780869574</v>
      </c>
      <c r="AY91" s="520">
        <v>11450.088071402339</v>
      </c>
      <c r="AZ91" s="520">
        <v>243.44689033485142</v>
      </c>
      <c r="BA91" s="520">
        <v>1431.6818698536924</v>
      </c>
      <c r="BB91" s="520">
        <v>2922.640068575884</v>
      </c>
      <c r="BC91" s="589">
        <v>4278.952014258065</v>
      </c>
    </row>
    <row r="92" spans="1:55">
      <c r="A92" s="230" t="s">
        <v>186</v>
      </c>
      <c r="B92" s="588">
        <v>0.10964851025022591</v>
      </c>
      <c r="C92" s="588">
        <v>9.5014582188275121</v>
      </c>
      <c r="D92" s="588">
        <v>12.374961315290278</v>
      </c>
      <c r="E92" s="588">
        <v>4.3126753762693806</v>
      </c>
      <c r="F92" s="588">
        <v>192.30185581054047</v>
      </c>
      <c r="G92" s="588">
        <v>3.6404106995230894</v>
      </c>
      <c r="H92" s="588">
        <v>31.29456866115601</v>
      </c>
      <c r="I92" s="589">
        <v>287.78738944142941</v>
      </c>
      <c r="J92" s="589">
        <v>231.12937713648429</v>
      </c>
      <c r="K92" s="589">
        <v>25.552916730590471</v>
      </c>
      <c r="L92" s="589">
        <v>12.313003584651936</v>
      </c>
      <c r="M92" s="589">
        <v>21.300129832705267</v>
      </c>
      <c r="N92" s="589">
        <v>26.544226589398811</v>
      </c>
      <c r="O92" s="589">
        <v>45.93292942733305</v>
      </c>
      <c r="P92" s="589">
        <v>1.6565214715380341</v>
      </c>
      <c r="Q92" s="589">
        <v>6.2999279892452069</v>
      </c>
      <c r="R92" s="589">
        <v>11.055468635984159</v>
      </c>
      <c r="S92" s="589">
        <v>11.063099642021786</v>
      </c>
      <c r="T92" s="589">
        <v>16.0440768053606</v>
      </c>
      <c r="U92" s="589">
        <v>7.428029556408636</v>
      </c>
      <c r="V92" s="589">
        <v>303.08070648447409</v>
      </c>
      <c r="W92" s="589">
        <v>257.8335236862498</v>
      </c>
      <c r="X92" s="589">
        <v>154.36895413544673</v>
      </c>
      <c r="Y92" s="520">
        <v>6.8218461668278135E-2</v>
      </c>
      <c r="Z92" s="520">
        <v>2.4895602677965543</v>
      </c>
      <c r="AA92" s="520">
        <v>7.7983340549564177</v>
      </c>
      <c r="AB92" s="520">
        <v>2.6582897038908722</v>
      </c>
      <c r="AC92" s="180">
        <v>0</v>
      </c>
      <c r="AD92" s="520">
        <v>3.1161470489700962</v>
      </c>
      <c r="AE92" s="520">
        <v>2.5089470304024908</v>
      </c>
      <c r="AF92" s="520">
        <v>11.051055312438313</v>
      </c>
      <c r="AG92" s="520">
        <v>5.424120149874641</v>
      </c>
      <c r="AH92" s="520">
        <v>40.467602472169204</v>
      </c>
      <c r="AI92" s="520">
        <v>121.86117122486448</v>
      </c>
      <c r="AJ92" s="520">
        <v>88.401418883401163</v>
      </c>
      <c r="AK92" s="520">
        <v>0.5542750010547598</v>
      </c>
      <c r="AL92" s="520">
        <v>40.710673959365771</v>
      </c>
      <c r="AM92" s="520">
        <v>11.370986625069055</v>
      </c>
      <c r="AN92" s="520">
        <v>11.161923531577949</v>
      </c>
      <c r="AO92" s="520">
        <v>252.74610814053068</v>
      </c>
      <c r="AP92" s="180">
        <f t="shared" si="0"/>
        <v>12.720881694455514</v>
      </c>
      <c r="AQ92" s="180">
        <f t="shared" si="1"/>
        <v>3.9782247303916205</v>
      </c>
      <c r="AR92" s="180">
        <f t="shared" si="2"/>
        <v>320.48039766946533</v>
      </c>
      <c r="AS92" s="180">
        <f t="shared" si="3"/>
        <v>232.97614141843539</v>
      </c>
      <c r="AT92" s="520">
        <v>442.66390608353834</v>
      </c>
      <c r="AU92" s="520">
        <v>241.23944207727797</v>
      </c>
      <c r="AV92" s="520">
        <v>286.0283267498653</v>
      </c>
      <c r="AW92" s="520">
        <v>2.4019329118585513</v>
      </c>
      <c r="AX92" s="520">
        <v>230.78137274319599</v>
      </c>
      <c r="AY92" s="520">
        <v>106.85045939656175</v>
      </c>
      <c r="AZ92" s="520">
        <v>4.0436733582143942</v>
      </c>
      <c r="BA92" s="520">
        <v>12.059816352364885</v>
      </c>
      <c r="BB92" s="520">
        <v>5.5962612283230762</v>
      </c>
      <c r="BC92" s="589">
        <v>21.300129832705267</v>
      </c>
    </row>
    <row r="93" spans="1:55">
      <c r="A93" s="230" t="s">
        <v>187</v>
      </c>
      <c r="B93" s="588">
        <v>9.6428070818056211E-2</v>
      </c>
      <c r="C93" s="588">
        <v>29.448801469338044</v>
      </c>
      <c r="D93" s="588">
        <v>20.010739347058497</v>
      </c>
      <c r="E93" s="588">
        <v>7.7400838266734286</v>
      </c>
      <c r="F93" s="588">
        <v>359.94166675136307</v>
      </c>
      <c r="G93" s="588">
        <v>10.373211412764501</v>
      </c>
      <c r="H93" s="588">
        <v>80.988902307974399</v>
      </c>
      <c r="I93" s="589">
        <v>444.79871241990975</v>
      </c>
      <c r="J93" s="589">
        <v>456.41106999836018</v>
      </c>
      <c r="K93" s="589">
        <v>69.883372684064469</v>
      </c>
      <c r="L93" s="589">
        <v>37.73871996596948</v>
      </c>
      <c r="M93" s="589">
        <v>67.514924616419137</v>
      </c>
      <c r="N93" s="589">
        <v>70.931974710007751</v>
      </c>
      <c r="O93" s="589">
        <v>193.83618541532658</v>
      </c>
      <c r="P93" s="589">
        <v>5.4363667350690186</v>
      </c>
      <c r="Q93" s="589">
        <v>20.410630760814151</v>
      </c>
      <c r="R93" s="589">
        <v>28.231726930848538</v>
      </c>
      <c r="S93" s="589">
        <v>39.085732486961241</v>
      </c>
      <c r="T93" s="589">
        <v>43.768702169202911</v>
      </c>
      <c r="U93" s="589">
        <v>21.72218873251547</v>
      </c>
      <c r="V93" s="589">
        <v>647.67043295141161</v>
      </c>
      <c r="W93" s="589">
        <v>660.04787018460615</v>
      </c>
      <c r="X93" s="589">
        <v>324.2978193836895</v>
      </c>
      <c r="Y93" s="520">
        <v>0.33146913458142557</v>
      </c>
      <c r="Z93" s="520">
        <v>6.2711396997739604</v>
      </c>
      <c r="AA93" s="520">
        <v>14.881509613159558</v>
      </c>
      <c r="AB93" s="520">
        <v>7.1656726784554143</v>
      </c>
      <c r="AC93" s="180">
        <v>0</v>
      </c>
      <c r="AD93" s="520">
        <v>11.577578127911792</v>
      </c>
      <c r="AE93" s="520">
        <v>7.4110399312832733</v>
      </c>
      <c r="AF93" s="520">
        <v>33.557206504662055</v>
      </c>
      <c r="AG93" s="520">
        <v>13.952576697983353</v>
      </c>
      <c r="AH93" s="520">
        <v>110.65738475494918</v>
      </c>
      <c r="AI93" s="520">
        <v>146.51972766702542</v>
      </c>
      <c r="AJ93" s="520">
        <v>183.68554385600578</v>
      </c>
      <c r="AK93" s="520">
        <v>2.6931867184740828</v>
      </c>
      <c r="AL93" s="520">
        <v>89.276949136442454</v>
      </c>
      <c r="AM93" s="520">
        <v>43.277307522512224</v>
      </c>
      <c r="AN93" s="520">
        <v>28.712047275532029</v>
      </c>
      <c r="AO93" s="520">
        <v>329.77323041068354</v>
      </c>
      <c r="AP93" s="180">
        <f t="shared" si="0"/>
        <v>37.028720529004225</v>
      </c>
      <c r="AQ93" s="180">
        <f t="shared" si="1"/>
        <v>12.923498747941585</v>
      </c>
      <c r="AR93" s="180">
        <f t="shared" si="2"/>
        <v>385.32947055385807</v>
      </c>
      <c r="AS93" s="180">
        <f t="shared" si="3"/>
        <v>484.09120331386868</v>
      </c>
      <c r="AT93" s="520">
        <v>891.88708978820205</v>
      </c>
      <c r="AU93" s="520">
        <v>499.44671853890378</v>
      </c>
      <c r="AV93" s="520">
        <v>620.74665608999533</v>
      </c>
      <c r="AW93" s="520">
        <v>6.1785418187853871</v>
      </c>
      <c r="AX93" s="520">
        <v>477.24210849806894</v>
      </c>
      <c r="AY93" s="520">
        <v>390.35430745713688</v>
      </c>
      <c r="AZ93" s="520">
        <v>12.441377873835137</v>
      </c>
      <c r="BA93" s="520">
        <v>32.718035468478718</v>
      </c>
      <c r="BB93" s="520">
        <v>14.755744689950451</v>
      </c>
      <c r="BC93" s="589">
        <v>67.514924616419137</v>
      </c>
    </row>
    <row r="94" spans="1:55">
      <c r="A94" s="230" t="s">
        <v>188</v>
      </c>
      <c r="B94" s="588">
        <v>10.489955547754967</v>
      </c>
      <c r="C94" s="588">
        <v>4532.1408975734294</v>
      </c>
      <c r="D94" s="588">
        <v>2788.4500826591066</v>
      </c>
      <c r="E94" s="588">
        <v>696.46018085944559</v>
      </c>
      <c r="F94" s="588">
        <v>15331.821228909515</v>
      </c>
      <c r="G94" s="588">
        <v>2689.0178499588919</v>
      </c>
      <c r="H94" s="588">
        <v>17795.267489111029</v>
      </c>
      <c r="I94" s="589">
        <v>41781.305808277757</v>
      </c>
      <c r="J94" s="589">
        <v>40313.882752754434</v>
      </c>
      <c r="K94" s="591">
        <v>167674.23156737312</v>
      </c>
      <c r="L94" s="589">
        <v>4992.0330225898015</v>
      </c>
      <c r="M94" s="589">
        <v>8406.3383270502309</v>
      </c>
      <c r="N94" s="589">
        <v>10804.038839281031</v>
      </c>
      <c r="O94" s="589">
        <v>20059.60099934151</v>
      </c>
      <c r="P94" s="589">
        <v>1206.9897174784205</v>
      </c>
      <c r="Q94" s="589">
        <v>4470.5918564267031</v>
      </c>
      <c r="R94" s="589">
        <v>7210.7338964297069</v>
      </c>
      <c r="S94" s="589">
        <v>8988.1030623857187</v>
      </c>
      <c r="T94" s="589">
        <v>8327.4560106037861</v>
      </c>
      <c r="U94" s="589">
        <v>3687.2897593469588</v>
      </c>
      <c r="V94" s="589">
        <v>55505.226237539522</v>
      </c>
      <c r="W94" s="589">
        <v>5937.4806722164394</v>
      </c>
      <c r="X94" s="589">
        <v>17050.516364656971</v>
      </c>
      <c r="Y94" s="520">
        <v>43.355399315679641</v>
      </c>
      <c r="Z94" s="520">
        <v>3363.9486540024959</v>
      </c>
      <c r="AA94" s="520">
        <v>619.63302926829226</v>
      </c>
      <c r="AB94" s="520">
        <v>95.281490770743005</v>
      </c>
      <c r="AC94" s="180">
        <v>0</v>
      </c>
      <c r="AD94" s="520">
        <v>969.87705103587916</v>
      </c>
      <c r="AE94" s="520">
        <v>58.472421645081596</v>
      </c>
      <c r="AF94" s="520">
        <v>4536.6996804216587</v>
      </c>
      <c r="AG94" s="520">
        <v>9208.0316451390245</v>
      </c>
      <c r="AH94" s="520">
        <v>2525.4037806678239</v>
      </c>
      <c r="AI94" s="520">
        <v>13988.836655410387</v>
      </c>
      <c r="AJ94" s="520">
        <v>13920.091689144772</v>
      </c>
      <c r="AK94" s="520">
        <v>352.26261943989709</v>
      </c>
      <c r="AL94" s="520">
        <v>1956.6143431514326</v>
      </c>
      <c r="AM94" s="520">
        <v>4272.0677409196906</v>
      </c>
      <c r="AN94" s="520">
        <v>18948.574563151422</v>
      </c>
      <c r="AO94" s="520">
        <v>37752.414217119011</v>
      </c>
      <c r="AP94" s="180">
        <f t="shared" si="0"/>
        <v>8175.4309898064048</v>
      </c>
      <c r="AQ94" s="180">
        <f t="shared" si="1"/>
        <v>2838.7907869525616</v>
      </c>
      <c r="AR94" s="180">
        <f t="shared" si="2"/>
        <v>36788.977893430711</v>
      </c>
      <c r="AS94" s="180">
        <f t="shared" si="3"/>
        <v>36685.488659466711</v>
      </c>
      <c r="AT94" s="520">
        <v>34608.883826051439</v>
      </c>
      <c r="AU94" s="520">
        <v>42956.874713370795</v>
      </c>
      <c r="AV94" s="520">
        <v>48459.160594983892</v>
      </c>
      <c r="AW94" s="520">
        <v>4077.5413616908213</v>
      </c>
      <c r="AX94" s="520">
        <v>41294.392254802457</v>
      </c>
      <c r="AY94" s="520">
        <v>51622.078862417999</v>
      </c>
      <c r="AZ94" s="520">
        <v>2791.1320690909206</v>
      </c>
      <c r="BA94" s="520">
        <v>3933.5427984511653</v>
      </c>
      <c r="BB94" s="520">
        <v>3859.029065064939</v>
      </c>
      <c r="BC94" s="589">
        <v>8406.3383270502309</v>
      </c>
    </row>
    <row r="95" spans="1:55">
      <c r="A95" s="230" t="s">
        <v>189</v>
      </c>
      <c r="B95" s="588">
        <v>6.2636941740598931E-2</v>
      </c>
      <c r="C95" s="588">
        <v>39.664109633521512</v>
      </c>
      <c r="D95" s="588">
        <v>576.21386757805965</v>
      </c>
      <c r="E95" s="588">
        <v>1.0005581895682276</v>
      </c>
      <c r="F95" s="588">
        <v>77.667097862178423</v>
      </c>
      <c r="G95" s="588">
        <v>21.312330718181599</v>
      </c>
      <c r="H95" s="588">
        <v>110.70031311824611</v>
      </c>
      <c r="I95" s="589">
        <v>344.78388837505577</v>
      </c>
      <c r="J95" s="589">
        <v>371.55494539637237</v>
      </c>
      <c r="K95" s="589">
        <v>74.007536109573749</v>
      </c>
      <c r="L95" s="589">
        <v>48.802506445956141</v>
      </c>
      <c r="M95" s="589">
        <v>921.64423953502796</v>
      </c>
      <c r="N95" s="589">
        <v>100.6434529437299</v>
      </c>
      <c r="O95" s="589">
        <v>194.65985585020184</v>
      </c>
      <c r="P95" s="589">
        <v>5.2892338691812135</v>
      </c>
      <c r="Q95" s="589">
        <v>20.095230243527688</v>
      </c>
      <c r="R95" s="589">
        <v>27.706108408497354</v>
      </c>
      <c r="S95" s="589">
        <v>37.020723173314664</v>
      </c>
      <c r="T95" s="589">
        <v>48.436287152012</v>
      </c>
      <c r="U95" s="589">
        <v>20.960025755338499</v>
      </c>
      <c r="V95" s="589">
        <v>513.65543928293596</v>
      </c>
      <c r="W95" s="589">
        <v>42.553947315475298</v>
      </c>
      <c r="X95" s="589">
        <v>149.51774403436178</v>
      </c>
      <c r="Y95" s="520">
        <v>0.41555593331994545</v>
      </c>
      <c r="Z95" s="520">
        <v>3.670460949731444</v>
      </c>
      <c r="AA95" s="520">
        <v>1.1189467743231047</v>
      </c>
      <c r="AB95" s="520">
        <v>1.2749499487126719</v>
      </c>
      <c r="AC95" s="180">
        <v>0</v>
      </c>
      <c r="AD95" s="520">
        <v>8.9930716497825482</v>
      </c>
      <c r="AE95" s="520">
        <v>0.91770616347671141</v>
      </c>
      <c r="AF95" s="520">
        <v>41.447851388935042</v>
      </c>
      <c r="AG95" s="520">
        <v>18.998476542056189</v>
      </c>
      <c r="AH95" s="520">
        <v>20.799953084418835</v>
      </c>
      <c r="AI95" s="520">
        <v>137.3043235376839</v>
      </c>
      <c r="AJ95" s="520">
        <v>169.48361045640263</v>
      </c>
      <c r="AK95" s="520">
        <v>3.376391958224557</v>
      </c>
      <c r="AL95" s="520">
        <v>22.137206434512962</v>
      </c>
      <c r="AM95" s="520">
        <v>41.104652336806879</v>
      </c>
      <c r="AN95" s="520">
        <v>39.095657271494929</v>
      </c>
      <c r="AO95" s="520">
        <v>325.84419377546692</v>
      </c>
      <c r="AP95" s="180">
        <f t="shared" si="0"/>
        <v>37.72103957794134</v>
      </c>
      <c r="AQ95" s="180">
        <f t="shared" si="1"/>
        <v>12.692232056354451</v>
      </c>
      <c r="AR95" s="180">
        <f t="shared" si="2"/>
        <v>361.09405290300913</v>
      </c>
      <c r="AS95" s="180">
        <f t="shared" si="3"/>
        <v>446.66293931184811</v>
      </c>
      <c r="AT95" s="520">
        <v>273.12554340329621</v>
      </c>
      <c r="AU95" s="520">
        <v>411.64147555112805</v>
      </c>
      <c r="AV95" s="520">
        <v>487.23991708478343</v>
      </c>
      <c r="AW95" s="520">
        <v>8.4129895394356371</v>
      </c>
      <c r="AX95" s="520">
        <v>390.79534770975971</v>
      </c>
      <c r="AY95" s="520">
        <v>496.33718879776052</v>
      </c>
      <c r="AZ95" s="520">
        <v>12.092814019934567</v>
      </c>
      <c r="BA95" s="520">
        <v>37.326326032018642</v>
      </c>
      <c r="BB95" s="520">
        <v>15.770963759264696</v>
      </c>
      <c r="BC95" s="589">
        <v>921.64423953502796</v>
      </c>
    </row>
    <row r="96" spans="1:55">
      <c r="A96" s="230" t="s">
        <v>190</v>
      </c>
      <c r="B96" s="590">
        <v>8377.7990787137005</v>
      </c>
      <c r="C96" s="590">
        <v>1710065.8879972023</v>
      </c>
      <c r="D96" s="590">
        <v>1100350.1080937067</v>
      </c>
      <c r="E96" s="590">
        <v>618052.39184041834</v>
      </c>
      <c r="F96" s="590">
        <v>10745213.246807232</v>
      </c>
      <c r="G96" s="590">
        <v>893726.20446754887</v>
      </c>
      <c r="H96" s="590">
        <v>4039630.0283828704</v>
      </c>
      <c r="I96" s="591">
        <v>18145588.47197295</v>
      </c>
      <c r="J96" s="591">
        <v>18040988.183211464</v>
      </c>
      <c r="K96" s="591">
        <v>3187794.5277625322</v>
      </c>
      <c r="L96" s="591">
        <v>1916350.1559794289</v>
      </c>
      <c r="M96" s="591">
        <v>3564007.5087478166</v>
      </c>
      <c r="N96" s="591">
        <v>4999944.5250694584</v>
      </c>
      <c r="O96" s="591">
        <v>9537223.6746075451</v>
      </c>
      <c r="P96" s="591">
        <v>299418.48692283884</v>
      </c>
      <c r="Q96" s="591">
        <v>1111374.914683803</v>
      </c>
      <c r="R96" s="591">
        <v>1336711.2655169812</v>
      </c>
      <c r="S96" s="591">
        <v>1635103.2517109504</v>
      </c>
      <c r="T96" s="591">
        <v>1939735.3479714994</v>
      </c>
      <c r="U96" s="591">
        <v>2073805.6418585584</v>
      </c>
      <c r="V96" s="591">
        <v>22676528.258137483</v>
      </c>
      <c r="W96" s="591">
        <v>2939287.5262392913</v>
      </c>
      <c r="X96" s="591">
        <v>8005889.315477347</v>
      </c>
      <c r="Y96" s="1063">
        <v>20448.159646060114</v>
      </c>
      <c r="Z96" s="1063">
        <v>253517.60713968365</v>
      </c>
      <c r="AA96" s="1063">
        <v>1145502.3845888169</v>
      </c>
      <c r="AB96" s="1063">
        <v>55801.182135059804</v>
      </c>
      <c r="AC96" s="592">
        <v>0</v>
      </c>
      <c r="AD96" s="1063">
        <v>756471.17629796674</v>
      </c>
      <c r="AE96" s="1063">
        <v>37876.88358272599</v>
      </c>
      <c r="AF96" s="1063">
        <v>1774359.7081197693</v>
      </c>
      <c r="AG96" s="1063">
        <v>963029.8230024121</v>
      </c>
      <c r="AH96" s="1063">
        <v>1674844.7142340709</v>
      </c>
      <c r="AI96" s="1063">
        <v>5807068.7606909247</v>
      </c>
      <c r="AJ96" s="1063">
        <v>6386749.9050098602</v>
      </c>
      <c r="AK96" s="1063">
        <v>166141.29712423845</v>
      </c>
      <c r="AL96" s="1063">
        <v>917940.12458410778</v>
      </c>
      <c r="AM96" s="1063">
        <v>2018985.5730836866</v>
      </c>
      <c r="AN96" s="1063">
        <v>1981752.7904927405</v>
      </c>
      <c r="AO96" s="1063">
        <v>14036935.562703688</v>
      </c>
      <c r="AP96" s="592">
        <f t="shared" si="0"/>
        <v>1637183.2883998107</v>
      </c>
      <c r="AQ96" s="592">
        <f t="shared" si="1"/>
        <v>705396.70080332085</v>
      </c>
      <c r="AR96" s="592">
        <f t="shared" si="2"/>
        <v>15271900.696621805</v>
      </c>
      <c r="AS96" s="592">
        <f t="shared" si="3"/>
        <v>16831860.482198045</v>
      </c>
      <c r="AT96" s="1063">
        <v>20854108.504523959</v>
      </c>
      <c r="AU96" s="1063">
        <v>19311666.182193667</v>
      </c>
      <c r="AV96" s="1063">
        <v>21500469.341165002</v>
      </c>
      <c r="AW96" s="1063">
        <v>426453.13213135017</v>
      </c>
      <c r="AX96" s="1063">
        <v>18598918.153946266</v>
      </c>
      <c r="AY96" s="1063">
        <v>21003104.739019841</v>
      </c>
      <c r="AZ96" s="1063">
        <v>467876.90468987805</v>
      </c>
      <c r="BA96" s="1063">
        <v>1559576.1412552951</v>
      </c>
      <c r="BB96" s="1063">
        <v>720958.91939714865</v>
      </c>
      <c r="BC96" s="591">
        <v>3564007.5087478166</v>
      </c>
    </row>
    <row r="97" spans="1:55">
      <c r="A97" s="230" t="s">
        <v>393</v>
      </c>
      <c r="B97" s="593">
        <f>B96+B86*$B$118/$B$120+B87*$B$119/$B$120</f>
        <v>8415.7005154326071</v>
      </c>
      <c r="C97" s="593">
        <f>C96+C86*$B$118/$B$120+C87*$B$119/$B$120</f>
        <v>1712543.8238405804</v>
      </c>
      <c r="D97" s="593">
        <f>D96+D86*$B$118/$B$120+D87*$B$119/$B$120</f>
        <v>1104939.3228888535</v>
      </c>
      <c r="E97" s="1062">
        <v>619085.59989888151</v>
      </c>
      <c r="F97" s="1062">
        <v>10763750.565724982</v>
      </c>
      <c r="G97" s="1062">
        <v>894936.40093380609</v>
      </c>
      <c r="H97" s="1062">
        <v>4051765.3989560562</v>
      </c>
      <c r="I97" s="1062">
        <v>18180262.111558732</v>
      </c>
      <c r="J97" s="1062">
        <v>18075575.527523555</v>
      </c>
      <c r="K97" s="1062">
        <v>3249200.6497611543</v>
      </c>
      <c r="L97" s="1062">
        <v>1919099.7067981979</v>
      </c>
      <c r="M97" s="1062">
        <v>3571234.2817518772</v>
      </c>
      <c r="N97" s="1062">
        <v>5007876.2421486592</v>
      </c>
      <c r="O97" s="1062">
        <v>9547512.3165826686</v>
      </c>
      <c r="P97" s="1062">
        <v>300091.32033546269</v>
      </c>
      <c r="Q97" s="1062">
        <v>1113871.391582737</v>
      </c>
      <c r="R97" s="1062">
        <v>1340064.9208426545</v>
      </c>
      <c r="S97" s="1062">
        <v>1640051.5342820492</v>
      </c>
      <c r="T97" s="1062">
        <v>1945329.0168849668</v>
      </c>
      <c r="U97" s="1062">
        <v>2108054.2382446458</v>
      </c>
      <c r="V97" s="1062">
        <v>22729943.500465013</v>
      </c>
      <c r="W97" s="1062">
        <v>2949417.2276778426</v>
      </c>
      <c r="X97" s="1062">
        <v>8019937.6308496045</v>
      </c>
      <c r="Y97" s="1063">
        <v>20469.333682476088</v>
      </c>
      <c r="Z97" s="1063">
        <v>261400.60055464093</v>
      </c>
      <c r="AA97" s="1062">
        <v>1146452.1446921539</v>
      </c>
      <c r="AB97" s="1062">
        <v>55931.356174524728</v>
      </c>
      <c r="AC97" s="593">
        <v>0</v>
      </c>
      <c r="AD97" s="1062">
        <v>757189.46056951955</v>
      </c>
      <c r="AE97" s="593">
        <f>AE96+AE86*$B$118/$B$120+AE87*$B$119/$B$120</f>
        <v>37987.503943919779</v>
      </c>
      <c r="AF97" s="593">
        <f>AF96+AF86*$B$118/$B$120+AF87*$B$119/$B$120</f>
        <v>1777011.7590384041</v>
      </c>
      <c r="AG97" s="1062">
        <v>973706.68410884123</v>
      </c>
      <c r="AH97" s="1062">
        <v>1677572.9505049614</v>
      </c>
      <c r="AI97" s="1062">
        <v>5818083.9306244981</v>
      </c>
      <c r="AJ97" s="1062">
        <v>6405448.728191033</v>
      </c>
      <c r="AK97" s="593">
        <f>AK96+AK86*$B$118/$B$120+AK87*$B$119/$B$120</f>
        <v>166313.33617011824</v>
      </c>
      <c r="AL97" s="593">
        <f>AL96+AL86*$B$118/$B$120+AL87*$B$119/$B$120</f>
        <v>920194.95970546338</v>
      </c>
      <c r="AM97" s="1062">
        <v>2021205.6141553428</v>
      </c>
      <c r="AN97" s="593">
        <f>AN96+AN86*$B$118/$B$120+AN87*$B$119/$B$120</f>
        <v>2003723.9681094447</v>
      </c>
      <c r="AO97" s="1062">
        <v>14067685.525357185</v>
      </c>
      <c r="AP97" s="593">
        <f t="shared" si="0"/>
        <v>1641815.1573365566</v>
      </c>
      <c r="AQ97" s="593">
        <f t="shared" si="1"/>
        <v>706981.35595909983</v>
      </c>
      <c r="AR97" s="593">
        <f t="shared" si="2"/>
        <v>15300869.284443716</v>
      </c>
      <c r="AS97" s="593">
        <f t="shared" si="3"/>
        <v>16881140.004278582</v>
      </c>
      <c r="AT97" s="1062">
        <v>20887867.406694442</v>
      </c>
      <c r="AU97" s="1062">
        <v>19351606.112405438</v>
      </c>
      <c r="AV97" s="1062">
        <v>21546070.820245769</v>
      </c>
      <c r="AW97" s="593">
        <f>AW96+AW86*$B$118/$B$120+AW87*$B$119/$B$120</f>
        <v>431181.10706152703</v>
      </c>
      <c r="AX97" s="1062">
        <v>18636488.527941216</v>
      </c>
      <c r="AY97" s="1062">
        <v>21030246.476917028</v>
      </c>
      <c r="AZ97" s="1062">
        <v>469462.8452054832</v>
      </c>
      <c r="BA97" s="1062">
        <v>1561911.7549256939</v>
      </c>
      <c r="BB97" s="1062">
        <v>727735.50091962586</v>
      </c>
      <c r="BC97" s="1062">
        <v>3571234.2817518772</v>
      </c>
    </row>
    <row r="98" spans="1:55">
      <c r="A98" s="230" t="s">
        <v>199</v>
      </c>
      <c r="B98" s="592">
        <f>B97+SUMPRODUCT(B94:B95,$B$114:$B$115)</f>
        <v>8745.4010758508884</v>
      </c>
      <c r="C98" s="592">
        <f>C97+SUMPRODUCT(C94:C95,$B$114:$B$115)</f>
        <v>1858429.9245182201</v>
      </c>
      <c r="D98" s="592">
        <f>D97+SUMPRODUCT(D94:D95,$B$114:$B$115)</f>
        <v>1345341.5212009051</v>
      </c>
      <c r="E98" s="1063">
        <v>640113.26567424508</v>
      </c>
      <c r="F98" s="1063">
        <v>11241841.956062859</v>
      </c>
      <c r="G98" s="1063">
        <v>980887.39914864465</v>
      </c>
      <c r="H98" s="1063">
        <v>4612285.5556128463</v>
      </c>
      <c r="I98" s="1063">
        <v>19519471.0261718</v>
      </c>
      <c r="J98" s="1063">
        <v>19378363.733648848</v>
      </c>
      <c r="K98" s="1063">
        <v>8266096.8078267872</v>
      </c>
      <c r="L98" s="1063">
        <v>2081185.37513112</v>
      </c>
      <c r="M98" s="1063">
        <v>4073352.0412910366</v>
      </c>
      <c r="N98" s="1063">
        <v>5492271.808190844</v>
      </c>
      <c r="O98" s="1063">
        <v>10198430.567010151</v>
      </c>
      <c r="P98" s="1063">
        <v>337503.57476260606</v>
      </c>
      <c r="Q98" s="1063">
        <v>1252581.0267607358</v>
      </c>
      <c r="R98" s="1063">
        <v>1562508.5585517795</v>
      </c>
      <c r="S98" s="1063">
        <v>1918003.6629674584</v>
      </c>
      <c r="T98" s="1063">
        <v>2206710.312393459</v>
      </c>
      <c r="U98" s="1063">
        <v>2223657.5601043925</v>
      </c>
      <c r="V98" s="1063">
        <v>24524227.177267931</v>
      </c>
      <c r="W98" s="1063">
        <v>3137971.3793270173</v>
      </c>
      <c r="X98" s="1063">
        <v>8568861.3626377638</v>
      </c>
      <c r="Y98" s="1063">
        <v>21874.771351879688</v>
      </c>
      <c r="Z98" s="1063">
        <v>362648.30628319201</v>
      </c>
      <c r="AA98" s="1063">
        <v>1165222.6814337391</v>
      </c>
      <c r="AB98" s="1063">
        <v>59118.805935491429</v>
      </c>
      <c r="AC98" s="592">
        <v>0</v>
      </c>
      <c r="AD98" s="1063">
        <v>788546.90525077935</v>
      </c>
      <c r="AE98" s="592">
        <f>AE97+SUMPRODUCT(AE94:AE95,$B$114:$B$115)</f>
        <v>39980.515891572351</v>
      </c>
      <c r="AF98" s="592">
        <f>AF97+SUMPRODUCT(AF94:AF95,$B$114:$B$115)</f>
        <v>1923520.6729441488</v>
      </c>
      <c r="AG98" s="1063">
        <v>1253292.6112299655</v>
      </c>
      <c r="AH98" s="1063">
        <v>1758508.370360909</v>
      </c>
      <c r="AI98" s="1063">
        <v>6272435.3432815159</v>
      </c>
      <c r="AJ98" s="1063">
        <v>6866536.4861821458</v>
      </c>
      <c r="AK98" s="592">
        <f>AK97+SUMPRODUCT(AK94:AK95,$B$114:$B$115)</f>
        <v>177732.5172340225</v>
      </c>
      <c r="AL98" s="592">
        <f>AL97+SUMPRODUCT(AL94:AL95,$B$114:$B$115)</f>
        <v>984545.5244879981</v>
      </c>
      <c r="AM98" s="1063">
        <v>2159734.8029226977</v>
      </c>
      <c r="AN98" s="592">
        <f>AN97+SUMPRODUCT(AN94:AN95,$B$114:$B$115)</f>
        <v>2579064.6045264751</v>
      </c>
      <c r="AO98" s="1063">
        <v>15281662.933928035</v>
      </c>
      <c r="AP98" s="592">
        <f t="shared" si="0"/>
        <v>1895740.8446375655</v>
      </c>
      <c r="AQ98" s="592">
        <f t="shared" si="1"/>
        <v>795042.30076167092</v>
      </c>
      <c r="AR98" s="592">
        <f t="shared" si="2"/>
        <v>16495759.502110474</v>
      </c>
      <c r="AS98" s="592">
        <f t="shared" si="3"/>
        <v>18096306.548762824</v>
      </c>
      <c r="AT98" s="1063">
        <v>21993775.418059874</v>
      </c>
      <c r="AU98" s="1063">
        <v>20744099.101689346</v>
      </c>
      <c r="AV98" s="1063">
        <v>23123170.303340435</v>
      </c>
      <c r="AW98" s="592">
        <f>AW97+SUMPRODUCT(AW94:AW95,$B$114:$B$115)</f>
        <v>554988.58578417939</v>
      </c>
      <c r="AX98" s="1063">
        <v>19973748.547059093</v>
      </c>
      <c r="AY98" s="1063">
        <v>22704084.479558874</v>
      </c>
      <c r="AZ98" s="1063">
        <v>555939.9190918348</v>
      </c>
      <c r="BA98" s="1063">
        <v>1689321.4173262795</v>
      </c>
      <c r="BB98" s="1063">
        <v>847040.04016484029</v>
      </c>
      <c r="BC98" s="1063">
        <v>4073352.0412910366</v>
      </c>
    </row>
    <row r="99" spans="1:55">
      <c r="A99" s="1394" t="s">
        <v>260</v>
      </c>
      <c r="B99" s="1393"/>
      <c r="C99" s="1393"/>
      <c r="D99" s="1393"/>
      <c r="E99" s="1430"/>
      <c r="F99" s="1430"/>
      <c r="G99" s="1430"/>
      <c r="H99" s="1430"/>
      <c r="I99" s="1431"/>
      <c r="J99" s="1431"/>
      <c r="K99" s="1431"/>
      <c r="L99" s="1431"/>
      <c r="M99" s="1431"/>
      <c r="N99" s="1431"/>
      <c r="O99" s="1431"/>
      <c r="P99" s="1431"/>
      <c r="Q99" s="1431"/>
      <c r="R99" s="1431"/>
      <c r="S99" s="1431"/>
      <c r="T99" s="1431"/>
      <c r="U99" s="1431"/>
      <c r="V99" s="1431"/>
      <c r="W99" s="1431"/>
      <c r="X99" s="1431"/>
      <c r="Y99" s="1421"/>
      <c r="Z99" s="1421"/>
      <c r="AA99" s="1421"/>
      <c r="AB99" s="1421"/>
      <c r="AC99" s="1393"/>
      <c r="AD99" s="1421"/>
      <c r="AE99" s="1393"/>
      <c r="AF99" s="1393"/>
      <c r="AG99" s="1421"/>
      <c r="AH99" s="1421"/>
      <c r="AI99" s="1421"/>
      <c r="AJ99" s="1499"/>
      <c r="AK99" s="1393"/>
      <c r="AL99" s="1393"/>
      <c r="AM99" s="1421"/>
      <c r="AN99" s="1393"/>
      <c r="AO99" s="1421"/>
      <c r="AP99" s="1393"/>
      <c r="AQ99" s="1393"/>
      <c r="AR99" s="1393"/>
      <c r="AS99" s="1393"/>
      <c r="AT99" s="1421"/>
      <c r="AU99" s="1421"/>
      <c r="AV99" s="1421"/>
      <c r="AW99" s="1393"/>
      <c r="AX99" s="1421"/>
      <c r="AY99" s="1421"/>
      <c r="AZ99" s="1421"/>
      <c r="BA99" s="1421"/>
      <c r="BB99" s="1410"/>
      <c r="BC99" s="1431"/>
    </row>
    <row r="100" spans="1:55">
      <c r="A100" s="230" t="s">
        <v>180</v>
      </c>
      <c r="B100" s="588">
        <v>0.27437780316176563</v>
      </c>
      <c r="C100" s="588">
        <v>16.050872811266341</v>
      </c>
      <c r="D100" s="588">
        <v>229.09405798468046</v>
      </c>
      <c r="E100" s="588">
        <v>1.8101540320459986</v>
      </c>
      <c r="F100" s="588">
        <v>73.733382326922253</v>
      </c>
      <c r="G100" s="588">
        <v>10.122347484061152</v>
      </c>
      <c r="H100" s="588">
        <v>158.77483539873776</v>
      </c>
      <c r="I100" s="589">
        <v>179.63609418924517</v>
      </c>
      <c r="J100" s="589">
        <v>180.67576177351933</v>
      </c>
      <c r="K100" s="589">
        <v>91.911974512297547</v>
      </c>
      <c r="L100" s="589">
        <v>17.101972962455207</v>
      </c>
      <c r="M100" s="589">
        <v>42.454058426673839</v>
      </c>
      <c r="N100" s="589">
        <v>39.618794842931152</v>
      </c>
      <c r="O100" s="589">
        <v>83.134591264679443</v>
      </c>
      <c r="P100" s="589">
        <v>31.887375153482076</v>
      </c>
      <c r="Q100" s="589">
        <v>115.83139285465066</v>
      </c>
      <c r="R100" s="589">
        <v>160.29536914226495</v>
      </c>
      <c r="S100" s="589">
        <v>248.00948651906896</v>
      </c>
      <c r="T100" s="589">
        <v>431.19569144729621</v>
      </c>
      <c r="U100" s="589">
        <v>5.2463892650437014</v>
      </c>
      <c r="V100" s="589">
        <v>256.05897080480906</v>
      </c>
      <c r="W100" s="589">
        <v>24.452954483002507</v>
      </c>
      <c r="X100" s="589">
        <v>76.039202727851844</v>
      </c>
      <c r="Y100" s="520">
        <v>0.16240387700915881</v>
      </c>
      <c r="Z100" s="520">
        <v>1.7944900144015665</v>
      </c>
      <c r="AA100" s="520">
        <v>1.0137775875978547</v>
      </c>
      <c r="AB100" s="520">
        <v>1.6162055259956807</v>
      </c>
      <c r="AC100" s="180">
        <v>0</v>
      </c>
      <c r="AD100" s="520">
        <v>6.1895956701984476</v>
      </c>
      <c r="AE100" s="520">
        <v>1.4963130952968517</v>
      </c>
      <c r="AF100" s="520">
        <v>16.234652692803948</v>
      </c>
      <c r="AG100" s="520">
        <v>8.7554319091616168</v>
      </c>
      <c r="AH100" s="520">
        <v>13.80129805889562</v>
      </c>
      <c r="AI100" s="520">
        <v>73.05404480661575</v>
      </c>
      <c r="AJ100" s="520">
        <v>96.462482539166601</v>
      </c>
      <c r="AK100" s="520">
        <v>1.3195315006994155</v>
      </c>
      <c r="AL100" s="520">
        <v>20.782759834491788</v>
      </c>
      <c r="AM100" s="520">
        <v>17.50774177934656</v>
      </c>
      <c r="AN100" s="520">
        <v>18.017200717476388</v>
      </c>
      <c r="AO100" s="520">
        <v>162.11413118068546</v>
      </c>
      <c r="AP100" s="180">
        <f t="shared" si="0"/>
        <v>279.8335157028767</v>
      </c>
      <c r="AQ100" s="180">
        <f t="shared" si="1"/>
        <v>73.859384004066371</v>
      </c>
      <c r="AR100" s="180">
        <f t="shared" si="2"/>
        <v>192.12345569685536</v>
      </c>
      <c r="AS100" s="180">
        <f t="shared" si="3"/>
        <v>254.22054597630446</v>
      </c>
      <c r="AT100" s="520">
        <v>185.44488208070732</v>
      </c>
      <c r="AU100" s="520">
        <v>204.30276873112112</v>
      </c>
      <c r="AV100" s="520">
        <v>242.66961007714968</v>
      </c>
      <c r="AW100" s="520">
        <v>3.877119141735434</v>
      </c>
      <c r="AX100" s="520">
        <v>192.67655767261317</v>
      </c>
      <c r="AY100" s="520">
        <v>172.68907015279274</v>
      </c>
      <c r="AZ100" s="520">
        <v>74.191956009056071</v>
      </c>
      <c r="BA100" s="520">
        <v>12.954775671313531</v>
      </c>
      <c r="BB100" s="520">
        <v>8.4613425047485258</v>
      </c>
      <c r="BC100" s="589">
        <v>42.454058426673839</v>
      </c>
    </row>
    <row r="101" spans="1:55">
      <c r="A101" s="230" t="s">
        <v>181</v>
      </c>
      <c r="B101" s="588">
        <v>0.17232077903934917</v>
      </c>
      <c r="C101" s="588">
        <v>109.12560760343474</v>
      </c>
      <c r="D101" s="588">
        <v>35.08707766633546</v>
      </c>
      <c r="E101" s="588">
        <v>1.4069759726283109</v>
      </c>
      <c r="F101" s="588">
        <v>143.05678369315299</v>
      </c>
      <c r="G101" s="588">
        <v>44.238750394538869</v>
      </c>
      <c r="H101" s="588">
        <v>197.11420728565946</v>
      </c>
      <c r="I101" s="589">
        <v>916.17664265820167</v>
      </c>
      <c r="J101" s="589">
        <v>878.53456420095904</v>
      </c>
      <c r="K101" s="589">
        <v>237.20447278982229</v>
      </c>
      <c r="L101" s="589">
        <v>135.30969879241229</v>
      </c>
      <c r="M101" s="589">
        <v>270.4616838654901</v>
      </c>
      <c r="N101" s="589">
        <v>289.02433709955346</v>
      </c>
      <c r="O101" s="589">
        <v>897.68151547606385</v>
      </c>
      <c r="P101" s="589">
        <v>38.4769008146651</v>
      </c>
      <c r="Q101" s="589">
        <v>140.35007410241761</v>
      </c>
      <c r="R101" s="589">
        <v>214.03888960466514</v>
      </c>
      <c r="S101" s="589">
        <v>307.83014416606642</v>
      </c>
      <c r="T101" s="589">
        <v>207.93398804136933</v>
      </c>
      <c r="U101" s="589">
        <v>54.410261095567655</v>
      </c>
      <c r="V101" s="589">
        <v>1142.1886582198522</v>
      </c>
      <c r="W101" s="589">
        <v>127.96115868097237</v>
      </c>
      <c r="X101" s="589">
        <v>296.30019162279967</v>
      </c>
      <c r="Y101" s="520">
        <v>1.9400253406544008</v>
      </c>
      <c r="Z101" s="520">
        <v>4.7961777947597355</v>
      </c>
      <c r="AA101" s="520">
        <v>3.5653384908087586</v>
      </c>
      <c r="AB101" s="520">
        <v>4.1637362760161301</v>
      </c>
      <c r="AC101" s="180">
        <v>0</v>
      </c>
      <c r="AD101" s="520">
        <v>41.246326022376508</v>
      </c>
      <c r="AE101" s="520">
        <v>2.8402599464050633</v>
      </c>
      <c r="AF101" s="520">
        <v>118.26559363644813</v>
      </c>
      <c r="AG101" s="520">
        <v>38.533670284694821</v>
      </c>
      <c r="AH101" s="520">
        <v>88.376971776170109</v>
      </c>
      <c r="AI101" s="520">
        <v>340.08152778571684</v>
      </c>
      <c r="AJ101" s="520">
        <v>273.47231350258232</v>
      </c>
      <c r="AK101" s="520">
        <v>15.762705892817007</v>
      </c>
      <c r="AL101" s="520">
        <v>60.892028655736695</v>
      </c>
      <c r="AM101" s="520">
        <v>187.45539916255242</v>
      </c>
      <c r="AN101" s="520">
        <v>79.295787929539429</v>
      </c>
      <c r="AO101" s="520">
        <v>776.6885270010456</v>
      </c>
      <c r="AP101" s="180">
        <f t="shared" si="0"/>
        <v>243.26767393736699</v>
      </c>
      <c r="AQ101" s="180">
        <f t="shared" si="1"/>
        <v>89.413487458541354</v>
      </c>
      <c r="AR101" s="180">
        <f t="shared" si="2"/>
        <v>894.37400091693621</v>
      </c>
      <c r="AS101" s="180">
        <f t="shared" si="3"/>
        <v>720.71834580663517</v>
      </c>
      <c r="AT101" s="520">
        <v>680.02484198278557</v>
      </c>
      <c r="AU101" s="520">
        <v>911.99110032130216</v>
      </c>
      <c r="AV101" s="520">
        <v>1087.4984224274108</v>
      </c>
      <c r="AW101" s="520">
        <v>17.063650567116117</v>
      </c>
      <c r="AX101" s="520">
        <v>883.72989865782142</v>
      </c>
      <c r="AY101" s="520">
        <v>1711.3191304489028</v>
      </c>
      <c r="AZ101" s="520">
        <v>83.489812598706507</v>
      </c>
      <c r="BA101" s="520">
        <v>91.515634025715045</v>
      </c>
      <c r="BB101" s="520">
        <v>29.888801811411334</v>
      </c>
      <c r="BC101" s="589">
        <v>270.4616838654901</v>
      </c>
    </row>
    <row r="102" spans="1:55">
      <c r="A102" s="230" t="s">
        <v>182</v>
      </c>
      <c r="B102" s="588">
        <v>0.26801546507742108</v>
      </c>
      <c r="C102" s="588">
        <v>201.40341260666673</v>
      </c>
      <c r="D102" s="588">
        <v>52.102689268236141</v>
      </c>
      <c r="E102" s="588">
        <v>3.2488242409348689</v>
      </c>
      <c r="F102" s="588">
        <v>321.8723410159011</v>
      </c>
      <c r="G102" s="588">
        <v>74.240912473405231</v>
      </c>
      <c r="H102" s="588">
        <v>264.70067805181543</v>
      </c>
      <c r="I102" s="589">
        <v>1787.4384122400338</v>
      </c>
      <c r="J102" s="589">
        <v>1712.5538825390518</v>
      </c>
      <c r="K102" s="589">
        <v>405.72644139034747</v>
      </c>
      <c r="L102" s="589">
        <v>253.95935001083467</v>
      </c>
      <c r="M102" s="589">
        <v>586.0935199177394</v>
      </c>
      <c r="N102" s="589">
        <v>571.33695846413912</v>
      </c>
      <c r="O102" s="589">
        <v>1965.0664949592112</v>
      </c>
      <c r="P102" s="589">
        <v>65.220848166142545</v>
      </c>
      <c r="Q102" s="589">
        <v>236.97535277803073</v>
      </c>
      <c r="R102" s="589">
        <v>325.43369703775113</v>
      </c>
      <c r="S102" s="589">
        <v>534.4174461742266</v>
      </c>
      <c r="T102" s="589">
        <v>354.70450661277744</v>
      </c>
      <c r="U102" s="589">
        <v>110.51421094510864</v>
      </c>
      <c r="V102" s="589">
        <v>2278.9069646124658</v>
      </c>
      <c r="W102" s="589">
        <v>227.60331995634525</v>
      </c>
      <c r="X102" s="589">
        <v>580.93032003278699</v>
      </c>
      <c r="Y102" s="520">
        <v>4.1170169406987522</v>
      </c>
      <c r="Z102" s="520">
        <v>13.184953854129519</v>
      </c>
      <c r="AA102" s="520">
        <v>7.46354457120096</v>
      </c>
      <c r="AB102" s="520">
        <v>18.206586999145181</v>
      </c>
      <c r="AC102" s="180">
        <v>0</v>
      </c>
      <c r="AD102" s="520">
        <v>93.462615634181745</v>
      </c>
      <c r="AE102" s="520">
        <v>16.42102466615869</v>
      </c>
      <c r="AF102" s="520">
        <v>220.53840643297175</v>
      </c>
      <c r="AG102" s="520">
        <v>55.952446473844887</v>
      </c>
      <c r="AH102" s="520">
        <v>178.36847397118453</v>
      </c>
      <c r="AI102" s="520">
        <v>652.728740777089</v>
      </c>
      <c r="AJ102" s="520">
        <v>587.35515672754389</v>
      </c>
      <c r="AK102" s="520">
        <v>33.450762643177363</v>
      </c>
      <c r="AL102" s="520">
        <v>213.83336796167293</v>
      </c>
      <c r="AM102" s="520">
        <v>410.58676975444837</v>
      </c>
      <c r="AN102" s="520">
        <v>115.14068857051384</v>
      </c>
      <c r="AO102" s="520">
        <v>1448.6070469187646</v>
      </c>
      <c r="AP102" s="180">
        <f t="shared" si="0"/>
        <v>404.85188327491841</v>
      </c>
      <c r="AQ102" s="180">
        <f t="shared" si="1"/>
        <v>151.09810047208663</v>
      </c>
      <c r="AR102" s="180">
        <f t="shared" si="2"/>
        <v>1716.5990143696279</v>
      </c>
      <c r="AS102" s="180">
        <f t="shared" si="3"/>
        <v>1547.9359922615167</v>
      </c>
      <c r="AT102" s="520">
        <v>1468.8502810866203</v>
      </c>
      <c r="AU102" s="520">
        <v>1800.0881399027476</v>
      </c>
      <c r="AV102" s="520">
        <v>2184.229255427299</v>
      </c>
      <c r="AW102" s="520">
        <v>24.777110198718226</v>
      </c>
      <c r="AX102" s="520">
        <v>1739.8732561917191</v>
      </c>
      <c r="AY102" s="520">
        <v>3402.3107471713538</v>
      </c>
      <c r="AZ102" s="520">
        <v>136.87538039070569</v>
      </c>
      <c r="BA102" s="520">
        <v>164.92418265623627</v>
      </c>
      <c r="BB102" s="520">
        <v>50.836498675204865</v>
      </c>
      <c r="BC102" s="589">
        <v>586.0935199177394</v>
      </c>
    </row>
    <row r="103" spans="1:55">
      <c r="A103" s="230" t="s">
        <v>183</v>
      </c>
      <c r="B103" s="588">
        <v>4.5725734382328999E-2</v>
      </c>
      <c r="C103" s="588">
        <v>19.733821304067135</v>
      </c>
      <c r="D103" s="588">
        <v>1.8472908839882671</v>
      </c>
      <c r="E103" s="588">
        <v>0.36844983935349446</v>
      </c>
      <c r="F103" s="588">
        <v>36.595704151173038</v>
      </c>
      <c r="G103" s="588">
        <v>8.118166767487061</v>
      </c>
      <c r="H103" s="588">
        <v>12.183424630240202</v>
      </c>
      <c r="I103" s="589">
        <v>175.89584579201542</v>
      </c>
      <c r="J103" s="589">
        <v>164.12765140074987</v>
      </c>
      <c r="K103" s="589">
        <v>42.81622515359723</v>
      </c>
      <c r="L103" s="589">
        <v>24.263661560122156</v>
      </c>
      <c r="M103" s="589">
        <v>64.47626149711725</v>
      </c>
      <c r="N103" s="594">
        <v>56.594210711004195</v>
      </c>
      <c r="O103" s="589">
        <v>218.07636361303918</v>
      </c>
      <c r="P103" s="589">
        <v>6.5770347185992302</v>
      </c>
      <c r="Q103" s="589">
        <v>23.7244423146294</v>
      </c>
      <c r="R103" s="589">
        <v>53.108623691322812</v>
      </c>
      <c r="S103" s="589">
        <v>55.600334339842078</v>
      </c>
      <c r="T103" s="589">
        <v>36.907135401252809</v>
      </c>
      <c r="U103" s="589">
        <v>10.92071460224259</v>
      </c>
      <c r="V103" s="589">
        <v>219.0103893864196</v>
      </c>
      <c r="W103" s="589">
        <v>20.281383293662049</v>
      </c>
      <c r="X103" s="589">
        <v>49.628407455661211</v>
      </c>
      <c r="Y103" s="520">
        <v>0.46430999333236228</v>
      </c>
      <c r="Z103" s="520">
        <v>0.78655241575830004</v>
      </c>
      <c r="AA103" s="520">
        <v>0.70468337568260442</v>
      </c>
      <c r="AB103" s="520">
        <v>1.5018718214996027</v>
      </c>
      <c r="AC103" s="180">
        <v>0</v>
      </c>
      <c r="AD103" s="520">
        <v>10.26350485661802</v>
      </c>
      <c r="AE103" s="520">
        <v>1.2317393378713239</v>
      </c>
      <c r="AF103" s="520">
        <v>20.958121770036158</v>
      </c>
      <c r="AG103" s="520">
        <v>1.5341631715808264</v>
      </c>
      <c r="AH103" s="520">
        <v>19.536869187202495</v>
      </c>
      <c r="AI103" s="520">
        <v>62.42141117687104</v>
      </c>
      <c r="AJ103" s="520">
        <v>56.293170472204636</v>
      </c>
      <c r="AK103" s="520">
        <v>3.7725186958254437</v>
      </c>
      <c r="AL103" s="520">
        <v>18.299283769870019</v>
      </c>
      <c r="AM103" s="520">
        <v>45.612406248365659</v>
      </c>
      <c r="AN103" s="520">
        <v>3.1570487992497824</v>
      </c>
      <c r="AO103" s="520">
        <v>131.91196716137765</v>
      </c>
      <c r="AP103" s="180">
        <f t="shared" si="0"/>
        <v>48.5386978108059</v>
      </c>
      <c r="AQ103" s="180">
        <f t="shared" si="1"/>
        <v>15.150738516614314</v>
      </c>
      <c r="AR103" s="180">
        <f t="shared" si="2"/>
        <v>164.16089289129582</v>
      </c>
      <c r="AS103" s="180">
        <f t="shared" si="3"/>
        <v>148.35695863799074</v>
      </c>
      <c r="AT103" s="520">
        <v>158.47997084596466</v>
      </c>
      <c r="AU103" s="520">
        <v>172.25836596692776</v>
      </c>
      <c r="AV103" s="520">
        <v>212.40763268725379</v>
      </c>
      <c r="AW103" s="520">
        <v>0.67936493148413191</v>
      </c>
      <c r="AX103" s="520">
        <v>166.74223117041259</v>
      </c>
      <c r="AY103" s="520">
        <v>352.0529679371582</v>
      </c>
      <c r="AZ103" s="520">
        <v>13.36107747658718</v>
      </c>
      <c r="BA103" s="520">
        <v>14.310677917214781</v>
      </c>
      <c r="BB103" s="520">
        <v>3.6036213867262212</v>
      </c>
      <c r="BC103" s="589">
        <v>64.47626149711725</v>
      </c>
    </row>
    <row r="104" spans="1:55">
      <c r="A104" s="230" t="s">
        <v>184</v>
      </c>
      <c r="B104" s="588">
        <v>3.9293207667071277E-2</v>
      </c>
      <c r="C104" s="588">
        <v>16.546751538171808</v>
      </c>
      <c r="D104" s="588">
        <v>1.4900893790369185</v>
      </c>
      <c r="E104" s="588">
        <v>0.32089576977984841</v>
      </c>
      <c r="F104" s="588">
        <v>29.883332212471487</v>
      </c>
      <c r="G104" s="588">
        <v>7.1279948793151346</v>
      </c>
      <c r="H104" s="588">
        <v>10.483723070453131</v>
      </c>
      <c r="I104" s="589">
        <v>144.68418497526133</v>
      </c>
      <c r="J104" s="589">
        <v>135.98884504129916</v>
      </c>
      <c r="K104" s="589">
        <v>35.512684721874862</v>
      </c>
      <c r="L104" s="589">
        <v>20.144828516749445</v>
      </c>
      <c r="M104" s="589">
        <v>53.484865786803951</v>
      </c>
      <c r="N104" s="1432">
        <v>46.215478859445184</v>
      </c>
      <c r="O104" s="589">
        <v>181.3056446445174</v>
      </c>
      <c r="P104" s="589">
        <v>5.91813326552289</v>
      </c>
      <c r="Q104" s="589">
        <v>21.356599410951329</v>
      </c>
      <c r="R104" s="589">
        <v>46.532001200003208</v>
      </c>
      <c r="S104" s="589">
        <v>49.768468747510063</v>
      </c>
      <c r="T104" s="589">
        <v>32.16559555478333</v>
      </c>
      <c r="U104" s="589">
        <v>9.05495239955291</v>
      </c>
      <c r="V104" s="589">
        <v>181.48381333560431</v>
      </c>
      <c r="W104" s="589">
        <v>16.816985701039339</v>
      </c>
      <c r="X104" s="589">
        <v>40.637275988232659</v>
      </c>
      <c r="Y104" s="520">
        <v>0.38487852711384452</v>
      </c>
      <c r="Z104" s="520">
        <v>0.67049990435886142</v>
      </c>
      <c r="AA104" s="520">
        <v>0.58983934704414198</v>
      </c>
      <c r="AB104" s="520">
        <v>1.3294449207896049</v>
      </c>
      <c r="AC104" s="180">
        <v>0</v>
      </c>
      <c r="AD104" s="520">
        <v>8.5780364623813377</v>
      </c>
      <c r="AE104" s="520">
        <v>1.112265213590341</v>
      </c>
      <c r="AF104" s="520">
        <v>17.407563274263406</v>
      </c>
      <c r="AG104" s="520">
        <v>1.3253930138828094</v>
      </c>
      <c r="AH104" s="520">
        <v>16.229735851430881</v>
      </c>
      <c r="AI104" s="520">
        <v>51.119513970089585</v>
      </c>
      <c r="AJ104" s="520">
        <v>47.274232097121939</v>
      </c>
      <c r="AK104" s="520">
        <v>3.1271380327999867</v>
      </c>
      <c r="AL104" s="520">
        <v>16.087955830781816</v>
      </c>
      <c r="AM104" s="520">
        <v>37.949645323962926</v>
      </c>
      <c r="AN104" s="520">
        <v>2.7274350607055524</v>
      </c>
      <c r="AO104" s="520">
        <v>108.18699083718066</v>
      </c>
      <c r="AP104" s="180">
        <f t="shared" si="0"/>
        <v>42.822021834098869</v>
      </c>
      <c r="AQ104" s="180">
        <f t="shared" si="1"/>
        <v>13.63736633823711</v>
      </c>
      <c r="AR104" s="180">
        <f t="shared" si="2"/>
        <v>134.43824641709469</v>
      </c>
      <c r="AS104" s="180">
        <f t="shared" si="3"/>
        <v>124.58813808219358</v>
      </c>
      <c r="AT104" s="520">
        <v>128.098488153387</v>
      </c>
      <c r="AU104" s="520">
        <v>143.10786091431567</v>
      </c>
      <c r="AV104" s="520">
        <v>176.037270266045</v>
      </c>
      <c r="AW104" s="520">
        <v>0.58691640546828472</v>
      </c>
      <c r="AX104" s="520">
        <v>138.45524128212523</v>
      </c>
      <c r="AY104" s="520">
        <v>291.93283069733229</v>
      </c>
      <c r="AZ104" s="520">
        <v>12.164121457775787</v>
      </c>
      <c r="BA104" s="520">
        <v>11.903199921499274</v>
      </c>
      <c r="BB104" s="520">
        <v>3.0253621121421457</v>
      </c>
      <c r="BC104" s="589">
        <v>53.484865786803951</v>
      </c>
    </row>
    <row r="105" spans="1:55">
      <c r="A105" s="230" t="s">
        <v>185</v>
      </c>
      <c r="B105" s="588">
        <v>0.10452790206693305</v>
      </c>
      <c r="C105" s="588">
        <v>169.90924443785539</v>
      </c>
      <c r="D105" s="588">
        <v>10.508537854026329</v>
      </c>
      <c r="E105" s="595">
        <v>0.95863031027826773</v>
      </c>
      <c r="F105" s="595">
        <v>306.4346306270246</v>
      </c>
      <c r="G105" s="595">
        <v>50.058339812686</v>
      </c>
      <c r="H105" s="595">
        <v>83.452218950662427</v>
      </c>
      <c r="I105" s="594">
        <v>1627.3975561111572</v>
      </c>
      <c r="J105" s="594">
        <v>1470.1159084622664</v>
      </c>
      <c r="K105" s="594">
        <v>285.34259701034341</v>
      </c>
      <c r="L105" s="594">
        <v>222.05103273663698</v>
      </c>
      <c r="M105" s="594">
        <v>583.15212409602179</v>
      </c>
      <c r="N105" s="1432">
        <v>552.13436304481161</v>
      </c>
      <c r="O105" s="594">
        <v>1995.7718429638555</v>
      </c>
      <c r="P105" s="594">
        <v>19.42126126141039</v>
      </c>
      <c r="Q105" s="594">
        <v>69.335812745170429</v>
      </c>
      <c r="R105" s="594">
        <v>182.83321336383801</v>
      </c>
      <c r="S105" s="594">
        <v>188.55639633899554</v>
      </c>
      <c r="T105" s="594">
        <v>191.1423030549478</v>
      </c>
      <c r="U105" s="594">
        <v>101.26348712790325</v>
      </c>
      <c r="V105" s="594">
        <v>1956.8506671277453</v>
      </c>
      <c r="W105" s="594">
        <v>180.28295942966201</v>
      </c>
      <c r="X105" s="594">
        <v>469.28364442386686</v>
      </c>
      <c r="Y105" s="520">
        <v>4.28576572362251</v>
      </c>
      <c r="Z105" s="520">
        <v>5.1671010208042825</v>
      </c>
      <c r="AA105" s="520">
        <v>5.638101035020556</v>
      </c>
      <c r="AB105" s="520">
        <v>11.174618184772468</v>
      </c>
      <c r="AC105" s="180">
        <v>0</v>
      </c>
      <c r="AD105" s="520">
        <v>90.32494391061735</v>
      </c>
      <c r="AE105" s="520">
        <v>8.5853050607795822</v>
      </c>
      <c r="AF105" s="520">
        <v>190.2349523134009</v>
      </c>
      <c r="AG105" s="520">
        <v>11.257687380604358</v>
      </c>
      <c r="AH105" s="520">
        <v>172.92368242467131</v>
      </c>
      <c r="AI105" s="520">
        <v>586.84733028514097</v>
      </c>
      <c r="AJ105" s="520">
        <v>455.15154658076676</v>
      </c>
      <c r="AK105" s="520">
        <v>34.821846504432891</v>
      </c>
      <c r="AL105" s="520">
        <v>138.78083952664994</v>
      </c>
      <c r="AM105" s="520">
        <v>417.45526229095265</v>
      </c>
      <c r="AN105" s="520">
        <v>23.166420029913983</v>
      </c>
      <c r="AO105" s="520">
        <v>1236.678301982264</v>
      </c>
      <c r="AP105" s="180">
        <f t="shared" si="0"/>
        <v>187.51063758592713</v>
      </c>
      <c r="AQ105" s="180">
        <f t="shared" si="1"/>
        <v>44.378537003290411</v>
      </c>
      <c r="AR105" s="180">
        <f t="shared" si="2"/>
        <v>1543.3387344850314</v>
      </c>
      <c r="AS105" s="180">
        <f t="shared" si="3"/>
        <v>1199.5220486549338</v>
      </c>
      <c r="AT105" s="520">
        <v>1541.5690377146061</v>
      </c>
      <c r="AU105" s="520">
        <v>1516.5717068907675</v>
      </c>
      <c r="AV105" s="520">
        <v>1897.1945744255383</v>
      </c>
      <c r="AW105" s="520">
        <v>4.9851789937789697</v>
      </c>
      <c r="AX105" s="520">
        <v>1473.9407482542342</v>
      </c>
      <c r="AY105" s="520">
        <v>3252.5094690779088</v>
      </c>
      <c r="AZ105" s="520">
        <v>26.929537164241239</v>
      </c>
      <c r="BA105" s="520">
        <v>130.42821547947423</v>
      </c>
      <c r="BB105" s="520">
        <v>27.528849552754323</v>
      </c>
      <c r="BC105" s="594">
        <v>583.15212409602179</v>
      </c>
    </row>
    <row r="106" spans="1:55">
      <c r="A106" s="230" t="s">
        <v>186</v>
      </c>
      <c r="B106" s="588">
        <v>4.8691315411025816E-3</v>
      </c>
      <c r="C106" s="588">
        <v>0.81198396395299555</v>
      </c>
      <c r="D106" s="588">
        <v>0.15289848864553324</v>
      </c>
      <c r="E106" s="588">
        <v>3.5399753420620218E-2</v>
      </c>
      <c r="F106" s="588">
        <v>2.2445734000182833</v>
      </c>
      <c r="G106" s="588">
        <v>0.3824760214714642</v>
      </c>
      <c r="H106" s="588">
        <v>0.48594081013613416</v>
      </c>
      <c r="I106" s="588">
        <v>7.9203417786874546</v>
      </c>
      <c r="J106" s="588">
        <v>7.6444081396433976</v>
      </c>
      <c r="K106" s="588">
        <v>2.6880617157854325</v>
      </c>
      <c r="L106" s="588">
        <v>0.9593368510823902</v>
      </c>
      <c r="M106" s="588">
        <v>2.9014534561763434</v>
      </c>
      <c r="N106" s="588">
        <v>2.2841454789383975</v>
      </c>
      <c r="O106" s="588">
        <v>8.8683624065041844</v>
      </c>
      <c r="P106" s="588">
        <v>0.3825638521259645</v>
      </c>
      <c r="Q106" s="588">
        <v>1.38296970410494</v>
      </c>
      <c r="R106" s="588">
        <v>3.1293508373781207</v>
      </c>
      <c r="S106" s="588">
        <v>3.1740589944206032</v>
      </c>
      <c r="T106" s="588">
        <v>2.9860417628892248</v>
      </c>
      <c r="U106" s="588">
        <v>0.41612358432863616</v>
      </c>
      <c r="V106" s="588">
        <v>10.602782839329963</v>
      </c>
      <c r="W106" s="588">
        <v>0.90267071161732193</v>
      </c>
      <c r="X106" s="588">
        <v>2.7643320575681654</v>
      </c>
      <c r="Y106" s="520">
        <v>1.7682026759370469E-2</v>
      </c>
      <c r="Z106" s="520">
        <v>4.6336661164786963E-2</v>
      </c>
      <c r="AA106" s="520">
        <v>3.480897307030055E-2</v>
      </c>
      <c r="AB106" s="520">
        <v>0.14688622547925634</v>
      </c>
      <c r="AC106" s="180">
        <v>0</v>
      </c>
      <c r="AD106" s="520">
        <v>0.47896686603058392</v>
      </c>
      <c r="AE106" s="520">
        <v>0.14262746179117841</v>
      </c>
      <c r="AF106" s="520">
        <v>0.8452462914604143</v>
      </c>
      <c r="AG106" s="520">
        <v>0.16826786384662146</v>
      </c>
      <c r="AH106" s="520">
        <v>0.82208225394138901</v>
      </c>
      <c r="AI106" s="520">
        <v>2.8915984135714488</v>
      </c>
      <c r="AJ106" s="520">
        <v>3.3489274141767238</v>
      </c>
      <c r="AK106" s="520">
        <v>0.14366646741988509</v>
      </c>
      <c r="AL106" s="520">
        <v>1.7901381172878643</v>
      </c>
      <c r="AM106" s="520">
        <v>1.892196370372663</v>
      </c>
      <c r="AN106" s="520">
        <v>0.34626685567084392</v>
      </c>
      <c r="AO106" s="520">
        <v>6.121680007075442</v>
      </c>
      <c r="AP106" s="180">
        <f t="shared" si="0"/>
        <v>3.0964838648959834</v>
      </c>
      <c r="AQ106" s="180">
        <f t="shared" si="1"/>
        <v>0.88276677811545223</v>
      </c>
      <c r="AR106" s="180">
        <f t="shared" si="2"/>
        <v>7.6045601742311959</v>
      </c>
      <c r="AS106" s="180">
        <f t="shared" si="3"/>
        <v>8.8258785515015177</v>
      </c>
      <c r="AT106" s="520">
        <v>7.6439538573130967</v>
      </c>
      <c r="AU106" s="520">
        <v>8.3329390372095524</v>
      </c>
      <c r="AV106" s="520">
        <v>10.216580616224828</v>
      </c>
      <c r="AW106" s="520">
        <v>7.4513120840561511E-2</v>
      </c>
      <c r="AX106" s="520">
        <v>7.9764368145388209</v>
      </c>
      <c r="AY106" s="520">
        <v>13.520543518699998</v>
      </c>
      <c r="AZ106" s="520">
        <v>0.81927162098912021</v>
      </c>
      <c r="BA106" s="520">
        <v>0.59706864643164714</v>
      </c>
      <c r="BB106" s="520">
        <v>0.19947836524990439</v>
      </c>
      <c r="BC106" s="588">
        <v>2.9014534561763434</v>
      </c>
    </row>
    <row r="107" spans="1:55">
      <c r="A107" s="849" t="s">
        <v>187</v>
      </c>
      <c r="B107" s="1433">
        <v>6.9697302208917133E-3</v>
      </c>
      <c r="C107" s="1433">
        <v>4.0450838563327727</v>
      </c>
      <c r="D107" s="1433">
        <v>0.46871249531136938</v>
      </c>
      <c r="E107" s="1433">
        <v>6.9322754334187608E-2</v>
      </c>
      <c r="F107" s="1433">
        <v>4.5238370172586864</v>
      </c>
      <c r="G107" s="1433">
        <v>1.5520300748992888</v>
      </c>
      <c r="H107" s="1433">
        <v>2.0719143367771835</v>
      </c>
      <c r="I107" s="1433">
        <v>30.455227009424569</v>
      </c>
      <c r="J107" s="1433">
        <v>29.936202644662799</v>
      </c>
      <c r="K107" s="1433">
        <v>7.9249086526385719</v>
      </c>
      <c r="L107" s="1433">
        <v>5.0447447012132454</v>
      </c>
      <c r="M107" s="1433">
        <v>12.746654473211958</v>
      </c>
      <c r="N107" s="1433">
        <v>9.506605979956154</v>
      </c>
      <c r="O107" s="1433">
        <v>46.286247526089923</v>
      </c>
      <c r="P107" s="1433">
        <v>1.7814960095621655</v>
      </c>
      <c r="Q107" s="1433">
        <v>6.4343419857218098</v>
      </c>
      <c r="R107" s="1433">
        <v>8.1728481080334028</v>
      </c>
      <c r="S107" s="1433">
        <v>14.828697285935146</v>
      </c>
      <c r="T107" s="1433">
        <v>8.5156069665515819</v>
      </c>
      <c r="U107" s="1433">
        <v>2.329680892322227</v>
      </c>
      <c r="V107" s="1433">
        <v>38.159226662023926</v>
      </c>
      <c r="W107" s="1433">
        <v>3.9523158130681417</v>
      </c>
      <c r="X107" s="1433">
        <v>7.4001321186134073</v>
      </c>
      <c r="Y107" s="1417">
        <v>9.6579864414106459E-2</v>
      </c>
      <c r="Z107" s="1417">
        <v>0.22086235773943014</v>
      </c>
      <c r="AA107" s="1417">
        <v>0.15112561084654755</v>
      </c>
      <c r="AB107" s="1417">
        <v>0.45796408319260717</v>
      </c>
      <c r="AC107" s="1434">
        <v>0</v>
      </c>
      <c r="AD107" s="1417">
        <v>2.2190220219465231</v>
      </c>
      <c r="AE107" s="1417">
        <v>0.41736926096080385</v>
      </c>
      <c r="AF107" s="1417">
        <v>4.3480852929755907</v>
      </c>
      <c r="AG107" s="1417">
        <v>0.45665347139044166</v>
      </c>
      <c r="AH107" s="1417">
        <v>4.0089674170807372</v>
      </c>
      <c r="AI107" s="1417">
        <v>9.8263315012722554</v>
      </c>
      <c r="AJ107" s="1417">
        <v>9.0110831155897824</v>
      </c>
      <c r="AK107" s="1417">
        <v>0.78471139836461501</v>
      </c>
      <c r="AL107" s="1417">
        <v>5.3394006207362672</v>
      </c>
      <c r="AM107" s="1417">
        <v>9.7083313637851258</v>
      </c>
      <c r="AN107" s="1417">
        <v>0.93971574877586939</v>
      </c>
      <c r="AO107" s="1417">
        <v>21.382572548990115</v>
      </c>
      <c r="AP107" s="1434">
        <f t="shared" si="0"/>
        <v>10.50571745350671</v>
      </c>
      <c r="AQ107" s="1434">
        <f t="shared" si="1"/>
        <v>4.1079189976419874</v>
      </c>
      <c r="AR107" s="1434">
        <f t="shared" si="2"/>
        <v>25.842084033057255</v>
      </c>
      <c r="AS107" s="1434">
        <f t="shared" si="3"/>
        <v>23.748118534612249</v>
      </c>
      <c r="AT107" s="1417">
        <v>19.781128450529067</v>
      </c>
      <c r="AU107" s="1417">
        <v>31.155079486019179</v>
      </c>
      <c r="AV107" s="1417">
        <v>37.082170154425228</v>
      </c>
      <c r="AW107" s="1417">
        <v>0.20221731302771917</v>
      </c>
      <c r="AX107" s="1417">
        <v>30.355896271974469</v>
      </c>
      <c r="AY107" s="1417">
        <v>73.374335368172012</v>
      </c>
      <c r="AZ107" s="1417">
        <v>3.7433092879189531</v>
      </c>
      <c r="BA107" s="1417">
        <v>3.0172988726363275</v>
      </c>
      <c r="BB107" s="1417">
        <v>0.76409217154861875</v>
      </c>
      <c r="BC107" s="1433">
        <v>12.746654473211958</v>
      </c>
    </row>
    <row r="108" spans="1:55">
      <c r="N108" s="520"/>
    </row>
    <row r="109" spans="1:55" ht="20">
      <c r="A109" s="576" t="s">
        <v>261</v>
      </c>
    </row>
    <row r="110" spans="1:55">
      <c r="A110" s="111" t="s">
        <v>262</v>
      </c>
    </row>
    <row r="111" spans="1:55">
      <c r="A111" s="1408" t="s">
        <v>263</v>
      </c>
      <c r="B111" s="1435" t="s">
        <v>1703</v>
      </c>
    </row>
    <row r="112" spans="1:55">
      <c r="A112" s="1393" t="s">
        <v>264</v>
      </c>
      <c r="B112" s="1436">
        <v>100</v>
      </c>
    </row>
    <row r="113" spans="1:6">
      <c r="A113" s="111" t="s">
        <v>17</v>
      </c>
      <c r="B113" s="584">
        <v>1</v>
      </c>
    </row>
    <row r="114" spans="1:6">
      <c r="A114" s="111" t="s">
        <v>16</v>
      </c>
      <c r="B114" s="584">
        <v>29.8</v>
      </c>
    </row>
    <row r="115" spans="1:6">
      <c r="A115" s="1400" t="s">
        <v>19</v>
      </c>
      <c r="B115" s="1423">
        <v>273</v>
      </c>
    </row>
    <row r="117" spans="1:6" ht="20">
      <c r="A117" s="576" t="s">
        <v>265</v>
      </c>
    </row>
    <row r="118" spans="1:6">
      <c r="A118" s="1437" t="s">
        <v>266</v>
      </c>
      <c r="B118" s="1438">
        <v>0.85</v>
      </c>
    </row>
    <row r="119" spans="1:6">
      <c r="A119" s="159" t="s">
        <v>267</v>
      </c>
      <c r="B119" s="597">
        <f>12/28</f>
        <v>0.42857142857142855</v>
      </c>
    </row>
    <row r="120" spans="1:6">
      <c r="A120" s="1122" t="s">
        <v>268</v>
      </c>
      <c r="B120" s="1218">
        <f>12/44</f>
        <v>0.27272727272727271</v>
      </c>
    </row>
    <row r="122" spans="1:6" ht="15" customHeight="1">
      <c r="A122" s="576" t="s">
        <v>269</v>
      </c>
    </row>
    <row r="123" spans="1:6">
      <c r="A123" s="111" t="s">
        <v>316</v>
      </c>
    </row>
    <row r="124" spans="1:6" ht="42">
      <c r="A124" s="1315"/>
      <c r="B124" s="1439" t="s">
        <v>1704</v>
      </c>
      <c r="C124" s="1439" t="s">
        <v>317</v>
      </c>
      <c r="D124" s="1439" t="s">
        <v>318</v>
      </c>
      <c r="E124" s="1439" t="s">
        <v>341</v>
      </c>
      <c r="F124" s="1440" t="s">
        <v>342</v>
      </c>
    </row>
    <row r="125" spans="1:6">
      <c r="A125" s="147" t="s">
        <v>319</v>
      </c>
      <c r="B125" s="1057">
        <v>17919.85304059858</v>
      </c>
      <c r="C125" s="1057">
        <v>19855.30899836577</v>
      </c>
      <c r="D125" s="408">
        <v>273</v>
      </c>
      <c r="E125" s="408">
        <v>38.133132300358611</v>
      </c>
      <c r="F125" s="583">
        <v>222.99999999999949</v>
      </c>
    </row>
    <row r="126" spans="1:6">
      <c r="A126" s="1337" t="s">
        <v>320</v>
      </c>
      <c r="B126" s="1404">
        <v>14222.105587776652</v>
      </c>
      <c r="C126" s="1404">
        <v>18556.36354987455</v>
      </c>
      <c r="D126" s="1413"/>
      <c r="E126" s="1413">
        <v>32.160473024398833</v>
      </c>
      <c r="F126" s="1060">
        <v>222.99999999999969</v>
      </c>
    </row>
    <row r="127" spans="1:6" ht="15" customHeight="1"/>
    <row r="128" spans="1:6">
      <c r="A128" s="111" t="s">
        <v>1296</v>
      </c>
    </row>
    <row r="129" spans="1:11" ht="30" customHeight="1">
      <c r="A129" s="1441"/>
      <c r="B129" s="1861" t="s">
        <v>310</v>
      </c>
      <c r="C129" s="1862"/>
      <c r="D129" s="1863" t="s">
        <v>311</v>
      </c>
      <c r="E129" s="1863"/>
      <c r="F129" s="1863" t="s">
        <v>309</v>
      </c>
      <c r="G129" s="1863"/>
      <c r="H129" s="1863" t="s">
        <v>312</v>
      </c>
      <c r="I129" s="1863"/>
      <c r="J129" s="1863" t="s">
        <v>313</v>
      </c>
      <c r="K129" s="1864"/>
    </row>
    <row r="130" spans="1:11">
      <c r="A130" s="1337"/>
      <c r="B130" s="1400" t="s">
        <v>321</v>
      </c>
      <c r="C130" s="1400" t="s">
        <v>322</v>
      </c>
      <c r="D130" s="1400" t="s">
        <v>321</v>
      </c>
      <c r="E130" s="1400" t="s">
        <v>322</v>
      </c>
      <c r="F130" s="1400" t="s">
        <v>321</v>
      </c>
      <c r="G130" s="1400" t="s">
        <v>322</v>
      </c>
      <c r="H130" s="1400" t="s">
        <v>321</v>
      </c>
      <c r="I130" s="1400" t="s">
        <v>322</v>
      </c>
      <c r="J130" s="1400" t="s">
        <v>321</v>
      </c>
      <c r="K130" s="849" t="s">
        <v>322</v>
      </c>
    </row>
    <row r="131" spans="1:11">
      <c r="A131" s="147" t="s">
        <v>11</v>
      </c>
      <c r="B131" s="520">
        <v>5.812353466897128</v>
      </c>
      <c r="C131" s="520">
        <v>7.3235653682903816</v>
      </c>
      <c r="D131" s="520">
        <v>9.8384792963996421</v>
      </c>
      <c r="E131" s="520">
        <v>10.527172847147616</v>
      </c>
      <c r="F131" s="520">
        <v>28.788439232706082</v>
      </c>
      <c r="G131" s="520">
        <v>28.788439232706082</v>
      </c>
      <c r="H131" s="520">
        <v>79.891003050459602</v>
      </c>
      <c r="I131" s="520">
        <v>79.891003050459602</v>
      </c>
      <c r="J131" s="520">
        <v>15.526999837245132</v>
      </c>
      <c r="K131" s="581">
        <v>15.526999837245132</v>
      </c>
    </row>
    <row r="132" spans="1:11">
      <c r="A132" s="147" t="s">
        <v>231</v>
      </c>
      <c r="B132" s="520">
        <v>161.77639496566306</v>
      </c>
      <c r="C132" s="520">
        <v>203.83825765673546</v>
      </c>
      <c r="D132" s="520">
        <v>81.784995221285882</v>
      </c>
      <c r="E132" s="520">
        <v>87.509944886775884</v>
      </c>
      <c r="F132" s="520">
        <v>49.437007475078644</v>
      </c>
      <c r="G132" s="520">
        <v>49.437007475078644</v>
      </c>
      <c r="H132" s="520">
        <v>181.52600634265971</v>
      </c>
      <c r="I132" s="520">
        <v>181.52600634265971</v>
      </c>
      <c r="J132" s="520">
        <v>188.99399674904541</v>
      </c>
      <c r="K132" s="581">
        <v>188.99399674904541</v>
      </c>
    </row>
    <row r="133" spans="1:11">
      <c r="A133" s="147" t="s">
        <v>232</v>
      </c>
      <c r="B133" s="520">
        <v>101.53518337732018</v>
      </c>
      <c r="C133" s="520">
        <v>127.93433105542343</v>
      </c>
      <c r="D133" s="520">
        <v>55.671441945856429</v>
      </c>
      <c r="E133" s="520">
        <v>59.568442882066385</v>
      </c>
      <c r="F133" s="520">
        <v>416.51117997791005</v>
      </c>
      <c r="G133" s="520">
        <v>416.51117997791005</v>
      </c>
      <c r="H133" s="520">
        <v>2054.8190944821517</v>
      </c>
      <c r="I133" s="520">
        <v>2054.8190944821517</v>
      </c>
      <c r="J133" s="520">
        <v>676.09696822032265</v>
      </c>
      <c r="K133" s="581">
        <v>676.09696822032265</v>
      </c>
    </row>
    <row r="134" spans="1:11">
      <c r="A134" s="147" t="s">
        <v>12</v>
      </c>
      <c r="B134" s="520">
        <v>5.4409986926760716</v>
      </c>
      <c r="C134" s="520">
        <v>6.8556583527718491</v>
      </c>
      <c r="D134" s="520">
        <v>6.2396049726367266</v>
      </c>
      <c r="E134" s="520">
        <v>6.6763773207212971</v>
      </c>
      <c r="F134" s="520">
        <v>6.8629270988412223</v>
      </c>
      <c r="G134" s="520">
        <v>6.8629270988412223</v>
      </c>
      <c r="H134" s="520">
        <v>181.11800463373413</v>
      </c>
      <c r="I134" s="520">
        <v>181.11800463373413</v>
      </c>
      <c r="J134" s="520">
        <v>22.017000687191334</v>
      </c>
      <c r="K134" s="581">
        <v>22.017000687191334</v>
      </c>
    </row>
    <row r="135" spans="1:11">
      <c r="A135" s="147" t="s">
        <v>13</v>
      </c>
      <c r="B135" s="520">
        <v>0.92824869708043045</v>
      </c>
      <c r="C135" s="520">
        <v>1.1695933583213423</v>
      </c>
      <c r="D135" s="520">
        <v>1.235626443702162</v>
      </c>
      <c r="E135" s="520">
        <v>1.3221202947613135</v>
      </c>
      <c r="F135" s="520">
        <v>6.6570392858759853</v>
      </c>
      <c r="G135" s="520">
        <v>6.6570392858759853</v>
      </c>
      <c r="H135" s="520">
        <v>166.66600341438362</v>
      </c>
      <c r="I135" s="520">
        <v>166.66600341438362</v>
      </c>
      <c r="J135" s="520">
        <v>21.355999078170584</v>
      </c>
      <c r="K135" s="581">
        <v>21.355999078170584</v>
      </c>
    </row>
    <row r="136" spans="1:11">
      <c r="A136" s="147" t="s">
        <v>20</v>
      </c>
      <c r="B136" s="520">
        <v>0.54469976387990127</v>
      </c>
      <c r="C136" s="520">
        <v>0.54469976387990127</v>
      </c>
      <c r="D136" s="520">
        <v>0.54469976387990127</v>
      </c>
      <c r="E136" s="520">
        <v>0.54469976387990127</v>
      </c>
      <c r="F136" s="520">
        <v>0.54242117555469049</v>
      </c>
      <c r="G136" s="520">
        <v>0.54242117555469049</v>
      </c>
      <c r="H136" s="520">
        <v>1443.5650804305726</v>
      </c>
      <c r="I136" s="520">
        <v>1443.5650804305726</v>
      </c>
      <c r="J136" s="520">
        <v>267.32686674640235</v>
      </c>
      <c r="K136" s="581">
        <v>267.32686674640235</v>
      </c>
    </row>
    <row r="137" spans="1:11">
      <c r="A137" s="147" t="s">
        <v>14</v>
      </c>
      <c r="B137" s="520">
        <v>3.1580812470205132E-2</v>
      </c>
      <c r="C137" s="520">
        <v>3.9791823712458464E-2</v>
      </c>
      <c r="D137" s="520">
        <v>6.2020268872383877E-2</v>
      </c>
      <c r="E137" s="520">
        <v>6.6361687693450758E-2</v>
      </c>
      <c r="F137" s="520">
        <v>0.55919130001358275</v>
      </c>
      <c r="G137" s="520">
        <v>0.55919130001358275</v>
      </c>
      <c r="H137" s="520">
        <v>24.999900512157541</v>
      </c>
      <c r="I137" s="520">
        <v>24.999900512157541</v>
      </c>
      <c r="J137" s="520">
        <v>3.2033998617255874</v>
      </c>
      <c r="K137" s="581">
        <v>3.2033998617255874</v>
      </c>
    </row>
    <row r="138" spans="1:11">
      <c r="A138" s="147" t="s">
        <v>15</v>
      </c>
      <c r="B138" s="520">
        <v>5.8681168095304902E-2</v>
      </c>
      <c r="C138" s="520">
        <v>7.3938271800084179E-2</v>
      </c>
      <c r="D138" s="520">
        <v>0.10783984269002922</v>
      </c>
      <c r="E138" s="520">
        <v>0.11538863167833127</v>
      </c>
      <c r="F138" s="520">
        <v>5.8981368072861224</v>
      </c>
      <c r="G138" s="520">
        <v>5.8981368072861224</v>
      </c>
      <c r="H138" s="520">
        <v>64.999741331609613</v>
      </c>
      <c r="I138" s="520">
        <v>64.999741331609613</v>
      </c>
      <c r="J138" s="520">
        <v>8.3288396404865281</v>
      </c>
      <c r="K138" s="581">
        <v>8.3288396404865281</v>
      </c>
    </row>
    <row r="139" spans="1:11">
      <c r="A139" s="147" t="s">
        <v>16</v>
      </c>
      <c r="B139" s="520">
        <v>0.79687952050913158</v>
      </c>
      <c r="C139" s="520">
        <v>1.0040681958415056</v>
      </c>
      <c r="D139" s="520">
        <v>2.1265376753091356</v>
      </c>
      <c r="E139" s="520">
        <v>2.2753953125807751</v>
      </c>
      <c r="F139" s="520">
        <v>6.8245112110180699</v>
      </c>
      <c r="G139" s="520">
        <v>6.8245112110180699</v>
      </c>
      <c r="H139" s="520">
        <v>4.5809998512268066</v>
      </c>
      <c r="I139" s="520">
        <v>4.5809998512268066</v>
      </c>
      <c r="J139" s="520">
        <v>0.76082299202501147</v>
      </c>
      <c r="K139" s="581">
        <v>0.76082299202501147</v>
      </c>
    </row>
    <row r="140" spans="1:11">
      <c r="A140" s="147" t="s">
        <v>19</v>
      </c>
      <c r="B140" s="520">
        <v>0.10695653375963685</v>
      </c>
      <c r="C140" s="520">
        <v>0.13476523253714243</v>
      </c>
      <c r="D140" s="520">
        <v>0.26807295498990713</v>
      </c>
      <c r="E140" s="520">
        <v>0.28683806183920063</v>
      </c>
      <c r="F140" s="520">
        <v>2.1321383520886243</v>
      </c>
      <c r="G140" s="520">
        <v>2.1321383520886243</v>
      </c>
      <c r="H140" s="520">
        <v>2</v>
      </c>
      <c r="I140" s="520">
        <v>2</v>
      </c>
      <c r="J140" s="520">
        <v>2</v>
      </c>
      <c r="K140" s="581">
        <v>2</v>
      </c>
    </row>
    <row r="141" spans="1:11">
      <c r="A141" s="1337" t="s">
        <v>17</v>
      </c>
      <c r="B141" s="1442">
        <v>77924.526172916216</v>
      </c>
      <c r="C141" s="1442">
        <v>77853.149247499474</v>
      </c>
      <c r="D141" s="1442">
        <v>78034.022291848785</v>
      </c>
      <c r="E141" s="1442">
        <v>78022.470155638788</v>
      </c>
      <c r="F141" s="1404">
        <v>78012.874708330055</v>
      </c>
      <c r="G141" s="1404">
        <v>78012.874708330055</v>
      </c>
      <c r="H141" s="1404">
        <v>84534.38426123267</v>
      </c>
      <c r="I141" s="1404">
        <v>84534.38426123267</v>
      </c>
      <c r="J141" s="1442">
        <v>84733.755477447587</v>
      </c>
      <c r="K141" s="1443">
        <v>84733.755477447587</v>
      </c>
    </row>
    <row r="143" spans="1:11">
      <c r="A143" s="111" t="s">
        <v>323</v>
      </c>
    </row>
    <row r="144" spans="1:11">
      <c r="A144" s="1315"/>
      <c r="B144" s="1393" t="s">
        <v>324</v>
      </c>
      <c r="C144" s="1394" t="s">
        <v>200</v>
      </c>
    </row>
    <row r="145" spans="1:3">
      <c r="A145" s="147" t="s">
        <v>1297</v>
      </c>
      <c r="C145" s="230"/>
    </row>
    <row r="146" spans="1:3">
      <c r="A146" s="147" t="s">
        <v>325</v>
      </c>
      <c r="B146" s="520">
        <v>0.18609449507276823</v>
      </c>
      <c r="C146" s="581">
        <v>0.13467512370992385</v>
      </c>
    </row>
    <row r="147" spans="1:3">
      <c r="A147" s="147" t="s">
        <v>326</v>
      </c>
      <c r="B147" s="520">
        <v>0.18015632120244118</v>
      </c>
      <c r="C147" s="581">
        <v>0.12963199959976693</v>
      </c>
    </row>
    <row r="148" spans="1:3">
      <c r="A148" s="147" t="s">
        <v>327</v>
      </c>
      <c r="B148" s="520">
        <v>9.7869918916111791E-3</v>
      </c>
      <c r="C148" s="581">
        <v>8.265666747304775E-3</v>
      </c>
    </row>
    <row r="149" spans="1:3">
      <c r="A149" s="147" t="s">
        <v>328</v>
      </c>
      <c r="B149" s="520">
        <v>0.1239986837444737</v>
      </c>
      <c r="C149" s="581">
        <v>8.0196369386525426E-2</v>
      </c>
    </row>
    <row r="150" spans="1:3">
      <c r="A150" s="147" t="s">
        <v>329</v>
      </c>
      <c r="B150" s="520">
        <v>4.6370645566356325E-2</v>
      </c>
      <c r="C150" s="581">
        <v>4.1169963465936717E-2</v>
      </c>
    </row>
    <row r="151" spans="1:3">
      <c r="A151" s="1315" t="s">
        <v>1298</v>
      </c>
      <c r="B151" s="1421">
        <v>23.187622321321854</v>
      </c>
      <c r="C151" s="1422">
        <v>21.269047067041186</v>
      </c>
    </row>
    <row r="152" spans="1:3">
      <c r="A152" s="147" t="s">
        <v>1299</v>
      </c>
      <c r="B152" s="180"/>
      <c r="C152" s="577"/>
    </row>
    <row r="153" spans="1:3">
      <c r="A153" s="147" t="s">
        <v>330</v>
      </c>
      <c r="B153" s="520">
        <v>7.5011532988214453</v>
      </c>
      <c r="C153" s="581">
        <v>6.036996790426425</v>
      </c>
    </row>
    <row r="154" spans="1:3">
      <c r="A154" s="147" t="s">
        <v>331</v>
      </c>
      <c r="B154" s="520">
        <v>12.422546675550979</v>
      </c>
      <c r="C154" s="581">
        <v>10.700696874487857</v>
      </c>
    </row>
    <row r="155" spans="1:3">
      <c r="A155" s="147" t="s">
        <v>332</v>
      </c>
      <c r="B155" s="520">
        <v>19.071196687104383</v>
      </c>
      <c r="C155" s="581">
        <v>19.785673372525963</v>
      </c>
    </row>
    <row r="156" spans="1:3">
      <c r="A156" s="147" t="s">
        <v>333</v>
      </c>
      <c r="B156" s="520">
        <v>1.3608058322593073</v>
      </c>
      <c r="C156" s="581">
        <v>1.4633518349860588</v>
      </c>
    </row>
    <row r="157" spans="1:3">
      <c r="A157" s="147" t="s">
        <v>334</v>
      </c>
      <c r="B157" s="520">
        <v>1.1438709851240312</v>
      </c>
      <c r="C157" s="581">
        <v>1.2658983752899626</v>
      </c>
    </row>
    <row r="158" spans="1:3">
      <c r="A158" s="147" t="s">
        <v>335</v>
      </c>
      <c r="B158" s="520">
        <v>5.2148770711776189</v>
      </c>
      <c r="C158" s="581">
        <v>6.7290813812265302</v>
      </c>
    </row>
    <row r="159" spans="1:3">
      <c r="A159" s="147" t="s">
        <v>336</v>
      </c>
      <c r="B159" s="520">
        <v>0.17301768179602184</v>
      </c>
      <c r="C159" s="581">
        <v>0.18521237952731212</v>
      </c>
    </row>
    <row r="160" spans="1:3">
      <c r="A160" s="147" t="s">
        <v>337</v>
      </c>
      <c r="B160" s="520">
        <v>0.3110698001896765</v>
      </c>
      <c r="C160" s="581">
        <v>0.37402795718365023</v>
      </c>
    </row>
    <row r="161" spans="1:9">
      <c r="A161" s="147" t="s">
        <v>338</v>
      </c>
      <c r="B161" s="520">
        <v>111.77224464924271</v>
      </c>
      <c r="C161" s="581">
        <v>102.15124852079786</v>
      </c>
    </row>
    <row r="162" spans="1:9">
      <c r="A162" s="147" t="s">
        <v>339</v>
      </c>
      <c r="B162" s="520">
        <v>0.24401582180145484</v>
      </c>
      <c r="C162" s="581">
        <v>0.17225341835044952</v>
      </c>
    </row>
    <row r="163" spans="1:9">
      <c r="A163" s="1337" t="s">
        <v>340</v>
      </c>
      <c r="B163" s="1404">
        <v>13186.722667602997</v>
      </c>
      <c r="C163" s="1407">
        <v>10089.197858643471</v>
      </c>
    </row>
    <row r="165" spans="1:9" ht="20">
      <c r="A165" s="576" t="s">
        <v>1367</v>
      </c>
    </row>
    <row r="166" spans="1:9">
      <c r="A166" s="1441" t="s">
        <v>239</v>
      </c>
      <c r="B166" s="1437" t="s">
        <v>1368</v>
      </c>
      <c r="C166" s="1408"/>
      <c r="D166" s="1408"/>
      <c r="E166" s="1408" t="s">
        <v>1209</v>
      </c>
      <c r="F166" s="1408" t="s">
        <v>1369</v>
      </c>
      <c r="G166" s="1408" t="s">
        <v>1370</v>
      </c>
      <c r="H166" s="1408" t="s">
        <v>1370</v>
      </c>
      <c r="I166" s="1444"/>
    </row>
    <row r="167" spans="1:9">
      <c r="A167" s="1337"/>
      <c r="B167" s="1122" t="s">
        <v>1379</v>
      </c>
      <c r="C167" s="1400" t="s">
        <v>436</v>
      </c>
      <c r="D167" s="1400" t="s">
        <v>1371</v>
      </c>
      <c r="E167" s="1400"/>
      <c r="F167" s="1400" t="s">
        <v>1372</v>
      </c>
      <c r="G167" s="1400" t="s">
        <v>1373</v>
      </c>
      <c r="H167" s="1400" t="s">
        <v>1374</v>
      </c>
      <c r="I167" s="849" t="s">
        <v>1375</v>
      </c>
    </row>
    <row r="168" spans="1:9">
      <c r="A168" s="1315" t="s">
        <v>1376</v>
      </c>
      <c r="B168" s="1400" t="s">
        <v>1377</v>
      </c>
      <c r="C168" s="1400" t="s">
        <v>1377</v>
      </c>
      <c r="D168" s="1400" t="s">
        <v>1377</v>
      </c>
      <c r="E168" s="1400" t="s">
        <v>1378</v>
      </c>
      <c r="F168" s="1400"/>
      <c r="G168" s="1400"/>
      <c r="H168" s="1400"/>
      <c r="I168" s="849"/>
    </row>
    <row r="169" spans="1:9">
      <c r="A169" s="147" t="s">
        <v>1380</v>
      </c>
      <c r="B169" s="1206">
        <v>128450</v>
      </c>
      <c r="C169" s="1206">
        <v>128450</v>
      </c>
      <c r="D169" s="1206">
        <v>137380</v>
      </c>
      <c r="E169" s="1206">
        <v>3167</v>
      </c>
      <c r="F169" s="1207">
        <v>0.86499999999999999</v>
      </c>
      <c r="G169" s="111">
        <v>200</v>
      </c>
      <c r="H169" s="111">
        <v>2.0000000000000001E-4</v>
      </c>
      <c r="I169" s="577">
        <v>0.93499781627602274</v>
      </c>
    </row>
    <row r="170" spans="1:9">
      <c r="A170" s="1337" t="s">
        <v>1381</v>
      </c>
      <c r="B170" s="1402">
        <v>128450</v>
      </c>
      <c r="C170" s="1402">
        <v>128450</v>
      </c>
      <c r="D170" s="1402">
        <v>137380</v>
      </c>
      <c r="E170" s="1402">
        <v>3167</v>
      </c>
      <c r="F170" s="1445">
        <v>0.86499999999999999</v>
      </c>
      <c r="G170" s="1400">
        <v>11</v>
      </c>
      <c r="H170" s="1400">
        <v>1.1E-5</v>
      </c>
      <c r="I170" s="1208">
        <v>0.93499781627602274</v>
      </c>
    </row>
  </sheetData>
  <mergeCells count="10">
    <mergeCell ref="M2:T2"/>
    <mergeCell ref="C19:D19"/>
    <mergeCell ref="E19:F19"/>
    <mergeCell ref="B2:I2"/>
    <mergeCell ref="J2:L2"/>
    <mergeCell ref="B129:C129"/>
    <mergeCell ref="D129:E129"/>
    <mergeCell ref="F129:G129"/>
    <mergeCell ref="H129:I129"/>
    <mergeCell ref="J129:K129"/>
  </mergeCells>
  <phoneticPr fontId="153" type="noConversion"/>
  <pageMargins left="0.7" right="0.7" top="0.75" bottom="0.75" header="0.3" footer="0.3"/>
  <pageSetup orientation="portrait" verticalDpi="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Props1.xml><?xml version="1.0" encoding="utf-8"?>
<ds:datastoreItem xmlns:ds="http://schemas.openxmlformats.org/officeDocument/2006/customXml" ds:itemID="{0E4F1EDC-35AE-4F76-99BB-4DA1EC905634}">
  <ds:schemaRefs/>
</ds:datastoreItem>
</file>

<file path=customXml/itemProps2.xml><?xml version="1.0" encoding="utf-8"?>
<ds:datastoreItem xmlns:ds="http://schemas.openxmlformats.org/officeDocument/2006/customXml" ds:itemID="{FADDA99B-35AE-482B-90CA-4DEF7EA4134D}">
  <ds:schemaRefs/>
</ds:datastoreItem>
</file>

<file path=customXml/itemProps3.xml><?xml version="1.0" encoding="utf-8"?>
<ds:datastoreItem xmlns:ds="http://schemas.openxmlformats.org/officeDocument/2006/customXml" ds:itemID="{4EA67779-E113-49F7-9796-496856FBD235}">
  <ds:schemaRefs/>
</ds:datastoreItem>
</file>

<file path=customXml/itemProps4.xml><?xml version="1.0" encoding="utf-8"?>
<ds:datastoreItem xmlns:ds="http://schemas.openxmlformats.org/officeDocument/2006/customXml" ds:itemID="{BC407A42-AF21-4D0A-915D-F090064B3BA3}">
  <ds:schemaRefs/>
</ds:datastoreItem>
</file>

<file path=customXml/itemProps5.xml><?xml version="1.0" encoding="utf-8"?>
<ds:datastoreItem xmlns:ds="http://schemas.openxmlformats.org/officeDocument/2006/customXml" ds:itemID="{AB881523-74D3-4DC4-B5D7-7DDB38184046}">
  <ds:schemaRefs/>
</ds:datastoreItem>
</file>

<file path=customXml/itemProps6.xml><?xml version="1.0" encoding="utf-8"?>
<ds:datastoreItem xmlns:ds="http://schemas.openxmlformats.org/officeDocument/2006/customXml" ds:itemID="{CA912DBB-D414-4D51-A3FD-19FC7534E47B}">
  <ds:schemaRefs/>
</ds:datastoreItem>
</file>

<file path=customXml/itemProps7.xml><?xml version="1.0" encoding="utf-8"?>
<ds:datastoreItem xmlns:ds="http://schemas.openxmlformats.org/officeDocument/2006/customXml" ds:itemID="{F2918182-3D56-4BFC-B9EB-62DDAD29EF4F}">
  <ds:schemaRefs/>
</ds:datastoreItem>
</file>

<file path=customXml/itemProps8.xml><?xml version="1.0" encoding="utf-8"?>
<ds:datastoreItem xmlns:ds="http://schemas.openxmlformats.org/officeDocument/2006/customXml" ds:itemID="{6AAED39F-628F-45FC-8511-715A01C826FB}">
  <ds:schemaRefs/>
</ds:datastoreItem>
</file>

<file path=customXml/itemProps9.xml><?xml version="1.0" encoding="utf-8"?>
<ds:datastoreItem xmlns:ds="http://schemas.openxmlformats.org/officeDocument/2006/customXml" ds:itemID="{7908CFA1-DF2B-405E-8D59-52D48117451D}">
  <ds:schemaRefs/>
</ds:datastoreItem>
</file>

<file path=customXml/itemProps10.xml><?xml version="1.0" encoding="utf-8"?>
<ds:datastoreItem xmlns:ds="http://schemas.openxmlformats.org/officeDocument/2006/customXml" ds:itemID="{61373940-43CA-4E58-8330-1C8602D4A785}">
  <ds:schemaRefs/>
</ds:datastoreItem>
</file>

<file path=customXml/itemProps11.xml><?xml version="1.0" encoding="utf-8"?>
<ds:datastoreItem xmlns:ds="http://schemas.openxmlformats.org/officeDocument/2006/customXml" ds:itemID="{9B04EF95-CA4E-4E08-96AB-65363D8ED736}">
  <ds:schemaRefs/>
</ds:datastoreItem>
</file>

<file path=customXml/itemProps12.xml><?xml version="1.0" encoding="utf-8"?>
<ds:datastoreItem xmlns:ds="http://schemas.openxmlformats.org/officeDocument/2006/customXml" ds:itemID="{4BE87A06-62BE-4AA7-9C60-B80787AB47CB}">
  <ds:schemaRefs/>
</ds:datastoreItem>
</file>

<file path=customXml/itemProps13.xml><?xml version="1.0" encoding="utf-8"?>
<ds:datastoreItem xmlns:ds="http://schemas.openxmlformats.org/officeDocument/2006/customXml" ds:itemID="{6FD5C01D-C388-410A-8B1B-E06BE4815A99}">
  <ds:schemaRefs/>
</ds:datastoreItem>
</file>

<file path=customXml/itemProps14.xml><?xml version="1.0" encoding="utf-8"?>
<ds:datastoreItem xmlns:ds="http://schemas.openxmlformats.org/officeDocument/2006/customXml" ds:itemID="{C1F5A8B9-0C50-43D3-9B67-4394EF339573}">
  <ds:schemaRefs/>
</ds:datastoreItem>
</file>

<file path=customXml/itemProps15.xml><?xml version="1.0" encoding="utf-8"?>
<ds:datastoreItem xmlns:ds="http://schemas.openxmlformats.org/officeDocument/2006/customXml" ds:itemID="{5AF1AE17-2D93-4CAF-92A2-BB2B4135E251}">
  <ds:schemaRefs/>
</ds:datastoreItem>
</file>

<file path=customXml/itemProps16.xml><?xml version="1.0" encoding="utf-8"?>
<ds:datastoreItem xmlns:ds="http://schemas.openxmlformats.org/officeDocument/2006/customXml" ds:itemID="{F6B0A82A-8B3B-496C-96DC-A445B460FCF3}">
  <ds:schemaRefs/>
</ds:datastoreItem>
</file>

<file path=customXml/itemProps17.xml><?xml version="1.0" encoding="utf-8"?>
<ds:datastoreItem xmlns:ds="http://schemas.openxmlformats.org/officeDocument/2006/customXml" ds:itemID="{3E4991EC-D6EF-4203-B310-65D8C2D6B9E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17</vt:i4>
      </vt:variant>
      <vt:variant>
        <vt:lpstr>命名范围</vt:lpstr>
      </vt:variant>
      <vt:variant>
        <vt:i4>34</vt:i4>
      </vt:variant>
    </vt:vector>
  </HeadingPairs>
  <TitlesOfParts>
    <vt:vector size="51" baseType="lpstr">
      <vt:lpstr>ReadMe</vt:lpstr>
      <vt:lpstr>Input</vt:lpstr>
      <vt:lpstr>Output</vt:lpstr>
      <vt:lpstr>Report</vt:lpstr>
      <vt:lpstr>Man Par.</vt:lpstr>
      <vt:lpstr>Col&amp;Trans Par.</vt:lpstr>
      <vt:lpstr>Disassembly</vt:lpstr>
      <vt:lpstr>Preproc. Par.</vt:lpstr>
      <vt:lpstr>CM Rec Par.</vt:lpstr>
      <vt:lpstr>Cath. Prod. Par.</vt:lpstr>
      <vt:lpstr>Man Rec Par.</vt:lpstr>
      <vt:lpstr>Mat. Conv Par.</vt:lpstr>
      <vt:lpstr>Unit Ops</vt:lpstr>
      <vt:lpstr>Materials</vt:lpstr>
      <vt:lpstr>Geographic Par.</vt:lpstr>
      <vt:lpstr>BatPaC IO</vt:lpstr>
      <vt:lpstr>GREET IO</vt:lpstr>
      <vt:lpstr>Allocation</vt:lpstr>
      <vt:lpstr>CathProdChemistry</vt:lpstr>
      <vt:lpstr>Cell_metric</vt:lpstr>
      <vt:lpstr>Chemistry</vt:lpstr>
      <vt:lpstr>ComparisonMetric</vt:lpstr>
      <vt:lpstr>Custom_Output</vt:lpstr>
      <vt:lpstr>Custompre_Output</vt:lpstr>
      <vt:lpstr>Default</vt:lpstr>
      <vt:lpstr>Direct_Output</vt:lpstr>
      <vt:lpstr>DollarYear</vt:lpstr>
      <vt:lpstr>Emission_unit</vt:lpstr>
      <vt:lpstr>Energy_unit</vt:lpstr>
      <vt:lpstr>Equipment</vt:lpstr>
      <vt:lpstr>Fate</vt:lpstr>
      <vt:lpstr>Hydro_Output</vt:lpstr>
      <vt:lpstr>Locations</vt:lpstr>
      <vt:lpstr>Mass_unit</vt:lpstr>
      <vt:lpstr>Material</vt:lpstr>
      <vt:lpstr>Preprocessing</vt:lpstr>
      <vt:lpstr>Preprocessing_Output</vt:lpstr>
      <vt:lpstr>Processes</vt:lpstr>
      <vt:lpstr>Pyro_Output</vt:lpstr>
      <vt:lpstr>Recycle_Process</vt:lpstr>
      <vt:lpstr>Recycled_Other</vt:lpstr>
      <vt:lpstr>Select_Battery</vt:lpstr>
      <vt:lpstr>Select_cell_materials</vt:lpstr>
      <vt:lpstr>Select_plant_type</vt:lpstr>
      <vt:lpstr>select_precursor_materials</vt:lpstr>
      <vt:lpstr>Select_Recycle_Battery</vt:lpstr>
      <vt:lpstr>Select_Type</vt:lpstr>
      <vt:lpstr>Solvent</vt:lpstr>
      <vt:lpstr>Transportation</vt:lpstr>
      <vt:lpstr>Water_unit</vt:lpstr>
      <vt:lpstr>YorN</vt:lpstr>
    </vt:vector>
  </TitlesOfParts>
  <Company>Argonne National Labs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Spangenberger, Jeffrey S.</dc:creator>
  <cp:lastModifiedBy>聪 项</cp:lastModifiedBy>
  <cp:lastPrinted>2017-04-26T17:21:54Z</cp:lastPrinted>
  <dcterms:created xsi:type="dcterms:W3CDTF">2016-12-18T19:17:57Z</dcterms:created>
  <dcterms:modified xsi:type="dcterms:W3CDTF">2026-05-13T11:32:27Z</dcterms:modified>
</cp:coreProperties>
</file>